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aspa\Downloads\"/>
    </mc:Choice>
  </mc:AlternateContent>
  <xr:revisionPtr revIDLastSave="0" documentId="13_ncr:1_{861CF05A-41B8-404C-BE46-CD45D85835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o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1" i="1" l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<sst xmlns="http://schemas.openxmlformats.org/spreadsheetml/2006/main" count="39" uniqueCount="39">
  <si>
    <t>Team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</si>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</sst>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452ED-3CD7-4E51-BD68-3B0BCBB05667}" name="Table1" displayName="Table1" ref="A1:AM21" totalsRowShown="0" headerRowDxfId="0" dataDxfId="1">
  <autoFilter ref="A1:AM21" xr:uid="{096452ED-3CD7-4E51-BD68-3B0BCBB05667}"/>
  <tableColumns count="39">
    <tableColumn id="1" xr3:uid="{42792803-C104-44C7-9EF4-4542335A58D8}" name="Team" dataDxfId="40"/>
    <tableColumn id="2" xr3:uid="{9F527495-CD06-4889-8EB3-151B6B487DC1}" name="1" dataDxfId="39"/>
    <tableColumn id="3" xr3:uid="{892D3031-926A-4488-9675-0E03231E3CF5}" name="2" dataDxfId="38"/>
    <tableColumn id="4" xr3:uid="{BCDBDB17-1DE7-4968-9769-A374C777C3F4}" name="3" dataDxfId="37"/>
    <tableColumn id="5" xr3:uid="{14910301-CC31-453C-9119-73CA2ACECD1B}" name="4" dataDxfId="36"/>
    <tableColumn id="6" xr3:uid="{2044053F-2846-4BE9-80C7-F5AE8AA4F7F1}" name="5" dataDxfId="35"/>
    <tableColumn id="7" xr3:uid="{388B84B4-0200-4C30-B47C-A9653C9E3A2A}" name="6" dataDxfId="34"/>
    <tableColumn id="8" xr3:uid="{E59A005C-E621-46A7-998B-22B4D07DF884}" name="7" dataDxfId="33"/>
    <tableColumn id="9" xr3:uid="{05F47D67-7A36-414B-B4D0-E381AB461215}" name="8" dataDxfId="32"/>
    <tableColumn id="10" xr3:uid="{2C6F2F93-D04D-4A4E-B628-479517DF94C3}" name="9" dataDxfId="31"/>
    <tableColumn id="11" xr3:uid="{9D2600FA-11CB-45EA-99F4-E28475A1E540}" name="10" dataDxfId="30"/>
    <tableColumn id="12" xr3:uid="{106B27F6-3B36-4872-BEF6-1EE093E6A15A}" name="11" dataDxfId="29"/>
    <tableColumn id="13" xr3:uid="{17664A3B-C8EF-4C58-AE71-B1023F14B5F5}" name="12" dataDxfId="28"/>
    <tableColumn id="14" xr3:uid="{9A01A2C6-E323-44D9-B599-B24A886DDD33}" name="13" dataDxfId="27"/>
    <tableColumn id="15" xr3:uid="{44057D92-2BEC-4AE4-BC94-267F486634F2}" name="14" dataDxfId="26"/>
    <tableColumn id="16" xr3:uid="{6DD2EBD5-19CE-4FAA-A752-E69052A2DCCB}" name="15" dataDxfId="25"/>
    <tableColumn id="17" xr3:uid="{0DC7E965-6BBD-45E2-A734-C1F29DA86163}" name="16" dataDxfId="24"/>
    <tableColumn id="18" xr3:uid="{40CD0B13-B54A-4835-90AA-77A8B886DDBB}" name="17" dataDxfId="23"/>
    <tableColumn id="19" xr3:uid="{06D7B2BC-A5CA-4CD5-BAFA-974B670810B8}" name="18" dataDxfId="22"/>
    <tableColumn id="20" xr3:uid="{457CB923-8164-4567-B480-176C63D04060}" name="19" dataDxfId="21"/>
    <tableColumn id="21" xr3:uid="{2126A46B-13DD-46EF-A198-D2ED593C2E59}" name="20" dataDxfId="20"/>
    <tableColumn id="22" xr3:uid="{FC0303D5-00A9-47F5-90CB-47D7797D5428}" name="21" dataDxfId="19"/>
    <tableColumn id="23" xr3:uid="{DE363DA0-023F-4D88-A3A0-A5401796C3A8}" name="22" dataDxfId="18"/>
    <tableColumn id="24" xr3:uid="{E5490576-21A7-4EF4-A829-9DBBEEDA50CB}" name="23" dataDxfId="17"/>
    <tableColumn id="25" xr3:uid="{6C20DC72-595C-426B-89EE-766384CE4CF2}" name="24" dataDxfId="16"/>
    <tableColumn id="26" xr3:uid="{D116C4D2-44BF-4308-AA88-76041430D07D}" name="25" dataDxfId="15"/>
    <tableColumn id="27" xr3:uid="{453BB4A2-59B8-47AF-B48D-05AE9715D2A2}" name="26" dataDxfId="14"/>
    <tableColumn id="28" xr3:uid="{99AAEB7A-FD5D-4148-A4E0-CF2816F410CA}" name="27" dataDxfId="13"/>
    <tableColumn id="29" xr3:uid="{C42EEF18-6BE8-4A2E-90B8-F533CBF7440D}" name="28" dataDxfId="12"/>
    <tableColumn id="30" xr3:uid="{E43C2265-9944-4D94-8E3D-E0FA258FB656}" name="29" dataDxfId="11"/>
    <tableColumn id="31" xr3:uid="{7E1CC921-5D7E-4C0A-A2EF-64281BE5B7D9}" name="30" dataDxfId="10"/>
    <tableColumn id="32" xr3:uid="{997E89CF-07CD-4110-B7CB-274A85FF8FA2}" name="31" dataDxfId="9"/>
    <tableColumn id="33" xr3:uid="{D6414F07-E0CD-48DF-963B-7EAD72EEDD27}" name="32" dataDxfId="8"/>
    <tableColumn id="34" xr3:uid="{86CCF4E6-6EA6-4B38-99F0-5D55EBDF0DB9}" name="33" dataDxfId="7"/>
    <tableColumn id="35" xr3:uid="{2DA161C4-C27E-4409-8535-AAA5A2BD32BD}" name="34" dataDxfId="6"/>
    <tableColumn id="36" xr3:uid="{125BDB58-159D-44C9-93FB-AEA69ACBDCB9}" name="35" dataDxfId="5"/>
    <tableColumn id="37" xr3:uid="{3C7951ED-5656-40FD-AEDB-6FC9AB9B9F5E}" name="36" dataDxfId="4"/>
    <tableColumn id="38" xr3:uid="{58A22ABC-22C4-4730-9717-D8E14B850AFE}" name="37" dataDxfId="3"/>
    <tableColumn id="39" xr3:uid="{2FDD5E42-9CA4-4B32-8E02-9ED685BAB0A3}" name="38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1"/>
  <sheetViews>
    <sheetView tabSelected="1" zoomScale="55" zoomScaleNormal="55" workbookViewId="0">
      <selection activeCell="K26" sqref="K26"/>
    </sheetView>
  </sheetViews>
  <sheetFormatPr defaultColWidth="12.6328125" defaultRowHeight="15.75" customHeight="1" x14ac:dyDescent="0.25"/>
  <sheetData>
    <row r="1" spans="1:3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ht="15.75" customHeight="1" x14ac:dyDescent="0.25">
      <c r="A2" s="1" t="str">
        <f ca="1">IFERROR(__xludf.DUMMYFUNCTION("""COMPUTED_VALUE"""),"Arsenal")</f>
        <v>Arsenal</v>
      </c>
      <c r="B2" s="2">
        <f ca="1">IFERROR(__xludf.DUMMYFUNCTION("""COMPUTED_VALUE"""),2.36369155160749)</f>
        <v>2.3636915516074901</v>
      </c>
      <c r="C2" s="2">
        <f ca="1">IFERROR(__xludf.DUMMYFUNCTION("""COMPUTED_VALUE"""),1.62464710327071)</f>
        <v>1.6246471032707099</v>
      </c>
      <c r="D2" s="2">
        <f ca="1">IFERROR(__xludf.DUMMYFUNCTION("""COMPUTED_VALUE"""),2.11908445162656)</f>
        <v>2.1190844516265601</v>
      </c>
      <c r="E2" s="2">
        <f ca="1">IFERROR(__xludf.DUMMYFUNCTION("""COMPUTED_VALUE"""),1.79942301813581)</f>
        <v>1.79942301813581</v>
      </c>
      <c r="F2" s="2">
        <f ca="1">IFERROR(__xludf.DUMMYFUNCTION("""COMPUTED_VALUE"""),1.29625524208146)</f>
        <v>1.2962552420814599</v>
      </c>
      <c r="G2" s="2">
        <f ca="1">IFERROR(__xludf.DUMMYFUNCTION("""COMPUTED_VALUE"""),2.74788468495554)</f>
        <v>2.7478846849555398</v>
      </c>
      <c r="H2" s="2">
        <f ca="1">IFERROR(__xludf.DUMMYFUNCTION("""COMPUTED_VALUE"""),2.91546492866381)</f>
        <v>2.9154649286638099</v>
      </c>
      <c r="I2" s="2">
        <f ca="1">IFERROR(__xludf.DUMMYFUNCTION("""COMPUTED_VALUE"""),1.55595553521875)</f>
        <v>1.55595553521875</v>
      </c>
      <c r="J2" s="2">
        <f ca="1">IFERROR(__xludf.DUMMYFUNCTION("""COMPUTED_VALUE"""),1.469653836189)</f>
        <v>1.4696538361889999</v>
      </c>
      <c r="K2" s="2">
        <f ca="1">IFERROR(__xludf.DUMMYFUNCTION("""COMPUTED_VALUE"""),1.59361058588145)</f>
        <v>1.59361058588145</v>
      </c>
      <c r="L2" s="2">
        <f ca="1">IFERROR(__xludf.DUMMYFUNCTION("""COMPUTED_VALUE"""),1.49468765516827)</f>
        <v>1.49468765516827</v>
      </c>
      <c r="M2" s="2">
        <f ca="1">IFERROR(__xludf.DUMMYFUNCTION("""COMPUTED_VALUE"""),2.01658754860693)</f>
        <v>2.01658754860693</v>
      </c>
      <c r="N2" s="2">
        <f ca="1">IFERROR(__xludf.DUMMYFUNCTION("""COMPUTED_VALUE"""),1.77616257528685)</f>
        <v>1.77616257528685</v>
      </c>
      <c r="O2" s="2">
        <f ca="1">IFERROR(__xludf.DUMMYFUNCTION("""COMPUTED_VALUE"""),2.10770535647692)</f>
        <v>2.1077053564769201</v>
      </c>
      <c r="P2" s="2">
        <f ca="1">IFERROR(__xludf.DUMMYFUNCTION("""COMPUTED_VALUE"""),1.53059419230508)</f>
        <v>1.5305941923050801</v>
      </c>
      <c r="Q2" s="2">
        <f ca="1">IFERROR(__xludf.DUMMYFUNCTION("""COMPUTED_VALUE"""),1.86296983658699)</f>
        <v>1.86296983658699</v>
      </c>
      <c r="R2" s="2">
        <f ca="1">IFERROR(__xludf.DUMMYFUNCTION("""COMPUTED_VALUE"""),1.56937181031911)</f>
        <v>1.5693718103191101</v>
      </c>
      <c r="S2" s="2">
        <f ca="1">IFERROR(__xludf.DUMMYFUNCTION("""COMPUTED_VALUE"""),2.74270476182853)</f>
        <v>2.7427047618285298</v>
      </c>
      <c r="T2" s="2">
        <f ca="1">IFERROR(__xludf.DUMMYFUNCTION("""COMPUTED_VALUE"""),1.6667585396996)</f>
        <v>1.6667585396996001</v>
      </c>
      <c r="U2" s="2">
        <f ca="1">IFERROR(__xludf.DUMMYFUNCTION("""COMPUTED_VALUE"""),1.65955396008032)</f>
        <v>1.65955396008032</v>
      </c>
      <c r="V2" s="2">
        <f ca="1">IFERROR(__xludf.DUMMYFUNCTION("""COMPUTED_VALUE"""),2.29768325185761)</f>
        <v>2.29768325185761</v>
      </c>
      <c r="W2" s="2">
        <f ca="1">IFERROR(__xludf.DUMMYFUNCTION("""COMPUTED_VALUE"""),2.07451188616637)</f>
        <v>2.0745118861663698</v>
      </c>
      <c r="X2" s="2">
        <f ca="1">IFERROR(__xludf.DUMMYFUNCTION("""COMPUTED_VALUE"""),1.85111719916006)</f>
        <v>1.8511171991600599</v>
      </c>
      <c r="Y2" s="2">
        <f ca="1">IFERROR(__xludf.DUMMYFUNCTION("""COMPUTED_VALUE"""),1.65518831861381)</f>
        <v>1.6551883186138101</v>
      </c>
      <c r="Z2" s="2">
        <f ca="1">IFERROR(__xludf.DUMMYFUNCTION("""COMPUTED_VALUE"""),2.15199677731658)</f>
        <v>2.15199677731658</v>
      </c>
      <c r="AA2" s="2">
        <f ca="1">IFERROR(__xludf.DUMMYFUNCTION("""COMPUTED_VALUE"""),2.26798199238378)</f>
        <v>2.2679819923837798</v>
      </c>
      <c r="AB2" s="2">
        <f ca="1">IFERROR(__xludf.DUMMYFUNCTION("""COMPUTED_VALUE"""),1.57928385042441)</f>
        <v>1.57928385042441</v>
      </c>
      <c r="AC2" s="2">
        <f ca="1">IFERROR(__xludf.DUMMYFUNCTION("""COMPUTED_VALUE"""),1.65064245945408)</f>
        <v>1.6506424594540801</v>
      </c>
      <c r="AD2" s="2">
        <f ca="1">IFERROR(__xludf.DUMMYFUNCTION("""COMPUTED_VALUE"""),1.90856666688437)</f>
        <v>1.9085666668843699</v>
      </c>
      <c r="AE2" s="2">
        <f ca="1">IFERROR(__xludf.DUMMYFUNCTION("""COMPUTED_VALUE"""),1.95441572415435)</f>
        <v>1.9544157241543501</v>
      </c>
      <c r="AF2" s="2">
        <f ca="1">IFERROR(__xludf.DUMMYFUNCTION("""COMPUTED_VALUE"""),1.45897864874852)</f>
        <v>1.4589786487485199</v>
      </c>
      <c r="AG2" s="2">
        <f ca="1">IFERROR(__xludf.DUMMYFUNCTION("""COMPUTED_VALUE"""),2.12828397934242)</f>
        <v>2.1282839793424202</v>
      </c>
      <c r="AH2" s="2">
        <f ca="1">IFERROR(__xludf.DUMMYFUNCTION("""COMPUTED_VALUE"""),2.14794013769953)</f>
        <v>2.1479401376995302</v>
      </c>
      <c r="AI2" s="2">
        <f ca="1">IFERROR(__xludf.DUMMYFUNCTION("""COMPUTED_VALUE"""),2.00393086459647)</f>
        <v>2.00393086459647</v>
      </c>
      <c r="AJ2" s="2">
        <f ca="1">IFERROR(__xludf.DUMMYFUNCTION("""COMPUTED_VALUE"""),1.98679962292083)</f>
        <v>1.98679962292083</v>
      </c>
      <c r="AK2" s="2">
        <f ca="1">IFERROR(__xludf.DUMMYFUNCTION("""COMPUTED_VALUE"""),1.15095452751899)</f>
        <v>1.1509545275189901</v>
      </c>
      <c r="AL2" s="2">
        <f ca="1">IFERROR(__xludf.DUMMYFUNCTION("""COMPUTED_VALUE"""),2.03488135711202)</f>
        <v>2.0348813571120199</v>
      </c>
      <c r="AM2" s="2">
        <f ca="1">IFERROR(__xludf.DUMMYFUNCTION("""COMPUTED_VALUE"""),2.28323668937568)</f>
        <v>2.2832366893756801</v>
      </c>
    </row>
    <row r="3" spans="1:39" ht="15.75" customHeight="1" x14ac:dyDescent="0.25">
      <c r="A3" s="1" t="str">
        <f ca="1">IFERROR(__xludf.DUMMYFUNCTION("""COMPUTED_VALUE"""),"Aston Villa")</f>
        <v>Aston Villa</v>
      </c>
      <c r="B3" s="2">
        <f ca="1">IFERROR(__xludf.DUMMYFUNCTION("""COMPUTED_VALUE"""),1.54067974190073)</f>
        <v>1.5406797419007301</v>
      </c>
      <c r="C3" s="2">
        <f ca="1">IFERROR(__xludf.DUMMYFUNCTION("""COMPUTED_VALUE"""),0.949131076207651)</f>
        <v>0.94913107620765103</v>
      </c>
      <c r="D3" s="2">
        <f ca="1">IFERROR(__xludf.DUMMYFUNCTION("""COMPUTED_VALUE"""),1.86668601488343)</f>
        <v>1.8666860148834299</v>
      </c>
      <c r="E3" s="2">
        <f ca="1">IFERROR(__xludf.DUMMYFUNCTION("""COMPUTED_VALUE"""),1.6159781356378)</f>
        <v>1.6159781356378</v>
      </c>
      <c r="F3" s="2">
        <f ca="1">IFERROR(__xludf.DUMMYFUNCTION("""COMPUTED_VALUE"""),2.05031439144889)</f>
        <v>2.0503143914488899</v>
      </c>
      <c r="G3" s="2">
        <f ca="1">IFERROR(__xludf.DUMMYFUNCTION("""COMPUTED_VALUE"""),1.86316720271773)</f>
        <v>1.86316720271773</v>
      </c>
      <c r="H3" s="2">
        <f ca="1">IFERROR(__xludf.DUMMYFUNCTION("""COMPUTED_VALUE"""),1.82826673064835)</f>
        <v>1.82826673064835</v>
      </c>
      <c r="I3" s="2">
        <f ca="1">IFERROR(__xludf.DUMMYFUNCTION("""COMPUTED_VALUE"""),1.32766870441153)</f>
        <v>1.3276687044115301</v>
      </c>
      <c r="J3" s="2">
        <f ca="1">IFERROR(__xludf.DUMMYFUNCTION("""COMPUTED_VALUE"""),1.72339062473252)</f>
        <v>1.7233906247325199</v>
      </c>
      <c r="K3" s="2">
        <f ca="1">IFERROR(__xludf.DUMMYFUNCTION("""COMPUTED_VALUE"""),1.56085632572456)</f>
        <v>1.56085632572456</v>
      </c>
      <c r="L3" s="2">
        <f ca="1">IFERROR(__xludf.DUMMYFUNCTION("""COMPUTED_VALUE"""),0.998361495208885)</f>
        <v>0.99836149520888495</v>
      </c>
      <c r="M3" s="2">
        <f ca="1">IFERROR(__xludf.DUMMYFUNCTION("""COMPUTED_VALUE"""),1.73825061411103)</f>
        <v>1.7382506141110301</v>
      </c>
      <c r="N3" s="2">
        <f ca="1">IFERROR(__xludf.DUMMYFUNCTION("""COMPUTED_VALUE"""),1.2965226397786)</f>
        <v>1.2965226397786001</v>
      </c>
      <c r="O3" s="2">
        <f ca="1">IFERROR(__xludf.DUMMYFUNCTION("""COMPUTED_VALUE"""),1.84611704897294)</f>
        <v>1.8461170489729399</v>
      </c>
      <c r="P3" s="2">
        <f ca="1">IFERROR(__xludf.DUMMYFUNCTION("""COMPUTED_VALUE"""),2.52893390296153)</f>
        <v>2.5289339029615299</v>
      </c>
      <c r="Q3" s="2">
        <f ca="1">IFERROR(__xludf.DUMMYFUNCTION("""COMPUTED_VALUE"""),1.36990310961085)</f>
        <v>1.36990310961085</v>
      </c>
      <c r="R3" s="2">
        <f ca="1">IFERROR(__xludf.DUMMYFUNCTION("""COMPUTED_VALUE"""),1.4357441976319)</f>
        <v>1.4357441976319001</v>
      </c>
      <c r="S3" s="2">
        <f ca="1">IFERROR(__xludf.DUMMYFUNCTION("""COMPUTED_VALUE"""),1.3823304129407)</f>
        <v>1.3823304129406999</v>
      </c>
      <c r="T3" s="2">
        <f ca="1">IFERROR(__xludf.DUMMYFUNCTION("""COMPUTED_VALUE"""),1.83813719049372)</f>
        <v>1.83813719049372</v>
      </c>
      <c r="U3" s="2">
        <f ca="1">IFERROR(__xludf.DUMMYFUNCTION("""COMPUTED_VALUE"""),2.38357137240466)</f>
        <v>2.3835713724046599</v>
      </c>
      <c r="V3" s="2">
        <f ca="1">IFERROR(__xludf.DUMMYFUNCTION("""COMPUTED_VALUE"""),1.26554791732931)</f>
        <v>1.26554791732931</v>
      </c>
      <c r="W3" s="2">
        <f ca="1">IFERROR(__xludf.DUMMYFUNCTION("""COMPUTED_VALUE"""),0.743308854419024)</f>
        <v>0.74330885441902395</v>
      </c>
      <c r="X3" s="2">
        <f ca="1">IFERROR(__xludf.DUMMYFUNCTION("""COMPUTED_VALUE"""),1.96729396243304)</f>
        <v>1.9672939624330401</v>
      </c>
      <c r="Y3" s="2">
        <f ca="1">IFERROR(__xludf.DUMMYFUNCTION("""COMPUTED_VALUE"""),1.60569691553676)</f>
        <v>1.60569691553676</v>
      </c>
      <c r="Z3" s="2">
        <f ca="1">IFERROR(__xludf.DUMMYFUNCTION("""COMPUTED_VALUE"""),2.37907820115028)</f>
        <v>2.3790782011502798</v>
      </c>
      <c r="AA3" s="2">
        <f ca="1">IFERROR(__xludf.DUMMYFUNCTION("""COMPUTED_VALUE"""),1.65552975873329)</f>
        <v>1.65552975873329</v>
      </c>
      <c r="AB3" s="2">
        <f ca="1">IFERROR(__xludf.DUMMYFUNCTION("""COMPUTED_VALUE"""),1.36130520331351)</f>
        <v>1.36130520331351</v>
      </c>
      <c r="AC3" s="2">
        <f ca="1">IFERROR(__xludf.DUMMYFUNCTION("""COMPUTED_VALUE"""),1.44578044402297)</f>
        <v>1.44578044402297</v>
      </c>
      <c r="AD3" s="2">
        <f ca="1">IFERROR(__xludf.DUMMYFUNCTION("""COMPUTED_VALUE"""),1.27480779323222)</f>
        <v>1.2748077932322199</v>
      </c>
      <c r="AE3" s="2">
        <f ca="1">IFERROR(__xludf.DUMMYFUNCTION("""COMPUTED_VALUE"""),1.43953104432118)</f>
        <v>1.43953104432118</v>
      </c>
      <c r="AF3" s="2">
        <f ca="1">IFERROR(__xludf.DUMMYFUNCTION("""COMPUTED_VALUE"""),1.74922928066209)</f>
        <v>1.7492292806620899</v>
      </c>
      <c r="AG3" s="2">
        <f ca="1">IFERROR(__xludf.DUMMYFUNCTION("""COMPUTED_VALUE"""),1.98052619857587)</f>
        <v>1.98052619857587</v>
      </c>
      <c r="AH3" s="2">
        <f ca="1">IFERROR(__xludf.DUMMYFUNCTION("""COMPUTED_VALUE"""),1.76509770428399)</f>
        <v>1.7650977042839899</v>
      </c>
      <c r="AI3" s="2">
        <f ca="1">IFERROR(__xludf.DUMMYFUNCTION("""COMPUTED_VALUE"""),1.12439830654859)</f>
        <v>1.1243983065485901</v>
      </c>
      <c r="AJ3" s="2">
        <f ca="1">IFERROR(__xludf.DUMMYFUNCTION("""COMPUTED_VALUE"""),1.69530016866308)</f>
        <v>1.69530016866308</v>
      </c>
      <c r="AK3" s="2">
        <f ca="1">IFERROR(__xludf.DUMMYFUNCTION("""COMPUTED_VALUE"""),1.34966765191677)</f>
        <v>1.3496676519167701</v>
      </c>
      <c r="AL3" s="2">
        <f ca="1">IFERROR(__xludf.DUMMYFUNCTION("""COMPUTED_VALUE"""),1.99305744231769)</f>
        <v>1.9930574423176901</v>
      </c>
      <c r="AM3" s="2">
        <f ca="1">IFERROR(__xludf.DUMMYFUNCTION("""COMPUTED_VALUE"""),1.43180102642991)</f>
        <v>1.4318010264299099</v>
      </c>
    </row>
    <row r="4" spans="1:39" ht="15.75" customHeight="1" x14ac:dyDescent="0.25">
      <c r="A4" s="1" t="str">
        <f ca="1">IFERROR(__xludf.DUMMYFUNCTION("""COMPUTED_VALUE"""),"Bournemouth")</f>
        <v>Bournemouth</v>
      </c>
      <c r="B4" s="2">
        <f ca="1">IFERROR(__xludf.DUMMYFUNCTION("""COMPUTED_VALUE"""),1.34693825348466)</f>
        <v>1.3469382534846599</v>
      </c>
      <c r="C4" s="2">
        <f ca="1">IFERROR(__xludf.DUMMYFUNCTION("""COMPUTED_VALUE"""),1.73550786355499)</f>
        <v>1.7355078635549901</v>
      </c>
      <c r="D4" s="2">
        <f ca="1">IFERROR(__xludf.DUMMYFUNCTION("""COMPUTED_VALUE"""),1.24433245644134)</f>
        <v>1.2443324564413401</v>
      </c>
      <c r="E4" s="2">
        <f ca="1">IFERROR(__xludf.DUMMYFUNCTION("""COMPUTED_VALUE"""),1.62777669907878)</f>
        <v>1.6277766990787801</v>
      </c>
      <c r="F4" s="2">
        <f ca="1">IFERROR(__xludf.DUMMYFUNCTION("""COMPUTED_VALUE"""),0.981625108570627)</f>
        <v>0.98162510857062701</v>
      </c>
      <c r="G4" s="2">
        <f ca="1">IFERROR(__xludf.DUMMYFUNCTION("""COMPUTED_VALUE"""),2.48653922349354)</f>
        <v>2.4865392234935402</v>
      </c>
      <c r="H4" s="2">
        <f ca="1">IFERROR(__xludf.DUMMYFUNCTION("""COMPUTED_VALUE"""),1.83539316251759)</f>
        <v>1.8353931625175901</v>
      </c>
      <c r="I4" s="2">
        <f ca="1">IFERROR(__xludf.DUMMYFUNCTION("""COMPUTED_VALUE"""),0.933219981140355)</f>
        <v>0.93321998114035498</v>
      </c>
      <c r="J4" s="2">
        <f ca="1">IFERROR(__xludf.DUMMYFUNCTION("""COMPUTED_VALUE"""),1.38562762559769)</f>
        <v>1.38562762559769</v>
      </c>
      <c r="K4" s="2">
        <f ca="1">IFERROR(__xludf.DUMMYFUNCTION("""COMPUTED_VALUE"""),1.41167559109958)</f>
        <v>1.41167559109958</v>
      </c>
      <c r="L4" s="2">
        <f ca="1">IFERROR(__xludf.DUMMYFUNCTION("""COMPUTED_VALUE"""),1.4215435913185)</f>
        <v>1.4215435913184999</v>
      </c>
      <c r="M4" s="2">
        <f ca="1">IFERROR(__xludf.DUMMYFUNCTION("""COMPUTED_VALUE"""),1.8073229264602)</f>
        <v>1.8073229264602</v>
      </c>
      <c r="N4" s="2">
        <f ca="1">IFERROR(__xludf.DUMMYFUNCTION("""COMPUTED_VALUE"""),1.57877924640464)</f>
        <v>1.57877924640464</v>
      </c>
      <c r="O4" s="2">
        <f ca="1">IFERROR(__xludf.DUMMYFUNCTION("""COMPUTED_VALUE"""),1.95964611775543)</f>
        <v>1.9596461177554301</v>
      </c>
      <c r="P4" s="2">
        <f ca="1">IFERROR(__xludf.DUMMYFUNCTION("""COMPUTED_VALUE"""),1.83193333920632)</f>
        <v>1.83193333920632</v>
      </c>
      <c r="Q4" s="2">
        <f ca="1">IFERROR(__xludf.DUMMYFUNCTION("""COMPUTED_VALUE"""),1.93431453309367)</f>
        <v>1.93431453309367</v>
      </c>
      <c r="R4" s="2">
        <f ca="1">IFERROR(__xludf.DUMMYFUNCTION("""COMPUTED_VALUE"""),1.40779852264507)</f>
        <v>1.40779852264507</v>
      </c>
      <c r="S4" s="2">
        <f ca="1">IFERROR(__xludf.DUMMYFUNCTION("""COMPUTED_VALUE"""),1.7091108340899)</f>
        <v>1.7091108340898999</v>
      </c>
      <c r="T4" s="2">
        <f ca="1">IFERROR(__xludf.DUMMYFUNCTION("""COMPUTED_VALUE"""),1.30541185970029)</f>
        <v>1.3054118597002899</v>
      </c>
      <c r="U4" s="2">
        <f ca="1">IFERROR(__xludf.DUMMYFUNCTION("""COMPUTED_VALUE"""),1.58888811362995)</f>
        <v>1.58888811362995</v>
      </c>
      <c r="V4" s="2">
        <f ca="1">IFERROR(__xludf.DUMMYFUNCTION("""COMPUTED_VALUE"""),1.27478792315669)</f>
        <v>1.2747879231566901</v>
      </c>
      <c r="W4" s="2">
        <f ca="1">IFERROR(__xludf.DUMMYFUNCTION("""COMPUTED_VALUE"""),1.35915722731223)</f>
        <v>1.3591572273122301</v>
      </c>
      <c r="X4" s="2">
        <f ca="1">IFERROR(__xludf.DUMMYFUNCTION("""COMPUTED_VALUE"""),1.71990545587456)</f>
        <v>1.7199054558745599</v>
      </c>
      <c r="Y4" s="2">
        <f ca="1">IFERROR(__xludf.DUMMYFUNCTION("""COMPUTED_VALUE"""),1.25343710113383)</f>
        <v>1.2534371011338299</v>
      </c>
      <c r="Z4" s="2">
        <f ca="1">IFERROR(__xludf.DUMMYFUNCTION("""COMPUTED_VALUE"""),1.94732494595782)</f>
        <v>1.9473249459578199</v>
      </c>
      <c r="AA4" s="2">
        <f ca="1">IFERROR(__xludf.DUMMYFUNCTION("""COMPUTED_VALUE"""),2.01594321973409)</f>
        <v>2.0159432197340901</v>
      </c>
      <c r="AB4" s="2">
        <f ca="1">IFERROR(__xludf.DUMMYFUNCTION("""COMPUTED_VALUE"""),1.41539895564273)</f>
        <v>1.41539895564273</v>
      </c>
      <c r="AC4" s="2">
        <f ca="1">IFERROR(__xludf.DUMMYFUNCTION("""COMPUTED_VALUE"""),1.5346903577065)</f>
        <v>1.5346903577065001</v>
      </c>
      <c r="AD4" s="2">
        <f ca="1">IFERROR(__xludf.DUMMYFUNCTION("""COMPUTED_VALUE"""),1.81516901175459)</f>
        <v>1.81516901175459</v>
      </c>
      <c r="AE4" s="2">
        <f ca="1">IFERROR(__xludf.DUMMYFUNCTION("""COMPUTED_VALUE"""),2.33919568083255)</f>
        <v>2.33919568083255</v>
      </c>
      <c r="AF4" s="2">
        <f ca="1">IFERROR(__xludf.DUMMYFUNCTION("""COMPUTED_VALUE"""),1.51485201119404)</f>
        <v>1.51485201119404</v>
      </c>
      <c r="AG4" s="2">
        <f ca="1">IFERROR(__xludf.DUMMYFUNCTION("""COMPUTED_VALUE"""),1.6668804036513)</f>
        <v>1.6668804036513001</v>
      </c>
      <c r="AH4" s="2">
        <f ca="1">IFERROR(__xludf.DUMMYFUNCTION("""COMPUTED_VALUE"""),1.33848448123572)</f>
        <v>1.3384844812357199</v>
      </c>
      <c r="AI4" s="2">
        <f ca="1">IFERROR(__xludf.DUMMYFUNCTION("""COMPUTED_VALUE"""),1.7976179335655)</f>
        <v>1.7976179335655</v>
      </c>
      <c r="AJ4" s="2">
        <f ca="1">IFERROR(__xludf.DUMMYFUNCTION("""COMPUTED_VALUE"""),0.730848133088225)</f>
        <v>0.73084813308822505</v>
      </c>
      <c r="AK4" s="2">
        <f ca="1">IFERROR(__xludf.DUMMYFUNCTION("""COMPUTED_VALUE"""),1.7693079151257)</f>
        <v>1.7693079151257001</v>
      </c>
      <c r="AL4" s="2">
        <f ca="1">IFERROR(__xludf.DUMMYFUNCTION("""COMPUTED_VALUE"""),1.10554905716938)</f>
        <v>1.10554905716938</v>
      </c>
      <c r="AM4" s="2">
        <f ca="1">IFERROR(__xludf.DUMMYFUNCTION("""COMPUTED_VALUE"""),2.34361352921871)</f>
        <v>2.3436135292187101</v>
      </c>
    </row>
    <row r="5" spans="1:39" ht="15.75" customHeight="1" x14ac:dyDescent="0.25">
      <c r="A5" s="1" t="str">
        <f ca="1">IFERROR(__xludf.DUMMYFUNCTION("""COMPUTED_VALUE"""),"Brentford")</f>
        <v>Brentford</v>
      </c>
      <c r="B5" s="2">
        <f ca="1">IFERROR(__xludf.DUMMYFUNCTION("""COMPUTED_VALUE"""),1.56166291833548)</f>
        <v>1.56166291833548</v>
      </c>
      <c r="C5" s="2">
        <f ca="1">IFERROR(__xludf.DUMMYFUNCTION("""COMPUTED_VALUE"""),0.896938631003465)</f>
        <v>0.89693863100346505</v>
      </c>
      <c r="D5" s="2">
        <f ca="1">IFERROR(__xludf.DUMMYFUNCTION("""COMPUTED_VALUE"""),2.27202123049224)</f>
        <v>2.27202123049224</v>
      </c>
      <c r="E5" s="2">
        <f ca="1">IFERROR(__xludf.DUMMYFUNCTION("""COMPUTED_VALUE"""),1.01017144853659)</f>
        <v>1.01017144853659</v>
      </c>
      <c r="F5" s="2">
        <f ca="1">IFERROR(__xludf.DUMMYFUNCTION("""COMPUTED_VALUE"""),1.4022899948636)</f>
        <v>1.4022899948636001</v>
      </c>
      <c r="G5" s="2">
        <f ca="1">IFERROR(__xludf.DUMMYFUNCTION("""COMPUTED_VALUE"""),1.76743790892785)</f>
        <v>1.76743790892785</v>
      </c>
      <c r="H5" s="2">
        <f ca="1">IFERROR(__xludf.DUMMYFUNCTION("""COMPUTED_VALUE"""),1.84202434911425)</f>
        <v>1.8420243491142501</v>
      </c>
      <c r="I5" s="2">
        <f ca="1">IFERROR(__xludf.DUMMYFUNCTION("""COMPUTED_VALUE"""),1.28634533551066)</f>
        <v>1.28634533551066</v>
      </c>
      <c r="J5" s="2">
        <f ca="1">IFERROR(__xludf.DUMMYFUNCTION("""COMPUTED_VALUE"""),2.13738926734494)</f>
        <v>2.1373892673449402</v>
      </c>
      <c r="K5" s="2">
        <f ca="1">IFERROR(__xludf.DUMMYFUNCTION("""COMPUTED_VALUE"""),1.19279174515025)</f>
        <v>1.1927917451502501</v>
      </c>
      <c r="L5" s="2">
        <f ca="1">IFERROR(__xludf.DUMMYFUNCTION("""COMPUTED_VALUE"""),1.54831254515517)</f>
        <v>1.54831254515517</v>
      </c>
      <c r="M5" s="2">
        <f ca="1">IFERROR(__xludf.DUMMYFUNCTION("""COMPUTED_VALUE"""),1.13698176651048)</f>
        <v>1.13698176651048</v>
      </c>
      <c r="N5" s="2">
        <f ca="1">IFERROR(__xludf.DUMMYFUNCTION("""COMPUTED_VALUE"""),2.14142598039238)</f>
        <v>2.1414259803923801</v>
      </c>
      <c r="O5" s="2">
        <f ca="1">IFERROR(__xludf.DUMMYFUNCTION("""COMPUTED_VALUE"""),1.26608715968348)</f>
        <v>1.26608715968348</v>
      </c>
      <c r="P5" s="2">
        <f ca="1">IFERROR(__xludf.DUMMYFUNCTION("""COMPUTED_VALUE"""),1.58578263090624)</f>
        <v>1.5857826309062399</v>
      </c>
      <c r="Q5" s="2">
        <f ca="1">IFERROR(__xludf.DUMMYFUNCTION("""COMPUTED_VALUE"""),1.1648097880064)</f>
        <v>1.1648097880063999</v>
      </c>
      <c r="R5" s="2">
        <f ca="1">IFERROR(__xludf.DUMMYFUNCTION("""COMPUTED_VALUE"""),1.57152626963038)</f>
        <v>1.57152626963038</v>
      </c>
      <c r="S5" s="2">
        <f ca="1">IFERROR(__xludf.DUMMYFUNCTION("""COMPUTED_VALUE"""),1.29329006615012)</f>
        <v>1.2932900661501201</v>
      </c>
      <c r="T5" s="2">
        <f ca="1">IFERROR(__xludf.DUMMYFUNCTION("""COMPUTED_VALUE"""),0.852709496732362)</f>
        <v>0.85270949673236196</v>
      </c>
      <c r="U5" s="2">
        <f ca="1">IFERROR(__xludf.DUMMYFUNCTION("""COMPUTED_VALUE"""),1.77932589121485)</f>
        <v>1.77932589121485</v>
      </c>
      <c r="V5" s="2">
        <f ca="1">IFERROR(__xludf.DUMMYFUNCTION("""COMPUTED_VALUE"""),1.28988792263637)</f>
        <v>1.28988792263637</v>
      </c>
      <c r="W5" s="2">
        <f ca="1">IFERROR(__xludf.DUMMYFUNCTION("""COMPUTED_VALUE"""),1.14530093792832)</f>
        <v>1.1453009379283201</v>
      </c>
      <c r="X5" s="2">
        <f ca="1">IFERROR(__xludf.DUMMYFUNCTION("""COMPUTED_VALUE"""),1.22301113504227)</f>
        <v>1.2230111350422701</v>
      </c>
      <c r="Y5" s="2">
        <f ca="1">IFERROR(__xludf.DUMMYFUNCTION("""COMPUTED_VALUE"""),1.79058409444133)</f>
        <v>1.79058409444133</v>
      </c>
      <c r="Z5" s="2">
        <f ca="1">IFERROR(__xludf.DUMMYFUNCTION("""COMPUTED_VALUE"""),1.38416313644597)</f>
        <v>1.3841631364459701</v>
      </c>
      <c r="AA5" s="2">
        <f ca="1">IFERROR(__xludf.DUMMYFUNCTION("""COMPUTED_VALUE"""),1.67705065423477)</f>
        <v>1.6770506542347701</v>
      </c>
      <c r="AB5" s="2">
        <f ca="1">IFERROR(__xludf.DUMMYFUNCTION("""COMPUTED_VALUE"""),1.45181201765723)</f>
        <v>1.45181201765723</v>
      </c>
      <c r="AC5" s="2">
        <f ca="1">IFERROR(__xludf.DUMMYFUNCTION("""COMPUTED_VALUE"""),1.61666669419984)</f>
        <v>1.61666669419984</v>
      </c>
      <c r="AD5" s="2">
        <f ca="1">IFERROR(__xludf.DUMMYFUNCTION("""COMPUTED_VALUE"""),1.21255583456431)</f>
        <v>1.2125558345643099</v>
      </c>
      <c r="AE5" s="2">
        <f ca="1">IFERROR(__xludf.DUMMYFUNCTION("""COMPUTED_VALUE"""),1.241900407946)</f>
        <v>1.2419004079460001</v>
      </c>
      <c r="AF5" s="2">
        <f ca="1">IFERROR(__xludf.DUMMYFUNCTION("""COMPUTED_VALUE"""),1.48734561830538)</f>
        <v>1.4873456183053799</v>
      </c>
      <c r="AG5" s="2">
        <f ca="1">IFERROR(__xludf.DUMMYFUNCTION("""COMPUTED_VALUE"""),0.667796614247288)</f>
        <v>0.66779661424728798</v>
      </c>
      <c r="AH5" s="2">
        <f ca="1">IFERROR(__xludf.DUMMYFUNCTION("""COMPUTED_VALUE"""),1.65140208546708)</f>
        <v>1.6514020854670799</v>
      </c>
      <c r="AI5" s="2">
        <f ca="1">IFERROR(__xludf.DUMMYFUNCTION("""COMPUTED_VALUE"""),1.23073558589583)</f>
        <v>1.23073558589583</v>
      </c>
      <c r="AJ5" s="2">
        <f ca="1">IFERROR(__xludf.DUMMYFUNCTION("""COMPUTED_VALUE"""),1.64253435891357)</f>
        <v>1.6425343589135699</v>
      </c>
      <c r="AK5" s="2">
        <f ca="1">IFERROR(__xludf.DUMMYFUNCTION("""COMPUTED_VALUE"""),1.67388931579993)</f>
        <v>1.6738893157999299</v>
      </c>
      <c r="AL5" s="2">
        <f ca="1">IFERROR(__xludf.DUMMYFUNCTION("""COMPUTED_VALUE"""),1.52307577938236)</f>
        <v>1.5230757793823599</v>
      </c>
      <c r="AM5" s="2">
        <f ca="1">IFERROR(__xludf.DUMMYFUNCTION("""COMPUTED_VALUE"""),1.4425752597026)</f>
        <v>1.4425752597026</v>
      </c>
    </row>
    <row r="6" spans="1:39" ht="15.75" customHeight="1" x14ac:dyDescent="0.25">
      <c r="A6" s="1" t="str">
        <f ca="1">IFERROR(__xludf.DUMMYFUNCTION("""COMPUTED_VALUE"""),"Brighton")</f>
        <v>Brighton</v>
      </c>
      <c r="B6" s="2">
        <f ca="1">IFERROR(__xludf.DUMMYFUNCTION("""COMPUTED_VALUE"""),1.22844431414631)</f>
        <v>1.2284443141463099</v>
      </c>
      <c r="C6" s="2">
        <f ca="1">IFERROR(__xludf.DUMMYFUNCTION("""COMPUTED_VALUE"""),1.77466521753471)</f>
        <v>1.77466521753471</v>
      </c>
      <c r="D6" s="2">
        <f ca="1">IFERROR(__xludf.DUMMYFUNCTION("""COMPUTED_VALUE"""),0.721516367228987)</f>
        <v>0.72151636722898704</v>
      </c>
      <c r="E6" s="2">
        <f ca="1">IFERROR(__xludf.DUMMYFUNCTION("""COMPUTED_VALUE"""),2.30932788011692)</f>
        <v>2.3093278801169199</v>
      </c>
      <c r="F6" s="2">
        <f ca="1">IFERROR(__xludf.DUMMYFUNCTION("""COMPUTED_VALUE"""),1.69794500432845)</f>
        <v>1.6979450043284501</v>
      </c>
      <c r="G6" s="2">
        <f ca="1">IFERROR(__xludf.DUMMYFUNCTION("""COMPUTED_VALUE"""),1.25851091309057)</f>
        <v>1.2585109130905701</v>
      </c>
      <c r="H6" s="2">
        <f ca="1">IFERROR(__xludf.DUMMYFUNCTION("""COMPUTED_VALUE"""),1.93462456004742)</f>
        <v>1.9346245600474199</v>
      </c>
      <c r="I6" s="2">
        <f ca="1">IFERROR(__xludf.DUMMYFUNCTION("""COMPUTED_VALUE"""),1.3418029556969)</f>
        <v>1.3418029556969</v>
      </c>
      <c r="J6" s="2">
        <f ca="1">IFERROR(__xludf.DUMMYFUNCTION("""COMPUTED_VALUE"""),1.99020283775817)</f>
        <v>1.99020283775817</v>
      </c>
      <c r="K6" s="2">
        <f ca="1">IFERROR(__xludf.DUMMYFUNCTION("""COMPUTED_VALUE"""),0.969091320414087)</f>
        <v>0.96909132041408697</v>
      </c>
      <c r="L6" s="2">
        <f ca="1">IFERROR(__xludf.DUMMYFUNCTION("""COMPUTED_VALUE"""),1.39365074368062)</f>
        <v>1.39365074368062</v>
      </c>
      <c r="M6" s="2">
        <f ca="1">IFERROR(__xludf.DUMMYFUNCTION("""COMPUTED_VALUE"""),1.31009780845218)</f>
        <v>1.3100978084521799</v>
      </c>
      <c r="N6" s="2">
        <f ca="1">IFERROR(__xludf.DUMMYFUNCTION("""COMPUTED_VALUE"""),2.45479008056914)</f>
        <v>2.4547900805691398</v>
      </c>
      <c r="O6" s="2">
        <f ca="1">IFERROR(__xludf.DUMMYFUNCTION("""COMPUTED_VALUE"""),1.28874383077187)</f>
        <v>1.2887438307718699</v>
      </c>
      <c r="P6" s="2">
        <f ca="1">IFERROR(__xludf.DUMMYFUNCTION("""COMPUTED_VALUE"""),1.81195811701793)</f>
        <v>1.81195811701793</v>
      </c>
      <c r="Q6" s="2">
        <f ca="1">IFERROR(__xludf.DUMMYFUNCTION("""COMPUTED_VALUE"""),1.68728821265989)</f>
        <v>1.68728821265989</v>
      </c>
      <c r="R6" s="2">
        <f ca="1">IFERROR(__xludf.DUMMYFUNCTION("""COMPUTED_VALUE"""),1.49550976532947)</f>
        <v>1.49550976532947</v>
      </c>
      <c r="S6" s="2">
        <f ca="1">IFERROR(__xludf.DUMMYFUNCTION("""COMPUTED_VALUE"""),1.79199219642763)</f>
        <v>1.79199219642763</v>
      </c>
      <c r="T6" s="2">
        <f ca="1">IFERROR(__xludf.DUMMYFUNCTION("""COMPUTED_VALUE"""),1.36793536918386)</f>
        <v>1.3679353691838601</v>
      </c>
      <c r="U6" s="2">
        <f ca="1">IFERROR(__xludf.DUMMYFUNCTION("""COMPUTED_VALUE"""),0.921304249314693)</f>
        <v>0.92130424931469301</v>
      </c>
      <c r="V6" s="2">
        <f ca="1">IFERROR(__xludf.DUMMYFUNCTION("""COMPUTED_VALUE"""),1.8085424701362)</f>
        <v>1.8085424701362001</v>
      </c>
      <c r="W6" s="2">
        <f ca="1">IFERROR(__xludf.DUMMYFUNCTION("""COMPUTED_VALUE"""),1.38982317921115)</f>
        <v>1.38982317921115</v>
      </c>
      <c r="X6" s="2">
        <f ca="1">IFERROR(__xludf.DUMMYFUNCTION("""COMPUTED_VALUE"""),1.56860054473343)</f>
        <v>1.5686005447334299</v>
      </c>
      <c r="Y6" s="2">
        <f ca="1">IFERROR(__xludf.DUMMYFUNCTION("""COMPUTED_VALUE"""),1.32973999869093)</f>
        <v>1.32973999869093</v>
      </c>
      <c r="Z6" s="2">
        <f ca="1">IFERROR(__xludf.DUMMYFUNCTION("""COMPUTED_VALUE"""),1.60699258492535)</f>
        <v>1.6069925849253499</v>
      </c>
      <c r="AA6" s="2">
        <f ca="1">IFERROR(__xludf.DUMMYFUNCTION("""COMPUTED_VALUE"""),1.92246070997661)</f>
        <v>1.92246070997661</v>
      </c>
      <c r="AB6" s="2">
        <f ca="1">IFERROR(__xludf.DUMMYFUNCTION("""COMPUTED_VALUE"""),1.67286389161259)</f>
        <v>1.67286389161259</v>
      </c>
      <c r="AC6" s="2">
        <f ca="1">IFERROR(__xludf.DUMMYFUNCTION("""COMPUTED_VALUE"""),1.6455969975126)</f>
        <v>1.6455969975125999</v>
      </c>
      <c r="AD6" s="2">
        <f ca="1">IFERROR(__xludf.DUMMYFUNCTION("""COMPUTED_VALUE"""),1.0914329576949)</f>
        <v>1.0914329576949</v>
      </c>
      <c r="AE6" s="2">
        <f ca="1">IFERROR(__xludf.DUMMYFUNCTION("""COMPUTED_VALUE"""),1.74671667291087)</f>
        <v>1.7467166729108701</v>
      </c>
      <c r="AF6" s="2">
        <f ca="1">IFERROR(__xludf.DUMMYFUNCTION("""COMPUTED_VALUE"""),1.32139416764029)</f>
        <v>1.3213941676402901</v>
      </c>
      <c r="AG6" s="2">
        <f ca="1">IFERROR(__xludf.DUMMYFUNCTION("""COMPUTED_VALUE"""),2.3136893196202)</f>
        <v>2.3136893196202002</v>
      </c>
      <c r="AH6" s="2">
        <f ca="1">IFERROR(__xludf.DUMMYFUNCTION("""COMPUTED_VALUE"""),1.40339274526402)</f>
        <v>1.40339274526402</v>
      </c>
      <c r="AI6" s="2">
        <f ca="1">IFERROR(__xludf.DUMMYFUNCTION("""COMPUTED_VALUE"""),1.9096164193492)</f>
        <v>1.9096164193492</v>
      </c>
      <c r="AJ6" s="2">
        <f ca="1">IFERROR(__xludf.DUMMYFUNCTION("""COMPUTED_VALUE"""),1.71334819412937)</f>
        <v>1.71334819412937</v>
      </c>
      <c r="AK6" s="2">
        <f ca="1">IFERROR(__xludf.DUMMYFUNCTION("""COMPUTED_VALUE"""),1.55862075163143)</f>
        <v>1.5586207516314301</v>
      </c>
      <c r="AL6" s="2">
        <f ca="1">IFERROR(__xludf.DUMMYFUNCTION("""COMPUTED_VALUE"""),1.23743270703674)</f>
        <v>1.2374327070367399</v>
      </c>
      <c r="AM6" s="2">
        <f ca="1">IFERROR(__xludf.DUMMYFUNCTION("""COMPUTED_VALUE"""),1.51509480777463)</f>
        <v>1.51509480777463</v>
      </c>
    </row>
    <row r="7" spans="1:39" ht="15.75" customHeight="1" x14ac:dyDescent="0.25">
      <c r="A7" s="1" t="str">
        <f ca="1">IFERROR(__xludf.DUMMYFUNCTION("""COMPUTED_VALUE"""),"Chelsea")</f>
        <v>Chelsea</v>
      </c>
      <c r="B7" s="2">
        <f ca="1">IFERROR(__xludf.DUMMYFUNCTION("""COMPUTED_VALUE"""),1.56486801234783)</f>
        <v>1.56486801234783</v>
      </c>
      <c r="C7" s="2">
        <f ca="1">IFERROR(__xludf.DUMMYFUNCTION("""COMPUTED_VALUE"""),1.75010544691281)</f>
        <v>1.7501054469128099</v>
      </c>
      <c r="D7" s="2">
        <f ca="1">IFERROR(__xludf.DUMMYFUNCTION("""COMPUTED_VALUE"""),1.89458037716807)</f>
        <v>1.89458037716807</v>
      </c>
      <c r="E7" s="2">
        <f ca="1">IFERROR(__xludf.DUMMYFUNCTION("""COMPUTED_VALUE"""),1.47105016288329)</f>
        <v>1.4710501628832899</v>
      </c>
      <c r="F7" s="2">
        <f ca="1">IFERROR(__xludf.DUMMYFUNCTION("""COMPUTED_VALUE"""),1.67924094650661)</f>
        <v>1.67924094650661</v>
      </c>
      <c r="G7" s="2">
        <f ca="1">IFERROR(__xludf.DUMMYFUNCTION("""COMPUTED_VALUE"""),2.00345026395015)</f>
        <v>2.0034502639501501</v>
      </c>
      <c r="H7" s="2">
        <f ca="1">IFERROR(__xludf.DUMMYFUNCTION("""COMPUTED_VALUE"""),1.90654641132118)</f>
        <v>1.9065464113211801</v>
      </c>
      <c r="I7" s="2">
        <f ca="1">IFERROR(__xludf.DUMMYFUNCTION("""COMPUTED_VALUE"""),1.08814924774829)</f>
        <v>1.0881492477482899</v>
      </c>
      <c r="J7" s="2">
        <f ca="1">IFERROR(__xludf.DUMMYFUNCTION("""COMPUTED_VALUE"""),1.92384196339323)</f>
        <v>1.92384196339323</v>
      </c>
      <c r="K7" s="2">
        <f ca="1">IFERROR(__xludf.DUMMYFUNCTION("""COMPUTED_VALUE"""),1.56057021160353)</f>
        <v>1.56057021160353</v>
      </c>
      <c r="L7" s="2">
        <f ca="1">IFERROR(__xludf.DUMMYFUNCTION("""COMPUTED_VALUE"""),1.03449128551757)</f>
        <v>1.0344912855175701</v>
      </c>
      <c r="M7" s="2">
        <f ca="1">IFERROR(__xludf.DUMMYFUNCTION("""COMPUTED_VALUE"""),2.03456663004885)</f>
        <v>2.0345666300488499</v>
      </c>
      <c r="N7" s="2">
        <f ca="1">IFERROR(__xludf.DUMMYFUNCTION("""COMPUTED_VALUE"""),1.96130993397528)</f>
        <v>1.96130993397528</v>
      </c>
      <c r="O7" s="2">
        <f ca="1">IFERROR(__xludf.DUMMYFUNCTION("""COMPUTED_VALUE"""),2.15864504337201)</f>
        <v>2.1586450433720099</v>
      </c>
      <c r="P7" s="2">
        <f ca="1">IFERROR(__xludf.DUMMYFUNCTION("""COMPUTED_VALUE"""),1.70123211364936)</f>
        <v>1.70123211364936</v>
      </c>
      <c r="Q7" s="2">
        <f ca="1">IFERROR(__xludf.DUMMYFUNCTION("""COMPUTED_VALUE"""),2.01214779189265)</f>
        <v>2.0121477918926498</v>
      </c>
      <c r="R7" s="2">
        <f ca="1">IFERROR(__xludf.DUMMYFUNCTION("""COMPUTED_VALUE"""),1.37936511057369)</f>
        <v>1.3793651105736899</v>
      </c>
      <c r="S7" s="2">
        <f ca="1">IFERROR(__xludf.DUMMYFUNCTION("""COMPUTED_VALUE"""),1.84776717861332)</f>
        <v>1.8477671786133201</v>
      </c>
      <c r="T7" s="2">
        <f ca="1">IFERROR(__xludf.DUMMYFUNCTION("""COMPUTED_VALUE"""),2.03073135311815)</f>
        <v>2.0307313531181501</v>
      </c>
      <c r="U7" s="2">
        <f ca="1">IFERROR(__xludf.DUMMYFUNCTION("""COMPUTED_VALUE"""),1.48373433876425)</f>
        <v>1.4837343387642501</v>
      </c>
      <c r="V7" s="2">
        <f ca="1">IFERROR(__xludf.DUMMYFUNCTION("""COMPUTED_VALUE"""),1.87838395298568)</f>
        <v>1.8783839529856801</v>
      </c>
      <c r="W7" s="2">
        <f ca="1">IFERROR(__xludf.DUMMYFUNCTION("""COMPUTED_VALUE"""),2.23470964516297)</f>
        <v>2.2347096451629702</v>
      </c>
      <c r="X7" s="2">
        <f ca="1">IFERROR(__xludf.DUMMYFUNCTION("""COMPUTED_VALUE"""),1.22552119378794)</f>
        <v>1.22552119378794</v>
      </c>
      <c r="Y7" s="2">
        <f ca="1">IFERROR(__xludf.DUMMYFUNCTION("""COMPUTED_VALUE"""),2.14422276459429)</f>
        <v>2.1442227645942902</v>
      </c>
      <c r="Z7" s="2">
        <f ca="1">IFERROR(__xludf.DUMMYFUNCTION("""COMPUTED_VALUE"""),1.56899542951691)</f>
        <v>1.56899542951691</v>
      </c>
      <c r="AA7" s="2">
        <f ca="1">IFERROR(__xludf.DUMMYFUNCTION("""COMPUTED_VALUE"""),1.53599336986082)</f>
        <v>1.5359933698608199</v>
      </c>
      <c r="AB7" s="2">
        <f ca="1">IFERROR(__xludf.DUMMYFUNCTION("""COMPUTED_VALUE"""),2.75637385588172)</f>
        <v>2.7563738558817201</v>
      </c>
      <c r="AC7" s="2">
        <f ca="1">IFERROR(__xludf.DUMMYFUNCTION("""COMPUTED_VALUE"""),2.59793812990938)</f>
        <v>2.5979381299093798</v>
      </c>
      <c r="AD7" s="2">
        <f ca="1">IFERROR(__xludf.DUMMYFUNCTION("""COMPUTED_VALUE"""),0.810158419232182)</f>
        <v>0.81015841923218201</v>
      </c>
      <c r="AE7" s="2">
        <f ca="1">IFERROR(__xludf.DUMMYFUNCTION("""COMPUTED_VALUE"""),2.17230328591887)</f>
        <v>2.1723032859188698</v>
      </c>
      <c r="AF7" s="2">
        <f ca="1">IFERROR(__xludf.DUMMYFUNCTION("""COMPUTED_VALUE"""),1.57580686967864)</f>
        <v>1.57580686967864</v>
      </c>
      <c r="AG7" s="2">
        <f ca="1">IFERROR(__xludf.DUMMYFUNCTION("""COMPUTED_VALUE"""),2.59304086479657)</f>
        <v>2.5930408647965701</v>
      </c>
      <c r="AH7" s="2">
        <f ca="1">IFERROR(__xludf.DUMMYFUNCTION("""COMPUTED_VALUE"""),1.44707273757797)</f>
        <v>1.4470727375779699</v>
      </c>
      <c r="AI7" s="2">
        <f ca="1">IFERROR(__xludf.DUMMYFUNCTION("""COMPUTED_VALUE"""),1.76131130969154)</f>
        <v>1.76131130969154</v>
      </c>
      <c r="AJ7" s="2">
        <f ca="1">IFERROR(__xludf.DUMMYFUNCTION("""COMPUTED_VALUE"""),1.38945777444979)</f>
        <v>1.38945777444979</v>
      </c>
      <c r="AK7" s="2">
        <f ca="1">IFERROR(__xludf.DUMMYFUNCTION("""COMPUTED_VALUE"""),1.50665045296674)</f>
        <v>1.5066504529667399</v>
      </c>
      <c r="AL7" s="2">
        <f ca="1">IFERROR(__xludf.DUMMYFUNCTION("""COMPUTED_VALUE"""),1.99269210319654)</f>
        <v>1.9926921031965401</v>
      </c>
      <c r="AM7" s="2">
        <f ca="1">IFERROR(__xludf.DUMMYFUNCTION("""COMPUTED_VALUE"""),1.49310549872439)</f>
        <v>1.4931054987243899</v>
      </c>
    </row>
    <row r="8" spans="1:39" ht="15.75" customHeight="1" x14ac:dyDescent="0.25">
      <c r="A8" s="1" t="str">
        <f ca="1">IFERROR(__xludf.DUMMYFUNCTION("""COMPUTED_VALUE"""),"Crystal Palace")</f>
        <v>Crystal Palace</v>
      </c>
      <c r="B8" s="2">
        <f ca="1">IFERROR(__xludf.DUMMYFUNCTION("""COMPUTED_VALUE"""),1.28702975477602)</f>
        <v>1.2870297547760201</v>
      </c>
      <c r="C8" s="2">
        <f ca="1">IFERROR(__xludf.DUMMYFUNCTION("""COMPUTED_VALUE"""),1.75127964727286)</f>
        <v>1.75127964727286</v>
      </c>
      <c r="D8" s="2">
        <f ca="1">IFERROR(__xludf.DUMMYFUNCTION("""COMPUTED_VALUE"""),1.15416087002301)</f>
        <v>1.1541608700230099</v>
      </c>
      <c r="E8" s="2">
        <f ca="1">IFERROR(__xludf.DUMMYFUNCTION("""COMPUTED_VALUE"""),2.1218486469363)</f>
        <v>2.1218486469363</v>
      </c>
      <c r="F8" s="2">
        <f ca="1">IFERROR(__xludf.DUMMYFUNCTION("""COMPUTED_VALUE"""),1.62751798984363)</f>
        <v>1.6275179898436301</v>
      </c>
      <c r="G8" s="2">
        <f ca="1">IFERROR(__xludf.DUMMYFUNCTION("""COMPUTED_VALUE"""),1.12658725772042)</f>
        <v>1.1265872577204199</v>
      </c>
      <c r="H8" s="2">
        <f ca="1">IFERROR(__xludf.DUMMYFUNCTION("""COMPUTED_VALUE"""),1.13483037365261)</f>
        <v>1.13483037365261</v>
      </c>
      <c r="I8" s="2">
        <f ca="1">IFERROR(__xludf.DUMMYFUNCTION("""COMPUTED_VALUE"""),1.21948396142599)</f>
        <v>1.21948396142599</v>
      </c>
      <c r="J8" s="2">
        <f ca="1">IFERROR(__xludf.DUMMYFUNCTION("""COMPUTED_VALUE"""),1.77421422584957)</f>
        <v>1.7742142258495699</v>
      </c>
      <c r="K8" s="2">
        <f ca="1">IFERROR(__xludf.DUMMYFUNCTION("""COMPUTED_VALUE"""),1.42938695566908)</f>
        <v>1.4293869556690799</v>
      </c>
      <c r="L8" s="2">
        <f ca="1">IFERROR(__xludf.DUMMYFUNCTION("""COMPUTED_VALUE"""),1.50915152391667)</f>
        <v>1.50915152391667</v>
      </c>
      <c r="M8" s="2">
        <f ca="1">IFERROR(__xludf.DUMMYFUNCTION("""COMPUTED_VALUE"""),1.25451234423969)</f>
        <v>1.2545123442396899</v>
      </c>
      <c r="N8" s="2">
        <f ca="1">IFERROR(__xludf.DUMMYFUNCTION("""COMPUTED_VALUE"""),1.57128509718882)</f>
        <v>1.5712850971888199</v>
      </c>
      <c r="O8" s="2">
        <f ca="1">IFERROR(__xludf.DUMMYFUNCTION("""COMPUTED_VALUE"""),1.6585862936063)</f>
        <v>1.6585862936063001</v>
      </c>
      <c r="P8" s="2">
        <f ca="1">IFERROR(__xludf.DUMMYFUNCTION("""COMPUTED_VALUE"""),1.27809551598134)</f>
        <v>1.2780955159813401</v>
      </c>
      <c r="Q8" s="2">
        <f ca="1">IFERROR(__xludf.DUMMYFUNCTION("""COMPUTED_VALUE"""),1.28146655643636)</f>
        <v>1.2814665564363601</v>
      </c>
      <c r="R8" s="2">
        <f ca="1">IFERROR(__xludf.DUMMYFUNCTION("""COMPUTED_VALUE"""),0.844913860407994)</f>
        <v>0.84491386040799399</v>
      </c>
      <c r="S8" s="2">
        <f ca="1">IFERROR(__xludf.DUMMYFUNCTION("""COMPUTED_VALUE"""),1.2014704129225)</f>
        <v>1.2014704129225</v>
      </c>
      <c r="T8" s="2">
        <f ca="1">IFERROR(__xludf.DUMMYFUNCTION("""COMPUTED_VALUE"""),2.25124996982019)</f>
        <v>2.25124996982019</v>
      </c>
      <c r="U8" s="2">
        <f ca="1">IFERROR(__xludf.DUMMYFUNCTION("""COMPUTED_VALUE"""),1.47374801493238)</f>
        <v>1.4737480149323801</v>
      </c>
      <c r="V8" s="2">
        <f ca="1">IFERROR(__xludf.DUMMYFUNCTION("""COMPUTED_VALUE"""),1.66171873046934)</f>
        <v>1.6617187304693399</v>
      </c>
      <c r="W8" s="2">
        <f ca="1">IFERROR(__xludf.DUMMYFUNCTION("""COMPUTED_VALUE"""),1.37150884742177)</f>
        <v>1.37150884742177</v>
      </c>
      <c r="X8" s="2">
        <f ca="1">IFERROR(__xludf.DUMMYFUNCTION("""COMPUTED_VALUE"""),1.6434082938735)</f>
        <v>1.6434082938735</v>
      </c>
      <c r="Y8" s="2">
        <f ca="1">IFERROR(__xludf.DUMMYFUNCTION("""COMPUTED_VALUE"""),1.27458531587723)</f>
        <v>1.27458531587723</v>
      </c>
      <c r="Z8" s="2">
        <f ca="1">IFERROR(__xludf.DUMMYFUNCTION("""COMPUTED_VALUE"""),1.43853926938321)</f>
        <v>1.43853926938321</v>
      </c>
      <c r="AA8" s="2">
        <f ca="1">IFERROR(__xludf.DUMMYFUNCTION("""COMPUTED_VALUE"""),1.18188701066385)</f>
        <v>1.1818870106638499</v>
      </c>
      <c r="AB8" s="2">
        <f ca="1">IFERROR(__xludf.DUMMYFUNCTION("""COMPUTED_VALUE"""),1.60188681235967)</f>
        <v>1.6018868123596699</v>
      </c>
      <c r="AC8" s="2">
        <f ca="1">IFERROR(__xludf.DUMMYFUNCTION("""COMPUTED_VALUE"""),2.11784883830588)</f>
        <v>2.1178488383058802</v>
      </c>
      <c r="AD8" s="2">
        <f ca="1">IFERROR(__xludf.DUMMYFUNCTION("""COMPUTED_VALUE"""),1.2305467124981)</f>
        <v>1.2305467124981</v>
      </c>
      <c r="AE8" s="2">
        <f ca="1">IFERROR(__xludf.DUMMYFUNCTION("""COMPUTED_VALUE"""),1.76305894731004)</f>
        <v>1.76305894731004</v>
      </c>
      <c r="AF8" s="2">
        <f ca="1">IFERROR(__xludf.DUMMYFUNCTION("""COMPUTED_VALUE"""),1.63630464591359)</f>
        <v>1.6363046459135899</v>
      </c>
      <c r="AG8" s="2">
        <f ca="1">IFERROR(__xludf.DUMMYFUNCTION("""COMPUTED_VALUE"""),1.00093626437571)</f>
        <v>1.00093626437571</v>
      </c>
      <c r="AH8" s="2">
        <f ca="1">IFERROR(__xludf.DUMMYFUNCTION("""COMPUTED_VALUE"""),1.53415757026075)</f>
        <v>1.5341575702607499</v>
      </c>
      <c r="AI8" s="2">
        <f ca="1">IFERROR(__xludf.DUMMYFUNCTION("""COMPUTED_VALUE"""),0.661691487515071)</f>
        <v>0.66169148751507101</v>
      </c>
      <c r="AJ8" s="2">
        <f ca="1">IFERROR(__xludf.DUMMYFUNCTION("""COMPUTED_VALUE"""),1.55715907034484)</f>
        <v>1.5571590703448399</v>
      </c>
      <c r="AK8" s="2">
        <f ca="1">IFERROR(__xludf.DUMMYFUNCTION("""COMPUTED_VALUE"""),1.38946998656869)</f>
        <v>1.3894699865686899</v>
      </c>
      <c r="AL8" s="2">
        <f ca="1">IFERROR(__xludf.DUMMYFUNCTION("""COMPUTED_VALUE"""),1.82518420369385)</f>
        <v>1.8251842036938499</v>
      </c>
      <c r="AM8" s="2">
        <f ca="1">IFERROR(__xludf.DUMMYFUNCTION("""COMPUTED_VALUE"""),0.88873864331789)</f>
        <v>0.88873864331788999</v>
      </c>
    </row>
    <row r="9" spans="1:39" ht="15.75" customHeight="1" x14ac:dyDescent="0.25">
      <c r="A9" s="1" t="str">
        <f ca="1">IFERROR(__xludf.DUMMYFUNCTION("""COMPUTED_VALUE"""),"Everton")</f>
        <v>Everton</v>
      </c>
      <c r="B9" s="2">
        <f ca="1">IFERROR(__xludf.DUMMYFUNCTION("""COMPUTED_VALUE"""),1.32014555760639)</f>
        <v>1.3201455576063901</v>
      </c>
      <c r="C9" s="2">
        <f ca="1">IFERROR(__xludf.DUMMYFUNCTION("""COMPUTED_VALUE"""),1.12100313030152)</f>
        <v>1.12100313030152</v>
      </c>
      <c r="D9" s="2">
        <f ca="1">IFERROR(__xludf.DUMMYFUNCTION("""COMPUTED_VALUE"""),1.23773485952376)</f>
        <v>1.2377348595237601</v>
      </c>
      <c r="E9" s="2">
        <f ca="1">IFERROR(__xludf.DUMMYFUNCTION("""COMPUTED_VALUE"""),1.01212136893111)</f>
        <v>1.0121213689311099</v>
      </c>
      <c r="F9" s="2">
        <f ca="1">IFERROR(__xludf.DUMMYFUNCTION("""COMPUTED_VALUE"""),1.34064925226415)</f>
        <v>1.34064925226415</v>
      </c>
      <c r="G9" s="2">
        <f ca="1">IFERROR(__xludf.DUMMYFUNCTION("""COMPUTED_VALUE"""),1.24840726692923)</f>
        <v>1.2484072669292301</v>
      </c>
      <c r="H9" s="2">
        <f ca="1">IFERROR(__xludf.DUMMYFUNCTION("""COMPUTED_VALUE"""),1.26768878030581)</f>
        <v>1.2676887803058099</v>
      </c>
      <c r="I9" s="2">
        <f ca="1">IFERROR(__xludf.DUMMYFUNCTION("""COMPUTED_VALUE"""),1.33812205012025)</f>
        <v>1.33812205012025</v>
      </c>
      <c r="J9" s="2">
        <f ca="1">IFERROR(__xludf.DUMMYFUNCTION("""COMPUTED_VALUE"""),1.21756036385336)</f>
        <v>1.2175603638533601</v>
      </c>
      <c r="K9" s="2">
        <f ca="1">IFERROR(__xludf.DUMMYFUNCTION("""COMPUTED_VALUE"""),1.42240898899975)</f>
        <v>1.42240898899975</v>
      </c>
      <c r="L9" s="2">
        <f ca="1">IFERROR(__xludf.DUMMYFUNCTION("""COMPUTED_VALUE"""),1.10651235799114)</f>
        <v>1.10651235799114</v>
      </c>
      <c r="M9" s="2">
        <f ca="1">IFERROR(__xludf.DUMMYFUNCTION("""COMPUTED_VALUE"""),1.32587667211522)</f>
        <v>1.32587667211522</v>
      </c>
      <c r="N9" s="2">
        <f ca="1">IFERROR(__xludf.DUMMYFUNCTION("""COMPUTED_VALUE"""),1.02831593539001)</f>
        <v>1.02831593539001</v>
      </c>
      <c r="O9" s="2">
        <f ca="1">IFERROR(__xludf.DUMMYFUNCTION("""COMPUTED_VALUE"""),1.47253069551391)</f>
        <v>1.4725306955139099</v>
      </c>
      <c r="P9" s="2">
        <f ca="1">IFERROR(__xludf.DUMMYFUNCTION("""COMPUTED_VALUE"""),0.915563785848593)</f>
        <v>0.91556378584859299</v>
      </c>
      <c r="Q9" s="2">
        <f ca="1">IFERROR(__xludf.DUMMYFUNCTION("""COMPUTED_VALUE"""),0.533842570165941)</f>
        <v>0.53384257016594105</v>
      </c>
      <c r="R9" s="2">
        <f ca="1">IFERROR(__xludf.DUMMYFUNCTION("""COMPUTED_VALUE"""),1.18899735437587)</f>
        <v>1.1889973543758701</v>
      </c>
      <c r="S9" s="2">
        <f ca="1">IFERROR(__xludf.DUMMYFUNCTION("""COMPUTED_VALUE"""),0.807540066675644)</f>
        <v>0.80754006667564404</v>
      </c>
      <c r="T9" s="2">
        <f ca="1">IFERROR(__xludf.DUMMYFUNCTION("""COMPUTED_VALUE"""),1.25629211793534)</f>
        <v>1.2562921179353399</v>
      </c>
      <c r="U9" s="2">
        <f ca="1">IFERROR(__xludf.DUMMYFUNCTION("""COMPUTED_VALUE"""),0.969327950132164)</f>
        <v>0.969327950132164</v>
      </c>
      <c r="V9" s="2">
        <f ca="1">IFERROR(__xludf.DUMMYFUNCTION("""COMPUTED_VALUE"""),1.29237777598814)</f>
        <v>1.2923777759881401</v>
      </c>
      <c r="W9" s="2">
        <f ca="1">IFERROR(__xludf.DUMMYFUNCTION("""COMPUTED_VALUE"""),1.43140889708202)</f>
        <v>1.43140889708202</v>
      </c>
      <c r="X9" s="2">
        <f ca="1">IFERROR(__xludf.DUMMYFUNCTION("""COMPUTED_VALUE"""),1.03386761501009)</f>
        <v>1.0338676150100901</v>
      </c>
      <c r="Y9" s="2">
        <f ca="1">IFERROR(__xludf.DUMMYFUNCTION("""COMPUTED_VALUE"""),1.7118750302161)</f>
        <v>1.7118750302161001</v>
      </c>
      <c r="Z9" s="2">
        <f ca="1">IFERROR(__xludf.DUMMYFUNCTION("""COMPUTED_VALUE"""),0.977686010595379)</f>
        <v>0.97768601059537896</v>
      </c>
      <c r="AA9" s="2">
        <f ca="1">IFERROR(__xludf.DUMMYFUNCTION("""COMPUTED_VALUE"""),1.3130566178995)</f>
        <v>1.3130566178995</v>
      </c>
      <c r="AB9" s="2">
        <f ca="1">IFERROR(__xludf.DUMMYFUNCTION("""COMPUTED_VALUE"""),1.03835591832972)</f>
        <v>1.03835591832972</v>
      </c>
      <c r="AC9" s="2">
        <f ca="1">IFERROR(__xludf.DUMMYFUNCTION("""COMPUTED_VALUE"""),1.15320753035783)</f>
        <v>1.15320753035783</v>
      </c>
      <c r="AD9" s="2">
        <f ca="1">IFERROR(__xludf.DUMMYFUNCTION("""COMPUTED_VALUE"""),1.41290562991888)</f>
        <v>1.41290562991888</v>
      </c>
      <c r="AE9" s="2">
        <f ca="1">IFERROR(__xludf.DUMMYFUNCTION("""COMPUTED_VALUE"""),0.717020742304482)</f>
        <v>0.71702074230448198</v>
      </c>
      <c r="AF9" s="2">
        <f ca="1">IFERROR(__xludf.DUMMYFUNCTION("""COMPUTED_VALUE"""),0.68166357784489)</f>
        <v>0.68166357784488996</v>
      </c>
      <c r="AG9" s="2">
        <f ca="1">IFERROR(__xludf.DUMMYFUNCTION("""COMPUTED_VALUE"""),0.983861005509709)</f>
        <v>0.98386100550970901</v>
      </c>
      <c r="AH9" s="2">
        <f ca="1">IFERROR(__xludf.DUMMYFUNCTION("""COMPUTED_VALUE"""),1.03114791113813)</f>
        <v>1.0311479111381301</v>
      </c>
      <c r="AI9" s="2">
        <f ca="1">IFERROR(__xludf.DUMMYFUNCTION("""COMPUTED_VALUE"""),0.931159334619686)</f>
        <v>0.93115933461968603</v>
      </c>
      <c r="AJ9" s="2">
        <f ca="1">IFERROR(__xludf.DUMMYFUNCTION("""COMPUTED_VALUE"""),1.70864804579855)</f>
        <v>1.70864804579855</v>
      </c>
      <c r="AK9" s="2">
        <f ca="1">IFERROR(__xludf.DUMMYFUNCTION("""COMPUTED_VALUE"""),0.953528360759156)</f>
        <v>0.95352836075915604</v>
      </c>
      <c r="AL9" s="2">
        <f ca="1">IFERROR(__xludf.DUMMYFUNCTION("""COMPUTED_VALUE"""),1.81627403805378)</f>
        <v>1.8162740380537801</v>
      </c>
      <c r="AM9" s="2">
        <f ca="1">IFERROR(__xludf.DUMMYFUNCTION("""COMPUTED_VALUE"""),0.992786263846674)</f>
        <v>0.99278626384667401</v>
      </c>
    </row>
    <row r="10" spans="1:39" ht="15.75" customHeight="1" x14ac:dyDescent="0.25">
      <c r="A10" s="1" t="str">
        <f ca="1">IFERROR(__xludf.DUMMYFUNCTION("""COMPUTED_VALUE"""),"Fulham")</f>
        <v>Fulham</v>
      </c>
      <c r="B10" s="2">
        <f ca="1">IFERROR(__xludf.DUMMYFUNCTION("""COMPUTED_VALUE"""),1.20730642509724)</f>
        <v>1.2073064250972401</v>
      </c>
      <c r="C10" s="2">
        <f ca="1">IFERROR(__xludf.DUMMYFUNCTION("""COMPUTED_VALUE"""),2.00984702445515)</f>
        <v>2.0098470244551501</v>
      </c>
      <c r="D10" s="2">
        <f ca="1">IFERROR(__xludf.DUMMYFUNCTION("""COMPUTED_VALUE"""),1.57103793987375)</f>
        <v>1.57103793987375</v>
      </c>
      <c r="E10" s="2">
        <f ca="1">IFERROR(__xludf.DUMMYFUNCTION("""COMPUTED_VALUE"""),1.65883848178446)</f>
        <v>1.6588384817844599</v>
      </c>
      <c r="F10" s="2">
        <f ca="1">IFERROR(__xludf.DUMMYFUNCTION("""COMPUTED_VALUE"""),1.48834493059414)</f>
        <v>1.4883449305941401</v>
      </c>
      <c r="G10" s="2">
        <f ca="1">IFERROR(__xludf.DUMMYFUNCTION("""COMPUTED_VALUE"""),1.15511359152865)</f>
        <v>1.1551135915286499</v>
      </c>
      <c r="H10" s="2">
        <f ca="1">IFERROR(__xludf.DUMMYFUNCTION("""COMPUTED_VALUE"""),0.948101918357598)</f>
        <v>0.94810191835759805</v>
      </c>
      <c r="I10" s="2">
        <f ca="1">IFERROR(__xludf.DUMMYFUNCTION("""COMPUTED_VALUE"""),1.51733133651341)</f>
        <v>1.51733133651341</v>
      </c>
      <c r="J10" s="2">
        <f ca="1">IFERROR(__xludf.DUMMYFUNCTION("""COMPUTED_VALUE"""),1.06712043339557)</f>
        <v>1.0671204333955699</v>
      </c>
      <c r="K10" s="2">
        <f ca="1">IFERROR(__xludf.DUMMYFUNCTION("""COMPUTED_VALUE"""),1.55666110972416)</f>
        <v>1.5566611097241601</v>
      </c>
      <c r="L10" s="2">
        <f ca="1">IFERROR(__xludf.DUMMYFUNCTION("""COMPUTED_VALUE"""),1.14786376608255)</f>
        <v>1.1478637660825499</v>
      </c>
      <c r="M10" s="2">
        <f ca="1">IFERROR(__xludf.DUMMYFUNCTION("""COMPUTED_VALUE"""),1.72884199171005)</f>
        <v>1.7288419917100499</v>
      </c>
      <c r="N10" s="2">
        <f ca="1">IFERROR(__xludf.DUMMYFUNCTION("""COMPUTED_VALUE"""),1.31612691701976)</f>
        <v>1.31612691701976</v>
      </c>
      <c r="O10" s="2">
        <f ca="1">IFERROR(__xludf.DUMMYFUNCTION("""COMPUTED_VALUE"""),1.54993242729169)</f>
        <v>1.5499324272916899</v>
      </c>
      <c r="P10" s="2">
        <f ca="1">IFERROR(__xludf.DUMMYFUNCTION("""COMPUTED_VALUE"""),0.800315145339817)</f>
        <v>0.80031514533981696</v>
      </c>
      <c r="Q10" s="2">
        <f ca="1">IFERROR(__xludf.DUMMYFUNCTION("""COMPUTED_VALUE"""),0.841826640354329)</f>
        <v>0.84182664035432897</v>
      </c>
      <c r="R10" s="2">
        <f ca="1">IFERROR(__xludf.DUMMYFUNCTION("""COMPUTED_VALUE"""),2.13241790816746)</f>
        <v>2.1324179081674601</v>
      </c>
      <c r="S10" s="2">
        <f ca="1">IFERROR(__xludf.DUMMYFUNCTION("""COMPUTED_VALUE"""),1.09323857463051)</f>
        <v>1.09323857463051</v>
      </c>
      <c r="T10" s="2">
        <f ca="1">IFERROR(__xludf.DUMMYFUNCTION("""COMPUTED_VALUE"""),1.45317717740424)</f>
        <v>1.4531771774042399</v>
      </c>
      <c r="U10" s="2">
        <f ca="1">IFERROR(__xludf.DUMMYFUNCTION("""COMPUTED_VALUE"""),2.00605834542479)</f>
        <v>2.00605834542479</v>
      </c>
      <c r="V10" s="2">
        <f ca="1">IFERROR(__xludf.DUMMYFUNCTION("""COMPUTED_VALUE"""),1.29911385526232)</f>
        <v>1.29911385526232</v>
      </c>
      <c r="W10" s="2">
        <f ca="1">IFERROR(__xludf.DUMMYFUNCTION("""COMPUTED_VALUE"""),1.57400503129074)</f>
        <v>1.5740050312907401</v>
      </c>
      <c r="X10" s="2">
        <f ca="1">IFERROR(__xludf.DUMMYFUNCTION("""COMPUTED_VALUE"""),1.54160957420666)</f>
        <v>1.54160957420666</v>
      </c>
      <c r="Y10" s="2">
        <f ca="1">IFERROR(__xludf.DUMMYFUNCTION("""COMPUTED_VALUE"""),1.165592396111)</f>
        <v>1.165592396111</v>
      </c>
      <c r="Z10" s="2">
        <f ca="1">IFERROR(__xludf.DUMMYFUNCTION("""COMPUTED_VALUE"""),1.47496454502293)</f>
        <v>1.4749645450229301</v>
      </c>
      <c r="AA10" s="2">
        <f ca="1">IFERROR(__xludf.DUMMYFUNCTION("""COMPUTED_VALUE"""),1.46570724291082)</f>
        <v>1.46570724291082</v>
      </c>
      <c r="AB10" s="2">
        <f ca="1">IFERROR(__xludf.DUMMYFUNCTION("""COMPUTED_VALUE"""),1.35393687188507)</f>
        <v>1.3539368718850699</v>
      </c>
      <c r="AC10" s="2">
        <f ca="1">IFERROR(__xludf.DUMMYFUNCTION("""COMPUTED_VALUE"""),1.21382443988698)</f>
        <v>1.21382443988698</v>
      </c>
      <c r="AD10" s="2">
        <f ca="1">IFERROR(__xludf.DUMMYFUNCTION("""COMPUTED_VALUE"""),1.68056246034253)</f>
        <v>1.68056246034253</v>
      </c>
      <c r="AE10" s="2">
        <f ca="1">IFERROR(__xludf.DUMMYFUNCTION("""COMPUTED_VALUE"""),0.626764151726695)</f>
        <v>0.62676415172669497</v>
      </c>
      <c r="AF10" s="2">
        <f ca="1">IFERROR(__xludf.DUMMYFUNCTION("""COMPUTED_VALUE"""),1.07492843706844)</f>
        <v>1.07492843706844</v>
      </c>
      <c r="AG10" s="2">
        <f ca="1">IFERROR(__xludf.DUMMYFUNCTION("""COMPUTED_VALUE"""),1.13805088683863)</f>
        <v>1.1380508868386301</v>
      </c>
      <c r="AH10" s="2">
        <f ca="1">IFERROR(__xludf.DUMMYFUNCTION("""COMPUTED_VALUE"""),1.3959563359457)</f>
        <v>1.3959563359456999</v>
      </c>
      <c r="AI10" s="2">
        <f ca="1">IFERROR(__xludf.DUMMYFUNCTION("""COMPUTED_VALUE"""),1.66999601234823)</f>
        <v>1.66999601234823</v>
      </c>
      <c r="AJ10" s="2">
        <f ca="1">IFERROR(__xludf.DUMMYFUNCTION("""COMPUTED_VALUE"""),1.1882930037696)</f>
        <v>1.1882930037696</v>
      </c>
      <c r="AK10" s="2">
        <f ca="1">IFERROR(__xludf.DUMMYFUNCTION("""COMPUTED_VALUE"""),1.36260608140281)</f>
        <v>1.36260608140281</v>
      </c>
      <c r="AL10" s="2">
        <f ca="1">IFERROR(__xludf.DUMMYFUNCTION("""COMPUTED_VALUE"""),1.21909398521745)</f>
        <v>1.21909398521745</v>
      </c>
      <c r="AM10" s="2">
        <f ca="1">IFERROR(__xludf.DUMMYFUNCTION("""COMPUTED_VALUE"""),1.21063133955081)</f>
        <v>1.2106313395508099</v>
      </c>
    </row>
    <row r="11" spans="1:39" ht="15.75" customHeight="1" x14ac:dyDescent="0.25">
      <c r="A11" s="1" t="str">
        <f ca="1">IFERROR(__xludf.DUMMYFUNCTION("""COMPUTED_VALUE"""),"Ipswich")</f>
        <v>Ipswich</v>
      </c>
      <c r="B11" s="2">
        <f ca="1">IFERROR(__xludf.DUMMYFUNCTION("""COMPUTED_VALUE"""),0.825428617535951)</f>
        <v>0.82542861753595098</v>
      </c>
      <c r="C11" s="2">
        <f ca="1">IFERROR(__xludf.DUMMYFUNCTION("""COMPUTED_VALUE"""),0.728039587349075)</f>
        <v>0.72803958734907503</v>
      </c>
      <c r="D11" s="2">
        <f ca="1">IFERROR(__xludf.DUMMYFUNCTION("""COMPUTED_VALUE"""),1.09769432063169)</f>
        <v>1.09769432063169</v>
      </c>
      <c r="E11" s="2">
        <f ca="1">IFERROR(__xludf.DUMMYFUNCTION("""COMPUTED_VALUE"""),0.932085704309516)</f>
        <v>0.93208570430951598</v>
      </c>
      <c r="F11" s="2">
        <f ca="1">IFERROR(__xludf.DUMMYFUNCTION("""COMPUTED_VALUE"""),1.28237606544535)</f>
        <v>1.28237606544535</v>
      </c>
      <c r="G11" s="2">
        <f ca="1">IFERROR(__xludf.DUMMYFUNCTION("""COMPUTED_VALUE"""),1.16514612903714)</f>
        <v>1.1651461290371401</v>
      </c>
      <c r="H11" s="2">
        <f ca="1">IFERROR(__xludf.DUMMYFUNCTION("""COMPUTED_VALUE"""),0.997578737888298)</f>
        <v>0.99757873788829798</v>
      </c>
      <c r="I11" s="2">
        <f ca="1">IFERROR(__xludf.DUMMYFUNCTION("""COMPUTED_VALUE"""),1.04633389092002)</f>
        <v>1.0463338909200199</v>
      </c>
      <c r="J11" s="2">
        <f ca="1">IFERROR(__xludf.DUMMYFUNCTION("""COMPUTED_VALUE"""),0.936132144395361)</f>
        <v>0.93613214439536097</v>
      </c>
      <c r="K11" s="2">
        <f ca="1">IFERROR(__xludf.DUMMYFUNCTION("""COMPUTED_VALUE"""),1.54334483454467)</f>
        <v>1.5433448345446701</v>
      </c>
      <c r="L11" s="2">
        <f ca="1">IFERROR(__xludf.DUMMYFUNCTION("""COMPUTED_VALUE"""),1.01064292668657)</f>
        <v>1.01064292668657</v>
      </c>
      <c r="M11" s="2">
        <f ca="1">IFERROR(__xludf.DUMMYFUNCTION("""COMPUTED_VALUE"""),1.18378918608567)</f>
        <v>1.18378918608567</v>
      </c>
      <c r="N11" s="2">
        <f ca="1">IFERROR(__xludf.DUMMYFUNCTION("""COMPUTED_VALUE"""),0.887002131558432)</f>
        <v>0.88700213155843199</v>
      </c>
      <c r="O11" s="2">
        <f ca="1">IFERROR(__xludf.DUMMYFUNCTION("""COMPUTED_VALUE"""),1.12550441639425)</f>
        <v>1.12550441639425</v>
      </c>
      <c r="P11" s="2">
        <f ca="1">IFERROR(__xludf.DUMMYFUNCTION("""COMPUTED_VALUE"""),1.11588268317736)</f>
        <v>1.1158826831773601</v>
      </c>
      <c r="Q11" s="2">
        <f ca="1">IFERROR(__xludf.DUMMYFUNCTION("""COMPUTED_VALUE"""),1.03967687694533)</f>
        <v>1.03967687694533</v>
      </c>
      <c r="R11" s="2">
        <f ca="1">IFERROR(__xludf.DUMMYFUNCTION("""COMPUTED_VALUE"""),1.14288770871799)</f>
        <v>1.1428877087179901</v>
      </c>
      <c r="S11" s="2">
        <f ca="1">IFERROR(__xludf.DUMMYFUNCTION("""COMPUTED_VALUE"""),0.481286985663696)</f>
        <v>0.48128698566369599</v>
      </c>
      <c r="T11" s="2">
        <f ca="1">IFERROR(__xludf.DUMMYFUNCTION("""COMPUTED_VALUE"""),1.07194327434733)</f>
        <v>1.0719432743473301</v>
      </c>
      <c r="U11" s="2">
        <f ca="1">IFERROR(__xludf.DUMMYFUNCTION("""COMPUTED_VALUE"""),0.859655666560964)</f>
        <v>0.85965566656096404</v>
      </c>
      <c r="V11" s="2">
        <f ca="1">IFERROR(__xludf.DUMMYFUNCTION("""COMPUTED_VALUE"""),1.19018023583282)</f>
        <v>1.19018023583282</v>
      </c>
      <c r="W11" s="2">
        <f ca="1">IFERROR(__xludf.DUMMYFUNCTION("""COMPUTED_VALUE"""),0.929633749086033)</f>
        <v>0.92963374908603302</v>
      </c>
      <c r="X11" s="2">
        <f ca="1">IFERROR(__xludf.DUMMYFUNCTION("""COMPUTED_VALUE"""),0.646431684185097)</f>
        <v>0.646431684185097</v>
      </c>
      <c r="Y11" s="2">
        <f ca="1">IFERROR(__xludf.DUMMYFUNCTION("""COMPUTED_VALUE"""),1.63746599796717)</f>
        <v>1.63746599796717</v>
      </c>
      <c r="Z11" s="2">
        <f ca="1">IFERROR(__xludf.DUMMYFUNCTION("""COMPUTED_VALUE"""),0.912480326601254)</f>
        <v>0.912480326601254</v>
      </c>
      <c r="AA11" s="2">
        <f ca="1">IFERROR(__xludf.DUMMYFUNCTION("""COMPUTED_VALUE"""),1.29048995308608)</f>
        <v>1.2904899530860801</v>
      </c>
      <c r="AB11" s="2">
        <f ca="1">IFERROR(__xludf.DUMMYFUNCTION("""COMPUTED_VALUE"""),0.927080574896758)</f>
        <v>0.92708057489675799</v>
      </c>
      <c r="AC11" s="2">
        <f ca="1">IFERROR(__xludf.DUMMYFUNCTION("""COMPUTED_VALUE"""),0.881435050821722)</f>
        <v>0.88143505082172202</v>
      </c>
      <c r="AD11" s="2">
        <f ca="1">IFERROR(__xludf.DUMMYFUNCTION("""COMPUTED_VALUE"""),1.13261302178696)</f>
        <v>1.1326130217869601</v>
      </c>
      <c r="AE11" s="2">
        <f ca="1">IFERROR(__xludf.DUMMYFUNCTION("""COMPUTED_VALUE"""),0.873899822364603)</f>
        <v>0.87389982236460295</v>
      </c>
      <c r="AF11" s="2">
        <f ca="1">IFERROR(__xludf.DUMMYFUNCTION("""COMPUTED_VALUE"""),1.32756340417149)</f>
        <v>1.3275634041714901</v>
      </c>
      <c r="AG11" s="2">
        <f ca="1">IFERROR(__xludf.DUMMYFUNCTION("""COMPUTED_VALUE"""),0.839488820069963)</f>
        <v>0.83948882006996295</v>
      </c>
      <c r="AH11" s="2">
        <f ca="1">IFERROR(__xludf.DUMMYFUNCTION("""COMPUTED_VALUE"""),0.614555351993974)</f>
        <v>0.61455535199397404</v>
      </c>
      <c r="AI11" s="2">
        <f ca="1">IFERROR(__xludf.DUMMYFUNCTION("""COMPUTED_VALUE"""),0.895048718551171)</f>
        <v>0.89504871855117096</v>
      </c>
      <c r="AJ11" s="2">
        <f ca="1">IFERROR(__xludf.DUMMYFUNCTION("""COMPUTED_VALUE"""),0.819432916375613)</f>
        <v>0.819432916375613</v>
      </c>
      <c r="AK11" s="2">
        <f ca="1">IFERROR(__xludf.DUMMYFUNCTION("""COMPUTED_VALUE"""),1.19534713517843)</f>
        <v>1.1953471351784299</v>
      </c>
      <c r="AL11" s="2">
        <f ca="1">IFERROR(__xludf.DUMMYFUNCTION("""COMPUTED_VALUE"""),1.20866538847574)</f>
        <v>1.2086653884757399</v>
      </c>
      <c r="AM11" s="2">
        <f ca="1">IFERROR(__xludf.DUMMYFUNCTION("""COMPUTED_VALUE"""),1.27380829040956)</f>
        <v>1.27380829040956</v>
      </c>
    </row>
    <row r="12" spans="1:39" ht="15.75" customHeight="1" x14ac:dyDescent="0.25">
      <c r="A12" s="1" t="str">
        <f ca="1">IFERROR(__xludf.DUMMYFUNCTION("""COMPUTED_VALUE"""),"Leicester")</f>
        <v>Leicester</v>
      </c>
      <c r="B12" s="2">
        <f ca="1">IFERROR(__xludf.DUMMYFUNCTION("""COMPUTED_VALUE"""),1.16415068756738)</f>
        <v>1.1641506875673799</v>
      </c>
      <c r="C12" s="2">
        <f ca="1">IFERROR(__xludf.DUMMYFUNCTION("""COMPUTED_VALUE"""),0.775495177552447)</f>
        <v>0.77549517755244701</v>
      </c>
      <c r="D12" s="2">
        <f ca="1">IFERROR(__xludf.DUMMYFUNCTION("""COMPUTED_VALUE"""),1.05107805294519)</f>
        <v>1.05107805294519</v>
      </c>
      <c r="E12" s="2">
        <f ca="1">IFERROR(__xludf.DUMMYFUNCTION("""COMPUTED_VALUE"""),0.79514235504602)</f>
        <v>0.79514235504602004</v>
      </c>
      <c r="F12" s="2">
        <f ca="1">IFERROR(__xludf.DUMMYFUNCTION("""COMPUTED_VALUE"""),0.943897560478211)</f>
        <v>0.94389756047821105</v>
      </c>
      <c r="G12" s="2">
        <f ca="1">IFERROR(__xludf.DUMMYFUNCTION("""COMPUTED_VALUE"""),0.434168878213846)</f>
        <v>0.43416887821384598</v>
      </c>
      <c r="H12" s="2">
        <f ca="1">IFERROR(__xludf.DUMMYFUNCTION("""COMPUTED_VALUE"""),1.00663750985344)</f>
        <v>1.0066375098534399</v>
      </c>
      <c r="I12" s="2">
        <f ca="1">IFERROR(__xludf.DUMMYFUNCTION("""COMPUTED_VALUE"""),1.15683115140732)</f>
        <v>1.15683115140732</v>
      </c>
      <c r="J12" s="2">
        <f ca="1">IFERROR(__xludf.DUMMYFUNCTION("""COMPUTED_VALUE"""),1.02172994443538)</f>
        <v>1.02172994443538</v>
      </c>
      <c r="K12" s="2">
        <f ca="1">IFERROR(__xludf.DUMMYFUNCTION("""COMPUTED_VALUE"""),1.08828141830902)</f>
        <v>1.0882814183090199</v>
      </c>
      <c r="L12" s="2">
        <f ca="1">IFERROR(__xludf.DUMMYFUNCTION("""COMPUTED_VALUE"""),0.836319171734327)</f>
        <v>0.83631917173432702</v>
      </c>
      <c r="M12" s="2">
        <f ca="1">IFERROR(__xludf.DUMMYFUNCTION("""COMPUTED_VALUE"""),0.966999779332213)</f>
        <v>0.96699977933221304</v>
      </c>
      <c r="N12" s="2">
        <f ca="1">IFERROR(__xludf.DUMMYFUNCTION("""COMPUTED_VALUE"""),0.844484590481031)</f>
        <v>0.84448459048103097</v>
      </c>
      <c r="O12" s="2">
        <f ca="1">IFERROR(__xludf.DUMMYFUNCTION("""COMPUTED_VALUE"""),1.14910216353339)</f>
        <v>1.14910216353339</v>
      </c>
      <c r="P12" s="2">
        <f ca="1">IFERROR(__xludf.DUMMYFUNCTION("""COMPUTED_VALUE"""),1.07366131488314)</f>
        <v>1.07366131488314</v>
      </c>
      <c r="Q12" s="2">
        <f ca="1">IFERROR(__xludf.DUMMYFUNCTION("""COMPUTED_VALUE"""),0.807423241549362)</f>
        <v>0.80742324154936196</v>
      </c>
      <c r="R12" s="2">
        <f ca="1">IFERROR(__xludf.DUMMYFUNCTION("""COMPUTED_VALUE"""),1.19759463919859)</f>
        <v>1.1975946391985901</v>
      </c>
      <c r="S12" s="2">
        <f ca="1">IFERROR(__xludf.DUMMYFUNCTION("""COMPUTED_VALUE"""),0.583145872472532)</f>
        <v>0.58314587247253202</v>
      </c>
      <c r="T12" s="2">
        <f ca="1">IFERROR(__xludf.DUMMYFUNCTION("""COMPUTED_VALUE"""),0.838622389578694)</f>
        <v>0.83862238957869395</v>
      </c>
      <c r="U12" s="2">
        <f ca="1">IFERROR(__xludf.DUMMYFUNCTION("""COMPUTED_VALUE"""),0.823148291131019)</f>
        <v>0.82314829113101895</v>
      </c>
      <c r="V12" s="2">
        <f ca="1">IFERROR(__xludf.DUMMYFUNCTION("""COMPUTED_VALUE"""),1.01531727315826)</f>
        <v>1.01531727315826</v>
      </c>
      <c r="W12" s="2">
        <f ca="1">IFERROR(__xludf.DUMMYFUNCTION("""COMPUTED_VALUE"""),0.99022979221672)</f>
        <v>0.99022979221672003</v>
      </c>
      <c r="X12" s="2">
        <f ca="1">IFERROR(__xludf.DUMMYFUNCTION("""COMPUTED_VALUE"""),0.911700749915722)</f>
        <v>0.91170074991572203</v>
      </c>
      <c r="Y12" s="2">
        <f ca="1">IFERROR(__xludf.DUMMYFUNCTION("""COMPUTED_VALUE"""),0.739210243933128)</f>
        <v>0.73921024393312795</v>
      </c>
      <c r="Z12" s="2">
        <f ca="1">IFERROR(__xludf.DUMMYFUNCTION("""COMPUTED_VALUE"""),0.554390240591261)</f>
        <v>0.55439024059126096</v>
      </c>
      <c r="AA12" s="2">
        <f ca="1">IFERROR(__xludf.DUMMYFUNCTION("""COMPUTED_VALUE"""),1.07832237358522)</f>
        <v>1.0783223735852201</v>
      </c>
      <c r="AB12" s="2">
        <f ca="1">IFERROR(__xludf.DUMMYFUNCTION("""COMPUTED_VALUE"""),0.899915548228832)</f>
        <v>0.89991554822883202</v>
      </c>
      <c r="AC12" s="2">
        <f ca="1">IFERROR(__xludf.DUMMYFUNCTION("""COMPUTED_VALUE"""),0.757302670007215)</f>
        <v>0.75730267000721496</v>
      </c>
      <c r="AD12" s="2">
        <f ca="1">IFERROR(__xludf.DUMMYFUNCTION("""COMPUTED_VALUE"""),1.06789595038756)</f>
        <v>1.06789595038756</v>
      </c>
      <c r="AE12" s="2">
        <f ca="1">IFERROR(__xludf.DUMMYFUNCTION("""COMPUTED_VALUE"""),0.656764343001562)</f>
        <v>0.65676434300156195</v>
      </c>
      <c r="AF12" s="2">
        <f ca="1">IFERROR(__xludf.DUMMYFUNCTION("""COMPUTED_VALUE"""),1.03099873713438)</f>
        <v>1.0309987371343801</v>
      </c>
      <c r="AG12" s="2">
        <f ca="1">IFERROR(__xludf.DUMMYFUNCTION("""COMPUTED_VALUE"""),0.84083429781748)</f>
        <v>0.84083429781747998</v>
      </c>
      <c r="AH12" s="2">
        <f ca="1">IFERROR(__xludf.DUMMYFUNCTION("""COMPUTED_VALUE"""),0.744618964560176)</f>
        <v>0.74461896456017596</v>
      </c>
      <c r="AI12" s="2">
        <f ca="1">IFERROR(__xludf.DUMMYFUNCTION("""COMPUTED_VALUE"""),0.937892269714619)</f>
        <v>0.93789226971461903</v>
      </c>
      <c r="AJ12" s="2">
        <f ca="1">IFERROR(__xludf.DUMMYFUNCTION("""COMPUTED_VALUE"""),1.47715769723201)</f>
        <v>1.47715769723201</v>
      </c>
      <c r="AK12" s="2">
        <f ca="1">IFERROR(__xludf.DUMMYFUNCTION("""COMPUTED_VALUE"""),0.800164417288261)</f>
        <v>0.80016441728826104</v>
      </c>
      <c r="AL12" s="2">
        <f ca="1">IFERROR(__xludf.DUMMYFUNCTION("""COMPUTED_VALUE"""),1.38962654303879)</f>
        <v>1.38962654303879</v>
      </c>
      <c r="AM12" s="2">
        <f ca="1">IFERROR(__xludf.DUMMYFUNCTION("""COMPUTED_VALUE"""),0.78834482720138)</f>
        <v>0.78834482720137999</v>
      </c>
    </row>
    <row r="13" spans="1:39" ht="15.75" customHeight="1" x14ac:dyDescent="0.25">
      <c r="A13" s="1" t="str">
        <f ca="1">IFERROR(__xludf.DUMMYFUNCTION("""COMPUTED_VALUE"""),"Liverpool")</f>
        <v>Liverpool</v>
      </c>
      <c r="B13" s="2">
        <f ca="1">IFERROR(__xludf.DUMMYFUNCTION("""COMPUTED_VALUE"""),2.5110730217839)</f>
        <v>2.5110730217839001</v>
      </c>
      <c r="C13" s="2">
        <f ca="1">IFERROR(__xludf.DUMMYFUNCTION("""COMPUTED_VALUE"""),2.48809377385415)</f>
        <v>2.4880937738541502</v>
      </c>
      <c r="D13" s="2">
        <f ca="1">IFERROR(__xludf.DUMMYFUNCTION("""COMPUTED_VALUE"""),1.92970170620555)</f>
        <v>1.9297017062055499</v>
      </c>
      <c r="E13" s="2">
        <f ca="1">IFERROR(__xludf.DUMMYFUNCTION("""COMPUTED_VALUE"""),2.35751383406596)</f>
        <v>2.3575138340659598</v>
      </c>
      <c r="F13" s="2">
        <f ca="1">IFERROR(__xludf.DUMMYFUNCTION("""COMPUTED_VALUE"""),2.32268993220183)</f>
        <v>2.32268993220183</v>
      </c>
      <c r="G13" s="2">
        <f ca="1">IFERROR(__xludf.DUMMYFUNCTION("""COMPUTED_VALUE"""),2.16406890368434)</f>
        <v>2.1640689036843401</v>
      </c>
      <c r="H13" s="2">
        <f ca="1">IFERROR(__xludf.DUMMYFUNCTION("""COMPUTED_VALUE"""),1.83469136074766)</f>
        <v>1.83469136074766</v>
      </c>
      <c r="I13" s="2">
        <f ca="1">IFERROR(__xludf.DUMMYFUNCTION("""COMPUTED_VALUE"""),2.2312308352421)</f>
        <v>2.2312308352421</v>
      </c>
      <c r="J13" s="2">
        <f ca="1">IFERROR(__xludf.DUMMYFUNCTION("""COMPUTED_VALUE"""),1.00179028938578)</f>
        <v>1.00179028938578</v>
      </c>
      <c r="K13" s="2">
        <f ca="1">IFERROR(__xludf.DUMMYFUNCTION("""COMPUTED_VALUE"""),2.47733896488392)</f>
        <v>2.4773389648839199</v>
      </c>
      <c r="L13" s="2">
        <f ca="1">IFERROR(__xludf.DUMMYFUNCTION("""COMPUTED_VALUE"""),2.42523091742285)</f>
        <v>2.4252309174228501</v>
      </c>
      <c r="M13" s="2">
        <f ca="1">IFERROR(__xludf.DUMMYFUNCTION("""COMPUTED_VALUE"""),2.66924294230051)</f>
        <v>2.6692429423005102</v>
      </c>
      <c r="N13" s="2">
        <f ca="1">IFERROR(__xludf.DUMMYFUNCTION("""COMPUTED_VALUE"""),1.93501609281087)</f>
        <v>1.9350160928108699</v>
      </c>
      <c r="O13" s="2">
        <f ca="1">IFERROR(__xludf.DUMMYFUNCTION("""COMPUTED_VALUE"""),1.86302796767976)</f>
        <v>1.8630279676797601</v>
      </c>
      <c r="P13" s="2">
        <f ca="1">IFERROR(__xludf.DUMMYFUNCTION("""COMPUTED_VALUE"""),1.70563502209838)</f>
        <v>1.70563502209838</v>
      </c>
      <c r="Q13" s="2">
        <f ca="1">IFERROR(__xludf.DUMMYFUNCTION("""COMPUTED_VALUE"""),2.28483117948083)</f>
        <v>2.2848311794808298</v>
      </c>
      <c r="R13" s="2">
        <f ca="1">IFERROR(__xludf.DUMMYFUNCTION("""COMPUTED_VALUE"""),2.10363525328836)</f>
        <v>2.1036352532883602</v>
      </c>
      <c r="S13" s="2">
        <f ca="1">IFERROR(__xludf.DUMMYFUNCTION("""COMPUTED_VALUE"""),3.21244478756989)</f>
        <v>3.2124447875698898</v>
      </c>
      <c r="T13" s="2">
        <f ca="1">IFERROR(__xludf.DUMMYFUNCTION("""COMPUTED_VALUE"""),2.07644237696579)</f>
        <v>2.0764423769657898</v>
      </c>
      <c r="U13" s="2">
        <f ca="1">IFERROR(__xludf.DUMMYFUNCTION("""COMPUTED_VALUE"""),2.46403610865387)</f>
        <v>2.46403610865387</v>
      </c>
      <c r="V13" s="2">
        <f ca="1">IFERROR(__xludf.DUMMYFUNCTION("""COMPUTED_VALUE"""),1.84627914015659)</f>
        <v>1.8462791401565899</v>
      </c>
      <c r="W13" s="2">
        <f ca="1">IFERROR(__xludf.DUMMYFUNCTION("""COMPUTED_VALUE"""),1.94854238691687)</f>
        <v>1.9485423869168701</v>
      </c>
      <c r="X13" s="2">
        <f ca="1">IFERROR(__xludf.DUMMYFUNCTION("""COMPUTED_VALUE"""),3.20638914151586)</f>
        <v>3.2063891415158601</v>
      </c>
      <c r="Y13" s="2">
        <f ca="1">IFERROR(__xludf.DUMMYFUNCTION("""COMPUTED_VALUE"""),1.81900691690957)</f>
        <v>1.8190069169095699</v>
      </c>
      <c r="Z13" s="2">
        <f ca="1">IFERROR(__xludf.DUMMYFUNCTION("""COMPUTED_VALUE"""),2.76329958311453)</f>
        <v>2.7632995831145299</v>
      </c>
      <c r="AA13" s="2">
        <f ca="1">IFERROR(__xludf.DUMMYFUNCTION("""COMPUTED_VALUE"""),1.51540143535976)</f>
        <v>1.51540143535976</v>
      </c>
      <c r="AB13" s="2">
        <f ca="1">IFERROR(__xludf.DUMMYFUNCTION("""COMPUTED_VALUE"""),2.37890041193028)</f>
        <v>2.3789004119302799</v>
      </c>
      <c r="AC13" s="2">
        <f ca="1">IFERROR(__xludf.DUMMYFUNCTION("""COMPUTED_VALUE"""),3.40835631302352)</f>
        <v>3.4083563130235199</v>
      </c>
      <c r="AD13" s="2">
        <f ca="1">IFERROR(__xludf.DUMMYFUNCTION("""COMPUTED_VALUE"""),1.89931154939529)</f>
        <v>1.8993115493952899</v>
      </c>
      <c r="AE13" s="2">
        <f ca="1">IFERROR(__xludf.DUMMYFUNCTION("""COMPUTED_VALUE"""),2.17792535971742)</f>
        <v>2.17792535971742</v>
      </c>
      <c r="AF13" s="2">
        <f ca="1">IFERROR(__xludf.DUMMYFUNCTION("""COMPUTED_VALUE"""),1.78935796027945)</f>
        <v>1.78935796027945</v>
      </c>
      <c r="AG13" s="2">
        <f ca="1">IFERROR(__xludf.DUMMYFUNCTION("""COMPUTED_VALUE"""),2.65140927114761)</f>
        <v>2.6514092711476098</v>
      </c>
      <c r="AH13" s="2">
        <f ca="1">IFERROR(__xludf.DUMMYFUNCTION("""COMPUTED_VALUE"""),2.5158154809068)</f>
        <v>2.5158154809068001</v>
      </c>
      <c r="AI13" s="2">
        <f ca="1">IFERROR(__xludf.DUMMYFUNCTION("""COMPUTED_VALUE"""),2.6861318549239)</f>
        <v>2.6861318549239002</v>
      </c>
      <c r="AJ13" s="2">
        <f ca="1">IFERROR(__xludf.DUMMYFUNCTION("""COMPUTED_VALUE"""),1.74738102846119)</f>
        <v>1.7473810284611899</v>
      </c>
      <c r="AK13" s="2">
        <f ca="1">IFERROR(__xludf.DUMMYFUNCTION("""COMPUTED_VALUE"""),1.27918602051671)</f>
        <v>1.27918602051671</v>
      </c>
      <c r="AL13" s="2">
        <f ca="1">IFERROR(__xludf.DUMMYFUNCTION("""COMPUTED_VALUE"""),1.94011979394151)</f>
        <v>1.94011979394151</v>
      </c>
      <c r="AM13" s="2">
        <f ca="1">IFERROR(__xludf.DUMMYFUNCTION("""COMPUTED_VALUE"""),2.34271739853868)</f>
        <v>2.3427173985386802</v>
      </c>
    </row>
    <row r="14" spans="1:39" ht="15.75" customHeight="1" x14ac:dyDescent="0.25">
      <c r="A14" s="1" t="str">
        <f ca="1">IFERROR(__xludf.DUMMYFUNCTION("""COMPUTED_VALUE"""),"Man City")</f>
        <v>Man City</v>
      </c>
      <c r="B14" s="2">
        <f ca="1">IFERROR(__xludf.DUMMYFUNCTION("""COMPUTED_VALUE"""),1.6588124838887)</f>
        <v>1.6588124838887</v>
      </c>
      <c r="C14" s="2">
        <f ca="1">IFERROR(__xludf.DUMMYFUNCTION("""COMPUTED_VALUE"""),3.04386865229709)</f>
        <v>3.0438686522970899</v>
      </c>
      <c r="D14" s="2">
        <f ca="1">IFERROR(__xludf.DUMMYFUNCTION("""COMPUTED_VALUE"""),1.97119488015711)</f>
        <v>1.97119488015711</v>
      </c>
      <c r="E14" s="2">
        <f ca="1">IFERROR(__xludf.DUMMYFUNCTION("""COMPUTED_VALUE"""),2.36198112828868)</f>
        <v>2.3619811282886798</v>
      </c>
      <c r="F14" s="2">
        <f ca="1">IFERROR(__xludf.DUMMYFUNCTION("""COMPUTED_VALUE"""),1.21434861972701)</f>
        <v>1.2143486197270099</v>
      </c>
      <c r="G14" s="2">
        <f ca="1">IFERROR(__xludf.DUMMYFUNCTION("""COMPUTED_VALUE"""),1.76859769007707)</f>
        <v>1.7685976900770699</v>
      </c>
      <c r="H14" s="2">
        <f ca="1">IFERROR(__xludf.DUMMYFUNCTION("""COMPUTED_VALUE"""),2.16902119364237)</f>
        <v>2.16902119364237</v>
      </c>
      <c r="I14" s="2">
        <f ca="1">IFERROR(__xludf.DUMMYFUNCTION("""COMPUTED_VALUE"""),2.05437992913784)</f>
        <v>2.05437992913784</v>
      </c>
      <c r="J14" s="2">
        <f ca="1">IFERROR(__xludf.DUMMYFUNCTION("""COMPUTED_VALUE"""),3.23559882446659)</f>
        <v>3.2355988244665901</v>
      </c>
      <c r="K14" s="2">
        <f ca="1">IFERROR(__xludf.DUMMYFUNCTION("""COMPUTED_VALUE"""),1.72680791018242)</f>
        <v>1.7268079101824201</v>
      </c>
      <c r="L14" s="2">
        <f ca="1">IFERROR(__xludf.DUMMYFUNCTION("""COMPUTED_VALUE"""),1.84178200518973)</f>
        <v>1.84178200518973</v>
      </c>
      <c r="M14" s="2">
        <f ca="1">IFERROR(__xludf.DUMMYFUNCTION("""COMPUTED_VALUE"""),2.54998136167405)</f>
        <v>2.5499813616740501</v>
      </c>
      <c r="N14" s="2">
        <f ca="1">IFERROR(__xludf.DUMMYFUNCTION("""COMPUTED_VALUE"""),1.27733559050622)</f>
        <v>1.27733559050622</v>
      </c>
      <c r="O14" s="2">
        <f ca="1">IFERROR(__xludf.DUMMYFUNCTION("""COMPUTED_VALUE"""),2.23801982234681)</f>
        <v>2.2380198223468102</v>
      </c>
      <c r="P14" s="2">
        <f ca="1">IFERROR(__xludf.DUMMYFUNCTION("""COMPUTED_VALUE"""),1.74169736521123)</f>
        <v>1.74169736521123</v>
      </c>
      <c r="Q14" s="2">
        <f ca="1">IFERROR(__xludf.DUMMYFUNCTION("""COMPUTED_VALUE"""),2.33914286078009)</f>
        <v>2.3391428607800901</v>
      </c>
      <c r="R14" s="2">
        <f ca="1">IFERROR(__xludf.DUMMYFUNCTION("""COMPUTED_VALUE"""),1.80304218577068)</f>
        <v>1.80304218577068</v>
      </c>
      <c r="S14" s="2">
        <f ca="1">IFERROR(__xludf.DUMMYFUNCTION("""COMPUTED_VALUE"""),2.06753405057773)</f>
        <v>2.0675340505777302</v>
      </c>
      <c r="T14" s="2">
        <f ca="1">IFERROR(__xludf.DUMMYFUNCTION("""COMPUTED_VALUE"""),2.38829772036828)</f>
        <v>2.3882977203682798</v>
      </c>
      <c r="U14" s="2">
        <f ca="1">IFERROR(__xludf.DUMMYFUNCTION("""COMPUTED_VALUE"""),2.51701874247261)</f>
        <v>2.5170187424726098</v>
      </c>
      <c r="V14" s="2">
        <f ca="1">IFERROR(__xludf.DUMMYFUNCTION("""COMPUTED_VALUE"""),1.84977768681077)</f>
        <v>1.84977768681077</v>
      </c>
      <c r="W14" s="2">
        <f ca="1">IFERROR(__xludf.DUMMYFUNCTION("""COMPUTED_VALUE"""),2.38379563967193)</f>
        <v>2.3837956396719302</v>
      </c>
      <c r="X14" s="2">
        <f ca="1">IFERROR(__xludf.DUMMYFUNCTION("""COMPUTED_VALUE"""),2.11813766067748)</f>
        <v>2.1181376606774802</v>
      </c>
      <c r="Y14" s="2">
        <f ca="1">IFERROR(__xludf.DUMMYFUNCTION("""COMPUTED_VALUE"""),0.951013093998758)</f>
        <v>0.951013093998758</v>
      </c>
      <c r="Z14" s="2">
        <f ca="1">IFERROR(__xludf.DUMMYFUNCTION("""COMPUTED_VALUE"""),2.25832239045942)</f>
        <v>2.2583223904594201</v>
      </c>
      <c r="AA14" s="2">
        <f ca="1">IFERROR(__xludf.DUMMYFUNCTION("""COMPUTED_VALUE"""),1.63102981551739)</f>
        <v>1.6310298155173899</v>
      </c>
      <c r="AB14" s="2">
        <f ca="1">IFERROR(__xludf.DUMMYFUNCTION("""COMPUTED_VALUE"""),1.99700944606003)</f>
        <v>1.9970094460600301</v>
      </c>
      <c r="AC14" s="2">
        <f ca="1">IFERROR(__xludf.DUMMYFUNCTION("""COMPUTED_VALUE"""),1.75269780119572)</f>
        <v>1.7526978011957199</v>
      </c>
      <c r="AD14" s="2">
        <f ca="1">IFERROR(__xludf.DUMMYFUNCTION("""COMPUTED_VALUE"""),2.35177144242677)</f>
        <v>2.3517714424267702</v>
      </c>
      <c r="AE14" s="2">
        <f ca="1">IFERROR(__xludf.DUMMYFUNCTION("""COMPUTED_VALUE"""),3.04961735913825)</f>
        <v>3.0496173591382498</v>
      </c>
      <c r="AF14" s="2">
        <f ca="1">IFERROR(__xludf.DUMMYFUNCTION("""COMPUTED_VALUE"""),1.83189197335742)</f>
        <v>1.8318919733574199</v>
      </c>
      <c r="AG14" s="2">
        <f ca="1">IFERROR(__xludf.DUMMYFUNCTION("""COMPUTED_VALUE"""),2.22397336563822)</f>
        <v>2.2239733656382201</v>
      </c>
      <c r="AH14" s="2">
        <f ca="1">IFERROR(__xludf.DUMMYFUNCTION("""COMPUTED_VALUE"""),1.61918243447234)</f>
        <v>1.61918243447234</v>
      </c>
      <c r="AI14" s="2">
        <f ca="1">IFERROR(__xludf.DUMMYFUNCTION("""COMPUTED_VALUE"""),2.30230456701059)</f>
        <v>2.3023045670105899</v>
      </c>
      <c r="AJ14" s="2">
        <f ca="1">IFERROR(__xludf.DUMMYFUNCTION("""COMPUTED_VALUE"""),2.6232377315161)</f>
        <v>2.6232377315161002</v>
      </c>
      <c r="AK14" s="2">
        <f ca="1">IFERROR(__xludf.DUMMYFUNCTION("""COMPUTED_VALUE"""),2.53394848810916)</f>
        <v>2.5339484881091598</v>
      </c>
      <c r="AL14" s="2">
        <f ca="1">IFERROR(__xludf.DUMMYFUNCTION("""COMPUTED_VALUE"""),2.20496102051194)</f>
        <v>2.2049610205119401</v>
      </c>
      <c r="AM14" s="2">
        <f ca="1">IFERROR(__xludf.DUMMYFUNCTION("""COMPUTED_VALUE"""),1.6986617539685)</f>
        <v>1.6986617539685001</v>
      </c>
    </row>
    <row r="15" spans="1:39" ht="15.75" customHeight="1" x14ac:dyDescent="0.25">
      <c r="A15" s="1" t="str">
        <f ca="1">IFERROR(__xludf.DUMMYFUNCTION("""COMPUTED_VALUE"""),"Man Utd")</f>
        <v>Man Utd</v>
      </c>
      <c r="B15" s="2">
        <f ca="1">IFERROR(__xludf.DUMMYFUNCTION("""COMPUTED_VALUE"""),1.50146347468302)</f>
        <v>1.50146347468302</v>
      </c>
      <c r="C15" s="2">
        <f ca="1">IFERROR(__xludf.DUMMYFUNCTION("""COMPUTED_VALUE"""),1.27493839950776)</f>
        <v>1.2749383995077599</v>
      </c>
      <c r="D15" s="2">
        <f ca="1">IFERROR(__xludf.DUMMYFUNCTION("""COMPUTED_VALUE"""),1.12904922335311)</f>
        <v>1.12904922335311</v>
      </c>
      <c r="E15" s="2">
        <f ca="1">IFERROR(__xludf.DUMMYFUNCTION("""COMPUTED_VALUE"""),1.75407742108558)</f>
        <v>1.7540774210855801</v>
      </c>
      <c r="F15" s="2">
        <f ca="1">IFERROR(__xludf.DUMMYFUNCTION("""COMPUTED_VALUE"""),1.2056567199442)</f>
        <v>1.2056567199442001</v>
      </c>
      <c r="G15" s="2">
        <f ca="1">IFERROR(__xludf.DUMMYFUNCTION("""COMPUTED_VALUE"""),1.76517587144763)</f>
        <v>1.76517587144763</v>
      </c>
      <c r="H15" s="2">
        <f ca="1">IFERROR(__xludf.DUMMYFUNCTION("""COMPUTED_VALUE"""),1.24812149977253)</f>
        <v>1.2481214997725301</v>
      </c>
      <c r="I15" s="2">
        <f ca="1">IFERROR(__xludf.DUMMYFUNCTION("""COMPUTED_VALUE"""),1.63503630227818)</f>
        <v>1.63503630227818</v>
      </c>
      <c r="J15" s="2">
        <f ca="1">IFERROR(__xludf.DUMMYFUNCTION("""COMPUTED_VALUE"""),1.3645219893255)</f>
        <v>1.3645219893255001</v>
      </c>
      <c r="K15" s="2">
        <f ca="1">IFERROR(__xludf.DUMMYFUNCTION("""COMPUTED_VALUE"""),1.46624032129312)</f>
        <v>1.4662403212931201</v>
      </c>
      <c r="L15" s="2">
        <f ca="1">IFERROR(__xludf.DUMMYFUNCTION("""COMPUTED_VALUE"""),2.11103934342669)</f>
        <v>2.1110393434266901</v>
      </c>
      <c r="M15" s="2">
        <f ca="1">IFERROR(__xludf.DUMMYFUNCTION("""COMPUTED_VALUE"""),1.65013698094191)</f>
        <v>1.65013698094191</v>
      </c>
      <c r="N15" s="2">
        <f ca="1">IFERROR(__xludf.DUMMYFUNCTION("""COMPUTED_VALUE"""),1.43121093915772)</f>
        <v>1.4312109391577199</v>
      </c>
      <c r="O15" s="2">
        <f ca="1">IFERROR(__xludf.DUMMYFUNCTION("""COMPUTED_VALUE"""),0.658320641941989)</f>
        <v>0.65832064194198903</v>
      </c>
      <c r="P15" s="2">
        <f ca="1">IFERROR(__xludf.DUMMYFUNCTION("""COMPUTED_VALUE"""),1.54922645694737)</f>
        <v>1.5492264569473699</v>
      </c>
      <c r="Q15" s="2">
        <f ca="1">IFERROR(__xludf.DUMMYFUNCTION("""COMPUTED_VALUE"""),0.995837208940712)</f>
        <v>0.99583720894071204</v>
      </c>
      <c r="R15" s="2">
        <f ca="1">IFERROR(__xludf.DUMMYFUNCTION("""COMPUTED_VALUE"""),1.52634213307937)</f>
        <v>1.5263421330793701</v>
      </c>
      <c r="S15" s="2">
        <f ca="1">IFERROR(__xludf.DUMMYFUNCTION("""COMPUTED_VALUE"""),1.42210524994572)</f>
        <v>1.4221052499457201</v>
      </c>
      <c r="T15" s="2">
        <f ca="1">IFERROR(__xludf.DUMMYFUNCTION("""COMPUTED_VALUE"""),1.56328052177287)</f>
        <v>1.56328052177287</v>
      </c>
      <c r="U15" s="2">
        <f ca="1">IFERROR(__xludf.DUMMYFUNCTION("""COMPUTED_VALUE"""),0.884211154634748)</f>
        <v>0.88421115463474798</v>
      </c>
      <c r="V15" s="2">
        <f ca="1">IFERROR(__xludf.DUMMYFUNCTION("""COMPUTED_VALUE"""),2.23978145898417)</f>
        <v>2.23978145898417</v>
      </c>
      <c r="W15" s="2">
        <f ca="1">IFERROR(__xludf.DUMMYFUNCTION("""COMPUTED_VALUE"""),1.62796884233147)</f>
        <v>1.62796884233147</v>
      </c>
      <c r="X15" s="2">
        <f ca="1">IFERROR(__xludf.DUMMYFUNCTION("""COMPUTED_VALUE"""),1.1758661404049)</f>
        <v>1.1758661404049</v>
      </c>
      <c r="Y15" s="2">
        <f ca="1">IFERROR(__xludf.DUMMYFUNCTION("""COMPUTED_VALUE"""),1.53950306569675)</f>
        <v>1.5395030656967501</v>
      </c>
      <c r="Z15" s="2">
        <f ca="1">IFERROR(__xludf.DUMMYFUNCTION("""COMPUTED_VALUE"""),1.38239162929566)</f>
        <v>1.38239162929566</v>
      </c>
      <c r="AA15" s="2">
        <f ca="1">IFERROR(__xludf.DUMMYFUNCTION("""COMPUTED_VALUE"""),1.12084810020966)</f>
        <v>1.12084810020966</v>
      </c>
      <c r="AB15" s="2">
        <f ca="1">IFERROR(__xludf.DUMMYFUNCTION("""COMPUTED_VALUE"""),2.10705991096473)</f>
        <v>2.1070599109647299</v>
      </c>
      <c r="AC15" s="2">
        <f ca="1">IFERROR(__xludf.DUMMYFUNCTION("""COMPUTED_VALUE"""),0.840609627695726)</f>
        <v>0.840609627695726</v>
      </c>
      <c r="AD15" s="2">
        <f ca="1">IFERROR(__xludf.DUMMYFUNCTION("""COMPUTED_VALUE"""),1.65325346027621)</f>
        <v>1.6532534602762099</v>
      </c>
      <c r="AE15" s="2">
        <f ca="1">IFERROR(__xludf.DUMMYFUNCTION("""COMPUTED_VALUE"""),1.21327156155327)</f>
        <v>1.2132715615532701</v>
      </c>
      <c r="AF15" s="2">
        <f ca="1">IFERROR(__xludf.DUMMYFUNCTION("""COMPUTED_VALUE"""),1.27158453209639)</f>
        <v>1.2715845320963901</v>
      </c>
      <c r="AG15" s="2">
        <f ca="1">IFERROR(__xludf.DUMMYFUNCTION("""COMPUTED_VALUE"""),1.22427795580928)</f>
        <v>1.22427795580928</v>
      </c>
      <c r="AH15" s="2">
        <f ca="1">IFERROR(__xludf.DUMMYFUNCTION("""COMPUTED_VALUE"""),1.81588619365569)</f>
        <v>1.81588619365569</v>
      </c>
      <c r="AI15" s="2">
        <f ca="1">IFERROR(__xludf.DUMMYFUNCTION("""COMPUTED_VALUE"""),1.1953497792148)</f>
        <v>1.1953497792148</v>
      </c>
      <c r="AJ15" s="2">
        <f ca="1">IFERROR(__xludf.DUMMYFUNCTION("""COMPUTED_VALUE"""),1.28047325732491)</f>
        <v>1.28047325732491</v>
      </c>
      <c r="AK15" s="2">
        <f ca="1">IFERROR(__xludf.DUMMYFUNCTION("""COMPUTED_VALUE"""),1.74235812816974)</f>
        <v>1.74235812816974</v>
      </c>
      <c r="AL15" s="2">
        <f ca="1">IFERROR(__xludf.DUMMYFUNCTION("""COMPUTED_VALUE"""),1.14828124464963)</f>
        <v>1.14828124464963</v>
      </c>
      <c r="AM15" s="2">
        <f ca="1">IFERROR(__xludf.DUMMYFUNCTION("""COMPUTED_VALUE"""),1.59372634305954)</f>
        <v>1.5937263430595401</v>
      </c>
    </row>
    <row r="16" spans="1:39" ht="15.75" customHeight="1" x14ac:dyDescent="0.25">
      <c r="A16" s="1" t="str">
        <f ca="1">IFERROR(__xludf.DUMMYFUNCTION("""COMPUTED_VALUE"""),"Newcastle")</f>
        <v>Newcastle</v>
      </c>
      <c r="B16" s="2">
        <f ca="1">IFERROR(__xludf.DUMMYFUNCTION("""COMPUTED_VALUE"""),2.78464613815413)</f>
        <v>2.7846461381541299</v>
      </c>
      <c r="C16" s="2">
        <f ca="1">IFERROR(__xludf.DUMMYFUNCTION("""COMPUTED_VALUE"""),1.48613880746362)</f>
        <v>1.4861388074636199</v>
      </c>
      <c r="D16" s="2">
        <f ca="1">IFERROR(__xludf.DUMMYFUNCTION("""COMPUTED_VALUE"""),2.1945847233769)</f>
        <v>2.1945847233769</v>
      </c>
      <c r="E16" s="2">
        <f ca="1">IFERROR(__xludf.DUMMYFUNCTION("""COMPUTED_VALUE"""),1.76805637729768)</f>
        <v>1.7680563772976801</v>
      </c>
      <c r="F16" s="2">
        <f ca="1">IFERROR(__xludf.DUMMYFUNCTION("""COMPUTED_VALUE"""),1.46191544435311)</f>
        <v>1.4619154443531099</v>
      </c>
      <c r="G16" s="2">
        <f ca="1">IFERROR(__xludf.DUMMYFUNCTION("""COMPUTED_VALUE"""),1.58091895190733)</f>
        <v>1.5809189519073299</v>
      </c>
      <c r="H16" s="2">
        <f ca="1">IFERROR(__xludf.DUMMYFUNCTION("""COMPUTED_VALUE"""),1.39351333639568)</f>
        <v>1.39351333639568</v>
      </c>
      <c r="I16" s="2">
        <f ca="1">IFERROR(__xludf.DUMMYFUNCTION("""COMPUTED_VALUE"""),2.02399976642793)</f>
        <v>2.0239997664279299</v>
      </c>
      <c r="J16" s="2">
        <f ca="1">IFERROR(__xludf.DUMMYFUNCTION("""COMPUTED_VALUE"""),1.42762005668117)</f>
        <v>1.4276200566811701</v>
      </c>
      <c r="K16" s="2">
        <f ca="1">IFERROR(__xludf.DUMMYFUNCTION("""COMPUTED_VALUE"""),1.04510212104341)</f>
        <v>1.0451021210434099</v>
      </c>
      <c r="L16" s="2">
        <f ca="1">IFERROR(__xludf.DUMMYFUNCTION("""COMPUTED_VALUE"""),1.50842036612975)</f>
        <v>1.5084203661297499</v>
      </c>
      <c r="M16" s="2">
        <f ca="1">IFERROR(__xludf.DUMMYFUNCTION("""COMPUTED_VALUE"""),2.16621617855959)</f>
        <v>2.1662161785595901</v>
      </c>
      <c r="N16" s="2">
        <f ca="1">IFERROR(__xludf.DUMMYFUNCTION("""COMPUTED_VALUE"""),1.49895308565277)</f>
        <v>1.49895308565277</v>
      </c>
      <c r="O16" s="2">
        <f ca="1">IFERROR(__xludf.DUMMYFUNCTION("""COMPUTED_VALUE"""),1.40370952129502)</f>
        <v>1.4037095212950199</v>
      </c>
      <c r="P16" s="2">
        <f ca="1">IFERROR(__xludf.DUMMYFUNCTION("""COMPUTED_VALUE"""),1.59197000971542)</f>
        <v>1.5919700097154199</v>
      </c>
      <c r="Q16" s="2">
        <f ca="1">IFERROR(__xludf.DUMMYFUNCTION("""COMPUTED_VALUE"""),2.62458532799476)</f>
        <v>2.62458532799476</v>
      </c>
      <c r="R16" s="2">
        <f ca="1">IFERROR(__xludf.DUMMYFUNCTION("""COMPUTED_VALUE"""),2.05156067926789)</f>
        <v>2.0515606792678902</v>
      </c>
      <c r="S16" s="2">
        <f ca="1">IFERROR(__xludf.DUMMYFUNCTION("""COMPUTED_VALUE"""),1.98142720070914)</f>
        <v>1.98142720070914</v>
      </c>
      <c r="T16" s="2">
        <f ca="1">IFERROR(__xludf.DUMMYFUNCTION("""COMPUTED_VALUE"""),1.57657706837813)</f>
        <v>1.5765770683781299</v>
      </c>
      <c r="U16" s="2">
        <f ca="1">IFERROR(__xludf.DUMMYFUNCTION("""COMPUTED_VALUE"""),1.71868174749542)</f>
        <v>1.7186817474954199</v>
      </c>
      <c r="V16" s="2">
        <f ca="1">IFERROR(__xludf.DUMMYFUNCTION("""COMPUTED_VALUE"""),2.2576311881714)</f>
        <v>2.2576311881714002</v>
      </c>
      <c r="W16" s="2">
        <f ca="1">IFERROR(__xludf.DUMMYFUNCTION("""COMPUTED_VALUE"""),1.8976506432503)</f>
        <v>1.8976506432503</v>
      </c>
      <c r="X16" s="2">
        <f ca="1">IFERROR(__xludf.DUMMYFUNCTION("""COMPUTED_VALUE"""),2.18078638746505)</f>
        <v>2.1807863874650502</v>
      </c>
      <c r="Y16" s="2">
        <f ca="1">IFERROR(__xludf.DUMMYFUNCTION("""COMPUTED_VALUE"""),1.86671983089449)</f>
        <v>1.8667198308944899</v>
      </c>
      <c r="Z16" s="2">
        <f ca="1">IFERROR(__xludf.DUMMYFUNCTION("""COMPUTED_VALUE"""),1.23809143386901)</f>
        <v>1.2380914338690101</v>
      </c>
      <c r="AA16" s="2">
        <f ca="1">IFERROR(__xludf.DUMMYFUNCTION("""COMPUTED_VALUE"""),1.92610196551108)</f>
        <v>1.92610196551108</v>
      </c>
      <c r="AB16" s="2">
        <f ca="1">IFERROR(__xludf.DUMMYFUNCTION("""COMPUTED_VALUE"""),1.09931045602242)</f>
        <v>1.0993104560224201</v>
      </c>
      <c r="AC16" s="2">
        <f ca="1">IFERROR(__xludf.DUMMYFUNCTION("""COMPUTED_VALUE"""),1.6964650157096)</f>
        <v>1.6964650157096</v>
      </c>
      <c r="AD16" s="2">
        <f ca="1">IFERROR(__xludf.DUMMYFUNCTION("""COMPUTED_VALUE"""),1.91401319507002)</f>
        <v>1.9140131950700201</v>
      </c>
      <c r="AE16" s="2">
        <f ca="1">IFERROR(__xludf.DUMMYFUNCTION("""COMPUTED_VALUE"""),2.03278650540563)</f>
        <v>2.03278650540563</v>
      </c>
      <c r="AF16" s="2">
        <f ca="1">IFERROR(__xludf.DUMMYFUNCTION("""COMPUTED_VALUE"""),2.05543529485062)</f>
        <v>2.05543529485062</v>
      </c>
      <c r="AG16" s="2">
        <f ca="1">IFERROR(__xludf.DUMMYFUNCTION("""COMPUTED_VALUE"""),2.01313125861204)</f>
        <v>2.0131312586120398</v>
      </c>
      <c r="AH16" s="2">
        <f ca="1">IFERROR(__xludf.DUMMYFUNCTION("""COMPUTED_VALUE"""),1.55174814058199)</f>
        <v>1.55174814058199</v>
      </c>
      <c r="AI16" s="2">
        <f ca="1">IFERROR(__xludf.DUMMYFUNCTION("""COMPUTED_VALUE"""),2.61963783135717)</f>
        <v>2.6196378313571702</v>
      </c>
      <c r="AJ16" s="2">
        <f ca="1">IFERROR(__xludf.DUMMYFUNCTION("""COMPUTED_VALUE"""),1.58508870422737)</f>
        <v>1.58508870422737</v>
      </c>
      <c r="AK16" s="2">
        <f ca="1">IFERROR(__xludf.DUMMYFUNCTION("""COMPUTED_VALUE"""),1.82292805037618)</f>
        <v>1.82292805037618</v>
      </c>
      <c r="AL16" s="2">
        <f ca="1">IFERROR(__xludf.DUMMYFUNCTION("""COMPUTED_VALUE"""),0.818468259882072)</f>
        <v>0.81846825988207195</v>
      </c>
      <c r="AM16" s="2">
        <f ca="1">IFERROR(__xludf.DUMMYFUNCTION("""COMPUTED_VALUE"""),1.77937717924365)</f>
        <v>1.7793771792436499</v>
      </c>
    </row>
    <row r="17" spans="1:39" ht="15.75" customHeight="1" x14ac:dyDescent="0.25">
      <c r="A17" s="1" t="str">
        <f ca="1">IFERROR(__xludf.DUMMYFUNCTION("""COMPUTED_VALUE"""),"Nott'm Forest")</f>
        <v>Nott'm Forest</v>
      </c>
      <c r="B17" s="2">
        <f ca="1">IFERROR(__xludf.DUMMYFUNCTION("""COMPUTED_VALUE"""),1.33895005912084)</f>
        <v>1.3389500591208401</v>
      </c>
      <c r="C17" s="2">
        <f ca="1">IFERROR(__xludf.DUMMYFUNCTION("""COMPUTED_VALUE"""),1.53872583070661)</f>
        <v>1.5387258307066101</v>
      </c>
      <c r="D17" s="2">
        <f ca="1">IFERROR(__xludf.DUMMYFUNCTION("""COMPUTED_VALUE"""),1.59294621674809)</f>
        <v>1.5929462167480899</v>
      </c>
      <c r="E17" s="2">
        <f ca="1">IFERROR(__xludf.DUMMYFUNCTION("""COMPUTED_VALUE"""),0.775654784150505)</f>
        <v>0.77565478415050504</v>
      </c>
      <c r="F17" s="2">
        <f ca="1">IFERROR(__xludf.DUMMYFUNCTION("""COMPUTED_VALUE"""),1.11841166433134)</f>
        <v>1.11841166433134</v>
      </c>
      <c r="G17" s="2">
        <f ca="1">IFERROR(__xludf.DUMMYFUNCTION("""COMPUTED_VALUE"""),1.31712580333394)</f>
        <v>1.3171258033339399</v>
      </c>
      <c r="H17" s="2">
        <f ca="1">IFERROR(__xludf.DUMMYFUNCTION("""COMPUTED_VALUE"""),1.00730446148997)</f>
        <v>1.00730446148997</v>
      </c>
      <c r="I17" s="2">
        <f ca="1">IFERROR(__xludf.DUMMYFUNCTION("""COMPUTED_VALUE"""),1.35049519773964)</f>
        <v>1.35049519773964</v>
      </c>
      <c r="J17" s="2">
        <f ca="1">IFERROR(__xludf.DUMMYFUNCTION("""COMPUTED_VALUE"""),1.45028022905494)</f>
        <v>1.4502802290549399</v>
      </c>
      <c r="K17" s="2">
        <f ca="1">IFERROR(__xludf.DUMMYFUNCTION("""COMPUTED_VALUE"""),1.52844533880218)</f>
        <v>1.5284453388021799</v>
      </c>
      <c r="L17" s="2">
        <f ca="1">IFERROR(__xludf.DUMMYFUNCTION("""COMPUTED_VALUE"""),1.37135344801583)</f>
        <v>1.37135344801583</v>
      </c>
      <c r="M17" s="2">
        <f ca="1">IFERROR(__xludf.DUMMYFUNCTION("""COMPUTED_VALUE"""),0.577497301126298)</f>
        <v>0.57749730112629805</v>
      </c>
      <c r="N17" s="2">
        <f ca="1">IFERROR(__xludf.DUMMYFUNCTION("""COMPUTED_VALUE"""),1.84837195489424)</f>
        <v>1.8483719548942401</v>
      </c>
      <c r="O17" s="2">
        <f ca="1">IFERROR(__xludf.DUMMYFUNCTION("""COMPUTED_VALUE"""),0.873576284693021)</f>
        <v>0.87357628469302095</v>
      </c>
      <c r="P17" s="2">
        <f ca="1">IFERROR(__xludf.DUMMYFUNCTION("""COMPUTED_VALUE"""),1.11240599866043)</f>
        <v>1.11240599866043</v>
      </c>
      <c r="Q17" s="2">
        <f ca="1">IFERROR(__xludf.DUMMYFUNCTION("""COMPUTED_VALUE"""),1.39806137497945)</f>
        <v>1.3980613749794499</v>
      </c>
      <c r="R17" s="2">
        <f ca="1">IFERROR(__xludf.DUMMYFUNCTION("""COMPUTED_VALUE"""),1.12326699659328)</f>
        <v>1.12326699659328</v>
      </c>
      <c r="S17" s="2">
        <f ca="1">IFERROR(__xludf.DUMMYFUNCTION("""COMPUTED_VALUE"""),1.5484617021383)</f>
        <v>1.5484617021383</v>
      </c>
      <c r="T17" s="2">
        <f ca="1">IFERROR(__xludf.DUMMYFUNCTION("""COMPUTED_VALUE"""),0.983239339015985)</f>
        <v>0.98323933901598504</v>
      </c>
      <c r="U17" s="2">
        <f ca="1">IFERROR(__xludf.DUMMYFUNCTION("""COMPUTED_VALUE"""),1.24751054643911)</f>
        <v>1.2475105464391101</v>
      </c>
      <c r="V17" s="2">
        <f ca="1">IFERROR(__xludf.DUMMYFUNCTION("""COMPUTED_VALUE"""),0.99043359388178)</f>
        <v>0.99043359388177998</v>
      </c>
      <c r="W17" s="2">
        <f ca="1">IFERROR(__xludf.DUMMYFUNCTION("""COMPUTED_VALUE"""),1.96479901322927)</f>
        <v>1.9647990132292701</v>
      </c>
      <c r="X17" s="2">
        <f ca="1">IFERROR(__xludf.DUMMYFUNCTION("""COMPUTED_VALUE"""),1.04859429800363)</f>
        <v>1.04859429800363</v>
      </c>
      <c r="Y17" s="2">
        <f ca="1">IFERROR(__xludf.DUMMYFUNCTION("""COMPUTED_VALUE"""),1.42809985418469)</f>
        <v>1.4280998541846901</v>
      </c>
      <c r="Z17" s="2">
        <f ca="1">IFERROR(__xludf.DUMMYFUNCTION("""COMPUTED_VALUE"""),1.03150270446702)</f>
        <v>1.03150270446702</v>
      </c>
      <c r="AA17" s="2">
        <f ca="1">IFERROR(__xludf.DUMMYFUNCTION("""COMPUTED_VALUE"""),1.07397090454682)</f>
        <v>1.07397090454682</v>
      </c>
      <c r="AB17" s="2">
        <f ca="1">IFERROR(__xludf.DUMMYFUNCTION("""COMPUTED_VALUE"""),0.737406303808171)</f>
        <v>0.73740630380817096</v>
      </c>
      <c r="AC17" s="2">
        <f ca="1">IFERROR(__xludf.DUMMYFUNCTION("""COMPUTED_VALUE"""),1.11546955792451)</f>
        <v>1.11546955792451</v>
      </c>
      <c r="AD17" s="2">
        <f ca="1">IFERROR(__xludf.DUMMYFUNCTION("""COMPUTED_VALUE"""),1.44754636611657)</f>
        <v>1.4475463661165699</v>
      </c>
      <c r="AE17" s="2">
        <f ca="1">IFERROR(__xludf.DUMMYFUNCTION("""COMPUTED_VALUE"""),1.42043121968951)</f>
        <v>1.4204312196895099</v>
      </c>
      <c r="AF17" s="2">
        <f ca="1">IFERROR(__xludf.DUMMYFUNCTION("""COMPUTED_VALUE"""),1.09488712896816)</f>
        <v>1.0948871289681601</v>
      </c>
      <c r="AG17" s="2">
        <f ca="1">IFERROR(__xludf.DUMMYFUNCTION("""COMPUTED_VALUE"""),1.25549831198951)</f>
        <v>1.25549831198951</v>
      </c>
      <c r="AH17" s="2">
        <f ca="1">IFERROR(__xludf.DUMMYFUNCTION("""COMPUTED_VALUE"""),1.21267264636095)</f>
        <v>1.2126726463609501</v>
      </c>
      <c r="AI17" s="2">
        <f ca="1">IFERROR(__xludf.DUMMYFUNCTION("""COMPUTED_VALUE"""),1.43429962794996)</f>
        <v>1.43429962794996</v>
      </c>
      <c r="AJ17" s="2">
        <f ca="1">IFERROR(__xludf.DUMMYFUNCTION("""COMPUTED_VALUE"""),1.05763583502204)</f>
        <v>1.0576358350220401</v>
      </c>
      <c r="AK17" s="2">
        <f ca="1">IFERROR(__xludf.DUMMYFUNCTION("""COMPUTED_VALUE"""),1.85186282448026)</f>
        <v>1.85186282448026</v>
      </c>
      <c r="AL17" s="2">
        <f ca="1">IFERROR(__xludf.DUMMYFUNCTION("""COMPUTED_VALUE"""),1.19699689780106)</f>
        <v>1.1969968978010599</v>
      </c>
      <c r="AM17" s="2">
        <f ca="1">IFERROR(__xludf.DUMMYFUNCTION("""COMPUTED_VALUE"""),1.28622706687655)</f>
        <v>1.2862270668765501</v>
      </c>
    </row>
    <row r="18" spans="1:39" ht="15.75" customHeight="1" x14ac:dyDescent="0.25">
      <c r="A18" s="1" t="str">
        <f ca="1">IFERROR(__xludf.DUMMYFUNCTION("""COMPUTED_VALUE"""),"Southampton")</f>
        <v>Southampton</v>
      </c>
      <c r="B18" s="2">
        <f ca="1">IFERROR(__xludf.DUMMYFUNCTION("""COMPUTED_VALUE"""),0.826164410009148)</f>
        <v>0.82616441000914798</v>
      </c>
      <c r="C18" s="2">
        <f ca="1">IFERROR(__xludf.DUMMYFUNCTION("""COMPUTED_VALUE"""),1.04544540371833)</f>
        <v>1.0454454037183301</v>
      </c>
      <c r="D18" s="2">
        <f ca="1">IFERROR(__xludf.DUMMYFUNCTION("""COMPUTED_VALUE"""),0.864085993013771)</f>
        <v>0.86408599301377098</v>
      </c>
      <c r="E18" s="2">
        <f ca="1">IFERROR(__xludf.DUMMYFUNCTION("""COMPUTED_VALUE"""),1.09268297269984)</f>
        <v>1.0926829726998399</v>
      </c>
      <c r="F18" s="2">
        <f ca="1">IFERROR(__xludf.DUMMYFUNCTION("""COMPUTED_VALUE"""),1.42188128107346)</f>
        <v>1.42188128107346</v>
      </c>
      <c r="G18" s="2">
        <f ca="1">IFERROR(__xludf.DUMMYFUNCTION("""COMPUTED_VALUE"""),0.806643164988426)</f>
        <v>0.80664316498842603</v>
      </c>
      <c r="H18" s="2">
        <f ca="1">IFERROR(__xludf.DUMMYFUNCTION("""COMPUTED_VALUE"""),0.444246408396144)</f>
        <v>0.44424640839614399</v>
      </c>
      <c r="I18" s="2">
        <f ca="1">IFERROR(__xludf.DUMMYFUNCTION("""COMPUTED_VALUE"""),1.42456667245579)</f>
        <v>1.4245666724557899</v>
      </c>
      <c r="J18" s="2">
        <f ca="1">IFERROR(__xludf.DUMMYFUNCTION("""COMPUTED_VALUE"""),0.672008555153486)</f>
        <v>0.67200855515348601</v>
      </c>
      <c r="K18" s="2">
        <f ca="1">IFERROR(__xludf.DUMMYFUNCTION("""COMPUTED_VALUE"""),0.965806445780743)</f>
        <v>0.96580644578074304</v>
      </c>
      <c r="L18" s="2">
        <f ca="1">IFERROR(__xludf.DUMMYFUNCTION("""COMPUTED_VALUE"""),0.959661765710454)</f>
        <v>0.95966176571045403</v>
      </c>
      <c r="M18" s="2">
        <f ca="1">IFERROR(__xludf.DUMMYFUNCTION("""COMPUTED_VALUE"""),0.761902377688582)</f>
        <v>0.76190237768858204</v>
      </c>
      <c r="N18" s="2">
        <f ca="1">IFERROR(__xludf.DUMMYFUNCTION("""COMPUTED_VALUE"""),0.860350973101592)</f>
        <v>0.86035097310159203</v>
      </c>
      <c r="O18" s="2">
        <f ca="1">IFERROR(__xludf.DUMMYFUNCTION("""COMPUTED_VALUE"""),0.989444892170761)</f>
        <v>0.98944489217076104</v>
      </c>
      <c r="P18" s="2">
        <f ca="1">IFERROR(__xludf.DUMMYFUNCTION("""COMPUTED_VALUE"""),0.842254455033199)</f>
        <v>0.84225445503319896</v>
      </c>
      <c r="Q18" s="2">
        <f ca="1">IFERROR(__xludf.DUMMYFUNCTION("""COMPUTED_VALUE"""),1.19117188664311)</f>
        <v>1.19117188664311</v>
      </c>
      <c r="R18" s="2">
        <f ca="1">IFERROR(__xludf.DUMMYFUNCTION("""COMPUTED_VALUE"""),0.793495261045676)</f>
        <v>0.79349526104567603</v>
      </c>
      <c r="S18" s="2">
        <f ca="1">IFERROR(__xludf.DUMMYFUNCTION("""COMPUTED_VALUE"""),1.17577407005786)</f>
        <v>1.1757740700578601</v>
      </c>
      <c r="T18" s="2">
        <f ca="1">IFERROR(__xludf.DUMMYFUNCTION("""COMPUTED_VALUE"""),0.813598470820981)</f>
        <v>0.81359847082098102</v>
      </c>
      <c r="U18" s="2">
        <f ca="1">IFERROR(__xludf.DUMMYFUNCTION("""COMPUTED_VALUE"""),1.10335140447928)</f>
        <v>1.10335140447928</v>
      </c>
      <c r="V18" s="2">
        <f ca="1">IFERROR(__xludf.DUMMYFUNCTION("""COMPUTED_VALUE"""),0.855731046048901)</f>
        <v>0.85573104604890105</v>
      </c>
      <c r="W18" s="2">
        <f ca="1">IFERROR(__xludf.DUMMYFUNCTION("""COMPUTED_VALUE"""),0.81873710057039)</f>
        <v>0.81873710057038995</v>
      </c>
      <c r="X18" s="2">
        <f ca="1">IFERROR(__xludf.DUMMYFUNCTION("""COMPUTED_VALUE"""),1.05492933514068)</f>
        <v>1.0549293351406801</v>
      </c>
      <c r="Y18" s="2">
        <f ca="1">IFERROR(__xludf.DUMMYFUNCTION("""COMPUTED_VALUE"""),1.11354160942396)</f>
        <v>1.1135416094239601</v>
      </c>
      <c r="Z18" s="2">
        <f ca="1">IFERROR(__xludf.DUMMYFUNCTION("""COMPUTED_VALUE"""),1.03000265737372)</f>
        <v>1.03000265737372</v>
      </c>
      <c r="AA18" s="2">
        <f ca="1">IFERROR(__xludf.DUMMYFUNCTION("""COMPUTED_VALUE"""),1.09858215755342)</f>
        <v>1.09858215755342</v>
      </c>
      <c r="AB18" s="2">
        <f ca="1">IFERROR(__xludf.DUMMYFUNCTION("""COMPUTED_VALUE"""),0.774880485684674)</f>
        <v>0.77488048568467405</v>
      </c>
      <c r="AC18" s="2">
        <f ca="1">IFERROR(__xludf.DUMMYFUNCTION("""COMPUTED_VALUE"""),0.596681320141422)</f>
        <v>0.59668132014142194</v>
      </c>
      <c r="AD18" s="2">
        <f ca="1">IFERROR(__xludf.DUMMYFUNCTION("""COMPUTED_VALUE"""),1.22539210863567)</f>
        <v>1.2253921086356701</v>
      </c>
      <c r="AE18" s="2">
        <f ca="1">IFERROR(__xludf.DUMMYFUNCTION("""COMPUTED_VALUE"""),1.03888388739131)</f>
        <v>1.03888388739131</v>
      </c>
      <c r="AF18" s="2">
        <f ca="1">IFERROR(__xludf.DUMMYFUNCTION("""COMPUTED_VALUE"""),0.932862312352663)</f>
        <v>0.93286231235266304</v>
      </c>
      <c r="AG18" s="2">
        <f ca="1">IFERROR(__xludf.DUMMYFUNCTION("""COMPUTED_VALUE"""),1.07547471363189)</f>
        <v>1.0754747136318901</v>
      </c>
      <c r="AH18" s="2">
        <f ca="1">IFERROR(__xludf.DUMMYFUNCTION("""COMPUTED_VALUE"""),0.920803563362722)</f>
        <v>0.92080356336272196</v>
      </c>
      <c r="AI18" s="2">
        <f ca="1">IFERROR(__xludf.DUMMYFUNCTION("""COMPUTED_VALUE"""),1.01321409882922)</f>
        <v>1.01321409882922</v>
      </c>
      <c r="AJ18" s="2">
        <f ca="1">IFERROR(__xludf.DUMMYFUNCTION("""COMPUTED_VALUE"""),1.1156446647786)</f>
        <v>1.1156446647786</v>
      </c>
      <c r="AK18" s="2">
        <f ca="1">IFERROR(__xludf.DUMMYFUNCTION("""COMPUTED_VALUE"""),0.858087724075487)</f>
        <v>0.85808772407548695</v>
      </c>
      <c r="AL18" s="2">
        <f ca="1">IFERROR(__xludf.DUMMYFUNCTION("""COMPUTED_VALUE"""),0.756368114794223)</f>
        <v>0.75636811479422295</v>
      </c>
      <c r="AM18" s="2">
        <f ca="1">IFERROR(__xludf.DUMMYFUNCTION("""COMPUTED_VALUE"""),0.567258238881036)</f>
        <v>0.56725823888103599</v>
      </c>
    </row>
    <row r="19" spans="1:39" ht="12.5" x14ac:dyDescent="0.25">
      <c r="A19" s="1" t="str">
        <f ca="1">IFERROR(__xludf.DUMMYFUNCTION("""COMPUTED_VALUE"""),"Spurs")</f>
        <v>Spurs</v>
      </c>
      <c r="B19" s="2">
        <f ca="1">IFERROR(__xludf.DUMMYFUNCTION("""COMPUTED_VALUE"""),2.01874911108417)</f>
        <v>2.01874911108417</v>
      </c>
      <c r="C19" s="2">
        <f ca="1">IFERROR(__xludf.DUMMYFUNCTION("""COMPUTED_VALUE"""),1.74761818476151)</f>
        <v>1.74761818476151</v>
      </c>
      <c r="D19" s="2">
        <f ca="1">IFERROR(__xludf.DUMMYFUNCTION("""COMPUTED_VALUE"""),1.49493716141808)</f>
        <v>1.49493716141808</v>
      </c>
      <c r="E19" s="2">
        <f ca="1">IFERROR(__xludf.DUMMYFUNCTION("""COMPUTED_VALUE"""),1.02644874452343)</f>
        <v>1.02644874452343</v>
      </c>
      <c r="F19" s="2">
        <f ca="1">IFERROR(__xludf.DUMMYFUNCTION("""COMPUTED_VALUE"""),1.99650456576875)</f>
        <v>1.9965045657687499</v>
      </c>
      <c r="G19" s="2">
        <f ca="1">IFERROR(__xludf.DUMMYFUNCTION("""COMPUTED_VALUE"""),1.54843772670321)</f>
        <v>1.5484377267032099</v>
      </c>
      <c r="H19" s="2">
        <f ca="1">IFERROR(__xludf.DUMMYFUNCTION("""COMPUTED_VALUE"""),1.55679744366806)</f>
        <v>1.5567974436680601</v>
      </c>
      <c r="I19" s="2">
        <f ca="1">IFERROR(__xludf.DUMMYFUNCTION("""COMPUTED_VALUE"""),2.12755273583114)</f>
        <v>2.1275527358311401</v>
      </c>
      <c r="J19" s="2">
        <f ca="1">IFERROR(__xludf.DUMMYFUNCTION("""COMPUTED_VALUE"""),1.47219920607538)</f>
        <v>1.4721992060753799</v>
      </c>
      <c r="K19" s="2">
        <f ca="1">IFERROR(__xludf.DUMMYFUNCTION("""COMPUTED_VALUE"""),1.94606194129808)</f>
        <v>1.94606194129808</v>
      </c>
      <c r="L19" s="2">
        <f ca="1">IFERROR(__xludf.DUMMYFUNCTION("""COMPUTED_VALUE"""),2.57288154809033)</f>
        <v>2.5728815480903302</v>
      </c>
      <c r="M19" s="2">
        <f ca="1">IFERROR(__xludf.DUMMYFUNCTION("""COMPUTED_VALUE"""),1.21599351136258)</f>
        <v>1.2159935113625799</v>
      </c>
      <c r="N19" s="2">
        <f ca="1">IFERROR(__xludf.DUMMYFUNCTION("""COMPUTED_VALUE"""),1.8334019118492)</f>
        <v>1.8334019118492</v>
      </c>
      <c r="O19" s="2">
        <f ca="1">IFERROR(__xludf.DUMMYFUNCTION("""COMPUTED_VALUE"""),1.45961364195262)</f>
        <v>1.45961364195262</v>
      </c>
      <c r="P19" s="2">
        <f ca="1">IFERROR(__xludf.DUMMYFUNCTION("""COMPUTED_VALUE"""),1.79039174353322)</f>
        <v>1.7903917435332199</v>
      </c>
      <c r="Q19" s="2">
        <f ca="1">IFERROR(__xludf.DUMMYFUNCTION("""COMPUTED_VALUE"""),2.14186289015704)</f>
        <v>2.1418628901570398</v>
      </c>
      <c r="R19" s="2">
        <f ca="1">IFERROR(__xludf.DUMMYFUNCTION("""COMPUTED_VALUE"""),1.37865558474837)</f>
        <v>1.3786555847483699</v>
      </c>
      <c r="S19" s="2">
        <f ca="1">IFERROR(__xludf.DUMMYFUNCTION("""COMPUTED_VALUE"""),1.48149751096251)</f>
        <v>1.4814975109625099</v>
      </c>
      <c r="T19" s="2">
        <f ca="1">IFERROR(__xludf.DUMMYFUNCTION("""COMPUTED_VALUE"""),2.21733613590018)</f>
        <v>2.21733613590018</v>
      </c>
      <c r="U19" s="2">
        <f ca="1">IFERROR(__xludf.DUMMYFUNCTION("""COMPUTED_VALUE"""),1.90888526141475)</f>
        <v>1.90888526141475</v>
      </c>
      <c r="V19" s="2">
        <f ca="1">IFERROR(__xludf.DUMMYFUNCTION("""COMPUTED_VALUE"""),0.803859929926728)</f>
        <v>0.80385992992672795</v>
      </c>
      <c r="W19" s="2">
        <f ca="1">IFERROR(__xludf.DUMMYFUNCTION("""COMPUTED_VALUE"""),1.36864138519971)</f>
        <v>1.3686413851997099</v>
      </c>
      <c r="X19" s="2">
        <f ca="1">IFERROR(__xludf.DUMMYFUNCTION("""COMPUTED_VALUE"""),2.57774073994338)</f>
        <v>2.5777407399433798</v>
      </c>
      <c r="Y19" s="2">
        <f ca="1">IFERROR(__xludf.DUMMYFUNCTION("""COMPUTED_VALUE"""),1.56355592902244)</f>
        <v>1.5635559290224399</v>
      </c>
      <c r="Z19" s="2">
        <f ca="1">IFERROR(__xludf.DUMMYFUNCTION("""COMPUTED_VALUE"""),1.97720013322734)</f>
        <v>1.9772001332273399</v>
      </c>
      <c r="AA19" s="2">
        <f ca="1">IFERROR(__xludf.DUMMYFUNCTION("""COMPUTED_VALUE"""),2.01494365110058)</f>
        <v>2.0149436511005798</v>
      </c>
      <c r="AB19" s="2">
        <f ca="1">IFERROR(__xludf.DUMMYFUNCTION("""COMPUTED_VALUE"""),1.55270211465888)</f>
        <v>1.55270211465888</v>
      </c>
      <c r="AC19" s="2">
        <f ca="1">IFERROR(__xludf.DUMMYFUNCTION("""COMPUTED_VALUE"""),1.86378065940931)</f>
        <v>1.86378065940931</v>
      </c>
      <c r="AD19" s="2">
        <f ca="1">IFERROR(__xludf.DUMMYFUNCTION("""COMPUTED_VALUE"""),1.43582262655588)</f>
        <v>1.43582262655588</v>
      </c>
      <c r="AE19" s="2">
        <f ca="1">IFERROR(__xludf.DUMMYFUNCTION("""COMPUTED_VALUE"""),1.40213935588787)</f>
        <v>1.4021393558878701</v>
      </c>
      <c r="AF19" s="2">
        <f ca="1">IFERROR(__xludf.DUMMYFUNCTION("""COMPUTED_VALUE"""),2.73494472444152)</f>
        <v>2.7349447244415201</v>
      </c>
      <c r="AG19" s="2">
        <f ca="1">IFERROR(__xludf.DUMMYFUNCTION("""COMPUTED_VALUE"""),1.73649944075509)</f>
        <v>1.73649944075509</v>
      </c>
      <c r="AH19" s="2">
        <f ca="1">IFERROR(__xludf.DUMMYFUNCTION("""COMPUTED_VALUE"""),1.89172417174803)</f>
        <v>1.89172417174803</v>
      </c>
      <c r="AI19" s="2">
        <f ca="1">IFERROR(__xludf.DUMMYFUNCTION("""COMPUTED_VALUE"""),1.07968954871045)</f>
        <v>1.0796895487104501</v>
      </c>
      <c r="AJ19" s="2">
        <f ca="1">IFERROR(__xludf.DUMMYFUNCTION("""COMPUTED_VALUE"""),1.666185868769)</f>
        <v>1.6661858687690001</v>
      </c>
      <c r="AK19" s="2">
        <f ca="1">IFERROR(__xludf.DUMMYFUNCTION("""COMPUTED_VALUE"""),1.87985116623766)</f>
        <v>1.87985116623766</v>
      </c>
      <c r="AL19" s="2">
        <f ca="1">IFERROR(__xludf.DUMMYFUNCTION("""COMPUTED_VALUE"""),1.52405195496756)</f>
        <v>1.52405195496756</v>
      </c>
      <c r="AM19" s="2">
        <f ca="1">IFERROR(__xludf.DUMMYFUNCTION("""COMPUTED_VALUE"""),1.98787465581975)</f>
        <v>1.98787465581975</v>
      </c>
    </row>
    <row r="20" spans="1:39" ht="12.5" x14ac:dyDescent="0.25">
      <c r="A20" s="1" t="str">
        <f ca="1">IFERROR(__xludf.DUMMYFUNCTION("""COMPUTED_VALUE"""),"West Ham")</f>
        <v>West Ham</v>
      </c>
      <c r="B20" s="2">
        <f ca="1">IFERROR(__xludf.DUMMYFUNCTION("""COMPUTED_VALUE"""),1.45719265098086)</f>
        <v>1.4571926509808599</v>
      </c>
      <c r="C20" s="2">
        <f ca="1">IFERROR(__xludf.DUMMYFUNCTION("""COMPUTED_VALUE"""),1.10236874703071)</f>
        <v>1.10236874703071</v>
      </c>
      <c r="D20" s="2">
        <f ca="1">IFERROR(__xludf.DUMMYFUNCTION("""COMPUTED_VALUE"""),1.16264855841852)</f>
        <v>1.16264855841852</v>
      </c>
      <c r="E20" s="2">
        <f ca="1">IFERROR(__xludf.DUMMYFUNCTION("""COMPUTED_VALUE"""),1.07513031066918)</f>
        <v>1.0751303106691801</v>
      </c>
      <c r="F20" s="2">
        <f ca="1">IFERROR(__xludf.DUMMYFUNCTION("""COMPUTED_VALUE"""),1.34062828920707)</f>
        <v>1.34062828920707</v>
      </c>
      <c r="G20" s="2">
        <f ca="1">IFERROR(__xludf.DUMMYFUNCTION("""COMPUTED_VALUE"""),1.17077579126248)</f>
        <v>1.1707757912624801</v>
      </c>
      <c r="H20" s="2">
        <f ca="1">IFERROR(__xludf.DUMMYFUNCTION("""COMPUTED_VALUE"""),1.92654920388643)</f>
        <v>1.92654920388643</v>
      </c>
      <c r="I20" s="2">
        <f ca="1">IFERROR(__xludf.DUMMYFUNCTION("""COMPUTED_VALUE"""),1.26396287026288)</f>
        <v>1.26396287026288</v>
      </c>
      <c r="J20" s="2">
        <f ca="1">IFERROR(__xludf.DUMMYFUNCTION("""COMPUTED_VALUE"""),1.48050863259545)</f>
        <v>1.48050863259545</v>
      </c>
      <c r="K20" s="2">
        <f ca="1">IFERROR(__xludf.DUMMYFUNCTION("""COMPUTED_VALUE"""),1.10933122919048)</f>
        <v>1.10933122919048</v>
      </c>
      <c r="L20" s="2">
        <f ca="1">IFERROR(__xludf.DUMMYFUNCTION("""COMPUTED_VALUE"""),1.30859985569438)</f>
        <v>1.3085998556943801</v>
      </c>
      <c r="M20" s="2">
        <f ca="1">IFERROR(__xludf.DUMMYFUNCTION("""COMPUTED_VALUE"""),1.11939471147745)</f>
        <v>1.1193947114774501</v>
      </c>
      <c r="N20" s="2">
        <f ca="1">IFERROR(__xludf.DUMMYFUNCTION("""COMPUTED_VALUE"""),0.768595045916366)</f>
        <v>0.76859504591636596</v>
      </c>
      <c r="O20" s="2">
        <f ca="1">IFERROR(__xludf.DUMMYFUNCTION("""COMPUTED_VALUE"""),1.5116201115797)</f>
        <v>1.5116201115797001</v>
      </c>
      <c r="P20" s="2">
        <f ca="1">IFERROR(__xludf.DUMMYFUNCTION("""COMPUTED_VALUE"""),1.66032018478961)</f>
        <v>1.6603201847896101</v>
      </c>
      <c r="Q20" s="2">
        <f ca="1">IFERROR(__xludf.DUMMYFUNCTION("""COMPUTED_VALUE"""),1.09294479645702)</f>
        <v>1.09294479645702</v>
      </c>
      <c r="R20" s="2">
        <f ca="1">IFERROR(__xludf.DUMMYFUNCTION("""COMPUTED_VALUE"""),1.48850161346841)</f>
        <v>1.4885016134684099</v>
      </c>
      <c r="S20" s="2">
        <f ca="1">IFERROR(__xludf.DUMMYFUNCTION("""COMPUTED_VALUE"""),1.60380653704352)</f>
        <v>1.6038065370435199</v>
      </c>
      <c r="T20" s="2">
        <f ca="1">IFERROR(__xludf.DUMMYFUNCTION("""COMPUTED_VALUE"""),1.03232417411596)</f>
        <v>1.0323241741159599</v>
      </c>
      <c r="U20" s="2">
        <f ca="1">IFERROR(__xludf.DUMMYFUNCTION("""COMPUTED_VALUE"""),0.910524362454794)</f>
        <v>0.91052436245479396</v>
      </c>
      <c r="V20" s="2">
        <f ca="1">IFERROR(__xludf.DUMMYFUNCTION("""COMPUTED_VALUE"""),1.37283389369347)</f>
        <v>1.3728338936934701</v>
      </c>
      <c r="W20" s="2">
        <f ca="1">IFERROR(__xludf.DUMMYFUNCTION("""COMPUTED_VALUE"""),1.40761465308351)</f>
        <v>1.4076146530835101</v>
      </c>
      <c r="X20" s="2">
        <f ca="1">IFERROR(__xludf.DUMMYFUNCTION("""COMPUTED_VALUE"""),1.14119559165233)</f>
        <v>1.14119559165233</v>
      </c>
      <c r="Y20" s="2">
        <f ca="1">IFERROR(__xludf.DUMMYFUNCTION("""COMPUTED_VALUE"""),1.0499085983296)</f>
        <v>1.0499085983295999</v>
      </c>
      <c r="Z20" s="2">
        <f ca="1">IFERROR(__xludf.DUMMYFUNCTION("""COMPUTED_VALUE"""),1.49496360786306)</f>
        <v>1.4949636078630599</v>
      </c>
      <c r="AA20" s="2">
        <f ca="1">IFERROR(__xludf.DUMMYFUNCTION("""COMPUTED_VALUE"""),0.601922661066932)</f>
        <v>0.60192266106693204</v>
      </c>
      <c r="AB20" s="2">
        <f ca="1">IFERROR(__xludf.DUMMYFUNCTION("""COMPUTED_VALUE"""),1.93018772047612)</f>
        <v>1.93018772047612</v>
      </c>
      <c r="AC20" s="2">
        <f ca="1">IFERROR(__xludf.DUMMYFUNCTION("""COMPUTED_VALUE"""),1.42935510708556)</f>
        <v>1.4293551070855599</v>
      </c>
      <c r="AD20" s="2">
        <f ca="1">IFERROR(__xludf.DUMMYFUNCTION("""COMPUTED_VALUE"""),1.02482563685048)</f>
        <v>1.02482563685048</v>
      </c>
      <c r="AE20" s="2">
        <f ca="1">IFERROR(__xludf.DUMMYFUNCTION("""COMPUTED_VALUE"""),1.30027424605655)</f>
        <v>1.30027424605655</v>
      </c>
      <c r="AF20" s="2">
        <f ca="1">IFERROR(__xludf.DUMMYFUNCTION("""COMPUTED_VALUE"""),1.39558121059597)</f>
        <v>1.39558121059597</v>
      </c>
      <c r="AG20" s="2">
        <f ca="1">IFERROR(__xludf.DUMMYFUNCTION("""COMPUTED_VALUE"""),0.808461253125513)</f>
        <v>0.80846125312551298</v>
      </c>
      <c r="AH20" s="2">
        <f ca="1">IFERROR(__xludf.DUMMYFUNCTION("""COMPUTED_VALUE"""),2.04790056715088)</f>
        <v>2.0479005671508799</v>
      </c>
      <c r="AI20" s="2">
        <f ca="1">IFERROR(__xludf.DUMMYFUNCTION("""COMPUTED_VALUE"""),1.16571510178433)</f>
        <v>1.1657151017843299</v>
      </c>
      <c r="AJ20" s="2">
        <f ca="1">IFERROR(__xludf.DUMMYFUNCTION("""COMPUTED_VALUE"""),1.61395418903867)</f>
        <v>1.6139541890386699</v>
      </c>
      <c r="AK20" s="2">
        <f ca="1">IFERROR(__xludf.DUMMYFUNCTION("""COMPUTED_VALUE"""),1.1594554253234)</f>
        <v>1.1594554253234</v>
      </c>
      <c r="AL20" s="2">
        <f ca="1">IFERROR(__xludf.DUMMYFUNCTION("""COMPUTED_VALUE"""),1.41650504655333)</f>
        <v>1.41650504655333</v>
      </c>
      <c r="AM20" s="2">
        <f ca="1">IFERROR(__xludf.DUMMYFUNCTION("""COMPUTED_VALUE"""),1.50877061938008)</f>
        <v>1.5087706193800801</v>
      </c>
    </row>
    <row r="21" spans="1:39" ht="12.5" x14ac:dyDescent="0.25">
      <c r="A21" s="1" t="str">
        <f ca="1">IFERROR(__xludf.DUMMYFUNCTION("""COMPUTED_VALUE"""),"Wolves")</f>
        <v>Wolves</v>
      </c>
      <c r="B21" s="2">
        <f ca="1">IFERROR(__xludf.DUMMYFUNCTION("""COMPUTED_VALUE"""),0.55719972485244)</f>
        <v>0.55719972485243996</v>
      </c>
      <c r="C21" s="2">
        <f ca="1">IFERROR(__xludf.DUMMYFUNCTION("""COMPUTED_VALUE"""),1.24101942357759)</f>
        <v>1.24101942357759</v>
      </c>
      <c r="D21" s="2">
        <f ca="1">IFERROR(__xludf.DUMMYFUNCTION("""COMPUTED_VALUE"""),1.02690776682093)</f>
        <v>1.0269077668209301</v>
      </c>
      <c r="E21" s="2">
        <f ca="1">IFERROR(__xludf.DUMMYFUNCTION("""COMPUTED_VALUE"""),1.32315382672716)</f>
        <v>1.3231538267271601</v>
      </c>
      <c r="F21" s="2">
        <f ca="1">IFERROR(__xludf.DUMMYFUNCTION("""COMPUTED_VALUE"""),1.05640460278466)</f>
        <v>1.0564046027846601</v>
      </c>
      <c r="G21" s="2">
        <f ca="1">IFERROR(__xludf.DUMMYFUNCTION("""COMPUTED_VALUE"""),0.955622346492745)</f>
        <v>0.95562234649274502</v>
      </c>
      <c r="H21" s="2">
        <f ca="1">IFERROR(__xludf.DUMMYFUNCTION("""COMPUTED_VALUE"""),1.08378698950962)</f>
        <v>1.0837869895096199</v>
      </c>
      <c r="I21" s="2">
        <f ca="1">IFERROR(__xludf.DUMMYFUNCTION("""COMPUTED_VALUE"""),1.07626361117986)</f>
        <v>1.07626361117986</v>
      </c>
      <c r="J21" s="2">
        <f ca="1">IFERROR(__xludf.DUMMYFUNCTION("""COMPUTED_VALUE"""),1.0791023099533)</f>
        <v>1.0791023099532999</v>
      </c>
      <c r="K21" s="2">
        <f ca="1">IFERROR(__xludf.DUMMYFUNCTION("""COMPUTED_VALUE"""),1.30302869143712)</f>
        <v>1.3030286914371201</v>
      </c>
      <c r="L21" s="2">
        <f ca="1">IFERROR(__xludf.DUMMYFUNCTION("""COMPUTED_VALUE"""),1.89574127433414)</f>
        <v>1.89574127433414</v>
      </c>
      <c r="M21" s="2">
        <f ca="1">IFERROR(__xludf.DUMMYFUNCTION("""COMPUTED_VALUE"""),0.995247981233209)</f>
        <v>0.99524798123320901</v>
      </c>
      <c r="N21" s="2">
        <f ca="1">IFERROR(__xludf.DUMMYFUNCTION("""COMPUTED_VALUE"""),1.29188933537566)</f>
        <v>1.29188933537566</v>
      </c>
      <c r="O21" s="2">
        <f ca="1">IFERROR(__xludf.DUMMYFUNCTION("""COMPUTED_VALUE"""),0.948680951573806)</f>
        <v>0.94868095157380605</v>
      </c>
      <c r="P21" s="2">
        <f ca="1">IFERROR(__xludf.DUMMYFUNCTION("""COMPUTED_VALUE"""),1.15492547030642)</f>
        <v>1.15492547030642</v>
      </c>
      <c r="Q21" s="2">
        <f ca="1">IFERROR(__xludf.DUMMYFUNCTION("""COMPUTED_VALUE"""),1.7834063339922)</f>
        <v>1.7834063339921999</v>
      </c>
      <c r="R21" s="2">
        <f ca="1">IFERROR(__xludf.DUMMYFUNCTION("""COMPUTED_VALUE"""),1.39930653011245)</f>
        <v>1.3993065301124501</v>
      </c>
      <c r="S21" s="2">
        <f ca="1">IFERROR(__xludf.DUMMYFUNCTION("""COMPUTED_VALUE"""),1.37050663828075)</f>
        <v>1.37050663828075</v>
      </c>
      <c r="T21" s="2">
        <f ca="1">IFERROR(__xludf.DUMMYFUNCTION("""COMPUTED_VALUE"""),1.17005025576843)</f>
        <v>1.17005025576843</v>
      </c>
      <c r="U21" s="2">
        <f ca="1">IFERROR(__xludf.DUMMYFUNCTION("""COMPUTED_VALUE"""),1.31125852745365)</f>
        <v>1.3112585274536499</v>
      </c>
      <c r="V21" s="2">
        <f ca="1">IFERROR(__xludf.DUMMYFUNCTION("""COMPUTED_VALUE"""),1.03622353099472)</f>
        <v>1.0362235309947201</v>
      </c>
      <c r="W21" s="2">
        <f ca="1">IFERROR(__xludf.DUMMYFUNCTION("""COMPUTED_VALUE"""),0.971900245577254)</f>
        <v>0.97190024557725396</v>
      </c>
      <c r="X21" s="2">
        <f ca="1">IFERROR(__xludf.DUMMYFUNCTION("""COMPUTED_VALUE"""),0.711488328664081)</f>
        <v>0.71148832866408096</v>
      </c>
      <c r="Y21" s="2">
        <f ca="1">IFERROR(__xludf.DUMMYFUNCTION("""COMPUTED_VALUE"""),1.34892303729573)</f>
        <v>1.3489230372957299</v>
      </c>
      <c r="Z21" s="2">
        <f ca="1">IFERROR(__xludf.DUMMYFUNCTION("""COMPUTED_VALUE"""),0.748392471213678)</f>
        <v>0.74839247121367802</v>
      </c>
      <c r="AA21" s="2">
        <f ca="1">IFERROR(__xludf.DUMMYFUNCTION("""COMPUTED_VALUE"""),1.01173884828542)</f>
        <v>1.0117388482854199</v>
      </c>
      <c r="AB21" s="2">
        <f ca="1">IFERROR(__xludf.DUMMYFUNCTION("""COMPUTED_VALUE"""),1.27083214723668)</f>
        <v>1.2708321472366799</v>
      </c>
      <c r="AC21" s="2">
        <f ca="1">IFERROR(__xludf.DUMMYFUNCTION("""COMPUTED_VALUE"""),1.21137070706459)</f>
        <v>1.21137070706459</v>
      </c>
      <c r="AD21" s="2">
        <f ca="1">IFERROR(__xludf.DUMMYFUNCTION("""COMPUTED_VALUE"""),1.4846434915296)</f>
        <v>1.4846434915296001</v>
      </c>
      <c r="AE21" s="2">
        <f ca="1">IFERROR(__xludf.DUMMYFUNCTION("""COMPUTED_VALUE"""),1.47472433303426)</f>
        <v>1.4747243330342601</v>
      </c>
      <c r="AF21" s="2">
        <f ca="1">IFERROR(__xludf.DUMMYFUNCTION("""COMPUTED_VALUE"""),1.39666875557381)</f>
        <v>1.39666875557381</v>
      </c>
      <c r="AG21" s="2">
        <f ca="1">IFERROR(__xludf.DUMMYFUNCTION("""COMPUTED_VALUE"""),1.4940371715907)</f>
        <v>1.4940371715906999</v>
      </c>
      <c r="AH21" s="2">
        <f ca="1">IFERROR(__xludf.DUMMYFUNCTION("""COMPUTED_VALUE"""),1.07330772831134)</f>
        <v>1.0733077283113399</v>
      </c>
      <c r="AI21" s="2">
        <f ca="1">IFERROR(__xludf.DUMMYFUNCTION("""COMPUTED_VALUE"""),1.78677450830059)</f>
        <v>1.7867745083005899</v>
      </c>
      <c r="AJ21" s="2">
        <f ca="1">IFERROR(__xludf.DUMMYFUNCTION("""COMPUTED_VALUE"""),0.842872277531413)</f>
        <v>0.84287227753141303</v>
      </c>
      <c r="AK21" s="2">
        <f ca="1">IFERROR(__xludf.DUMMYFUNCTION("""COMPUTED_VALUE"""),1.37790573957936)</f>
        <v>1.3779057395793599</v>
      </c>
      <c r="AL21" s="2">
        <f ca="1">IFERROR(__xludf.DUMMYFUNCTION("""COMPUTED_VALUE"""),1.02046259803988)</f>
        <v>1.02046259803988</v>
      </c>
      <c r="AM21" s="2">
        <f ca="1">IFERROR(__xludf.DUMMYFUNCTION("""COMPUTED_VALUE"""),1.38388760690484)</f>
        <v>1.38388760690484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Kaspars Grīnbergs-Zaļkalns</cp:lastModifiedBy>
  <dcterms:modified xsi:type="dcterms:W3CDTF">2025-05-25T09:10:27Z</dcterms:modified>
</cp:coreProperties>
</file>