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als" sheetId="1" r:id="rId4"/>
    <sheet state="visible" name="CS%" sheetId="2" r:id="rId5"/>
    <sheet state="visible" name="Win%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IFERROR(__xludf.DUMMYFUNCTION("IMPORTRANGE(""https://docs.google.com/spreadsheets/d/1FbGZDOCtOSvenQiwL2rDZj-8xzXiuNuyRXUdZ9kHVWU/edit?gid=1016036885#gid=1016036885"",""goals!A1:AM21"")"),"Team")</f>
        <v>Team</v>
      </c>
      <c r="B1" s="1">
        <f>IFERROR(__xludf.DUMMYFUNCTION("""COMPUTED_VALUE"""),1.0)</f>
        <v>1</v>
      </c>
      <c r="C1" s="1">
        <f>IFERROR(__xludf.DUMMYFUNCTION("""COMPUTED_VALUE"""),2.0)</f>
        <v>2</v>
      </c>
      <c r="D1" s="1">
        <f>IFERROR(__xludf.DUMMYFUNCTION("""COMPUTED_VALUE"""),3.0)</f>
        <v>3</v>
      </c>
      <c r="E1" s="1">
        <f>IFERROR(__xludf.DUMMYFUNCTION("""COMPUTED_VALUE"""),4.0)</f>
        <v>4</v>
      </c>
      <c r="F1" s="1">
        <f>IFERROR(__xludf.DUMMYFUNCTION("""COMPUTED_VALUE"""),5.0)</f>
        <v>5</v>
      </c>
      <c r="G1" s="1">
        <f>IFERROR(__xludf.DUMMYFUNCTION("""COMPUTED_VALUE"""),6.0)</f>
        <v>6</v>
      </c>
      <c r="H1" s="1">
        <f>IFERROR(__xludf.DUMMYFUNCTION("""COMPUTED_VALUE"""),7.0)</f>
        <v>7</v>
      </c>
      <c r="I1" s="1">
        <f>IFERROR(__xludf.DUMMYFUNCTION("""COMPUTED_VALUE"""),8.0)</f>
        <v>8</v>
      </c>
      <c r="J1" s="1">
        <f>IFERROR(__xludf.DUMMYFUNCTION("""COMPUTED_VALUE"""),9.0)</f>
        <v>9</v>
      </c>
      <c r="K1" s="1">
        <f>IFERROR(__xludf.DUMMYFUNCTION("""COMPUTED_VALUE"""),10.0)</f>
        <v>10</v>
      </c>
      <c r="L1" s="1">
        <f>IFERROR(__xludf.DUMMYFUNCTION("""COMPUTED_VALUE"""),11.0)</f>
        <v>11</v>
      </c>
      <c r="M1" s="1">
        <f>IFERROR(__xludf.DUMMYFUNCTION("""COMPUTED_VALUE"""),12.0)</f>
        <v>12</v>
      </c>
      <c r="N1" s="1">
        <f>IFERROR(__xludf.DUMMYFUNCTION("""COMPUTED_VALUE"""),13.0)</f>
        <v>13</v>
      </c>
      <c r="O1" s="1">
        <f>IFERROR(__xludf.DUMMYFUNCTION("""COMPUTED_VALUE"""),14.0)</f>
        <v>14</v>
      </c>
      <c r="P1" s="1">
        <f>IFERROR(__xludf.DUMMYFUNCTION("""COMPUTED_VALUE"""),15.0)</f>
        <v>15</v>
      </c>
      <c r="Q1" s="1">
        <f>IFERROR(__xludf.DUMMYFUNCTION("""COMPUTED_VALUE"""),16.0)</f>
        <v>16</v>
      </c>
      <c r="R1" s="1">
        <f>IFERROR(__xludf.DUMMYFUNCTION("""COMPUTED_VALUE"""),17.0)</f>
        <v>17</v>
      </c>
      <c r="S1" s="1">
        <f>IFERROR(__xludf.DUMMYFUNCTION("""COMPUTED_VALUE"""),18.0)</f>
        <v>18</v>
      </c>
      <c r="T1" s="1">
        <f>IFERROR(__xludf.DUMMYFUNCTION("""COMPUTED_VALUE"""),19.0)</f>
        <v>19</v>
      </c>
      <c r="U1" s="1">
        <f>IFERROR(__xludf.DUMMYFUNCTION("""COMPUTED_VALUE"""),20.0)</f>
        <v>20</v>
      </c>
      <c r="V1" s="1">
        <f>IFERROR(__xludf.DUMMYFUNCTION("""COMPUTED_VALUE"""),21.0)</f>
        <v>21</v>
      </c>
      <c r="W1" s="1">
        <f>IFERROR(__xludf.DUMMYFUNCTION("""COMPUTED_VALUE"""),22.0)</f>
        <v>22</v>
      </c>
      <c r="X1" s="1">
        <f>IFERROR(__xludf.DUMMYFUNCTION("""COMPUTED_VALUE"""),23.0)</f>
        <v>23</v>
      </c>
      <c r="Y1" s="1">
        <f>IFERROR(__xludf.DUMMYFUNCTION("""COMPUTED_VALUE"""),24.0)</f>
        <v>24</v>
      </c>
      <c r="Z1" s="1">
        <f>IFERROR(__xludf.DUMMYFUNCTION("""COMPUTED_VALUE"""),25.0)</f>
        <v>25</v>
      </c>
      <c r="AA1" s="1">
        <f>IFERROR(__xludf.DUMMYFUNCTION("""COMPUTED_VALUE"""),26.0)</f>
        <v>26</v>
      </c>
      <c r="AB1" s="1">
        <f>IFERROR(__xludf.DUMMYFUNCTION("""COMPUTED_VALUE"""),27.0)</f>
        <v>27</v>
      </c>
      <c r="AC1" s="1">
        <f>IFERROR(__xludf.DUMMYFUNCTION("""COMPUTED_VALUE"""),28.0)</f>
        <v>28</v>
      </c>
      <c r="AD1" s="1">
        <f>IFERROR(__xludf.DUMMYFUNCTION("""COMPUTED_VALUE"""),29.0)</f>
        <v>29</v>
      </c>
      <c r="AE1" s="1">
        <f>IFERROR(__xludf.DUMMYFUNCTION("""COMPUTED_VALUE"""),30.0)</f>
        <v>30</v>
      </c>
      <c r="AF1" s="1">
        <f>IFERROR(__xludf.DUMMYFUNCTION("""COMPUTED_VALUE"""),31.0)</f>
        <v>31</v>
      </c>
      <c r="AG1" s="1">
        <f>IFERROR(__xludf.DUMMYFUNCTION("""COMPUTED_VALUE"""),32.0)</f>
        <v>32</v>
      </c>
      <c r="AH1" s="1">
        <f>IFERROR(__xludf.DUMMYFUNCTION("""COMPUTED_VALUE"""),33.0)</f>
        <v>33</v>
      </c>
      <c r="AI1" s="1">
        <f>IFERROR(__xludf.DUMMYFUNCTION("""COMPUTED_VALUE"""),34.0)</f>
        <v>34</v>
      </c>
      <c r="AJ1" s="1">
        <f>IFERROR(__xludf.DUMMYFUNCTION("""COMPUTED_VALUE"""),35.0)</f>
        <v>35</v>
      </c>
      <c r="AK1" s="1">
        <f>IFERROR(__xludf.DUMMYFUNCTION("""COMPUTED_VALUE"""),36.0)</f>
        <v>36</v>
      </c>
      <c r="AL1" s="1">
        <f>IFERROR(__xludf.DUMMYFUNCTION("""COMPUTED_VALUE"""),37.0)</f>
        <v>37</v>
      </c>
      <c r="AM1" s="1">
        <f>IFERROR(__xludf.DUMMYFUNCTION("""COMPUTED_VALUE"""),38.0)</f>
        <v>38</v>
      </c>
    </row>
    <row r="2">
      <c r="A2" s="1" t="str">
        <f>IFERROR(__xludf.DUMMYFUNCTION("""COMPUTED_VALUE"""),"Arsenal")</f>
        <v>Arsenal</v>
      </c>
      <c r="B2" s="2">
        <f>IFERROR(__xludf.DUMMYFUNCTION("""COMPUTED_VALUE"""),2.3636915516074923)</f>
        <v>2.363691552</v>
      </c>
      <c r="C2" s="2">
        <f>IFERROR(__xludf.DUMMYFUNCTION("""COMPUTED_VALUE"""),1.6246471032707117)</f>
        <v>1.624647103</v>
      </c>
      <c r="D2" s="2">
        <f>IFERROR(__xludf.DUMMYFUNCTION("""COMPUTED_VALUE"""),2.1190844516265632)</f>
        <v>2.119084452</v>
      </c>
      <c r="E2" s="2">
        <f>IFERROR(__xludf.DUMMYFUNCTION("""COMPUTED_VALUE"""),1.799423018135811)</f>
        <v>1.799423018</v>
      </c>
      <c r="F2" s="2">
        <f>IFERROR(__xludf.DUMMYFUNCTION("""COMPUTED_VALUE"""),1.2962552420814606)</f>
        <v>1.296255242</v>
      </c>
      <c r="G2" s="2">
        <f>IFERROR(__xludf.DUMMYFUNCTION("""COMPUTED_VALUE"""),2.747884684955547)</f>
        <v>2.747884685</v>
      </c>
      <c r="H2" s="2">
        <f>IFERROR(__xludf.DUMMYFUNCTION("""COMPUTED_VALUE"""),2.91546492866381)</f>
        <v>2.915464929</v>
      </c>
      <c r="I2" s="2">
        <f>IFERROR(__xludf.DUMMYFUNCTION("""COMPUTED_VALUE"""),1.555955535218759)</f>
        <v>1.555955535</v>
      </c>
      <c r="J2" s="2">
        <f>IFERROR(__xludf.DUMMYFUNCTION("""COMPUTED_VALUE"""),1.4696538361890068)</f>
        <v>1.469653836</v>
      </c>
      <c r="K2" s="2">
        <f>IFERROR(__xludf.DUMMYFUNCTION("""COMPUTED_VALUE"""),1.5936105858814513)</f>
        <v>1.593610586</v>
      </c>
      <c r="L2" s="2">
        <f>IFERROR(__xludf.DUMMYFUNCTION("""COMPUTED_VALUE"""),1.4946876551682782)</f>
        <v>1.494687655</v>
      </c>
      <c r="M2" s="2">
        <f>IFERROR(__xludf.DUMMYFUNCTION("""COMPUTED_VALUE"""),2.016587548606931)</f>
        <v>2.016587549</v>
      </c>
      <c r="N2" s="2">
        <f>IFERROR(__xludf.DUMMYFUNCTION("""COMPUTED_VALUE"""),1.7761625752868577)</f>
        <v>1.776162575</v>
      </c>
      <c r="O2" s="2">
        <f>IFERROR(__xludf.DUMMYFUNCTION("""COMPUTED_VALUE"""),2.1077053564769264)</f>
        <v>2.107705356</v>
      </c>
      <c r="P2" s="2">
        <f>IFERROR(__xludf.DUMMYFUNCTION("""COMPUTED_VALUE"""),1.5305941923050808)</f>
        <v>1.530594192</v>
      </c>
      <c r="Q2" s="2">
        <f>IFERROR(__xludf.DUMMYFUNCTION("""COMPUTED_VALUE"""),1.8629698365869933)</f>
        <v>1.862969837</v>
      </c>
      <c r="R2" s="2">
        <f>IFERROR(__xludf.DUMMYFUNCTION("""COMPUTED_VALUE"""),1.56937181031911)</f>
        <v>1.56937181</v>
      </c>
      <c r="S2" s="2">
        <f>IFERROR(__xludf.DUMMYFUNCTION("""COMPUTED_VALUE"""),2.7427047618285347)</f>
        <v>2.742704762</v>
      </c>
      <c r="T2" s="2">
        <f>IFERROR(__xludf.DUMMYFUNCTION("""COMPUTED_VALUE"""),1.6667585396996023)</f>
        <v>1.66675854</v>
      </c>
      <c r="U2" s="2">
        <f>IFERROR(__xludf.DUMMYFUNCTION("""COMPUTED_VALUE"""),1.6595539600803222)</f>
        <v>1.65955396</v>
      </c>
      <c r="V2" s="2">
        <f>IFERROR(__xludf.DUMMYFUNCTION("""COMPUTED_VALUE"""),2.297683251857617)</f>
        <v>2.297683252</v>
      </c>
      <c r="W2" s="2">
        <f>IFERROR(__xludf.DUMMYFUNCTION("""COMPUTED_VALUE"""),2.0745118861663716)</f>
        <v>2.074511886</v>
      </c>
      <c r="X2" s="2">
        <f>IFERROR(__xludf.DUMMYFUNCTION("""COMPUTED_VALUE"""),1.8511171991600694)</f>
        <v>1.851117199</v>
      </c>
      <c r="Y2" s="2">
        <f>IFERROR(__xludf.DUMMYFUNCTION("""COMPUTED_VALUE"""),1.655188318613817)</f>
        <v>1.655188319</v>
      </c>
      <c r="Z2" s="2">
        <f>IFERROR(__xludf.DUMMYFUNCTION("""COMPUTED_VALUE"""),2.1519967773165853)</f>
        <v>2.151996777</v>
      </c>
      <c r="AA2" s="2">
        <f>IFERROR(__xludf.DUMMYFUNCTION("""COMPUTED_VALUE"""),2.2679819923837883)</f>
        <v>2.267981992</v>
      </c>
      <c r="AB2" s="2">
        <f>IFERROR(__xludf.DUMMYFUNCTION("""COMPUTED_VALUE"""),1.5792838504244118)</f>
        <v>1.57928385</v>
      </c>
      <c r="AC2" s="2">
        <f>IFERROR(__xludf.DUMMYFUNCTION("""COMPUTED_VALUE"""),1.6506424594540894)</f>
        <v>1.650642459</v>
      </c>
      <c r="AD2" s="2">
        <f>IFERROR(__xludf.DUMMYFUNCTION("""COMPUTED_VALUE"""),1.9085666668843744)</f>
        <v>1.908566667</v>
      </c>
      <c r="AE2" s="2">
        <f>IFERROR(__xludf.DUMMYFUNCTION("""COMPUTED_VALUE"""),1.9544157241543572)</f>
        <v>1.954415724</v>
      </c>
      <c r="AF2" s="2">
        <f>IFERROR(__xludf.DUMMYFUNCTION("""COMPUTED_VALUE"""),1.4589786487485266)</f>
        <v>1.458978649</v>
      </c>
      <c r="AG2" s="2">
        <f>IFERROR(__xludf.DUMMYFUNCTION("""COMPUTED_VALUE"""),2.128283979342422)</f>
        <v>2.128283979</v>
      </c>
      <c r="AH2" s="2">
        <f>IFERROR(__xludf.DUMMYFUNCTION("""COMPUTED_VALUE"""),2.1479401376995346)</f>
        <v>2.147940138</v>
      </c>
      <c r="AI2" s="2">
        <f>IFERROR(__xludf.DUMMYFUNCTION("""COMPUTED_VALUE"""),2.0039308645964713)</f>
        <v>2.003930865</v>
      </c>
      <c r="AJ2" s="2">
        <f>IFERROR(__xludf.DUMMYFUNCTION("""COMPUTED_VALUE"""),1.9867996229208331)</f>
        <v>1.986799623</v>
      </c>
      <c r="AK2" s="2">
        <f>IFERROR(__xludf.DUMMYFUNCTION("""COMPUTED_VALUE"""),1.150954527518997)</f>
        <v>1.150954528</v>
      </c>
      <c r="AL2" s="2">
        <f>IFERROR(__xludf.DUMMYFUNCTION("""COMPUTED_VALUE"""),2.034881357112025)</f>
        <v>2.034881357</v>
      </c>
      <c r="AM2" s="2">
        <f>IFERROR(__xludf.DUMMYFUNCTION("""COMPUTED_VALUE"""),2.2832366893756837)</f>
        <v>2.283236689</v>
      </c>
    </row>
    <row r="3">
      <c r="A3" s="1" t="str">
        <f>IFERROR(__xludf.DUMMYFUNCTION("""COMPUTED_VALUE"""),"Aston Villa")</f>
        <v>Aston Villa</v>
      </c>
      <c r="B3" s="2">
        <f>IFERROR(__xludf.DUMMYFUNCTION("""COMPUTED_VALUE"""),1.5406797419007359)</f>
        <v>1.540679742</v>
      </c>
      <c r="C3" s="2">
        <f>IFERROR(__xludf.DUMMYFUNCTION("""COMPUTED_VALUE"""),0.9491310762076516)</f>
        <v>0.9491310762</v>
      </c>
      <c r="D3" s="2">
        <f>IFERROR(__xludf.DUMMYFUNCTION("""COMPUTED_VALUE"""),1.8666860148834394)</f>
        <v>1.866686015</v>
      </c>
      <c r="E3" s="2">
        <f>IFERROR(__xludf.DUMMYFUNCTION("""COMPUTED_VALUE"""),1.6159781356378082)</f>
        <v>1.615978136</v>
      </c>
      <c r="F3" s="2">
        <f>IFERROR(__xludf.DUMMYFUNCTION("""COMPUTED_VALUE"""),2.050314391448898)</f>
        <v>2.050314391</v>
      </c>
      <c r="G3" s="2">
        <f>IFERROR(__xludf.DUMMYFUNCTION("""COMPUTED_VALUE"""),1.8631672027177386)</f>
        <v>1.863167203</v>
      </c>
      <c r="H3" s="2">
        <f>IFERROR(__xludf.DUMMYFUNCTION("""COMPUTED_VALUE"""),1.8282667306483567)</f>
        <v>1.828266731</v>
      </c>
      <c r="I3" s="2">
        <f>IFERROR(__xludf.DUMMYFUNCTION("""COMPUTED_VALUE"""),1.3276687044115343)</f>
        <v>1.327668704</v>
      </c>
      <c r="J3" s="2">
        <f>IFERROR(__xludf.DUMMYFUNCTION("""COMPUTED_VALUE"""),1.723390624732525)</f>
        <v>1.723390625</v>
      </c>
      <c r="K3" s="2">
        <f>IFERROR(__xludf.DUMMYFUNCTION("""COMPUTED_VALUE"""),1.560856325724564)</f>
        <v>1.560856326</v>
      </c>
      <c r="L3" s="2">
        <f>IFERROR(__xludf.DUMMYFUNCTION("""COMPUTED_VALUE"""),0.9983614952088852)</f>
        <v>0.9983614952</v>
      </c>
      <c r="M3" s="2">
        <f>IFERROR(__xludf.DUMMYFUNCTION("""COMPUTED_VALUE"""),1.7382506141110303)</f>
        <v>1.738250614</v>
      </c>
      <c r="N3" s="2">
        <f>IFERROR(__xludf.DUMMYFUNCTION("""COMPUTED_VALUE"""),1.2965226397786032)</f>
        <v>1.29652264</v>
      </c>
      <c r="O3" s="2">
        <f>IFERROR(__xludf.DUMMYFUNCTION("""COMPUTED_VALUE"""),1.8461170489729413)</f>
        <v>1.846117049</v>
      </c>
      <c r="P3" s="2">
        <f>IFERROR(__xludf.DUMMYFUNCTION("""COMPUTED_VALUE"""),2.5289339029615356)</f>
        <v>2.528933903</v>
      </c>
      <c r="Q3" s="2">
        <f>IFERROR(__xludf.DUMMYFUNCTION("""COMPUTED_VALUE"""),1.3699031096108505)</f>
        <v>1.36990311</v>
      </c>
      <c r="R3" s="2">
        <f>IFERROR(__xludf.DUMMYFUNCTION("""COMPUTED_VALUE"""),1.4357441976319052)</f>
        <v>1.435744198</v>
      </c>
      <c r="S3" s="2">
        <f>IFERROR(__xludf.DUMMYFUNCTION("""COMPUTED_VALUE"""),1.3823304129407086)</f>
        <v>1.382330413</v>
      </c>
      <c r="T3" s="2">
        <f>IFERROR(__xludf.DUMMYFUNCTION("""COMPUTED_VALUE"""),1.83813719049372)</f>
        <v>1.83813719</v>
      </c>
      <c r="U3" s="2">
        <f>IFERROR(__xludf.DUMMYFUNCTION("""COMPUTED_VALUE"""),2.3835713724046634)</f>
        <v>2.383571372</v>
      </c>
      <c r="V3" s="2">
        <f>IFERROR(__xludf.DUMMYFUNCTION("""COMPUTED_VALUE"""),1.2655479173293198)</f>
        <v>1.265547917</v>
      </c>
      <c r="W3" s="2">
        <f>IFERROR(__xludf.DUMMYFUNCTION("""COMPUTED_VALUE"""),0.7433088544190241)</f>
        <v>0.7433088544</v>
      </c>
      <c r="X3" s="2">
        <f>IFERROR(__xludf.DUMMYFUNCTION("""COMPUTED_VALUE"""),1.9672939624330492)</f>
        <v>1.967293962</v>
      </c>
      <c r="Y3" s="2">
        <f>IFERROR(__xludf.DUMMYFUNCTION("""COMPUTED_VALUE"""),1.605696915536767)</f>
        <v>1.605696916</v>
      </c>
      <c r="Z3" s="2">
        <f>IFERROR(__xludf.DUMMYFUNCTION("""COMPUTED_VALUE"""),2.37907820115028)</f>
        <v>2.379078201</v>
      </c>
      <c r="AA3" s="2">
        <f>IFERROR(__xludf.DUMMYFUNCTION("""COMPUTED_VALUE"""),1.6555297587332982)</f>
        <v>1.655529759</v>
      </c>
      <c r="AB3" s="2">
        <f>IFERROR(__xludf.DUMMYFUNCTION("""COMPUTED_VALUE"""),1.3613052033135176)</f>
        <v>1.361305203</v>
      </c>
      <c r="AC3" s="2">
        <f>IFERROR(__xludf.DUMMYFUNCTION("""COMPUTED_VALUE"""),1.4457804440229787)</f>
        <v>1.445780444</v>
      </c>
      <c r="AD3" s="2">
        <f>IFERROR(__xludf.DUMMYFUNCTION("""COMPUTED_VALUE"""),1.2748077932322253)</f>
        <v>1.274807793</v>
      </c>
      <c r="AE3" s="2">
        <f>IFERROR(__xludf.DUMMYFUNCTION("""COMPUTED_VALUE"""),1.4395310443211844)</f>
        <v>1.439531044</v>
      </c>
      <c r="AF3" s="2">
        <f>IFERROR(__xludf.DUMMYFUNCTION("""COMPUTED_VALUE"""),1.7492292806620948)</f>
        <v>1.749229281</v>
      </c>
      <c r="AG3" s="2">
        <f>IFERROR(__xludf.DUMMYFUNCTION("""COMPUTED_VALUE"""),1.980526198575876)</f>
        <v>1.980526199</v>
      </c>
      <c r="AH3" s="2">
        <f>IFERROR(__xludf.DUMMYFUNCTION("""COMPUTED_VALUE"""),1.7650977042839906)</f>
        <v>1.765097704</v>
      </c>
      <c r="AI3" s="2">
        <f>IFERROR(__xludf.DUMMYFUNCTION("""COMPUTED_VALUE"""),1.1243983065485985)</f>
        <v>1.124398307</v>
      </c>
      <c r="AJ3" s="2">
        <f>IFERROR(__xludf.DUMMYFUNCTION("""COMPUTED_VALUE"""),1.695300168663088)</f>
        <v>1.695300169</v>
      </c>
      <c r="AK3" s="2">
        <f>IFERROR(__xludf.DUMMYFUNCTION("""COMPUTED_VALUE"""),1.3496676519167714)</f>
        <v>1.349667652</v>
      </c>
      <c r="AL3" s="2">
        <f>IFERROR(__xludf.DUMMYFUNCTION("""COMPUTED_VALUE"""),1.9930574423176957)</f>
        <v>1.993057442</v>
      </c>
      <c r="AM3" s="2">
        <f>IFERROR(__xludf.DUMMYFUNCTION("""COMPUTED_VALUE"""),1.4318010264299137)</f>
        <v>1.431801026</v>
      </c>
    </row>
    <row r="4">
      <c r="A4" s="1" t="str">
        <f>IFERROR(__xludf.DUMMYFUNCTION("""COMPUTED_VALUE"""),"Bournemouth")</f>
        <v>Bournemouth</v>
      </c>
      <c r="B4" s="2">
        <f>IFERROR(__xludf.DUMMYFUNCTION("""COMPUTED_VALUE"""),1.346938253484662)</f>
        <v>1.346938253</v>
      </c>
      <c r="C4" s="2">
        <f>IFERROR(__xludf.DUMMYFUNCTION("""COMPUTED_VALUE"""),1.73550786355499)</f>
        <v>1.735507864</v>
      </c>
      <c r="D4" s="2">
        <f>IFERROR(__xludf.DUMMYFUNCTION("""COMPUTED_VALUE"""),1.2443324564413443)</f>
        <v>1.244332456</v>
      </c>
      <c r="E4" s="2">
        <f>IFERROR(__xludf.DUMMYFUNCTION("""COMPUTED_VALUE"""),1.6277766990787845)</f>
        <v>1.627776699</v>
      </c>
      <c r="F4" s="2">
        <f>IFERROR(__xludf.DUMMYFUNCTION("""COMPUTED_VALUE"""),0.9816251085706277)</f>
        <v>0.9816251086</v>
      </c>
      <c r="G4" s="2">
        <f>IFERROR(__xludf.DUMMYFUNCTION("""COMPUTED_VALUE"""),2.4865392234935473)</f>
        <v>2.486539223</v>
      </c>
      <c r="H4" s="2">
        <f>IFERROR(__xludf.DUMMYFUNCTION("""COMPUTED_VALUE"""),1.835393162517593)</f>
        <v>1.835393163</v>
      </c>
      <c r="I4" s="2">
        <f>IFERROR(__xludf.DUMMYFUNCTION("""COMPUTED_VALUE"""),0.9332199811403552)</f>
        <v>0.9332199811</v>
      </c>
      <c r="J4" s="2">
        <f>IFERROR(__xludf.DUMMYFUNCTION("""COMPUTED_VALUE"""),1.385627625597698)</f>
        <v>1.385627626</v>
      </c>
      <c r="K4" s="2">
        <f>IFERROR(__xludf.DUMMYFUNCTION("""COMPUTED_VALUE"""),1.4116755910995842)</f>
        <v>1.411675591</v>
      </c>
      <c r="L4" s="2">
        <f>IFERROR(__xludf.DUMMYFUNCTION("""COMPUTED_VALUE"""),1.4215435913185006)</f>
        <v>1.421543591</v>
      </c>
      <c r="M4" s="2">
        <f>IFERROR(__xludf.DUMMYFUNCTION("""COMPUTED_VALUE"""),1.807322926460203)</f>
        <v>1.807322926</v>
      </c>
      <c r="N4" s="2">
        <f>IFERROR(__xludf.DUMMYFUNCTION("""COMPUTED_VALUE"""),1.5787792464046477)</f>
        <v>1.578779246</v>
      </c>
      <c r="O4" s="2">
        <f>IFERROR(__xludf.DUMMYFUNCTION("""COMPUTED_VALUE"""),1.9596461177554374)</f>
        <v>1.959646118</v>
      </c>
      <c r="P4" s="2">
        <f>IFERROR(__xludf.DUMMYFUNCTION("""COMPUTED_VALUE"""),1.8319333392063253)</f>
        <v>1.831933339</v>
      </c>
      <c r="Q4" s="2">
        <f>IFERROR(__xludf.DUMMYFUNCTION("""COMPUTED_VALUE"""),1.934314533093679)</f>
        <v>1.934314533</v>
      </c>
      <c r="R4" s="2">
        <f>IFERROR(__xludf.DUMMYFUNCTION("""COMPUTED_VALUE"""),1.4077985226450787)</f>
        <v>1.407798523</v>
      </c>
      <c r="S4" s="2">
        <f>IFERROR(__xludf.DUMMYFUNCTION("""COMPUTED_VALUE"""),1.7091108340899028)</f>
        <v>1.709110834</v>
      </c>
      <c r="T4" s="2">
        <f>IFERROR(__xludf.DUMMYFUNCTION("""COMPUTED_VALUE"""),1.305411859700294)</f>
        <v>1.30541186</v>
      </c>
      <c r="U4" s="2">
        <f>IFERROR(__xludf.DUMMYFUNCTION("""COMPUTED_VALUE"""),1.5888881136299522)</f>
        <v>1.588888114</v>
      </c>
      <c r="V4" s="2">
        <f>IFERROR(__xludf.DUMMYFUNCTION("""COMPUTED_VALUE"""),1.2747879231566956)</f>
        <v>1.274787923</v>
      </c>
      <c r="W4" s="2">
        <f>IFERROR(__xludf.DUMMYFUNCTION("""COMPUTED_VALUE"""),1.359157227312233)</f>
        <v>1.359157227</v>
      </c>
      <c r="X4" s="2">
        <f>IFERROR(__xludf.DUMMYFUNCTION("""COMPUTED_VALUE"""),1.7199054558745646)</f>
        <v>1.719905456</v>
      </c>
      <c r="Y4" s="2">
        <f>IFERROR(__xludf.DUMMYFUNCTION("""COMPUTED_VALUE"""),1.253437101133834)</f>
        <v>1.253437101</v>
      </c>
      <c r="Z4" s="2">
        <f>IFERROR(__xludf.DUMMYFUNCTION("""COMPUTED_VALUE"""),1.947324945957826)</f>
        <v>1.947324946</v>
      </c>
      <c r="AA4" s="2">
        <f>IFERROR(__xludf.DUMMYFUNCTION("""COMPUTED_VALUE"""),2.0159432197340945)</f>
        <v>2.01594322</v>
      </c>
      <c r="AB4" s="2">
        <f>IFERROR(__xludf.DUMMYFUNCTION("""COMPUTED_VALUE"""),1.415398955642731)</f>
        <v>1.415398956</v>
      </c>
      <c r="AC4" s="2">
        <f>IFERROR(__xludf.DUMMYFUNCTION("""COMPUTED_VALUE"""),1.534690357706506)</f>
        <v>1.534690358</v>
      </c>
      <c r="AD4" s="2">
        <f>IFERROR(__xludf.DUMMYFUNCTION("""COMPUTED_VALUE"""),1.815169011754593)</f>
        <v>1.815169012</v>
      </c>
      <c r="AE4" s="2">
        <f>IFERROR(__xludf.DUMMYFUNCTION("""COMPUTED_VALUE"""),2.3391956808325562)</f>
        <v>2.339195681</v>
      </c>
      <c r="AF4" s="2">
        <f>IFERROR(__xludf.DUMMYFUNCTION("""COMPUTED_VALUE"""),1.5148520111940478)</f>
        <v>1.514852011</v>
      </c>
      <c r="AG4" s="2">
        <f>IFERROR(__xludf.DUMMYFUNCTION("""COMPUTED_VALUE"""),1.666880403651305)</f>
        <v>1.666880404</v>
      </c>
      <c r="AH4" s="2">
        <f>IFERROR(__xludf.DUMMYFUNCTION("""COMPUTED_VALUE"""),1.3384844812357295)</f>
        <v>1.338484481</v>
      </c>
      <c r="AI4" s="2">
        <f>IFERROR(__xludf.DUMMYFUNCTION("""COMPUTED_VALUE"""),1.7976179335655007)</f>
        <v>1.797617934</v>
      </c>
      <c r="AJ4" s="2">
        <f>IFERROR(__xludf.DUMMYFUNCTION("""COMPUTED_VALUE"""),0.7308481330882257)</f>
        <v>0.7308481331</v>
      </c>
      <c r="AK4" s="2">
        <f>IFERROR(__xludf.DUMMYFUNCTION("""COMPUTED_VALUE"""),1.7693079151257003)</f>
        <v>1.769307915</v>
      </c>
      <c r="AL4" s="2">
        <f>IFERROR(__xludf.DUMMYFUNCTION("""COMPUTED_VALUE"""),1.1055490571693825)</f>
        <v>1.105549057</v>
      </c>
      <c r="AM4" s="2">
        <f>IFERROR(__xludf.DUMMYFUNCTION("""COMPUTED_VALUE"""),2.3436135292187137)</f>
        <v>2.343613529</v>
      </c>
    </row>
    <row r="5">
      <c r="A5" s="1" t="str">
        <f>IFERROR(__xludf.DUMMYFUNCTION("""COMPUTED_VALUE"""),"Brentford")</f>
        <v>Brentford</v>
      </c>
      <c r="B5" s="2">
        <f>IFERROR(__xludf.DUMMYFUNCTION("""COMPUTED_VALUE"""),1.5616629183354804)</f>
        <v>1.561662918</v>
      </c>
      <c r="C5" s="2">
        <f>IFERROR(__xludf.DUMMYFUNCTION("""COMPUTED_VALUE"""),0.8969386310034659)</f>
        <v>0.896938631</v>
      </c>
      <c r="D5" s="2">
        <f>IFERROR(__xludf.DUMMYFUNCTION("""COMPUTED_VALUE"""),2.2720212304922476)</f>
        <v>2.27202123</v>
      </c>
      <c r="E5" s="2">
        <f>IFERROR(__xludf.DUMMYFUNCTION("""COMPUTED_VALUE"""),1.01017144853659)</f>
        <v>1.010171449</v>
      </c>
      <c r="F5" s="2">
        <f>IFERROR(__xludf.DUMMYFUNCTION("""COMPUTED_VALUE"""),1.4022899948636067)</f>
        <v>1.402289995</v>
      </c>
      <c r="G5" s="2">
        <f>IFERROR(__xludf.DUMMYFUNCTION("""COMPUTED_VALUE"""),1.7674379089278593)</f>
        <v>1.767437909</v>
      </c>
      <c r="H5" s="2">
        <f>IFERROR(__xludf.DUMMYFUNCTION("""COMPUTED_VALUE"""),1.8420243491142527)</f>
        <v>1.842024349</v>
      </c>
      <c r="I5" s="2">
        <f>IFERROR(__xludf.DUMMYFUNCTION("""COMPUTED_VALUE"""),1.2863453355106667)</f>
        <v>1.286345336</v>
      </c>
      <c r="J5" s="2">
        <f>IFERROR(__xludf.DUMMYFUNCTION("""COMPUTED_VALUE"""),2.1373892673449424)</f>
        <v>2.137389267</v>
      </c>
      <c r="K5" s="2">
        <f>IFERROR(__xludf.DUMMYFUNCTION("""COMPUTED_VALUE"""),1.1927917451502579)</f>
        <v>1.192791745</v>
      </c>
      <c r="L5" s="2">
        <f>IFERROR(__xludf.DUMMYFUNCTION("""COMPUTED_VALUE"""),1.5483125451551787)</f>
        <v>1.548312545</v>
      </c>
      <c r="M5" s="2">
        <f>IFERROR(__xludf.DUMMYFUNCTION("""COMPUTED_VALUE"""),1.1369817665104853)</f>
        <v>1.136981767</v>
      </c>
      <c r="N5" s="2">
        <f>IFERROR(__xludf.DUMMYFUNCTION("""COMPUTED_VALUE"""),2.141425980392382)</f>
        <v>2.14142598</v>
      </c>
      <c r="O5" s="2">
        <f>IFERROR(__xludf.DUMMYFUNCTION("""COMPUTED_VALUE"""),1.2660871596834888)</f>
        <v>1.26608716</v>
      </c>
      <c r="P5" s="2">
        <f>IFERROR(__xludf.DUMMYFUNCTION("""COMPUTED_VALUE"""),1.5857826309062495)</f>
        <v>1.585782631</v>
      </c>
      <c r="Q5" s="2">
        <f>IFERROR(__xludf.DUMMYFUNCTION("""COMPUTED_VALUE"""),1.164809788006406)</f>
        <v>1.164809788</v>
      </c>
      <c r="R5" s="2">
        <f>IFERROR(__xludf.DUMMYFUNCTION("""COMPUTED_VALUE"""),1.5715262696303889)</f>
        <v>1.57152627</v>
      </c>
      <c r="S5" s="2">
        <f>IFERROR(__xludf.DUMMYFUNCTION("""COMPUTED_VALUE"""),1.293290066150121)</f>
        <v>1.293290066</v>
      </c>
      <c r="T5" s="2">
        <f>IFERROR(__xludf.DUMMYFUNCTION("""COMPUTED_VALUE"""),0.8527094967323624)</f>
        <v>0.8527094967</v>
      </c>
      <c r="U5" s="2">
        <f>IFERROR(__xludf.DUMMYFUNCTION("""COMPUTED_VALUE"""),1.7793258912148548)</f>
        <v>1.779325891</v>
      </c>
      <c r="V5" s="2">
        <f>IFERROR(__xludf.DUMMYFUNCTION("""COMPUTED_VALUE"""),1.2898879226363715)</f>
        <v>1.289887923</v>
      </c>
      <c r="W5" s="2">
        <f>IFERROR(__xludf.DUMMYFUNCTION("""COMPUTED_VALUE"""),1.1453009379283254)</f>
        <v>1.145300938</v>
      </c>
      <c r="X5" s="2">
        <f>IFERROR(__xludf.DUMMYFUNCTION("""COMPUTED_VALUE"""),1.2230111350422748)</f>
        <v>1.223011135</v>
      </c>
      <c r="Y5" s="2">
        <f>IFERROR(__xludf.DUMMYFUNCTION("""COMPUTED_VALUE"""),1.7905840944413394)</f>
        <v>1.790584094</v>
      </c>
      <c r="Z5" s="2">
        <f>IFERROR(__xludf.DUMMYFUNCTION("""COMPUTED_VALUE"""),1.3841631364459703)</f>
        <v>1.384163136</v>
      </c>
      <c r="AA5" s="2">
        <f>IFERROR(__xludf.DUMMYFUNCTION("""COMPUTED_VALUE"""),1.6770506542347734)</f>
        <v>1.677050654</v>
      </c>
      <c r="AB5" s="2">
        <f>IFERROR(__xludf.DUMMYFUNCTION("""COMPUTED_VALUE"""),1.4518120176572384)</f>
        <v>1.451812018</v>
      </c>
      <c r="AC5" s="2">
        <f>IFERROR(__xludf.DUMMYFUNCTION("""COMPUTED_VALUE"""),1.6166666941998467)</f>
        <v>1.616666694</v>
      </c>
      <c r="AD5" s="2">
        <f>IFERROR(__xludf.DUMMYFUNCTION("""COMPUTED_VALUE"""),1.212555834564319)</f>
        <v>1.212555835</v>
      </c>
      <c r="AE5" s="2">
        <f>IFERROR(__xludf.DUMMYFUNCTION("""COMPUTED_VALUE"""),1.2419004079460019)</f>
        <v>1.241900408</v>
      </c>
      <c r="AF5" s="2">
        <f>IFERROR(__xludf.DUMMYFUNCTION("""COMPUTED_VALUE"""),1.48734561830538)</f>
        <v>1.487345618</v>
      </c>
      <c r="AG5" s="2">
        <f>IFERROR(__xludf.DUMMYFUNCTION("""COMPUTED_VALUE"""),0.6677966142472884)</f>
        <v>0.6677966142</v>
      </c>
      <c r="AH5" s="2">
        <f>IFERROR(__xludf.DUMMYFUNCTION("""COMPUTED_VALUE"""),1.6514020854670892)</f>
        <v>1.651402085</v>
      </c>
      <c r="AI5" s="2">
        <f>IFERROR(__xludf.DUMMYFUNCTION("""COMPUTED_VALUE"""),1.2307355858958329)</f>
        <v>1.230735586</v>
      </c>
      <c r="AJ5" s="2">
        <f>IFERROR(__xludf.DUMMYFUNCTION("""COMPUTED_VALUE"""),1.6425343589135701)</f>
        <v>1.642534359</v>
      </c>
      <c r="AK5" s="2">
        <f>IFERROR(__xludf.DUMMYFUNCTION("""COMPUTED_VALUE"""),1.6738893157999397)</f>
        <v>1.673889316</v>
      </c>
      <c r="AL5" s="2">
        <f>IFERROR(__xludf.DUMMYFUNCTION("""COMPUTED_VALUE"""),1.523075779382364)</f>
        <v>1.523075779</v>
      </c>
      <c r="AM5" s="2">
        <f>IFERROR(__xludf.DUMMYFUNCTION("""COMPUTED_VALUE"""),1.4425752597026023)</f>
        <v>1.44257526</v>
      </c>
    </row>
    <row r="6">
      <c r="A6" s="1" t="str">
        <f>IFERROR(__xludf.DUMMYFUNCTION("""COMPUTED_VALUE"""),"Brighton")</f>
        <v>Brighton</v>
      </c>
      <c r="B6" s="2">
        <f>IFERROR(__xludf.DUMMYFUNCTION("""COMPUTED_VALUE"""),1.2284443141463157)</f>
        <v>1.228444314</v>
      </c>
      <c r="C6" s="2">
        <f>IFERROR(__xludf.DUMMYFUNCTION("""COMPUTED_VALUE"""),1.7746652175347186)</f>
        <v>1.774665218</v>
      </c>
      <c r="D6" s="2">
        <f>IFERROR(__xludf.DUMMYFUNCTION("""COMPUTED_VALUE"""),0.7215163672289874)</f>
        <v>0.7215163672</v>
      </c>
      <c r="E6" s="2">
        <f>IFERROR(__xludf.DUMMYFUNCTION("""COMPUTED_VALUE"""),2.3093278801169235)</f>
        <v>2.30932788</v>
      </c>
      <c r="F6" s="2">
        <f>IFERROR(__xludf.DUMMYFUNCTION("""COMPUTED_VALUE"""),1.6979450043284559)</f>
        <v>1.697945004</v>
      </c>
      <c r="G6" s="2">
        <f>IFERROR(__xludf.DUMMYFUNCTION("""COMPUTED_VALUE"""),1.2585109130905743)</f>
        <v>1.258510913</v>
      </c>
      <c r="H6" s="2">
        <f>IFERROR(__xludf.DUMMYFUNCTION("""COMPUTED_VALUE"""),1.9346245600474263)</f>
        <v>1.93462456</v>
      </c>
      <c r="I6" s="2">
        <f>IFERROR(__xludf.DUMMYFUNCTION("""COMPUTED_VALUE"""),1.3418029556969038)</f>
        <v>1.341802956</v>
      </c>
      <c r="J6" s="2">
        <f>IFERROR(__xludf.DUMMYFUNCTION("""COMPUTED_VALUE"""),1.9902028377581762)</f>
        <v>1.990202838</v>
      </c>
      <c r="K6" s="2">
        <f>IFERROR(__xludf.DUMMYFUNCTION("""COMPUTED_VALUE"""),0.9690913204140876)</f>
        <v>0.9690913204</v>
      </c>
      <c r="L6" s="2">
        <f>IFERROR(__xludf.DUMMYFUNCTION("""COMPUTED_VALUE"""),1.3936507436806294)</f>
        <v>1.393650744</v>
      </c>
      <c r="M6" s="2">
        <f>IFERROR(__xludf.DUMMYFUNCTION("""COMPUTED_VALUE"""),1.3100978084521833)</f>
        <v>1.310097808</v>
      </c>
      <c r="N6" s="2">
        <f>IFERROR(__xludf.DUMMYFUNCTION("""COMPUTED_VALUE"""),2.4547900805691403)</f>
        <v>2.454790081</v>
      </c>
      <c r="O6" s="2">
        <f>IFERROR(__xludf.DUMMYFUNCTION("""COMPUTED_VALUE"""),1.2887438307718744)</f>
        <v>1.288743831</v>
      </c>
      <c r="P6" s="2">
        <f>IFERROR(__xludf.DUMMYFUNCTION("""COMPUTED_VALUE"""),1.8119581170179369)</f>
        <v>1.811958117</v>
      </c>
      <c r="Q6" s="2">
        <f>IFERROR(__xludf.DUMMYFUNCTION("""COMPUTED_VALUE"""),1.6872882126598918)</f>
        <v>1.687288213</v>
      </c>
      <c r="R6" s="2">
        <f>IFERROR(__xludf.DUMMYFUNCTION("""COMPUTED_VALUE"""),1.495509765329471)</f>
        <v>1.495509765</v>
      </c>
      <c r="S6" s="2">
        <f>IFERROR(__xludf.DUMMYFUNCTION("""COMPUTED_VALUE"""),1.7919921964276335)</f>
        <v>1.791992196</v>
      </c>
      <c r="T6" s="2">
        <f>IFERROR(__xludf.DUMMYFUNCTION("""COMPUTED_VALUE"""),1.367935369183862)</f>
        <v>1.367935369</v>
      </c>
      <c r="U6" s="2">
        <f>IFERROR(__xludf.DUMMYFUNCTION("""COMPUTED_VALUE"""),0.9213042493146938)</f>
        <v>0.9213042493</v>
      </c>
      <c r="V6" s="2">
        <f>IFERROR(__xludf.DUMMYFUNCTION("""COMPUTED_VALUE"""),1.8085424701362083)</f>
        <v>1.80854247</v>
      </c>
      <c r="W6" s="2">
        <f>IFERROR(__xludf.DUMMYFUNCTION("""COMPUTED_VALUE"""),1.389823179211151)</f>
        <v>1.389823179</v>
      </c>
      <c r="X6" s="2">
        <f>IFERROR(__xludf.DUMMYFUNCTION("""COMPUTED_VALUE"""),1.5686005447334304)</f>
        <v>1.568600545</v>
      </c>
      <c r="Y6" s="2">
        <f>IFERROR(__xludf.DUMMYFUNCTION("""COMPUTED_VALUE"""),1.329739998690936)</f>
        <v>1.329739999</v>
      </c>
      <c r="Z6" s="2">
        <f>IFERROR(__xludf.DUMMYFUNCTION("""COMPUTED_VALUE"""),1.6069925849253544)</f>
        <v>1.606992585</v>
      </c>
      <c r="AA6" s="2">
        <f>IFERROR(__xludf.DUMMYFUNCTION("""COMPUTED_VALUE"""),1.922460709976616)</f>
        <v>1.92246071</v>
      </c>
      <c r="AB6" s="2">
        <f>IFERROR(__xludf.DUMMYFUNCTION("""COMPUTED_VALUE"""),1.6728638916125924)</f>
        <v>1.672863892</v>
      </c>
      <c r="AC6" s="2">
        <f>IFERROR(__xludf.DUMMYFUNCTION("""COMPUTED_VALUE"""),1.645596997512606)</f>
        <v>1.645596998</v>
      </c>
      <c r="AD6" s="2">
        <f>IFERROR(__xludf.DUMMYFUNCTION("""COMPUTED_VALUE"""),1.0914329576949091)</f>
        <v>1.091432958</v>
      </c>
      <c r="AE6" s="2">
        <f>IFERROR(__xludf.DUMMYFUNCTION("""COMPUTED_VALUE"""),1.7467166729108732)</f>
        <v>1.746716673</v>
      </c>
      <c r="AF6" s="2">
        <f>IFERROR(__xludf.DUMMYFUNCTION("""COMPUTED_VALUE"""),1.3213941676402947)</f>
        <v>1.321394168</v>
      </c>
      <c r="AG6" s="2">
        <f>IFERROR(__xludf.DUMMYFUNCTION("""COMPUTED_VALUE"""),2.3136893196202033)</f>
        <v>2.31368932</v>
      </c>
      <c r="AH6" s="2">
        <f>IFERROR(__xludf.DUMMYFUNCTION("""COMPUTED_VALUE"""),1.4033927452640254)</f>
        <v>1.403392745</v>
      </c>
      <c r="AI6" s="2">
        <f>IFERROR(__xludf.DUMMYFUNCTION("""COMPUTED_VALUE"""),1.9096164193492013)</f>
        <v>1.909616419</v>
      </c>
      <c r="AJ6" s="2">
        <f>IFERROR(__xludf.DUMMYFUNCTION("""COMPUTED_VALUE"""),1.7133481941293762)</f>
        <v>1.713348194</v>
      </c>
      <c r="AK6" s="2">
        <f>IFERROR(__xludf.DUMMYFUNCTION("""COMPUTED_VALUE"""),1.5586207516314325)</f>
        <v>1.558620752</v>
      </c>
      <c r="AL6" s="2">
        <f>IFERROR(__xludf.DUMMYFUNCTION("""COMPUTED_VALUE"""),1.2374327070367483)</f>
        <v>1.237432707</v>
      </c>
      <c r="AM6" s="2">
        <f>IFERROR(__xludf.DUMMYFUNCTION("""COMPUTED_VALUE"""),1.5150948077746311)</f>
        <v>1.515094808</v>
      </c>
    </row>
    <row r="7">
      <c r="A7" s="1" t="str">
        <f>IFERROR(__xludf.DUMMYFUNCTION("""COMPUTED_VALUE"""),"Chelsea")</f>
        <v>Chelsea</v>
      </c>
      <c r="B7" s="2">
        <f>IFERROR(__xludf.DUMMYFUNCTION("""COMPUTED_VALUE"""),1.5648680123478327)</f>
        <v>1.564868012</v>
      </c>
      <c r="C7" s="2">
        <f>IFERROR(__xludf.DUMMYFUNCTION("""COMPUTED_VALUE"""),1.750105446912815)</f>
        <v>1.750105447</v>
      </c>
      <c r="D7" s="2">
        <f>IFERROR(__xludf.DUMMYFUNCTION("""COMPUTED_VALUE"""),1.894580377168073)</f>
        <v>1.894580377</v>
      </c>
      <c r="E7" s="2">
        <f>IFERROR(__xludf.DUMMYFUNCTION("""COMPUTED_VALUE"""),1.4710501628832982)</f>
        <v>1.471050163</v>
      </c>
      <c r="F7" s="2">
        <f>IFERROR(__xludf.DUMMYFUNCTION("""COMPUTED_VALUE"""),1.6792409465066116)</f>
        <v>1.679240947</v>
      </c>
      <c r="G7" s="2">
        <f>IFERROR(__xludf.DUMMYFUNCTION("""COMPUTED_VALUE"""),2.00345026395015)</f>
        <v>2.003450264</v>
      </c>
      <c r="H7" s="2">
        <f>IFERROR(__xludf.DUMMYFUNCTION("""COMPUTED_VALUE"""),1.9065464113211836)</f>
        <v>1.906546411</v>
      </c>
      <c r="I7" s="2">
        <f>IFERROR(__xludf.DUMMYFUNCTION("""COMPUTED_VALUE"""),1.088149247748296)</f>
        <v>1.088149248</v>
      </c>
      <c r="J7" s="2">
        <f>IFERROR(__xludf.DUMMYFUNCTION("""COMPUTED_VALUE"""),1.923841963393236)</f>
        <v>1.923841963</v>
      </c>
      <c r="K7" s="2">
        <f>IFERROR(__xludf.DUMMYFUNCTION("""COMPUTED_VALUE"""),1.560570211603532)</f>
        <v>1.560570212</v>
      </c>
      <c r="L7" s="2">
        <f>IFERROR(__xludf.DUMMYFUNCTION("""COMPUTED_VALUE"""),1.0344912855175736)</f>
        <v>1.034491286</v>
      </c>
      <c r="M7" s="2">
        <f>IFERROR(__xludf.DUMMYFUNCTION("""COMPUTED_VALUE"""),2.034566630048856)</f>
        <v>2.03456663</v>
      </c>
      <c r="N7" s="2">
        <f>IFERROR(__xludf.DUMMYFUNCTION("""COMPUTED_VALUE"""),1.9613099339752817)</f>
        <v>1.961309934</v>
      </c>
      <c r="O7" s="2">
        <f>IFERROR(__xludf.DUMMYFUNCTION("""COMPUTED_VALUE"""),2.1586450433720126)</f>
        <v>2.158645043</v>
      </c>
      <c r="P7" s="2">
        <f>IFERROR(__xludf.DUMMYFUNCTION("""COMPUTED_VALUE"""),1.7012321136493664)</f>
        <v>1.701232114</v>
      </c>
      <c r="Q7" s="2">
        <f>IFERROR(__xludf.DUMMYFUNCTION("""COMPUTED_VALUE"""),2.012147791892657)</f>
        <v>2.012147792</v>
      </c>
      <c r="R7" s="2">
        <f>IFERROR(__xludf.DUMMYFUNCTION("""COMPUTED_VALUE"""),1.3793651105736937)</f>
        <v>1.379365111</v>
      </c>
      <c r="S7" s="2">
        <f>IFERROR(__xludf.DUMMYFUNCTION("""COMPUTED_VALUE"""),1.847767178613321)</f>
        <v>1.847767179</v>
      </c>
      <c r="T7" s="2">
        <f>IFERROR(__xludf.DUMMYFUNCTION("""COMPUTED_VALUE"""),2.030731353118155)</f>
        <v>2.030731353</v>
      </c>
      <c r="U7" s="2">
        <f>IFERROR(__xludf.DUMMYFUNCTION("""COMPUTED_VALUE"""),1.4837343387642519)</f>
        <v>1.483734339</v>
      </c>
      <c r="V7" s="2">
        <f>IFERROR(__xludf.DUMMYFUNCTION("""COMPUTED_VALUE"""),1.878383952985683)</f>
        <v>1.878383953</v>
      </c>
      <c r="W7" s="2">
        <f>IFERROR(__xludf.DUMMYFUNCTION("""COMPUTED_VALUE"""),2.2347096451629733)</f>
        <v>2.234709645</v>
      </c>
      <c r="X7" s="2">
        <f>IFERROR(__xludf.DUMMYFUNCTION("""COMPUTED_VALUE"""),1.2255211937879495)</f>
        <v>1.225521194</v>
      </c>
      <c r="Y7" s="2">
        <f>IFERROR(__xludf.DUMMYFUNCTION("""COMPUTED_VALUE"""),2.144222764594292)</f>
        <v>2.144222765</v>
      </c>
      <c r="Z7" s="2">
        <f>IFERROR(__xludf.DUMMYFUNCTION("""COMPUTED_VALUE"""),1.5689954295169162)</f>
        <v>1.56899543</v>
      </c>
      <c r="AA7" s="2">
        <f>IFERROR(__xludf.DUMMYFUNCTION("""COMPUTED_VALUE"""),1.5359933698608208)</f>
        <v>1.53599337</v>
      </c>
      <c r="AB7" s="2">
        <f>IFERROR(__xludf.DUMMYFUNCTION("""COMPUTED_VALUE"""),2.7563738558817223)</f>
        <v>2.756373856</v>
      </c>
      <c r="AC7" s="2">
        <f>IFERROR(__xludf.DUMMYFUNCTION("""COMPUTED_VALUE"""),2.5979381299093838)</f>
        <v>2.59793813</v>
      </c>
      <c r="AD7" s="2">
        <f>IFERROR(__xludf.DUMMYFUNCTION("""COMPUTED_VALUE"""),0.8101584192321826)</f>
        <v>0.8101584192</v>
      </c>
      <c r="AE7" s="2">
        <f>IFERROR(__xludf.DUMMYFUNCTION("""COMPUTED_VALUE"""),2.1723032859188756)</f>
        <v>2.172303286</v>
      </c>
      <c r="AF7" s="2">
        <f>IFERROR(__xludf.DUMMYFUNCTION("""COMPUTED_VALUE"""),1.5758068696786416)</f>
        <v>1.57580687</v>
      </c>
      <c r="AG7" s="2">
        <f>IFERROR(__xludf.DUMMYFUNCTION("""COMPUTED_VALUE"""),2.5930408647965715)</f>
        <v>2.593040865</v>
      </c>
      <c r="AH7" s="2">
        <f>IFERROR(__xludf.DUMMYFUNCTION("""COMPUTED_VALUE"""),1.4470727375779788)</f>
        <v>1.447072738</v>
      </c>
      <c r="AI7" s="2">
        <f>IFERROR(__xludf.DUMMYFUNCTION("""COMPUTED_VALUE"""),1.7613113096915491)</f>
        <v>1.76131131</v>
      </c>
      <c r="AJ7" s="2">
        <f>IFERROR(__xludf.DUMMYFUNCTION("""COMPUTED_VALUE"""),1.3894577744497987)</f>
        <v>1.389457774</v>
      </c>
      <c r="AK7" s="2">
        <f>IFERROR(__xludf.DUMMYFUNCTION("""COMPUTED_VALUE"""),1.5066504529667446)</f>
        <v>1.506650453</v>
      </c>
      <c r="AL7" s="2">
        <f>IFERROR(__xludf.DUMMYFUNCTION("""COMPUTED_VALUE"""),1.9926921031965499)</f>
        <v>1.992692103</v>
      </c>
      <c r="AM7" s="2">
        <f>IFERROR(__xludf.DUMMYFUNCTION("""COMPUTED_VALUE"""),1.4931054987243981)</f>
        <v>1.493105499</v>
      </c>
    </row>
    <row r="8">
      <c r="A8" s="1" t="str">
        <f>IFERROR(__xludf.DUMMYFUNCTION("""COMPUTED_VALUE"""),"Crystal Palace")</f>
        <v>Crystal Palace</v>
      </c>
      <c r="B8" s="2">
        <f>IFERROR(__xludf.DUMMYFUNCTION("""COMPUTED_VALUE"""),1.2870297547760265)</f>
        <v>1.287029755</v>
      </c>
      <c r="C8" s="2">
        <f>IFERROR(__xludf.DUMMYFUNCTION("""COMPUTED_VALUE"""),1.7512796472728624)</f>
        <v>1.751279647</v>
      </c>
      <c r="D8" s="2">
        <f>IFERROR(__xludf.DUMMYFUNCTION("""COMPUTED_VALUE"""),1.154160870023015)</f>
        <v>1.15416087</v>
      </c>
      <c r="E8" s="2">
        <f>IFERROR(__xludf.DUMMYFUNCTION("""COMPUTED_VALUE"""),2.121848646936307)</f>
        <v>2.121848647</v>
      </c>
      <c r="F8" s="2">
        <f>IFERROR(__xludf.DUMMYFUNCTION("""COMPUTED_VALUE"""),1.6275179898436392)</f>
        <v>1.62751799</v>
      </c>
      <c r="G8" s="2">
        <f>IFERROR(__xludf.DUMMYFUNCTION("""COMPUTED_VALUE"""),1.1265872577204248)</f>
        <v>1.126587258</v>
      </c>
      <c r="H8" s="2">
        <f>IFERROR(__xludf.DUMMYFUNCTION("""COMPUTED_VALUE"""),1.1348303736526135)</f>
        <v>1.134830374</v>
      </c>
      <c r="I8" s="2">
        <f>IFERROR(__xludf.DUMMYFUNCTION("""COMPUTED_VALUE"""),1.21948396142599)</f>
        <v>1.219483961</v>
      </c>
      <c r="J8" s="2">
        <f>IFERROR(__xludf.DUMMYFUNCTION("""COMPUTED_VALUE"""),1.7742142258495712)</f>
        <v>1.774214226</v>
      </c>
      <c r="K8" s="2">
        <f>IFERROR(__xludf.DUMMYFUNCTION("""COMPUTED_VALUE"""),1.429386955669088)</f>
        <v>1.429386956</v>
      </c>
      <c r="L8" s="2">
        <f>IFERROR(__xludf.DUMMYFUNCTION("""COMPUTED_VALUE"""),1.5091515239166784)</f>
        <v>1.509151524</v>
      </c>
      <c r="M8" s="2">
        <f>IFERROR(__xludf.DUMMYFUNCTION("""COMPUTED_VALUE"""),1.2545123442396993)</f>
        <v>1.254512344</v>
      </c>
      <c r="N8" s="2">
        <f>IFERROR(__xludf.DUMMYFUNCTION("""COMPUTED_VALUE"""),1.571285097188827)</f>
        <v>1.571285097</v>
      </c>
      <c r="O8" s="2">
        <f>IFERROR(__xludf.DUMMYFUNCTION("""COMPUTED_VALUE"""),1.6585862936063023)</f>
        <v>1.658586294</v>
      </c>
      <c r="P8" s="2">
        <f>IFERROR(__xludf.DUMMYFUNCTION("""COMPUTED_VALUE"""),1.2780955159813499)</f>
        <v>1.278095516</v>
      </c>
      <c r="Q8" s="2">
        <f>IFERROR(__xludf.DUMMYFUNCTION("""COMPUTED_VALUE"""),1.2814665564363692)</f>
        <v>1.281466556</v>
      </c>
      <c r="R8" s="2">
        <f>IFERROR(__xludf.DUMMYFUNCTION("""COMPUTED_VALUE"""),0.8449138604079949)</f>
        <v>0.8449138604</v>
      </c>
      <c r="S8" s="2">
        <f>IFERROR(__xludf.DUMMYFUNCTION("""COMPUTED_VALUE"""),1.2014704129225098)</f>
        <v>1.201470413</v>
      </c>
      <c r="T8" s="2">
        <f>IFERROR(__xludf.DUMMYFUNCTION("""COMPUTED_VALUE"""),2.251249969820199)</f>
        <v>2.25124997</v>
      </c>
      <c r="U8" s="2">
        <f>IFERROR(__xludf.DUMMYFUNCTION("""COMPUTED_VALUE"""),1.4737480149323878)</f>
        <v>1.473748015</v>
      </c>
      <c r="V8" s="2">
        <f>IFERROR(__xludf.DUMMYFUNCTION("""COMPUTED_VALUE"""),1.6617187304693457)</f>
        <v>1.66171873</v>
      </c>
      <c r="W8" s="2">
        <f>IFERROR(__xludf.DUMMYFUNCTION("""COMPUTED_VALUE"""),1.3715088474217736)</f>
        <v>1.371508847</v>
      </c>
      <c r="X8" s="2">
        <f>IFERROR(__xludf.DUMMYFUNCTION("""COMPUTED_VALUE"""),1.643408293873508)</f>
        <v>1.643408294</v>
      </c>
      <c r="Y8" s="2">
        <f>IFERROR(__xludf.DUMMYFUNCTION("""COMPUTED_VALUE"""),1.2745853158772333)</f>
        <v>1.274585316</v>
      </c>
      <c r="Z8" s="2">
        <f>IFERROR(__xludf.DUMMYFUNCTION("""COMPUTED_VALUE"""),1.4385392693832102)</f>
        <v>1.438539269</v>
      </c>
      <c r="AA8" s="2">
        <f>IFERROR(__xludf.DUMMYFUNCTION("""COMPUTED_VALUE"""),1.1818870106638568)</f>
        <v>1.181887011</v>
      </c>
      <c r="AB8" s="2">
        <f>IFERROR(__xludf.DUMMYFUNCTION("""COMPUTED_VALUE"""),1.6018868123596715)</f>
        <v>1.601886812</v>
      </c>
      <c r="AC8" s="2">
        <f>IFERROR(__xludf.DUMMYFUNCTION("""COMPUTED_VALUE"""),2.117848838305887)</f>
        <v>2.117848838</v>
      </c>
      <c r="AD8" s="2">
        <f>IFERROR(__xludf.DUMMYFUNCTION("""COMPUTED_VALUE"""),1.2305467124981027)</f>
        <v>1.230546712</v>
      </c>
      <c r="AE8" s="2">
        <f>IFERROR(__xludf.DUMMYFUNCTION("""COMPUTED_VALUE"""),1.7630589473100473)</f>
        <v>1.763058947</v>
      </c>
      <c r="AF8" s="2">
        <f>IFERROR(__xludf.DUMMYFUNCTION("""COMPUTED_VALUE"""),1.6363046459135995)</f>
        <v>1.636304646</v>
      </c>
      <c r="AG8" s="2">
        <f>IFERROR(__xludf.DUMMYFUNCTION("""COMPUTED_VALUE"""),1.0009362643757145)</f>
        <v>1.000936264</v>
      </c>
      <c r="AH8" s="2">
        <f>IFERROR(__xludf.DUMMYFUNCTION("""COMPUTED_VALUE"""),1.5341575702607524)</f>
        <v>1.53415757</v>
      </c>
      <c r="AI8" s="2">
        <f>IFERROR(__xludf.DUMMYFUNCTION("""COMPUTED_VALUE"""),0.6616914875150717)</f>
        <v>0.6616914875</v>
      </c>
      <c r="AJ8" s="2">
        <f>IFERROR(__xludf.DUMMYFUNCTION("""COMPUTED_VALUE"""),1.5571590703448466)</f>
        <v>1.55715907</v>
      </c>
      <c r="AK8" s="2">
        <f>IFERROR(__xludf.DUMMYFUNCTION("""COMPUTED_VALUE"""),1.3894699865686988)</f>
        <v>1.389469987</v>
      </c>
      <c r="AL8" s="2">
        <f>IFERROR(__xludf.DUMMYFUNCTION("""COMPUTED_VALUE"""),1.8251842036938581)</f>
        <v>1.825184204</v>
      </c>
      <c r="AM8" s="2">
        <f>IFERROR(__xludf.DUMMYFUNCTION("""COMPUTED_VALUE"""),0.88873864331789)</f>
        <v>0.8887386433</v>
      </c>
    </row>
    <row r="9">
      <c r="A9" s="1" t="str">
        <f>IFERROR(__xludf.DUMMYFUNCTION("""COMPUTED_VALUE"""),"Everton")</f>
        <v>Everton</v>
      </c>
      <c r="B9" s="2">
        <f>IFERROR(__xludf.DUMMYFUNCTION("""COMPUTED_VALUE"""),1.32014555760639)</f>
        <v>1.320145558</v>
      </c>
      <c r="C9" s="2">
        <f>IFERROR(__xludf.DUMMYFUNCTION("""COMPUTED_VALUE"""),1.1210031303015278)</f>
        <v>1.12100313</v>
      </c>
      <c r="D9" s="2">
        <f>IFERROR(__xludf.DUMMYFUNCTION("""COMPUTED_VALUE"""),1.2377348595237603)</f>
        <v>1.23773486</v>
      </c>
      <c r="E9" s="2">
        <f>IFERROR(__xludf.DUMMYFUNCTION("""COMPUTED_VALUE"""),1.012121368931116)</f>
        <v>1.012121369</v>
      </c>
      <c r="F9" s="2">
        <f>IFERROR(__xludf.DUMMYFUNCTION("""COMPUTED_VALUE"""),1.3406492522641593)</f>
        <v>1.340649252</v>
      </c>
      <c r="G9" s="2">
        <f>IFERROR(__xludf.DUMMYFUNCTION("""COMPUTED_VALUE"""),1.2484072669292396)</f>
        <v>1.248407267</v>
      </c>
      <c r="H9" s="2">
        <f>IFERROR(__xludf.DUMMYFUNCTION("""COMPUTED_VALUE"""),1.2676887803058183)</f>
        <v>1.26768878</v>
      </c>
      <c r="I9" s="2">
        <f>IFERROR(__xludf.DUMMYFUNCTION("""COMPUTED_VALUE"""),1.3381220501202575)</f>
        <v>1.33812205</v>
      </c>
      <c r="J9" s="2">
        <f>IFERROR(__xludf.DUMMYFUNCTION("""COMPUTED_VALUE"""),1.217560363853367)</f>
        <v>1.217560364</v>
      </c>
      <c r="K9" s="2">
        <f>IFERROR(__xludf.DUMMYFUNCTION("""COMPUTED_VALUE"""),1.4224089889997502)</f>
        <v>1.422408989</v>
      </c>
      <c r="L9" s="2">
        <f>IFERROR(__xludf.DUMMYFUNCTION("""COMPUTED_VALUE"""),1.1065123579911402)</f>
        <v>1.106512358</v>
      </c>
      <c r="M9" s="2">
        <f>IFERROR(__xludf.DUMMYFUNCTION("""COMPUTED_VALUE"""),1.325876672115227)</f>
        <v>1.325876672</v>
      </c>
      <c r="N9" s="2">
        <f>IFERROR(__xludf.DUMMYFUNCTION("""COMPUTED_VALUE"""),1.0283159353900129)</f>
        <v>1.028315935</v>
      </c>
      <c r="O9" s="2">
        <f>IFERROR(__xludf.DUMMYFUNCTION("""COMPUTED_VALUE"""),1.4725306955139152)</f>
        <v>1.472530696</v>
      </c>
      <c r="P9" s="2">
        <f>IFERROR(__xludf.DUMMYFUNCTION("""COMPUTED_VALUE"""),0.9155637858485934)</f>
        <v>0.9155637858</v>
      </c>
      <c r="Q9" s="2">
        <f>IFERROR(__xludf.DUMMYFUNCTION("""COMPUTED_VALUE"""),0.533842570165941)</f>
        <v>0.5338425702</v>
      </c>
      <c r="R9" s="2">
        <f>IFERROR(__xludf.DUMMYFUNCTION("""COMPUTED_VALUE"""),1.188997354375878)</f>
        <v>1.188997354</v>
      </c>
      <c r="S9" s="2">
        <f>IFERROR(__xludf.DUMMYFUNCTION("""COMPUTED_VALUE"""),0.8075400666756444)</f>
        <v>0.8075400667</v>
      </c>
      <c r="T9" s="2">
        <f>IFERROR(__xludf.DUMMYFUNCTION("""COMPUTED_VALUE"""),1.256292117935348)</f>
        <v>1.256292118</v>
      </c>
      <c r="U9" s="2">
        <f>IFERROR(__xludf.DUMMYFUNCTION("""COMPUTED_VALUE"""),0.9693279501321643)</f>
        <v>0.9693279501</v>
      </c>
      <c r="V9" s="2">
        <f>IFERROR(__xludf.DUMMYFUNCTION("""COMPUTED_VALUE"""),1.2923777759881416)</f>
        <v>1.292377776</v>
      </c>
      <c r="W9" s="2">
        <f>IFERROR(__xludf.DUMMYFUNCTION("""COMPUTED_VALUE"""),1.4314088970820207)</f>
        <v>1.431408897</v>
      </c>
      <c r="X9" s="2">
        <f>IFERROR(__xludf.DUMMYFUNCTION("""COMPUTED_VALUE"""),1.033867615010095)</f>
        <v>1.033867615</v>
      </c>
      <c r="Y9" s="2">
        <f>IFERROR(__xludf.DUMMYFUNCTION("""COMPUTED_VALUE"""),1.7118750302161045)</f>
        <v>1.71187503</v>
      </c>
      <c r="Z9" s="2">
        <f>IFERROR(__xludf.DUMMYFUNCTION("""COMPUTED_VALUE"""),0.9776860105953793)</f>
        <v>0.9776860106</v>
      </c>
      <c r="AA9" s="2">
        <f>IFERROR(__xludf.DUMMYFUNCTION("""COMPUTED_VALUE"""),1.3130566178995076)</f>
        <v>1.313056618</v>
      </c>
      <c r="AB9" s="2">
        <f>IFERROR(__xludf.DUMMYFUNCTION("""COMPUTED_VALUE"""),1.0383559183297262)</f>
        <v>1.038355918</v>
      </c>
      <c r="AC9" s="2">
        <f>IFERROR(__xludf.DUMMYFUNCTION("""COMPUTED_VALUE"""),1.1532075303578317)</f>
        <v>1.15320753</v>
      </c>
      <c r="AD9" s="2">
        <f>IFERROR(__xludf.DUMMYFUNCTION("""COMPUTED_VALUE"""),1.4129056299188867)</f>
        <v>1.41290563</v>
      </c>
      <c r="AE9" s="2">
        <f>IFERROR(__xludf.DUMMYFUNCTION("""COMPUTED_VALUE"""),0.7170207423044824)</f>
        <v>0.7170207423</v>
      </c>
      <c r="AF9" s="2">
        <f>IFERROR(__xludf.DUMMYFUNCTION("""COMPUTED_VALUE"""),0.68166357784489)</f>
        <v>0.6816635778</v>
      </c>
      <c r="AG9" s="2">
        <f>IFERROR(__xludf.DUMMYFUNCTION("""COMPUTED_VALUE"""),0.9838610055097096)</f>
        <v>0.9838610055</v>
      </c>
      <c r="AH9" s="2">
        <f>IFERROR(__xludf.DUMMYFUNCTION("""COMPUTED_VALUE"""),1.03114791113813)</f>
        <v>1.031147911</v>
      </c>
      <c r="AI9" s="2">
        <f>IFERROR(__xludf.DUMMYFUNCTION("""COMPUTED_VALUE"""),0.9311593346196868)</f>
        <v>0.9311593346</v>
      </c>
      <c r="AJ9" s="2">
        <f>IFERROR(__xludf.DUMMYFUNCTION("""COMPUTED_VALUE"""),1.7086480457985564)</f>
        <v>1.708648046</v>
      </c>
      <c r="AK9" s="2">
        <f>IFERROR(__xludf.DUMMYFUNCTION("""COMPUTED_VALUE"""),0.9535283607591566)</f>
        <v>0.9535283608</v>
      </c>
      <c r="AL9" s="2">
        <f>IFERROR(__xludf.DUMMYFUNCTION("""COMPUTED_VALUE"""),1.8162740380537807)</f>
        <v>1.816274038</v>
      </c>
      <c r="AM9" s="2">
        <f>IFERROR(__xludf.DUMMYFUNCTION("""COMPUTED_VALUE"""),0.9927862638466745)</f>
        <v>0.9927862638</v>
      </c>
    </row>
    <row r="10">
      <c r="A10" s="1" t="str">
        <f>IFERROR(__xludf.DUMMYFUNCTION("""COMPUTED_VALUE"""),"Fulham")</f>
        <v>Fulham</v>
      </c>
      <c r="B10" s="2">
        <f>IFERROR(__xludf.DUMMYFUNCTION("""COMPUTED_VALUE"""),1.2073064250972405)</f>
        <v>1.207306425</v>
      </c>
      <c r="C10" s="2">
        <f>IFERROR(__xludf.DUMMYFUNCTION("""COMPUTED_VALUE"""),2.009847024455154)</f>
        <v>2.009847024</v>
      </c>
      <c r="D10" s="2">
        <f>IFERROR(__xludf.DUMMYFUNCTION("""COMPUTED_VALUE"""),1.5710379398737544)</f>
        <v>1.57103794</v>
      </c>
      <c r="E10" s="2">
        <f>IFERROR(__xludf.DUMMYFUNCTION("""COMPUTED_VALUE"""),1.65883848178446)</f>
        <v>1.658838482</v>
      </c>
      <c r="F10" s="2">
        <f>IFERROR(__xludf.DUMMYFUNCTION("""COMPUTED_VALUE"""),1.4883449305941419)</f>
        <v>1.488344931</v>
      </c>
      <c r="G10" s="2">
        <f>IFERROR(__xludf.DUMMYFUNCTION("""COMPUTED_VALUE"""),1.1551135915286528)</f>
        <v>1.155113592</v>
      </c>
      <c r="H10" s="2">
        <f>IFERROR(__xludf.DUMMYFUNCTION("""COMPUTED_VALUE"""),0.9481019183575984)</f>
        <v>0.9481019184</v>
      </c>
      <c r="I10" s="2">
        <f>IFERROR(__xludf.DUMMYFUNCTION("""COMPUTED_VALUE"""),1.51733133651341)</f>
        <v>1.517331337</v>
      </c>
      <c r="J10" s="2">
        <f>IFERROR(__xludf.DUMMYFUNCTION("""COMPUTED_VALUE"""),1.0671204333955755)</f>
        <v>1.067120433</v>
      </c>
      <c r="K10" s="2">
        <f>IFERROR(__xludf.DUMMYFUNCTION("""COMPUTED_VALUE"""),1.5566611097241656)</f>
        <v>1.55666111</v>
      </c>
      <c r="L10" s="2">
        <f>IFERROR(__xludf.DUMMYFUNCTION("""COMPUTED_VALUE"""),1.1478637660825595)</f>
        <v>1.147863766</v>
      </c>
      <c r="M10" s="2">
        <f>IFERROR(__xludf.DUMMYFUNCTION("""COMPUTED_VALUE"""),1.728841991710055)</f>
        <v>1.728841992</v>
      </c>
      <c r="N10" s="2">
        <f>IFERROR(__xludf.DUMMYFUNCTION("""COMPUTED_VALUE"""),1.3161269170197651)</f>
        <v>1.316126917</v>
      </c>
      <c r="O10" s="2">
        <f>IFERROR(__xludf.DUMMYFUNCTION("""COMPUTED_VALUE"""),1.5499324272916966)</f>
        <v>1.549932427</v>
      </c>
      <c r="P10" s="2">
        <f>IFERROR(__xludf.DUMMYFUNCTION("""COMPUTED_VALUE"""),0.8003151453398176)</f>
        <v>0.8003151453</v>
      </c>
      <c r="Q10" s="2">
        <f>IFERROR(__xludf.DUMMYFUNCTION("""COMPUTED_VALUE"""),0.8418266403543296)</f>
        <v>0.8418266404</v>
      </c>
      <c r="R10" s="2">
        <f>IFERROR(__xludf.DUMMYFUNCTION("""COMPUTED_VALUE"""),2.1324179081674632)</f>
        <v>2.132417908</v>
      </c>
      <c r="S10" s="2">
        <f>IFERROR(__xludf.DUMMYFUNCTION("""COMPUTED_VALUE"""),1.093238574630512)</f>
        <v>1.093238575</v>
      </c>
      <c r="T10" s="2">
        <f>IFERROR(__xludf.DUMMYFUNCTION("""COMPUTED_VALUE"""),1.4531771774042463)</f>
        <v>1.453177177</v>
      </c>
      <c r="U10" s="2">
        <f>IFERROR(__xludf.DUMMYFUNCTION("""COMPUTED_VALUE"""),2.006058345424796)</f>
        <v>2.006058345</v>
      </c>
      <c r="V10" s="2">
        <f>IFERROR(__xludf.DUMMYFUNCTION("""COMPUTED_VALUE"""),1.2991138552623231)</f>
        <v>1.299113855</v>
      </c>
      <c r="W10" s="2">
        <f>IFERROR(__xludf.DUMMYFUNCTION("""COMPUTED_VALUE"""),1.5740050312907468)</f>
        <v>1.574005031</v>
      </c>
      <c r="X10" s="2">
        <f>IFERROR(__xludf.DUMMYFUNCTION("""COMPUTED_VALUE"""),1.5416095742066664)</f>
        <v>1.541609574</v>
      </c>
      <c r="Y10" s="2">
        <f>IFERROR(__xludf.DUMMYFUNCTION("""COMPUTED_VALUE"""),1.1655923961110048)</f>
        <v>1.165592396</v>
      </c>
      <c r="Z10" s="2">
        <f>IFERROR(__xludf.DUMMYFUNCTION("""COMPUTED_VALUE"""),1.4749645450229365)</f>
        <v>1.474964545</v>
      </c>
      <c r="AA10" s="2">
        <f>IFERROR(__xludf.DUMMYFUNCTION("""COMPUTED_VALUE"""),1.46570724291082)</f>
        <v>1.465707243</v>
      </c>
      <c r="AB10" s="2">
        <f>IFERROR(__xludf.DUMMYFUNCTION("""COMPUTED_VALUE"""),1.3539368718850773)</f>
        <v>1.353936872</v>
      </c>
      <c r="AC10" s="2">
        <f>IFERROR(__xludf.DUMMYFUNCTION("""COMPUTED_VALUE"""),1.2138244398869893)</f>
        <v>1.21382444</v>
      </c>
      <c r="AD10" s="2">
        <f>IFERROR(__xludf.DUMMYFUNCTION("""COMPUTED_VALUE"""),1.680562460342538)</f>
        <v>1.68056246</v>
      </c>
      <c r="AE10" s="2">
        <f>IFERROR(__xludf.DUMMYFUNCTION("""COMPUTED_VALUE"""),0.6267641517266958)</f>
        <v>0.6267641517</v>
      </c>
      <c r="AF10" s="2">
        <f>IFERROR(__xludf.DUMMYFUNCTION("""COMPUTED_VALUE"""),1.0749284370684433)</f>
        <v>1.074928437</v>
      </c>
      <c r="AG10" s="2">
        <f>IFERROR(__xludf.DUMMYFUNCTION("""COMPUTED_VALUE"""),1.13805088683863)</f>
        <v>1.138050887</v>
      </c>
      <c r="AH10" s="2">
        <f>IFERROR(__xludf.DUMMYFUNCTION("""COMPUTED_VALUE"""),1.3959563359457006)</f>
        <v>1.395956336</v>
      </c>
      <c r="AI10" s="2">
        <f>IFERROR(__xludf.DUMMYFUNCTION("""COMPUTED_VALUE"""),1.6699960123482367)</f>
        <v>1.669996012</v>
      </c>
      <c r="AJ10" s="2">
        <f>IFERROR(__xludf.DUMMYFUNCTION("""COMPUTED_VALUE"""),1.1882930037696062)</f>
        <v>1.188293004</v>
      </c>
      <c r="AK10" s="2">
        <f>IFERROR(__xludf.DUMMYFUNCTION("""COMPUTED_VALUE"""),1.36260608140281)</f>
        <v>1.362606081</v>
      </c>
      <c r="AL10" s="2">
        <f>IFERROR(__xludf.DUMMYFUNCTION("""COMPUTED_VALUE"""),1.2190939852174532)</f>
        <v>1.219093985</v>
      </c>
      <c r="AM10" s="2">
        <f>IFERROR(__xludf.DUMMYFUNCTION("""COMPUTED_VALUE"""),1.2106313395508173)</f>
        <v>1.21063134</v>
      </c>
    </row>
    <row r="11">
      <c r="A11" s="1" t="str">
        <f>IFERROR(__xludf.DUMMYFUNCTION("""COMPUTED_VALUE"""),"Ipswich")</f>
        <v>Ipswich</v>
      </c>
      <c r="B11" s="2">
        <f>IFERROR(__xludf.DUMMYFUNCTION("""COMPUTED_VALUE"""),0.8254286175359512)</f>
        <v>0.8254286175</v>
      </c>
      <c r="C11" s="2">
        <f>IFERROR(__xludf.DUMMYFUNCTION("""COMPUTED_VALUE"""),0.7280395873490751)</f>
        <v>0.7280395873</v>
      </c>
      <c r="D11" s="2">
        <f>IFERROR(__xludf.DUMMYFUNCTION("""COMPUTED_VALUE"""),1.0976943206316947)</f>
        <v>1.097694321</v>
      </c>
      <c r="E11" s="2">
        <f>IFERROR(__xludf.DUMMYFUNCTION("""COMPUTED_VALUE"""),0.9320857043095166)</f>
        <v>0.9320857043</v>
      </c>
      <c r="F11" s="2">
        <f>IFERROR(__xludf.DUMMYFUNCTION("""COMPUTED_VALUE"""),1.282376065445356)</f>
        <v>1.282376065</v>
      </c>
      <c r="G11" s="2">
        <f>IFERROR(__xludf.DUMMYFUNCTION("""COMPUTED_VALUE"""),1.1651461290371414)</f>
        <v>1.165146129</v>
      </c>
      <c r="H11" s="2">
        <f>IFERROR(__xludf.DUMMYFUNCTION("""COMPUTED_VALUE"""),0.9975787378882987)</f>
        <v>0.9975787379</v>
      </c>
      <c r="I11" s="2">
        <f>IFERROR(__xludf.DUMMYFUNCTION("""COMPUTED_VALUE"""),1.046333890920021)</f>
        <v>1.046333891</v>
      </c>
      <c r="J11" s="2">
        <f>IFERROR(__xludf.DUMMYFUNCTION("""COMPUTED_VALUE"""),0.936132144395361)</f>
        <v>0.9361321444</v>
      </c>
      <c r="K11" s="2">
        <f>IFERROR(__xludf.DUMMYFUNCTION("""COMPUTED_VALUE"""),1.5433448345446752)</f>
        <v>1.543344835</v>
      </c>
      <c r="L11" s="2">
        <f>IFERROR(__xludf.DUMMYFUNCTION("""COMPUTED_VALUE"""),1.0106429266865757)</f>
        <v>1.010642927</v>
      </c>
      <c r="M11" s="2">
        <f>IFERROR(__xludf.DUMMYFUNCTION("""COMPUTED_VALUE"""),1.183789186085671)</f>
        <v>1.183789186</v>
      </c>
      <c r="N11" s="2">
        <f>IFERROR(__xludf.DUMMYFUNCTION("""COMPUTED_VALUE"""),0.8870021315584322)</f>
        <v>0.8870021316</v>
      </c>
      <c r="O11" s="2">
        <f>IFERROR(__xludf.DUMMYFUNCTION("""COMPUTED_VALUE"""),1.1255044163942567)</f>
        <v>1.125504416</v>
      </c>
      <c r="P11" s="2">
        <f>IFERROR(__xludf.DUMMYFUNCTION("""COMPUTED_VALUE"""),1.115882683177362)</f>
        <v>1.115882683</v>
      </c>
      <c r="Q11" s="2">
        <f>IFERROR(__xludf.DUMMYFUNCTION("""COMPUTED_VALUE"""),1.0396768769453353)</f>
        <v>1.039676877</v>
      </c>
      <c r="R11" s="2">
        <f>IFERROR(__xludf.DUMMYFUNCTION("""COMPUTED_VALUE"""),1.1428877087179903)</f>
        <v>1.142887709</v>
      </c>
      <c r="S11" s="2">
        <f>IFERROR(__xludf.DUMMYFUNCTION("""COMPUTED_VALUE"""),0.48128698566369654)</f>
        <v>0.4812869857</v>
      </c>
      <c r="T11" s="2">
        <f>IFERROR(__xludf.DUMMYFUNCTION("""COMPUTED_VALUE"""),1.071943274347336)</f>
        <v>1.071943274</v>
      </c>
      <c r="U11" s="2">
        <f>IFERROR(__xludf.DUMMYFUNCTION("""COMPUTED_VALUE"""),0.859655666560964)</f>
        <v>0.8596556666</v>
      </c>
      <c r="V11" s="2">
        <f>IFERROR(__xludf.DUMMYFUNCTION("""COMPUTED_VALUE"""),1.1901802358328217)</f>
        <v>1.190180236</v>
      </c>
      <c r="W11" s="2">
        <f>IFERROR(__xludf.DUMMYFUNCTION("""COMPUTED_VALUE"""),0.9296337490860339)</f>
        <v>0.9296337491</v>
      </c>
      <c r="X11" s="2">
        <f>IFERROR(__xludf.DUMMYFUNCTION("""COMPUTED_VALUE"""),0.6464316841850978)</f>
        <v>0.6464316842</v>
      </c>
      <c r="Y11" s="2">
        <f>IFERROR(__xludf.DUMMYFUNCTION("""COMPUTED_VALUE"""),1.6374659979671748)</f>
        <v>1.637465998</v>
      </c>
      <c r="Z11" s="2">
        <f>IFERROR(__xludf.DUMMYFUNCTION("""COMPUTED_VALUE"""),0.9124803266012543)</f>
        <v>0.9124803266</v>
      </c>
      <c r="AA11" s="2">
        <f>IFERROR(__xludf.DUMMYFUNCTION("""COMPUTED_VALUE"""),1.2904899530860885)</f>
        <v>1.290489953</v>
      </c>
      <c r="AB11" s="2">
        <f>IFERROR(__xludf.DUMMYFUNCTION("""COMPUTED_VALUE"""),0.9270805748967587)</f>
        <v>0.9270805749</v>
      </c>
      <c r="AC11" s="2">
        <f>IFERROR(__xludf.DUMMYFUNCTION("""COMPUTED_VALUE"""),0.881435050821722)</f>
        <v>0.8814350508</v>
      </c>
      <c r="AD11" s="2">
        <f>IFERROR(__xludf.DUMMYFUNCTION("""COMPUTED_VALUE"""),1.1326130217869619)</f>
        <v>1.132613022</v>
      </c>
      <c r="AE11" s="2">
        <f>IFERROR(__xludf.DUMMYFUNCTION("""COMPUTED_VALUE"""),0.8738998223646036)</f>
        <v>0.8738998224</v>
      </c>
      <c r="AF11" s="2">
        <f>IFERROR(__xludf.DUMMYFUNCTION("""COMPUTED_VALUE"""),1.3275634041714985)</f>
        <v>1.327563404</v>
      </c>
      <c r="AG11" s="2">
        <f>IFERROR(__xludf.DUMMYFUNCTION("""COMPUTED_VALUE"""),0.8394888200699633)</f>
        <v>0.8394888201</v>
      </c>
      <c r="AH11" s="2">
        <f>IFERROR(__xludf.DUMMYFUNCTION("""COMPUTED_VALUE"""),0.614555351993974)</f>
        <v>0.614555352</v>
      </c>
      <c r="AI11" s="2">
        <f>IFERROR(__xludf.DUMMYFUNCTION("""COMPUTED_VALUE"""),0.8950487185511712)</f>
        <v>0.8950487186</v>
      </c>
      <c r="AJ11" s="2">
        <f>IFERROR(__xludf.DUMMYFUNCTION("""COMPUTED_VALUE"""),0.8194329163756138)</f>
        <v>0.8194329164</v>
      </c>
      <c r="AK11" s="2">
        <f>IFERROR(__xludf.DUMMYFUNCTION("""COMPUTED_VALUE"""),1.1953471351784362)</f>
        <v>1.195347135</v>
      </c>
      <c r="AL11" s="2">
        <f>IFERROR(__xludf.DUMMYFUNCTION("""COMPUTED_VALUE"""),1.2086653884757423)</f>
        <v>1.208665388</v>
      </c>
      <c r="AM11" s="2">
        <f>IFERROR(__xludf.DUMMYFUNCTION("""COMPUTED_VALUE"""),1.2738082904095682)</f>
        <v>1.27380829</v>
      </c>
    </row>
    <row r="12">
      <c r="A12" s="1" t="str">
        <f>IFERROR(__xludf.DUMMYFUNCTION("""COMPUTED_VALUE"""),"Leicester")</f>
        <v>Leicester</v>
      </c>
      <c r="B12" s="2">
        <f>IFERROR(__xludf.DUMMYFUNCTION("""COMPUTED_VALUE"""),1.164150687567386)</f>
        <v>1.164150688</v>
      </c>
      <c r="C12" s="2">
        <f>IFERROR(__xludf.DUMMYFUNCTION("""COMPUTED_VALUE"""),0.7754951775524475)</f>
        <v>0.7754951776</v>
      </c>
      <c r="D12" s="2">
        <f>IFERROR(__xludf.DUMMYFUNCTION("""COMPUTED_VALUE"""),1.0510780529451984)</f>
        <v>1.051078053</v>
      </c>
      <c r="E12" s="2">
        <f>IFERROR(__xludf.DUMMYFUNCTION("""COMPUTED_VALUE"""),0.7951423550460209)</f>
        <v>0.795142355</v>
      </c>
      <c r="F12" s="2">
        <f>IFERROR(__xludf.DUMMYFUNCTION("""COMPUTED_VALUE"""),0.9438975604782117)</f>
        <v>0.9438975605</v>
      </c>
      <c r="G12" s="2">
        <f>IFERROR(__xludf.DUMMYFUNCTION("""COMPUTED_VALUE"""),0.4341688782138469)</f>
        <v>0.4341688782</v>
      </c>
      <c r="H12" s="2">
        <f>IFERROR(__xludf.DUMMYFUNCTION("""COMPUTED_VALUE"""),1.0066375098534424)</f>
        <v>1.00663751</v>
      </c>
      <c r="I12" s="2">
        <f>IFERROR(__xludf.DUMMYFUNCTION("""COMPUTED_VALUE"""),1.1568311514073295)</f>
        <v>1.156831151</v>
      </c>
      <c r="J12" s="2">
        <f>IFERROR(__xludf.DUMMYFUNCTION("""COMPUTED_VALUE"""),1.021729944435381)</f>
        <v>1.021729944</v>
      </c>
      <c r="K12" s="2">
        <f>IFERROR(__xludf.DUMMYFUNCTION("""COMPUTED_VALUE"""),1.0882814183090246)</f>
        <v>1.088281418</v>
      </c>
      <c r="L12" s="2">
        <f>IFERROR(__xludf.DUMMYFUNCTION("""COMPUTED_VALUE"""),0.8363191717343279)</f>
        <v>0.8363191717</v>
      </c>
      <c r="M12" s="2">
        <f>IFERROR(__xludf.DUMMYFUNCTION("""COMPUTED_VALUE"""),0.9669997793322137)</f>
        <v>0.9669997793</v>
      </c>
      <c r="N12" s="2">
        <f>IFERROR(__xludf.DUMMYFUNCTION("""COMPUTED_VALUE"""),0.8444845904810315)</f>
        <v>0.8444845905</v>
      </c>
      <c r="O12" s="2">
        <f>IFERROR(__xludf.DUMMYFUNCTION("""COMPUTED_VALUE"""),1.1491021635333964)</f>
        <v>1.149102164</v>
      </c>
      <c r="P12" s="2">
        <f>IFERROR(__xludf.DUMMYFUNCTION("""COMPUTED_VALUE"""),1.073661314883141)</f>
        <v>1.073661315</v>
      </c>
      <c r="Q12" s="2">
        <f>IFERROR(__xludf.DUMMYFUNCTION("""COMPUTED_VALUE"""),0.8074232415493621)</f>
        <v>0.8074232415</v>
      </c>
      <c r="R12" s="2">
        <f>IFERROR(__xludf.DUMMYFUNCTION("""COMPUTED_VALUE"""),1.1975946391985979)</f>
        <v>1.197594639</v>
      </c>
      <c r="S12" s="2">
        <f>IFERROR(__xludf.DUMMYFUNCTION("""COMPUTED_VALUE"""),0.5831458724725327)</f>
        <v>0.5831458725</v>
      </c>
      <c r="T12" s="2">
        <f>IFERROR(__xludf.DUMMYFUNCTION("""COMPUTED_VALUE"""),0.8386223895786947)</f>
        <v>0.8386223896</v>
      </c>
      <c r="U12" s="2">
        <f>IFERROR(__xludf.DUMMYFUNCTION("""COMPUTED_VALUE"""),0.8231482911310194)</f>
        <v>0.8231482911</v>
      </c>
      <c r="V12" s="2">
        <f>IFERROR(__xludf.DUMMYFUNCTION("""COMPUTED_VALUE"""),1.015317273158264)</f>
        <v>1.015317273</v>
      </c>
      <c r="W12" s="2">
        <f>IFERROR(__xludf.DUMMYFUNCTION("""COMPUTED_VALUE"""),0.99022979221672)</f>
        <v>0.9902297922</v>
      </c>
      <c r="X12" s="2">
        <f>IFERROR(__xludf.DUMMYFUNCTION("""COMPUTED_VALUE"""),0.9117007499157226)</f>
        <v>0.9117007499</v>
      </c>
      <c r="Y12" s="2">
        <f>IFERROR(__xludf.DUMMYFUNCTION("""COMPUTED_VALUE"""),0.7392102439331286)</f>
        <v>0.7392102439</v>
      </c>
      <c r="Z12" s="2">
        <f>IFERROR(__xludf.DUMMYFUNCTION("""COMPUTED_VALUE"""),0.5543902405912611)</f>
        <v>0.5543902406</v>
      </c>
      <c r="AA12" s="2">
        <f>IFERROR(__xludf.DUMMYFUNCTION("""COMPUTED_VALUE"""),1.078322373585229)</f>
        <v>1.078322374</v>
      </c>
      <c r="AB12" s="2">
        <f>IFERROR(__xludf.DUMMYFUNCTION("""COMPUTED_VALUE"""),0.8999155482288328)</f>
        <v>0.8999155482</v>
      </c>
      <c r="AC12" s="2">
        <f>IFERROR(__xludf.DUMMYFUNCTION("""COMPUTED_VALUE"""),0.7573026700072157)</f>
        <v>0.75730267</v>
      </c>
      <c r="AD12" s="2">
        <f>IFERROR(__xludf.DUMMYFUNCTION("""COMPUTED_VALUE"""),1.0678959503875631)</f>
        <v>1.06789595</v>
      </c>
      <c r="AE12" s="2">
        <f>IFERROR(__xludf.DUMMYFUNCTION("""COMPUTED_VALUE"""),0.6567643430015623)</f>
        <v>0.656764343</v>
      </c>
      <c r="AF12" s="2">
        <f>IFERROR(__xludf.DUMMYFUNCTION("""COMPUTED_VALUE"""),1.0309987371343803)</f>
        <v>1.030998737</v>
      </c>
      <c r="AG12" s="2">
        <f>IFERROR(__xludf.DUMMYFUNCTION("""COMPUTED_VALUE"""),0.8408342978174809)</f>
        <v>0.8408342978</v>
      </c>
      <c r="AH12" s="2">
        <f>IFERROR(__xludf.DUMMYFUNCTION("""COMPUTED_VALUE"""),0.7446189645601768)</f>
        <v>0.7446189646</v>
      </c>
      <c r="AI12" s="2">
        <f>IFERROR(__xludf.DUMMYFUNCTION("""COMPUTED_VALUE"""),0.9378922697146198)</f>
        <v>0.9378922697</v>
      </c>
      <c r="AJ12" s="2">
        <f>IFERROR(__xludf.DUMMYFUNCTION("""COMPUTED_VALUE"""),1.4771576972320188)</f>
        <v>1.477157697</v>
      </c>
      <c r="AK12" s="2">
        <f>IFERROR(__xludf.DUMMYFUNCTION("""COMPUTED_VALUE"""),0.8001644172882615)</f>
        <v>0.8001644173</v>
      </c>
      <c r="AL12" s="2">
        <f>IFERROR(__xludf.DUMMYFUNCTION("""COMPUTED_VALUE"""),1.389626543038793)</f>
        <v>1.389626543</v>
      </c>
      <c r="AM12" s="2">
        <f>IFERROR(__xludf.DUMMYFUNCTION("""COMPUTED_VALUE"""),0.7883448272013803)</f>
        <v>0.7883448272</v>
      </c>
    </row>
    <row r="13">
      <c r="A13" s="1" t="str">
        <f>IFERROR(__xludf.DUMMYFUNCTION("""COMPUTED_VALUE"""),"Liverpool")</f>
        <v>Liverpool</v>
      </c>
      <c r="B13" s="2">
        <f>IFERROR(__xludf.DUMMYFUNCTION("""COMPUTED_VALUE"""),2.511073021783902)</f>
        <v>2.511073022</v>
      </c>
      <c r="C13" s="2">
        <f>IFERROR(__xludf.DUMMYFUNCTION("""COMPUTED_VALUE"""),2.4880937738541524)</f>
        <v>2.488093774</v>
      </c>
      <c r="D13" s="2">
        <f>IFERROR(__xludf.DUMMYFUNCTION("""COMPUTED_VALUE"""),1.9297017062055575)</f>
        <v>1.929701706</v>
      </c>
      <c r="E13" s="2">
        <f>IFERROR(__xludf.DUMMYFUNCTION("""COMPUTED_VALUE"""),2.357513834065961)</f>
        <v>2.357513834</v>
      </c>
      <c r="F13" s="2">
        <f>IFERROR(__xludf.DUMMYFUNCTION("""COMPUTED_VALUE"""),2.3226899322018357)</f>
        <v>2.322689932</v>
      </c>
      <c r="G13" s="2">
        <f>IFERROR(__xludf.DUMMYFUNCTION("""COMPUTED_VALUE"""),2.1640689036843432)</f>
        <v>2.164068904</v>
      </c>
      <c r="H13" s="2">
        <f>IFERROR(__xludf.DUMMYFUNCTION("""COMPUTED_VALUE"""),1.8346913607476623)</f>
        <v>1.834691361</v>
      </c>
      <c r="I13" s="2">
        <f>IFERROR(__xludf.DUMMYFUNCTION("""COMPUTED_VALUE"""),2.2312308352421057)</f>
        <v>2.231230835</v>
      </c>
      <c r="J13" s="2">
        <f>IFERROR(__xludf.DUMMYFUNCTION("""COMPUTED_VALUE"""),1.0017902893857862)</f>
        <v>1.001790289</v>
      </c>
      <c r="K13" s="2">
        <f>IFERROR(__xludf.DUMMYFUNCTION("""COMPUTED_VALUE"""),2.4773389648839235)</f>
        <v>2.477338965</v>
      </c>
      <c r="L13" s="2">
        <f>IFERROR(__xludf.DUMMYFUNCTION("""COMPUTED_VALUE"""),2.4252309174228537)</f>
        <v>2.425230917</v>
      </c>
      <c r="M13" s="2">
        <f>IFERROR(__xludf.DUMMYFUNCTION("""COMPUTED_VALUE"""),2.669242942300511)</f>
        <v>2.669242942</v>
      </c>
      <c r="N13" s="2">
        <f>IFERROR(__xludf.DUMMYFUNCTION("""COMPUTED_VALUE"""),1.9350160928108782)</f>
        <v>1.935016093</v>
      </c>
      <c r="O13" s="2">
        <f>IFERROR(__xludf.DUMMYFUNCTION("""COMPUTED_VALUE"""),1.8630279676797612)</f>
        <v>1.863027968</v>
      </c>
      <c r="P13" s="2">
        <f>IFERROR(__xludf.DUMMYFUNCTION("""COMPUTED_VALUE"""),1.7056350220983865)</f>
        <v>1.705635022</v>
      </c>
      <c r="Q13" s="2">
        <f>IFERROR(__xludf.DUMMYFUNCTION("""COMPUTED_VALUE"""),2.284831179480835)</f>
        <v>2.284831179</v>
      </c>
      <c r="R13" s="2">
        <f>IFERROR(__xludf.DUMMYFUNCTION("""COMPUTED_VALUE"""),2.1036352532883624)</f>
        <v>2.103635253</v>
      </c>
      <c r="S13" s="2">
        <f>IFERROR(__xludf.DUMMYFUNCTION("""COMPUTED_VALUE"""),3.2124447875698943)</f>
        <v>3.212444788</v>
      </c>
      <c r="T13" s="2">
        <f>IFERROR(__xludf.DUMMYFUNCTION("""COMPUTED_VALUE"""),2.07644237696579)</f>
        <v>2.076442377</v>
      </c>
      <c r="U13" s="2">
        <f>IFERROR(__xludf.DUMMYFUNCTION("""COMPUTED_VALUE"""),2.4640361086538762)</f>
        <v>2.464036109</v>
      </c>
      <c r="V13" s="2">
        <f>IFERROR(__xludf.DUMMYFUNCTION("""COMPUTED_VALUE"""),1.846279140156599)</f>
        <v>1.84627914</v>
      </c>
      <c r="W13" s="2">
        <f>IFERROR(__xludf.DUMMYFUNCTION("""COMPUTED_VALUE"""),1.9485423869168714)</f>
        <v>1.948542387</v>
      </c>
      <c r="X13" s="2">
        <f>IFERROR(__xludf.DUMMYFUNCTION("""COMPUTED_VALUE"""),3.2063891415158636)</f>
        <v>3.206389142</v>
      </c>
      <c r="Y13" s="2">
        <f>IFERROR(__xludf.DUMMYFUNCTION("""COMPUTED_VALUE"""),1.8190069169095748)</f>
        <v>1.819006917</v>
      </c>
      <c r="Z13" s="2">
        <f>IFERROR(__xludf.DUMMYFUNCTION("""COMPUTED_VALUE"""),2.7632995831145375)</f>
        <v>2.763299583</v>
      </c>
      <c r="AA13" s="2">
        <f>IFERROR(__xludf.DUMMYFUNCTION("""COMPUTED_VALUE"""),1.5154014353597607)</f>
        <v>1.515401435</v>
      </c>
      <c r="AB13" s="2">
        <f>IFERROR(__xludf.DUMMYFUNCTION("""COMPUTED_VALUE"""),2.3789004119302866)</f>
        <v>2.378900412</v>
      </c>
      <c r="AC13" s="2">
        <f>IFERROR(__xludf.DUMMYFUNCTION("""COMPUTED_VALUE"""),3.4083563130235217)</f>
        <v>3.408356313</v>
      </c>
      <c r="AD13" s="2">
        <f>IFERROR(__xludf.DUMMYFUNCTION("""COMPUTED_VALUE"""),1.8993115493952963)</f>
        <v>1.899311549</v>
      </c>
      <c r="AE13" s="2">
        <f>IFERROR(__xludf.DUMMYFUNCTION("""COMPUTED_VALUE"""),2.1779253597174293)</f>
        <v>2.17792536</v>
      </c>
      <c r="AF13" s="2">
        <f>IFERROR(__xludf.DUMMYFUNCTION("""COMPUTED_VALUE"""),1.7893579602794545)</f>
        <v>1.78935796</v>
      </c>
      <c r="AG13" s="2">
        <f>IFERROR(__xludf.DUMMYFUNCTION("""COMPUTED_VALUE"""),2.6514092711476165)</f>
        <v>2.651409271</v>
      </c>
      <c r="AH13" s="2">
        <f>IFERROR(__xludf.DUMMYFUNCTION("""COMPUTED_VALUE"""),2.515815480906802)</f>
        <v>2.515815481</v>
      </c>
      <c r="AI13" s="2">
        <f>IFERROR(__xludf.DUMMYFUNCTION("""COMPUTED_VALUE"""),2.6861318549239095)</f>
        <v>2.686131855</v>
      </c>
      <c r="AJ13" s="2">
        <f>IFERROR(__xludf.DUMMYFUNCTION("""COMPUTED_VALUE"""),1.7473810284611997)</f>
        <v>1.747381028</v>
      </c>
      <c r="AK13" s="2">
        <f>IFERROR(__xludf.DUMMYFUNCTION("""COMPUTED_VALUE"""),1.2791860205167103)</f>
        <v>1.279186021</v>
      </c>
      <c r="AL13" s="2">
        <f>IFERROR(__xludf.DUMMYFUNCTION("""COMPUTED_VALUE"""),1.9401197939415176)</f>
        <v>1.940119794</v>
      </c>
      <c r="AM13" s="2">
        <f>IFERROR(__xludf.DUMMYFUNCTION("""COMPUTED_VALUE"""),2.3427173985386895)</f>
        <v>2.342717399</v>
      </c>
    </row>
    <row r="14">
      <c r="A14" s="1" t="str">
        <f>IFERROR(__xludf.DUMMYFUNCTION("""COMPUTED_VALUE"""),"Man City")</f>
        <v>Man City</v>
      </c>
      <c r="B14" s="2">
        <f>IFERROR(__xludf.DUMMYFUNCTION("""COMPUTED_VALUE"""),1.6588124838887028)</f>
        <v>1.658812484</v>
      </c>
      <c r="C14" s="2">
        <f>IFERROR(__xludf.DUMMYFUNCTION("""COMPUTED_VALUE"""),3.0438686522970904)</f>
        <v>3.043868652</v>
      </c>
      <c r="D14" s="2">
        <f>IFERROR(__xludf.DUMMYFUNCTION("""COMPUTED_VALUE"""),1.9711948801571113)</f>
        <v>1.97119488</v>
      </c>
      <c r="E14" s="2">
        <f>IFERROR(__xludf.DUMMYFUNCTION("""COMPUTED_VALUE"""),2.361981128288683)</f>
        <v>2.361981128</v>
      </c>
      <c r="F14" s="2">
        <f>IFERROR(__xludf.DUMMYFUNCTION("""COMPUTED_VALUE"""),1.2143486197270148)</f>
        <v>1.21434862</v>
      </c>
      <c r="G14" s="2">
        <f>IFERROR(__xludf.DUMMYFUNCTION("""COMPUTED_VALUE"""),1.7685976900770781)</f>
        <v>1.76859769</v>
      </c>
      <c r="H14" s="2">
        <f>IFERROR(__xludf.DUMMYFUNCTION("""COMPUTED_VALUE"""),2.169021193642379)</f>
        <v>2.169021194</v>
      </c>
      <c r="I14" s="2">
        <f>IFERROR(__xludf.DUMMYFUNCTION("""COMPUTED_VALUE"""),2.0543799291378413)</f>
        <v>2.054379929</v>
      </c>
      <c r="J14" s="2">
        <f>IFERROR(__xludf.DUMMYFUNCTION("""COMPUTED_VALUE"""),3.2355988244665963)</f>
        <v>3.235598824</v>
      </c>
      <c r="K14" s="2">
        <f>IFERROR(__xludf.DUMMYFUNCTION("""COMPUTED_VALUE"""),1.7268079101824265)</f>
        <v>1.72680791</v>
      </c>
      <c r="L14" s="2">
        <f>IFERROR(__xludf.DUMMYFUNCTION("""COMPUTED_VALUE"""),1.8417820051897336)</f>
        <v>1.841782005</v>
      </c>
      <c r="M14" s="2">
        <f>IFERROR(__xludf.DUMMYFUNCTION("""COMPUTED_VALUE"""),2.5499813616740545)</f>
        <v>2.549981362</v>
      </c>
      <c r="N14" s="2">
        <f>IFERROR(__xludf.DUMMYFUNCTION("""COMPUTED_VALUE"""),1.2773355905062238)</f>
        <v>1.277335591</v>
      </c>
      <c r="O14" s="2">
        <f>IFERROR(__xludf.DUMMYFUNCTION("""COMPUTED_VALUE"""),2.238019822346819)</f>
        <v>2.238019822</v>
      </c>
      <c r="P14" s="2">
        <f>IFERROR(__xludf.DUMMYFUNCTION("""COMPUTED_VALUE"""),1.7416973652112377)</f>
        <v>1.741697365</v>
      </c>
      <c r="Q14" s="2">
        <f>IFERROR(__xludf.DUMMYFUNCTION("""COMPUTED_VALUE"""),2.3391428607800924)</f>
        <v>2.339142861</v>
      </c>
      <c r="R14" s="2">
        <f>IFERROR(__xludf.DUMMYFUNCTION("""COMPUTED_VALUE"""),1.8030421857706869)</f>
        <v>1.803042186</v>
      </c>
      <c r="S14" s="2">
        <f>IFERROR(__xludf.DUMMYFUNCTION("""COMPUTED_VALUE"""),2.067534050577731)</f>
        <v>2.067534051</v>
      </c>
      <c r="T14" s="2">
        <f>IFERROR(__xludf.DUMMYFUNCTION("""COMPUTED_VALUE"""),2.38829772036828)</f>
        <v>2.38829772</v>
      </c>
      <c r="U14" s="2">
        <f>IFERROR(__xludf.DUMMYFUNCTION("""COMPUTED_VALUE"""),2.5170187424726147)</f>
        <v>2.517018742</v>
      </c>
      <c r="V14" s="2">
        <f>IFERROR(__xludf.DUMMYFUNCTION("""COMPUTED_VALUE"""),1.8497776868107787)</f>
        <v>1.849777687</v>
      </c>
      <c r="W14" s="2">
        <f>IFERROR(__xludf.DUMMYFUNCTION("""COMPUTED_VALUE"""),2.383795639671933)</f>
        <v>2.38379564</v>
      </c>
      <c r="X14" s="2">
        <f>IFERROR(__xludf.DUMMYFUNCTION("""COMPUTED_VALUE"""),2.1181376606774847)</f>
        <v>2.118137661</v>
      </c>
      <c r="Y14" s="2">
        <f>IFERROR(__xludf.DUMMYFUNCTION("""COMPUTED_VALUE"""),0.9510130939987587)</f>
        <v>0.951013094</v>
      </c>
      <c r="Z14" s="2">
        <f>IFERROR(__xludf.DUMMYFUNCTION("""COMPUTED_VALUE"""),2.2583223904594205)</f>
        <v>2.25832239</v>
      </c>
      <c r="AA14" s="2">
        <f>IFERROR(__xludf.DUMMYFUNCTION("""COMPUTED_VALUE"""),1.6310298155173968)</f>
        <v>1.631029816</v>
      </c>
      <c r="AB14" s="2">
        <f>IFERROR(__xludf.DUMMYFUNCTION("""COMPUTED_VALUE"""),1.9970094460600318)</f>
        <v>1.997009446</v>
      </c>
      <c r="AC14" s="2">
        <f>IFERROR(__xludf.DUMMYFUNCTION("""COMPUTED_VALUE"""),1.7526978011957235)</f>
        <v>1.752697801</v>
      </c>
      <c r="AD14" s="2">
        <f>IFERROR(__xludf.DUMMYFUNCTION("""COMPUTED_VALUE"""),2.3517714424267706)</f>
        <v>2.351771442</v>
      </c>
      <c r="AE14" s="2">
        <f>IFERROR(__xludf.DUMMYFUNCTION("""COMPUTED_VALUE"""),3.0496173591382556)</f>
        <v>3.049617359</v>
      </c>
      <c r="AF14" s="2">
        <f>IFERROR(__xludf.DUMMYFUNCTION("""COMPUTED_VALUE"""),1.8318919733574222)</f>
        <v>1.831891973</v>
      </c>
      <c r="AG14" s="2">
        <f>IFERROR(__xludf.DUMMYFUNCTION("""COMPUTED_VALUE"""),2.223973365638229)</f>
        <v>2.223973366</v>
      </c>
      <c r="AH14" s="2">
        <f>IFERROR(__xludf.DUMMYFUNCTION("""COMPUTED_VALUE"""),1.6191824344723404)</f>
        <v>1.619182434</v>
      </c>
      <c r="AI14" s="2">
        <f>IFERROR(__xludf.DUMMYFUNCTION("""COMPUTED_VALUE"""),2.30230456701059)</f>
        <v>2.302304567</v>
      </c>
      <c r="AJ14" s="2">
        <f>IFERROR(__xludf.DUMMYFUNCTION("""COMPUTED_VALUE"""),2.623237731516109)</f>
        <v>2.623237732</v>
      </c>
      <c r="AK14" s="2">
        <f>IFERROR(__xludf.DUMMYFUNCTION("""COMPUTED_VALUE"""),2.5339484881091683)</f>
        <v>2.533948488</v>
      </c>
      <c r="AL14" s="2">
        <f>IFERROR(__xludf.DUMMYFUNCTION("""COMPUTED_VALUE"""),2.20496102051194)</f>
        <v>2.204961021</v>
      </c>
      <c r="AM14" s="2">
        <f>IFERROR(__xludf.DUMMYFUNCTION("""COMPUTED_VALUE"""),1.6986617539685012)</f>
        <v>1.698661754</v>
      </c>
    </row>
    <row r="15">
      <c r="A15" s="1" t="str">
        <f>IFERROR(__xludf.DUMMYFUNCTION("""COMPUTED_VALUE"""),"Man Utd")</f>
        <v>Man Utd</v>
      </c>
      <c r="B15" s="2">
        <f>IFERROR(__xludf.DUMMYFUNCTION("""COMPUTED_VALUE"""),1.5014634746830253)</f>
        <v>1.501463475</v>
      </c>
      <c r="C15" s="2">
        <f>IFERROR(__xludf.DUMMYFUNCTION("""COMPUTED_VALUE"""),1.2749383995077699)</f>
        <v>1.2749384</v>
      </c>
      <c r="D15" s="2">
        <f>IFERROR(__xludf.DUMMYFUNCTION("""COMPUTED_VALUE"""),1.1290492233531104)</f>
        <v>1.129049223</v>
      </c>
      <c r="E15" s="2">
        <f>IFERROR(__xludf.DUMMYFUNCTION("""COMPUTED_VALUE"""),1.75407742108558)</f>
        <v>1.754077421</v>
      </c>
      <c r="F15" s="2">
        <f>IFERROR(__xludf.DUMMYFUNCTION("""COMPUTED_VALUE"""),1.2056567199442052)</f>
        <v>1.20565672</v>
      </c>
      <c r="G15" s="2">
        <f>IFERROR(__xludf.DUMMYFUNCTION("""COMPUTED_VALUE"""),1.7651758714476362)</f>
        <v>1.765175871</v>
      </c>
      <c r="H15" s="2">
        <f>IFERROR(__xludf.DUMMYFUNCTION("""COMPUTED_VALUE"""),1.2481214997725316)</f>
        <v>1.2481215</v>
      </c>
      <c r="I15" s="2">
        <f>IFERROR(__xludf.DUMMYFUNCTION("""COMPUTED_VALUE"""),1.6350363022781889)</f>
        <v>1.635036302</v>
      </c>
      <c r="J15" s="2">
        <f>IFERROR(__xludf.DUMMYFUNCTION("""COMPUTED_VALUE"""),1.3645219893255076)</f>
        <v>1.364521989</v>
      </c>
      <c r="K15" s="2">
        <f>IFERROR(__xludf.DUMMYFUNCTION("""COMPUTED_VALUE"""),1.4662403212931212)</f>
        <v>1.466240321</v>
      </c>
      <c r="L15" s="2">
        <f>IFERROR(__xludf.DUMMYFUNCTION("""COMPUTED_VALUE"""),2.1110393434266967)</f>
        <v>2.111039343</v>
      </c>
      <c r="M15" s="2">
        <f>IFERROR(__xludf.DUMMYFUNCTION("""COMPUTED_VALUE"""),1.6501369809419157)</f>
        <v>1.650136981</v>
      </c>
      <c r="N15" s="2">
        <f>IFERROR(__xludf.DUMMYFUNCTION("""COMPUTED_VALUE"""),1.431210939157721)</f>
        <v>1.431210939</v>
      </c>
      <c r="O15" s="2">
        <f>IFERROR(__xludf.DUMMYFUNCTION("""COMPUTED_VALUE"""),0.6583206419419894)</f>
        <v>0.6583206419</v>
      </c>
      <c r="P15" s="2">
        <f>IFERROR(__xludf.DUMMYFUNCTION("""COMPUTED_VALUE"""),1.549226456947372)</f>
        <v>1.549226457</v>
      </c>
      <c r="Q15" s="2">
        <f>IFERROR(__xludf.DUMMYFUNCTION("""COMPUTED_VALUE"""),0.9958372089407123)</f>
        <v>0.9958372089</v>
      </c>
      <c r="R15" s="2">
        <f>IFERROR(__xludf.DUMMYFUNCTION("""COMPUTED_VALUE"""),1.526342133079378)</f>
        <v>1.526342133</v>
      </c>
      <c r="S15" s="2">
        <f>IFERROR(__xludf.DUMMYFUNCTION("""COMPUTED_VALUE"""),1.4221052499457252)</f>
        <v>1.42210525</v>
      </c>
      <c r="T15" s="2">
        <f>IFERROR(__xludf.DUMMYFUNCTION("""COMPUTED_VALUE"""),1.563280521772873)</f>
        <v>1.563280522</v>
      </c>
      <c r="U15" s="2">
        <f>IFERROR(__xludf.DUMMYFUNCTION("""COMPUTED_VALUE"""),0.8842111546347488)</f>
        <v>0.8842111546</v>
      </c>
      <c r="V15" s="2">
        <f>IFERROR(__xludf.DUMMYFUNCTION("""COMPUTED_VALUE"""),2.2397814589841767)</f>
        <v>2.239781459</v>
      </c>
      <c r="W15" s="2">
        <f>IFERROR(__xludf.DUMMYFUNCTION("""COMPUTED_VALUE"""),1.6279688423314713)</f>
        <v>1.627968842</v>
      </c>
      <c r="X15" s="2">
        <f>IFERROR(__xludf.DUMMYFUNCTION("""COMPUTED_VALUE"""),1.175866140404907)</f>
        <v>1.17586614</v>
      </c>
      <c r="Y15" s="2">
        <f>IFERROR(__xludf.DUMMYFUNCTION("""COMPUTED_VALUE"""),1.5395030656967554)</f>
        <v>1.539503066</v>
      </c>
      <c r="Z15" s="2">
        <f>IFERROR(__xludf.DUMMYFUNCTION("""COMPUTED_VALUE"""),1.3823916292956664)</f>
        <v>1.382391629</v>
      </c>
      <c r="AA15" s="2">
        <f>IFERROR(__xludf.DUMMYFUNCTION("""COMPUTED_VALUE"""),1.120848100209665)</f>
        <v>1.1208481</v>
      </c>
      <c r="AB15" s="2">
        <f>IFERROR(__xludf.DUMMYFUNCTION("""COMPUTED_VALUE"""),2.1070599109647317)</f>
        <v>2.107059911</v>
      </c>
      <c r="AC15" s="2">
        <f>IFERROR(__xludf.DUMMYFUNCTION("""COMPUTED_VALUE"""),0.8406096276957261)</f>
        <v>0.8406096277</v>
      </c>
      <c r="AD15" s="2">
        <f>IFERROR(__xludf.DUMMYFUNCTION("""COMPUTED_VALUE"""),1.6532534602762134)</f>
        <v>1.65325346</v>
      </c>
      <c r="AE15" s="2">
        <f>IFERROR(__xludf.DUMMYFUNCTION("""COMPUTED_VALUE"""),1.2132715615532712)</f>
        <v>1.213271562</v>
      </c>
      <c r="AF15" s="2">
        <f>IFERROR(__xludf.DUMMYFUNCTION("""COMPUTED_VALUE"""),1.2715845320963954)</f>
        <v>1.271584532</v>
      </c>
      <c r="AG15" s="2">
        <f>IFERROR(__xludf.DUMMYFUNCTION("""COMPUTED_VALUE"""),1.224277955809283)</f>
        <v>1.224277956</v>
      </c>
      <c r="AH15" s="2">
        <f>IFERROR(__xludf.DUMMYFUNCTION("""COMPUTED_VALUE"""),1.8158861936556965)</f>
        <v>1.815886194</v>
      </c>
      <c r="AI15" s="2">
        <f>IFERROR(__xludf.DUMMYFUNCTION("""COMPUTED_VALUE"""),1.1953497792148002)</f>
        <v>1.195349779</v>
      </c>
      <c r="AJ15" s="2">
        <f>IFERROR(__xludf.DUMMYFUNCTION("""COMPUTED_VALUE"""),1.2804732573249191)</f>
        <v>1.280473257</v>
      </c>
      <c r="AK15" s="2">
        <f>IFERROR(__xludf.DUMMYFUNCTION("""COMPUTED_VALUE"""),1.7423581281697404)</f>
        <v>1.742358128</v>
      </c>
      <c r="AL15" s="2">
        <f>IFERROR(__xludf.DUMMYFUNCTION("""COMPUTED_VALUE"""),1.1482812446496369)</f>
        <v>1.148281245</v>
      </c>
      <c r="AM15" s="2">
        <f>IFERROR(__xludf.DUMMYFUNCTION("""COMPUTED_VALUE"""),1.5937263430595454)</f>
        <v>1.593726343</v>
      </c>
    </row>
    <row r="16">
      <c r="A16" s="1" t="str">
        <f>IFERROR(__xludf.DUMMYFUNCTION("""COMPUTED_VALUE"""),"Newcastle")</f>
        <v>Newcastle</v>
      </c>
      <c r="B16" s="2">
        <f>IFERROR(__xludf.DUMMYFUNCTION("""COMPUTED_VALUE"""),2.7846461381541308)</f>
        <v>2.784646138</v>
      </c>
      <c r="C16" s="2">
        <f>IFERROR(__xludf.DUMMYFUNCTION("""COMPUTED_VALUE"""),1.4861388074636266)</f>
        <v>1.486138807</v>
      </c>
      <c r="D16" s="2">
        <f>IFERROR(__xludf.DUMMYFUNCTION("""COMPUTED_VALUE"""),2.1945847233769062)</f>
        <v>2.194584723</v>
      </c>
      <c r="E16" s="2">
        <f>IFERROR(__xludf.DUMMYFUNCTION("""COMPUTED_VALUE"""),1.7680563772976814)</f>
        <v>1.768056377</v>
      </c>
      <c r="F16" s="2">
        <f>IFERROR(__xludf.DUMMYFUNCTION("""COMPUTED_VALUE"""),1.4619154443531177)</f>
        <v>1.461915444</v>
      </c>
      <c r="G16" s="2">
        <f>IFERROR(__xludf.DUMMYFUNCTION("""COMPUTED_VALUE"""),1.5809189519073388)</f>
        <v>1.580918952</v>
      </c>
      <c r="H16" s="2">
        <f>IFERROR(__xludf.DUMMYFUNCTION("""COMPUTED_VALUE"""),1.3935133363956862)</f>
        <v>1.393513336</v>
      </c>
      <c r="I16" s="2">
        <f>IFERROR(__xludf.DUMMYFUNCTION("""COMPUTED_VALUE"""),2.0239997664279303)</f>
        <v>2.023999766</v>
      </c>
      <c r="J16" s="2">
        <f>IFERROR(__xludf.DUMMYFUNCTION("""COMPUTED_VALUE"""),1.4276200566811728)</f>
        <v>1.427620057</v>
      </c>
      <c r="K16" s="2">
        <f>IFERROR(__xludf.DUMMYFUNCTION("""COMPUTED_VALUE"""),1.0451021210434184)</f>
        <v>1.045102121</v>
      </c>
      <c r="L16" s="2">
        <f>IFERROR(__xludf.DUMMYFUNCTION("""COMPUTED_VALUE"""),1.508420366129755)</f>
        <v>1.508420366</v>
      </c>
      <c r="M16" s="2">
        <f>IFERROR(__xludf.DUMMYFUNCTION("""COMPUTED_VALUE"""),2.1662161785595906)</f>
        <v>2.166216179</v>
      </c>
      <c r="N16" s="2">
        <f>IFERROR(__xludf.DUMMYFUNCTION("""COMPUTED_VALUE"""),1.4989530856527755)</f>
        <v>1.498953086</v>
      </c>
      <c r="O16" s="2">
        <f>IFERROR(__xludf.DUMMYFUNCTION("""COMPUTED_VALUE"""),1.4037095212950288)</f>
        <v>1.403709521</v>
      </c>
      <c r="P16" s="2">
        <f>IFERROR(__xludf.DUMMYFUNCTION("""COMPUTED_VALUE"""),1.5919700097154286)</f>
        <v>1.59197001</v>
      </c>
      <c r="Q16" s="2">
        <f>IFERROR(__xludf.DUMMYFUNCTION("""COMPUTED_VALUE"""),2.6245853279947666)</f>
        <v>2.624585328</v>
      </c>
      <c r="R16" s="2">
        <f>IFERROR(__xludf.DUMMYFUNCTION("""COMPUTED_VALUE"""),2.0515606792678986)</f>
        <v>2.051560679</v>
      </c>
      <c r="S16" s="2">
        <f>IFERROR(__xludf.DUMMYFUNCTION("""COMPUTED_VALUE"""),1.9814272007091478)</f>
        <v>1.981427201</v>
      </c>
      <c r="T16" s="2">
        <f>IFERROR(__xludf.DUMMYFUNCTION("""COMPUTED_VALUE"""),1.576577068378138)</f>
        <v>1.576577068</v>
      </c>
      <c r="U16" s="2">
        <f>IFERROR(__xludf.DUMMYFUNCTION("""COMPUTED_VALUE"""),1.7186817474954235)</f>
        <v>1.718681747</v>
      </c>
      <c r="V16" s="2">
        <f>IFERROR(__xludf.DUMMYFUNCTION("""COMPUTED_VALUE"""),2.257631188171409)</f>
        <v>2.257631188</v>
      </c>
      <c r="W16" s="2">
        <f>IFERROR(__xludf.DUMMYFUNCTION("""COMPUTED_VALUE"""),1.8976506432503044)</f>
        <v>1.897650643</v>
      </c>
      <c r="X16" s="2">
        <f>IFERROR(__xludf.DUMMYFUNCTION("""COMPUTED_VALUE"""),2.1807863874650573)</f>
        <v>2.180786387</v>
      </c>
      <c r="Y16" s="2">
        <f>IFERROR(__xludf.DUMMYFUNCTION("""COMPUTED_VALUE"""),1.8667198308944957)</f>
        <v>1.866719831</v>
      </c>
      <c r="Z16" s="2">
        <f>IFERROR(__xludf.DUMMYFUNCTION("""COMPUTED_VALUE"""),1.23809143386901)</f>
        <v>1.238091434</v>
      </c>
      <c r="AA16" s="2">
        <f>IFERROR(__xludf.DUMMYFUNCTION("""COMPUTED_VALUE"""),1.926101965511084)</f>
        <v>1.926101966</v>
      </c>
      <c r="AB16" s="2">
        <f>IFERROR(__xludf.DUMMYFUNCTION("""COMPUTED_VALUE"""),1.0993104560224207)</f>
        <v>1.099310456</v>
      </c>
      <c r="AC16" s="2">
        <f>IFERROR(__xludf.DUMMYFUNCTION("""COMPUTED_VALUE"""),1.6964650157096022)</f>
        <v>1.696465016</v>
      </c>
      <c r="AD16" s="2">
        <f>IFERROR(__xludf.DUMMYFUNCTION("""COMPUTED_VALUE"""),1.9140131950700288)</f>
        <v>1.914013195</v>
      </c>
      <c r="AE16" s="2">
        <f>IFERROR(__xludf.DUMMYFUNCTION("""COMPUTED_VALUE"""),2.0327865054056304)</f>
        <v>2.032786505</v>
      </c>
      <c r="AF16" s="2">
        <f>IFERROR(__xludf.DUMMYFUNCTION("""COMPUTED_VALUE"""),2.0554352948506285)</f>
        <v>2.055435295</v>
      </c>
      <c r="AG16" s="2">
        <f>IFERROR(__xludf.DUMMYFUNCTION("""COMPUTED_VALUE"""),2.0131312586120442)</f>
        <v>2.013131259</v>
      </c>
      <c r="AH16" s="2">
        <f>IFERROR(__xludf.DUMMYFUNCTION("""COMPUTED_VALUE"""),1.5517481405819942)</f>
        <v>1.551748141</v>
      </c>
      <c r="AI16" s="2">
        <f>IFERROR(__xludf.DUMMYFUNCTION("""COMPUTED_VALUE"""),2.6196378313571786)</f>
        <v>2.619637831</v>
      </c>
      <c r="AJ16" s="2">
        <f>IFERROR(__xludf.DUMMYFUNCTION("""COMPUTED_VALUE"""),1.5850887042273714)</f>
        <v>1.585088704</v>
      </c>
      <c r="AK16" s="2">
        <f>IFERROR(__xludf.DUMMYFUNCTION("""COMPUTED_VALUE"""),1.8229280503761893)</f>
        <v>1.82292805</v>
      </c>
      <c r="AL16" s="2">
        <f>IFERROR(__xludf.DUMMYFUNCTION("""COMPUTED_VALUE"""),0.8184682598820726)</f>
        <v>0.8184682599</v>
      </c>
      <c r="AM16" s="2">
        <f>IFERROR(__xludf.DUMMYFUNCTION("""COMPUTED_VALUE"""),1.7793771792436515)</f>
        <v>1.779377179</v>
      </c>
    </row>
    <row r="17">
      <c r="A17" s="1" t="str">
        <f>IFERROR(__xludf.DUMMYFUNCTION("""COMPUTED_VALUE"""),"Nott'm Forest")</f>
        <v>Nott'm Forest</v>
      </c>
      <c r="B17" s="2">
        <f>IFERROR(__xludf.DUMMYFUNCTION("""COMPUTED_VALUE"""),1.3389500591208445)</f>
        <v>1.338950059</v>
      </c>
      <c r="C17" s="2">
        <f>IFERROR(__xludf.DUMMYFUNCTION("""COMPUTED_VALUE"""),1.5387258307066172)</f>
        <v>1.538725831</v>
      </c>
      <c r="D17" s="2">
        <f>IFERROR(__xludf.DUMMYFUNCTION("""COMPUTED_VALUE"""),1.5929462167480999)</f>
        <v>1.592946217</v>
      </c>
      <c r="E17" s="2">
        <f>IFERROR(__xludf.DUMMYFUNCTION("""COMPUTED_VALUE"""),0.7756547841505055)</f>
        <v>0.7756547842</v>
      </c>
      <c r="F17" s="2">
        <f>IFERROR(__xludf.DUMMYFUNCTION("""COMPUTED_VALUE"""),1.1184116643313458)</f>
        <v>1.118411664</v>
      </c>
      <c r="G17" s="2">
        <f>IFERROR(__xludf.DUMMYFUNCTION("""COMPUTED_VALUE"""),1.3171258033339466)</f>
        <v>1.317125803</v>
      </c>
      <c r="H17" s="2">
        <f>IFERROR(__xludf.DUMMYFUNCTION("""COMPUTED_VALUE"""),1.0073044614899787)</f>
        <v>1.007304461</v>
      </c>
      <c r="I17" s="2">
        <f>IFERROR(__xludf.DUMMYFUNCTION("""COMPUTED_VALUE"""),1.3504951977396489)</f>
        <v>1.350495198</v>
      </c>
      <c r="J17" s="2">
        <f>IFERROR(__xludf.DUMMYFUNCTION("""COMPUTED_VALUE"""),1.450280229054947)</f>
        <v>1.450280229</v>
      </c>
      <c r="K17" s="2">
        <f>IFERROR(__xludf.DUMMYFUNCTION("""COMPUTED_VALUE"""),1.528445338802184)</f>
        <v>1.528445339</v>
      </c>
      <c r="L17" s="2">
        <f>IFERROR(__xludf.DUMMYFUNCTION("""COMPUTED_VALUE"""),1.3713534480158374)</f>
        <v>1.371353448</v>
      </c>
      <c r="M17" s="2">
        <f>IFERROR(__xludf.DUMMYFUNCTION("""COMPUTED_VALUE"""),0.5774973011262989)</f>
        <v>0.5774973011</v>
      </c>
      <c r="N17" s="2">
        <f>IFERROR(__xludf.DUMMYFUNCTION("""COMPUTED_VALUE"""),1.8483719548942497)</f>
        <v>1.848371955</v>
      </c>
      <c r="O17" s="2">
        <f>IFERROR(__xludf.DUMMYFUNCTION("""COMPUTED_VALUE"""),0.873576284693021)</f>
        <v>0.8735762847</v>
      </c>
      <c r="P17" s="2">
        <f>IFERROR(__xludf.DUMMYFUNCTION("""COMPUTED_VALUE"""),1.112405998660437)</f>
        <v>1.112405999</v>
      </c>
      <c r="Q17" s="2">
        <f>IFERROR(__xludf.DUMMYFUNCTION("""COMPUTED_VALUE"""),1.3980613749794524)</f>
        <v>1.398061375</v>
      </c>
      <c r="R17" s="2">
        <f>IFERROR(__xludf.DUMMYFUNCTION("""COMPUTED_VALUE"""),1.1232669965932849)</f>
        <v>1.123266997</v>
      </c>
      <c r="S17" s="2">
        <f>IFERROR(__xludf.DUMMYFUNCTION("""COMPUTED_VALUE"""),1.5484617021383023)</f>
        <v>1.548461702</v>
      </c>
      <c r="T17" s="2">
        <f>IFERROR(__xludf.DUMMYFUNCTION("""COMPUTED_VALUE"""),0.9832393390159857)</f>
        <v>0.983239339</v>
      </c>
      <c r="U17" s="2">
        <f>IFERROR(__xludf.DUMMYFUNCTION("""COMPUTED_VALUE"""),1.2475105464391103)</f>
        <v>1.247510546</v>
      </c>
      <c r="V17" s="2">
        <f>IFERROR(__xludf.DUMMYFUNCTION("""COMPUTED_VALUE"""),0.9904335938817803)</f>
        <v>0.9904335939</v>
      </c>
      <c r="W17" s="2">
        <f>IFERROR(__xludf.DUMMYFUNCTION("""COMPUTED_VALUE"""),1.964799013229279)</f>
        <v>1.964799013</v>
      </c>
      <c r="X17" s="2">
        <f>IFERROR(__xludf.DUMMYFUNCTION("""COMPUTED_VALUE"""),1.0485942980036376)</f>
        <v>1.048594298</v>
      </c>
      <c r="Y17" s="2">
        <f>IFERROR(__xludf.DUMMYFUNCTION("""COMPUTED_VALUE"""),1.4280998541846952)</f>
        <v>1.428099854</v>
      </c>
      <c r="Z17" s="2">
        <f>IFERROR(__xludf.DUMMYFUNCTION("""COMPUTED_VALUE"""),1.031502704467027)</f>
        <v>1.031502704</v>
      </c>
      <c r="AA17" s="2">
        <f>IFERROR(__xludf.DUMMYFUNCTION("""COMPUTED_VALUE"""),1.0739709045468224)</f>
        <v>1.073970905</v>
      </c>
      <c r="AB17" s="2">
        <f>IFERROR(__xludf.DUMMYFUNCTION("""COMPUTED_VALUE"""),0.737406303808171)</f>
        <v>0.7374063038</v>
      </c>
      <c r="AC17" s="2">
        <f>IFERROR(__xludf.DUMMYFUNCTION("""COMPUTED_VALUE"""),1.1154695579245182)</f>
        <v>1.115469558</v>
      </c>
      <c r="AD17" s="2">
        <f>IFERROR(__xludf.DUMMYFUNCTION("""COMPUTED_VALUE"""),1.4475463661165715)</f>
        <v>1.447546366</v>
      </c>
      <c r="AE17" s="2">
        <f>IFERROR(__xludf.DUMMYFUNCTION("""COMPUTED_VALUE"""),1.420431219689512)</f>
        <v>1.42043122</v>
      </c>
      <c r="AF17" s="2">
        <f>IFERROR(__xludf.DUMMYFUNCTION("""COMPUTED_VALUE"""),1.0948871289681672)</f>
        <v>1.094887129</v>
      </c>
      <c r="AG17" s="2">
        <f>IFERROR(__xludf.DUMMYFUNCTION("""COMPUTED_VALUE"""),1.255498311989512)</f>
        <v>1.255498312</v>
      </c>
      <c r="AH17" s="2">
        <f>IFERROR(__xludf.DUMMYFUNCTION("""COMPUTED_VALUE"""),1.2126726463609543)</f>
        <v>1.212672646</v>
      </c>
      <c r="AI17" s="2">
        <f>IFERROR(__xludf.DUMMYFUNCTION("""COMPUTED_VALUE"""),1.4342996279499651)</f>
        <v>1.434299628</v>
      </c>
      <c r="AJ17" s="2">
        <f>IFERROR(__xludf.DUMMYFUNCTION("""COMPUTED_VALUE"""),1.0576358350220447)</f>
        <v>1.057635835</v>
      </c>
      <c r="AK17" s="2">
        <f>IFERROR(__xludf.DUMMYFUNCTION("""COMPUTED_VALUE"""),1.8518628244802615)</f>
        <v>1.851862824</v>
      </c>
      <c r="AL17" s="2">
        <f>IFERROR(__xludf.DUMMYFUNCTION("""COMPUTED_VALUE"""),1.1969968978010683)</f>
        <v>1.196996898</v>
      </c>
      <c r="AM17" s="2">
        <f>IFERROR(__xludf.DUMMYFUNCTION("""COMPUTED_VALUE"""),1.2862270668765539)</f>
        <v>1.286227067</v>
      </c>
    </row>
    <row r="18">
      <c r="A18" s="1" t="str">
        <f>IFERROR(__xludf.DUMMYFUNCTION("""COMPUTED_VALUE"""),"Southampton")</f>
        <v>Southampton</v>
      </c>
      <c r="B18" s="2">
        <f>IFERROR(__xludf.DUMMYFUNCTION("""COMPUTED_VALUE"""),0.8261644100091483)</f>
        <v>0.82616441</v>
      </c>
      <c r="C18" s="2">
        <f>IFERROR(__xludf.DUMMYFUNCTION("""COMPUTED_VALUE"""),1.0454454037183312)</f>
        <v>1.045445404</v>
      </c>
      <c r="D18" s="2">
        <f>IFERROR(__xludf.DUMMYFUNCTION("""COMPUTED_VALUE"""),0.8640859930137713)</f>
        <v>0.864085993</v>
      </c>
      <c r="E18" s="2">
        <f>IFERROR(__xludf.DUMMYFUNCTION("""COMPUTED_VALUE"""),1.0926829726998424)</f>
        <v>1.092682973</v>
      </c>
      <c r="F18" s="2">
        <f>IFERROR(__xludf.DUMMYFUNCTION("""COMPUTED_VALUE"""),1.4218812810734651)</f>
        <v>1.421881281</v>
      </c>
      <c r="G18" s="2">
        <f>IFERROR(__xludf.DUMMYFUNCTION("""COMPUTED_VALUE"""),0.8066431649884267)</f>
        <v>0.806643165</v>
      </c>
      <c r="H18" s="2">
        <f>IFERROR(__xludf.DUMMYFUNCTION("""COMPUTED_VALUE"""),0.4442464083961444)</f>
        <v>0.4442464084</v>
      </c>
      <c r="I18" s="2">
        <f>IFERROR(__xludf.DUMMYFUNCTION("""COMPUTED_VALUE"""),1.4245666724557982)</f>
        <v>1.424566672</v>
      </c>
      <c r="J18" s="2">
        <f>IFERROR(__xludf.DUMMYFUNCTION("""COMPUTED_VALUE"""),0.6720085551534868)</f>
        <v>0.6720085552</v>
      </c>
      <c r="K18" s="2">
        <f>IFERROR(__xludf.DUMMYFUNCTION("""COMPUTED_VALUE"""),0.9658064457807436)</f>
        <v>0.9658064458</v>
      </c>
      <c r="L18" s="2">
        <f>IFERROR(__xludf.DUMMYFUNCTION("""COMPUTED_VALUE"""),0.9596617657104548)</f>
        <v>0.9596617657</v>
      </c>
      <c r="M18" s="2">
        <f>IFERROR(__xludf.DUMMYFUNCTION("""COMPUTED_VALUE"""),0.7619023776885823)</f>
        <v>0.7619023777</v>
      </c>
      <c r="N18" s="2">
        <f>IFERROR(__xludf.DUMMYFUNCTION("""COMPUTED_VALUE"""),0.8603509731015923)</f>
        <v>0.8603509731</v>
      </c>
      <c r="O18" s="2">
        <f>IFERROR(__xludf.DUMMYFUNCTION("""COMPUTED_VALUE"""),0.989444892170761)</f>
        <v>0.9894448922</v>
      </c>
      <c r="P18" s="2">
        <f>IFERROR(__xludf.DUMMYFUNCTION("""COMPUTED_VALUE"""),0.8422544550331995)</f>
        <v>0.842254455</v>
      </c>
      <c r="Q18" s="2">
        <f>IFERROR(__xludf.DUMMYFUNCTION("""COMPUTED_VALUE"""),1.1911718866431158)</f>
        <v>1.191171887</v>
      </c>
      <c r="R18" s="2">
        <f>IFERROR(__xludf.DUMMYFUNCTION("""COMPUTED_VALUE"""),0.7934952610456767)</f>
        <v>0.793495261</v>
      </c>
      <c r="S18" s="2">
        <f>IFERROR(__xludf.DUMMYFUNCTION("""COMPUTED_VALUE"""),1.1757740700578603)</f>
        <v>1.17577407</v>
      </c>
      <c r="T18" s="2">
        <f>IFERROR(__xludf.DUMMYFUNCTION("""COMPUTED_VALUE"""),0.8135984708209811)</f>
        <v>0.8135984708</v>
      </c>
      <c r="U18" s="2">
        <f>IFERROR(__xludf.DUMMYFUNCTION("""COMPUTED_VALUE"""),1.1033514044792843)</f>
        <v>1.103351404</v>
      </c>
      <c r="V18" s="2">
        <f>IFERROR(__xludf.DUMMYFUNCTION("""COMPUTED_VALUE"""),0.8557310460489016)</f>
        <v>0.855731046</v>
      </c>
      <c r="W18" s="2">
        <f>IFERROR(__xludf.DUMMYFUNCTION("""COMPUTED_VALUE"""),0.8187371005703902)</f>
        <v>0.8187371006</v>
      </c>
      <c r="X18" s="2">
        <f>IFERROR(__xludf.DUMMYFUNCTION("""COMPUTED_VALUE"""),1.0549293351406814)</f>
        <v>1.054929335</v>
      </c>
      <c r="Y18" s="2">
        <f>IFERROR(__xludf.DUMMYFUNCTION("""COMPUTED_VALUE"""),1.1135416094239685)</f>
        <v>1.113541609</v>
      </c>
      <c r="Z18" s="2">
        <f>IFERROR(__xludf.DUMMYFUNCTION("""COMPUTED_VALUE"""),1.0300026573737218)</f>
        <v>1.030002657</v>
      </c>
      <c r="AA18" s="2">
        <f>IFERROR(__xludf.DUMMYFUNCTION("""COMPUTED_VALUE"""),1.098582157553423)</f>
        <v>1.098582158</v>
      </c>
      <c r="AB18" s="2">
        <f>IFERROR(__xludf.DUMMYFUNCTION("""COMPUTED_VALUE"""),0.7748804856846747)</f>
        <v>0.7748804857</v>
      </c>
      <c r="AC18" s="2">
        <f>IFERROR(__xludf.DUMMYFUNCTION("""COMPUTED_VALUE"""),0.5966813201414225)</f>
        <v>0.5966813201</v>
      </c>
      <c r="AD18" s="2">
        <f>IFERROR(__xludf.DUMMYFUNCTION("""COMPUTED_VALUE"""),1.2253921086356796)</f>
        <v>1.225392109</v>
      </c>
      <c r="AE18" s="2">
        <f>IFERROR(__xludf.DUMMYFUNCTION("""COMPUTED_VALUE"""),1.0388838873913107)</f>
        <v>1.038883887</v>
      </c>
      <c r="AF18" s="2">
        <f>IFERROR(__xludf.DUMMYFUNCTION("""COMPUTED_VALUE"""),0.9328623123526635)</f>
        <v>0.9328623124</v>
      </c>
      <c r="AG18" s="2">
        <f>IFERROR(__xludf.DUMMYFUNCTION("""COMPUTED_VALUE"""),1.0754747136318923)</f>
        <v>1.075474714</v>
      </c>
      <c r="AH18" s="2">
        <f>IFERROR(__xludf.DUMMYFUNCTION("""COMPUTED_VALUE"""),0.9208035633627226)</f>
        <v>0.9208035634</v>
      </c>
      <c r="AI18" s="2">
        <f>IFERROR(__xludf.DUMMYFUNCTION("""COMPUTED_VALUE"""),1.0132140988292244)</f>
        <v>1.013214099</v>
      </c>
      <c r="AJ18" s="2">
        <f>IFERROR(__xludf.DUMMYFUNCTION("""COMPUTED_VALUE"""),1.1156446647786031)</f>
        <v>1.115644665</v>
      </c>
      <c r="AK18" s="2">
        <f>IFERROR(__xludf.DUMMYFUNCTION("""COMPUTED_VALUE"""),0.8580877240754872)</f>
        <v>0.8580877241</v>
      </c>
      <c r="AL18" s="2">
        <f>IFERROR(__xludf.DUMMYFUNCTION("""COMPUTED_VALUE"""),0.7563681147942233)</f>
        <v>0.7563681148</v>
      </c>
      <c r="AM18" s="2">
        <f>IFERROR(__xludf.DUMMYFUNCTION("""COMPUTED_VALUE"""),0.5672582388810367)</f>
        <v>0.5672582389</v>
      </c>
    </row>
    <row r="19">
      <c r="A19" s="1" t="str">
        <f>IFERROR(__xludf.DUMMYFUNCTION("""COMPUTED_VALUE"""),"Spurs")</f>
        <v>Spurs</v>
      </c>
      <c r="B19" s="2">
        <f>IFERROR(__xludf.DUMMYFUNCTION("""COMPUTED_VALUE"""),2.0187491110841798)</f>
        <v>2.018749111</v>
      </c>
      <c r="C19" s="2">
        <f>IFERROR(__xludf.DUMMYFUNCTION("""COMPUTED_VALUE"""),1.747618184761511)</f>
        <v>1.747618185</v>
      </c>
      <c r="D19" s="2">
        <f>IFERROR(__xludf.DUMMYFUNCTION("""COMPUTED_VALUE"""),1.494937161418083)</f>
        <v>1.494937161</v>
      </c>
      <c r="E19" s="2">
        <f>IFERROR(__xludf.DUMMYFUNCTION("""COMPUTED_VALUE"""),1.0264487445234387)</f>
        <v>1.026448745</v>
      </c>
      <c r="F19" s="2">
        <f>IFERROR(__xludf.DUMMYFUNCTION("""COMPUTED_VALUE"""),1.9965045657687577)</f>
        <v>1.996504566</v>
      </c>
      <c r="G19" s="2">
        <f>IFERROR(__xludf.DUMMYFUNCTION("""COMPUTED_VALUE"""),1.5484377267032192)</f>
        <v>1.548437727</v>
      </c>
      <c r="H19" s="2">
        <f>IFERROR(__xludf.DUMMYFUNCTION("""COMPUTED_VALUE"""),1.556797443668068)</f>
        <v>1.556797444</v>
      </c>
      <c r="I19" s="2">
        <f>IFERROR(__xludf.DUMMYFUNCTION("""COMPUTED_VALUE"""),2.127552735831141)</f>
        <v>2.127552736</v>
      </c>
      <c r="J19" s="2">
        <f>IFERROR(__xludf.DUMMYFUNCTION("""COMPUTED_VALUE"""),1.4721992060753892)</f>
        <v>1.472199206</v>
      </c>
      <c r="K19" s="2">
        <f>IFERROR(__xludf.DUMMYFUNCTION("""COMPUTED_VALUE"""),1.9460619412980806)</f>
        <v>1.946061941</v>
      </c>
      <c r="L19" s="2">
        <f>IFERROR(__xludf.DUMMYFUNCTION("""COMPUTED_VALUE"""),2.572881548090332)</f>
        <v>2.572881548</v>
      </c>
      <c r="M19" s="2">
        <f>IFERROR(__xludf.DUMMYFUNCTION("""COMPUTED_VALUE"""),1.2159935113625828)</f>
        <v>1.215993511</v>
      </c>
      <c r="N19" s="2">
        <f>IFERROR(__xludf.DUMMYFUNCTION("""COMPUTED_VALUE"""),1.8334019118492033)</f>
        <v>1.833401912</v>
      </c>
      <c r="O19" s="2">
        <f>IFERROR(__xludf.DUMMYFUNCTION("""COMPUTED_VALUE"""),1.4596136419526278)</f>
        <v>1.459613642</v>
      </c>
      <c r="P19" s="2">
        <f>IFERROR(__xludf.DUMMYFUNCTION("""COMPUTED_VALUE"""),1.7903917435332268)</f>
        <v>1.790391744</v>
      </c>
      <c r="Q19" s="2">
        <f>IFERROR(__xludf.DUMMYFUNCTION("""COMPUTED_VALUE"""),2.1418628901570442)</f>
        <v>2.14186289</v>
      </c>
      <c r="R19" s="2">
        <f>IFERROR(__xludf.DUMMYFUNCTION("""COMPUTED_VALUE"""),1.3786555847483735)</f>
        <v>1.378655585</v>
      </c>
      <c r="S19" s="2">
        <f>IFERROR(__xludf.DUMMYFUNCTION("""COMPUTED_VALUE"""),1.4814975109625181)</f>
        <v>1.481497511</v>
      </c>
      <c r="T19" s="2">
        <f>IFERROR(__xludf.DUMMYFUNCTION("""COMPUTED_VALUE"""),2.217336135900186)</f>
        <v>2.217336136</v>
      </c>
      <c r="U19" s="2">
        <f>IFERROR(__xludf.DUMMYFUNCTION("""COMPUTED_VALUE"""),1.90888526141475)</f>
        <v>1.908885261</v>
      </c>
      <c r="V19" s="2">
        <f>IFERROR(__xludf.DUMMYFUNCTION("""COMPUTED_VALUE"""),0.803859929926728)</f>
        <v>0.8038599299</v>
      </c>
      <c r="W19" s="2">
        <f>IFERROR(__xludf.DUMMYFUNCTION("""COMPUTED_VALUE"""),1.3686413851997112)</f>
        <v>1.368641385</v>
      </c>
      <c r="X19" s="2">
        <f>IFERROR(__xludf.DUMMYFUNCTION("""COMPUTED_VALUE"""),2.5777407399433883)</f>
        <v>2.57774074</v>
      </c>
      <c r="Y19" s="2">
        <f>IFERROR(__xludf.DUMMYFUNCTION("""COMPUTED_VALUE"""),1.5635559290224434)</f>
        <v>1.563555929</v>
      </c>
      <c r="Z19" s="2">
        <f>IFERROR(__xludf.DUMMYFUNCTION("""COMPUTED_VALUE"""),1.9772001332273403)</f>
        <v>1.977200133</v>
      </c>
      <c r="AA19" s="2">
        <f>IFERROR(__xludf.DUMMYFUNCTION("""COMPUTED_VALUE"""),2.0149436511005816)</f>
        <v>2.014943651</v>
      </c>
      <c r="AB19" s="2">
        <f>IFERROR(__xludf.DUMMYFUNCTION("""COMPUTED_VALUE"""),1.5527021146588817)</f>
        <v>1.552702115</v>
      </c>
      <c r="AC19" s="2">
        <f>IFERROR(__xludf.DUMMYFUNCTION("""COMPUTED_VALUE"""),1.86378065940931)</f>
        <v>1.863780659</v>
      </c>
      <c r="AD19" s="2">
        <f>IFERROR(__xludf.DUMMYFUNCTION("""COMPUTED_VALUE"""),1.4358226265558804)</f>
        <v>1.435822627</v>
      </c>
      <c r="AE19" s="2">
        <f>IFERROR(__xludf.DUMMYFUNCTION("""COMPUTED_VALUE"""),1.4021393558878745)</f>
        <v>1.402139356</v>
      </c>
      <c r="AF19" s="2">
        <f>IFERROR(__xludf.DUMMYFUNCTION("""COMPUTED_VALUE"""),2.734944724441529)</f>
        <v>2.734944724</v>
      </c>
      <c r="AG19" s="2">
        <f>IFERROR(__xludf.DUMMYFUNCTION("""COMPUTED_VALUE"""),1.7364994407550993)</f>
        <v>1.736499441</v>
      </c>
      <c r="AH19" s="2">
        <f>IFERROR(__xludf.DUMMYFUNCTION("""COMPUTED_VALUE"""),1.8917241717480393)</f>
        <v>1.891724172</v>
      </c>
      <c r="AI19" s="2">
        <f>IFERROR(__xludf.DUMMYFUNCTION("""COMPUTED_VALUE"""),1.07968954871045)</f>
        <v>1.079689549</v>
      </c>
      <c r="AJ19" s="2">
        <f>IFERROR(__xludf.DUMMYFUNCTION("""COMPUTED_VALUE"""),1.666185868769004)</f>
        <v>1.666185869</v>
      </c>
      <c r="AK19" s="2">
        <f>IFERROR(__xludf.DUMMYFUNCTION("""COMPUTED_VALUE"""),1.8798511662376642)</f>
        <v>1.879851166</v>
      </c>
      <c r="AL19" s="2">
        <f>IFERROR(__xludf.DUMMYFUNCTION("""COMPUTED_VALUE"""),1.5240519549675628)</f>
        <v>1.524051955</v>
      </c>
      <c r="AM19" s="2">
        <f>IFERROR(__xludf.DUMMYFUNCTION("""COMPUTED_VALUE"""),1.9878746558197558)</f>
        <v>1.987874656</v>
      </c>
    </row>
    <row r="20">
      <c r="A20" s="1" t="str">
        <f>IFERROR(__xludf.DUMMYFUNCTION("""COMPUTED_VALUE"""),"West Ham")</f>
        <v>West Ham</v>
      </c>
      <c r="B20" s="2">
        <f>IFERROR(__xludf.DUMMYFUNCTION("""COMPUTED_VALUE"""),1.4571926509808664)</f>
        <v>1.457192651</v>
      </c>
      <c r="C20" s="2">
        <f>IFERROR(__xludf.DUMMYFUNCTION("""COMPUTED_VALUE"""),1.1023687470307137)</f>
        <v>1.102368747</v>
      </c>
      <c r="D20" s="2">
        <f>IFERROR(__xludf.DUMMYFUNCTION("""COMPUTED_VALUE"""),1.1626485584185269)</f>
        <v>1.162648558</v>
      </c>
      <c r="E20" s="2">
        <f>IFERROR(__xludf.DUMMYFUNCTION("""COMPUTED_VALUE"""),1.0751303106691805)</f>
        <v>1.075130311</v>
      </c>
      <c r="F20" s="2">
        <f>IFERROR(__xludf.DUMMYFUNCTION("""COMPUTED_VALUE"""),1.3406282892070716)</f>
        <v>1.340628289</v>
      </c>
      <c r="G20" s="2">
        <f>IFERROR(__xludf.DUMMYFUNCTION("""COMPUTED_VALUE"""),1.1707757912624839)</f>
        <v>1.170775791</v>
      </c>
      <c r="H20" s="2">
        <f>IFERROR(__xludf.DUMMYFUNCTION("""COMPUTED_VALUE"""),1.9265492038864345)</f>
        <v>1.926549204</v>
      </c>
      <c r="I20" s="2">
        <f>IFERROR(__xludf.DUMMYFUNCTION("""COMPUTED_VALUE"""),1.2639628702628831)</f>
        <v>1.26396287</v>
      </c>
      <c r="J20" s="2">
        <f>IFERROR(__xludf.DUMMYFUNCTION("""COMPUTED_VALUE"""),1.480508632595451)</f>
        <v>1.480508633</v>
      </c>
      <c r="K20" s="2">
        <f>IFERROR(__xludf.DUMMYFUNCTION("""COMPUTED_VALUE"""),1.109331229190488)</f>
        <v>1.109331229</v>
      </c>
      <c r="L20" s="2">
        <f>IFERROR(__xludf.DUMMYFUNCTION("""COMPUTED_VALUE"""),1.3085998556943812)</f>
        <v>1.308599856</v>
      </c>
      <c r="M20" s="2">
        <f>IFERROR(__xludf.DUMMYFUNCTION("""COMPUTED_VALUE"""),1.1193947114774585)</f>
        <v>1.119394711</v>
      </c>
      <c r="N20" s="2">
        <f>IFERROR(__xludf.DUMMYFUNCTION("""COMPUTED_VALUE"""),0.7685950459163665)</f>
        <v>0.7685950459</v>
      </c>
      <c r="O20" s="2">
        <f>IFERROR(__xludf.DUMMYFUNCTION("""COMPUTED_VALUE"""),1.5116201115797057)</f>
        <v>1.511620112</v>
      </c>
      <c r="P20" s="2">
        <f>IFERROR(__xludf.DUMMYFUNCTION("""COMPUTED_VALUE"""),1.6603201847896134)</f>
        <v>1.660320185</v>
      </c>
      <c r="Q20" s="2">
        <f>IFERROR(__xludf.DUMMYFUNCTION("""COMPUTED_VALUE"""),1.0929447964570214)</f>
        <v>1.092944796</v>
      </c>
      <c r="R20" s="2">
        <f>IFERROR(__xludf.DUMMYFUNCTION("""COMPUTED_VALUE"""),1.4885016134684141)</f>
        <v>1.488501613</v>
      </c>
      <c r="S20" s="2">
        <f>IFERROR(__xludf.DUMMYFUNCTION("""COMPUTED_VALUE"""),1.6038065370435297)</f>
        <v>1.603806537</v>
      </c>
      <c r="T20" s="2">
        <f>IFERROR(__xludf.DUMMYFUNCTION("""COMPUTED_VALUE"""),1.0323241741159683)</f>
        <v>1.032324174</v>
      </c>
      <c r="U20" s="2">
        <f>IFERROR(__xludf.DUMMYFUNCTION("""COMPUTED_VALUE"""),0.9105243624547944)</f>
        <v>0.9105243625</v>
      </c>
      <c r="V20" s="2">
        <f>IFERROR(__xludf.DUMMYFUNCTION("""COMPUTED_VALUE"""),1.3728338936934763)</f>
        <v>1.372833894</v>
      </c>
      <c r="W20" s="2">
        <f>IFERROR(__xludf.DUMMYFUNCTION("""COMPUTED_VALUE"""),1.407614653083518)</f>
        <v>1.407614653</v>
      </c>
      <c r="X20" s="2">
        <f>IFERROR(__xludf.DUMMYFUNCTION("""COMPUTED_VALUE"""),1.141195591652335)</f>
        <v>1.141195592</v>
      </c>
      <c r="Y20" s="2">
        <f>IFERROR(__xludf.DUMMYFUNCTION("""COMPUTED_VALUE"""),1.0499085983296041)</f>
        <v>1.049908598</v>
      </c>
      <c r="Z20" s="2">
        <f>IFERROR(__xludf.DUMMYFUNCTION("""COMPUTED_VALUE"""),1.4949636078630653)</f>
        <v>1.494963608</v>
      </c>
      <c r="AA20" s="2">
        <f>IFERROR(__xludf.DUMMYFUNCTION("""COMPUTED_VALUE"""),0.6019226610669329)</f>
        <v>0.6019226611</v>
      </c>
      <c r="AB20" s="2">
        <f>IFERROR(__xludf.DUMMYFUNCTION("""COMPUTED_VALUE"""),1.9301877204761257)</f>
        <v>1.93018772</v>
      </c>
      <c r="AC20" s="2">
        <f>IFERROR(__xludf.DUMMYFUNCTION("""COMPUTED_VALUE"""),1.4293551070855666)</f>
        <v>1.429355107</v>
      </c>
      <c r="AD20" s="2">
        <f>IFERROR(__xludf.DUMMYFUNCTION("""COMPUTED_VALUE"""),1.024825636850483)</f>
        <v>1.024825637</v>
      </c>
      <c r="AE20" s="2">
        <f>IFERROR(__xludf.DUMMYFUNCTION("""COMPUTED_VALUE"""),1.3002742460565537)</f>
        <v>1.300274246</v>
      </c>
      <c r="AF20" s="2">
        <f>IFERROR(__xludf.DUMMYFUNCTION("""COMPUTED_VALUE"""),1.3955812105959704)</f>
        <v>1.395581211</v>
      </c>
      <c r="AG20" s="2">
        <f>IFERROR(__xludf.DUMMYFUNCTION("""COMPUTED_VALUE"""),0.8084612531255136)</f>
        <v>0.8084612531</v>
      </c>
      <c r="AH20" s="2">
        <f>IFERROR(__xludf.DUMMYFUNCTION("""COMPUTED_VALUE"""),2.0479005671508825)</f>
        <v>2.047900567</v>
      </c>
      <c r="AI20" s="2">
        <f>IFERROR(__xludf.DUMMYFUNCTION("""COMPUTED_VALUE"""),1.1657151017843326)</f>
        <v>1.165715102</v>
      </c>
      <c r="AJ20" s="2">
        <f>IFERROR(__xludf.DUMMYFUNCTION("""COMPUTED_VALUE"""),1.6139541890386753)</f>
        <v>1.613954189</v>
      </c>
      <c r="AK20" s="2">
        <f>IFERROR(__xludf.DUMMYFUNCTION("""COMPUTED_VALUE"""),1.1594554253234013)</f>
        <v>1.159455425</v>
      </c>
      <c r="AL20" s="2">
        <f>IFERROR(__xludf.DUMMYFUNCTION("""COMPUTED_VALUE"""),1.416505046553334)</f>
        <v>1.416505047</v>
      </c>
      <c r="AM20" s="2">
        <f>IFERROR(__xludf.DUMMYFUNCTION("""COMPUTED_VALUE"""),1.5087706193800885)</f>
        <v>1.508770619</v>
      </c>
    </row>
    <row r="21">
      <c r="A21" s="1" t="str">
        <f>IFERROR(__xludf.DUMMYFUNCTION("""COMPUTED_VALUE"""),"Wolves")</f>
        <v>Wolves</v>
      </c>
      <c r="B21" s="2">
        <f>IFERROR(__xludf.DUMMYFUNCTION("""COMPUTED_VALUE"""),0.5571997248524403)</f>
        <v>0.5571997249</v>
      </c>
      <c r="C21" s="2">
        <f>IFERROR(__xludf.DUMMYFUNCTION("""COMPUTED_VALUE"""),1.2410194235775964)</f>
        <v>1.241019424</v>
      </c>
      <c r="D21" s="2">
        <f>IFERROR(__xludf.DUMMYFUNCTION("""COMPUTED_VALUE"""),1.026907766820936)</f>
        <v>1.026907767</v>
      </c>
      <c r="E21" s="2">
        <f>IFERROR(__xludf.DUMMYFUNCTION("""COMPUTED_VALUE"""),1.3231538267271608)</f>
        <v>1.323153827</v>
      </c>
      <c r="F21" s="2">
        <f>IFERROR(__xludf.DUMMYFUNCTION("""COMPUTED_VALUE"""),1.0564046027846603)</f>
        <v>1.056404603</v>
      </c>
      <c r="G21" s="2">
        <f>IFERROR(__xludf.DUMMYFUNCTION("""COMPUTED_VALUE"""),0.9556223464927458)</f>
        <v>0.9556223465</v>
      </c>
      <c r="H21" s="2">
        <f>IFERROR(__xludf.DUMMYFUNCTION("""COMPUTED_VALUE"""),1.0837869895096257)</f>
        <v>1.08378699</v>
      </c>
      <c r="I21" s="2">
        <f>IFERROR(__xludf.DUMMYFUNCTION("""COMPUTED_VALUE"""),1.0762636111798622)</f>
        <v>1.076263611</v>
      </c>
      <c r="J21" s="2">
        <f>IFERROR(__xludf.DUMMYFUNCTION("""COMPUTED_VALUE"""),1.0791023099533001)</f>
        <v>1.07910231</v>
      </c>
      <c r="K21" s="2">
        <f>IFERROR(__xludf.DUMMYFUNCTION("""COMPUTED_VALUE"""),1.3030286914371279)</f>
        <v>1.303028691</v>
      </c>
      <c r="L21" s="2">
        <f>IFERROR(__xludf.DUMMYFUNCTION("""COMPUTED_VALUE"""),1.895741274334147)</f>
        <v>1.895741274</v>
      </c>
      <c r="M21" s="2">
        <f>IFERROR(__xludf.DUMMYFUNCTION("""COMPUTED_VALUE"""),0.995247981233209)</f>
        <v>0.9952479812</v>
      </c>
      <c r="N21" s="2">
        <f>IFERROR(__xludf.DUMMYFUNCTION("""COMPUTED_VALUE"""),1.2918893353756626)</f>
        <v>1.291889335</v>
      </c>
      <c r="O21" s="2">
        <f>IFERROR(__xludf.DUMMYFUNCTION("""COMPUTED_VALUE"""),0.9486809515738068)</f>
        <v>0.9486809516</v>
      </c>
      <c r="P21" s="2">
        <f>IFERROR(__xludf.DUMMYFUNCTION("""COMPUTED_VALUE"""),1.1549254703064216)</f>
        <v>1.15492547</v>
      </c>
      <c r="Q21" s="2">
        <f>IFERROR(__xludf.DUMMYFUNCTION("""COMPUTED_VALUE"""),1.7834063339922015)</f>
        <v>1.783406334</v>
      </c>
      <c r="R21" s="2">
        <f>IFERROR(__xludf.DUMMYFUNCTION("""COMPUTED_VALUE"""),1.399306530112458)</f>
        <v>1.39930653</v>
      </c>
      <c r="S21" s="2">
        <f>IFERROR(__xludf.DUMMYFUNCTION("""COMPUTED_VALUE"""),1.370506638280754)</f>
        <v>1.370506638</v>
      </c>
      <c r="T21" s="2">
        <f>IFERROR(__xludf.DUMMYFUNCTION("""COMPUTED_VALUE"""),1.1700502557684305)</f>
        <v>1.170050256</v>
      </c>
      <c r="U21" s="2">
        <f>IFERROR(__xludf.DUMMYFUNCTION("""COMPUTED_VALUE"""),1.3112585274536532)</f>
        <v>1.311258527</v>
      </c>
      <c r="V21" s="2">
        <f>IFERROR(__xludf.DUMMYFUNCTION("""COMPUTED_VALUE"""),1.0362235309947223)</f>
        <v>1.036223531</v>
      </c>
      <c r="W21" s="2">
        <f>IFERROR(__xludf.DUMMYFUNCTION("""COMPUTED_VALUE"""),0.9719002455772547)</f>
        <v>0.9719002456</v>
      </c>
      <c r="X21" s="2">
        <f>IFERROR(__xludf.DUMMYFUNCTION("""COMPUTED_VALUE"""),0.711488328664081)</f>
        <v>0.7114883287</v>
      </c>
      <c r="Y21" s="2">
        <f>IFERROR(__xludf.DUMMYFUNCTION("""COMPUTED_VALUE"""),1.3489230372957324)</f>
        <v>1.348923037</v>
      </c>
      <c r="Z21" s="2">
        <f>IFERROR(__xludf.DUMMYFUNCTION("""COMPUTED_VALUE"""),0.7483924712136785)</f>
        <v>0.7483924712</v>
      </c>
      <c r="AA21" s="2">
        <f>IFERROR(__xludf.DUMMYFUNCTION("""COMPUTED_VALUE"""),1.011738848285428)</f>
        <v>1.011738848</v>
      </c>
      <c r="AB21" s="2">
        <f>IFERROR(__xludf.DUMMYFUNCTION("""COMPUTED_VALUE"""),1.2708321472366844)</f>
        <v>1.270832147</v>
      </c>
      <c r="AC21" s="2">
        <f>IFERROR(__xludf.DUMMYFUNCTION("""COMPUTED_VALUE"""),1.2113707070645938)</f>
        <v>1.211370707</v>
      </c>
      <c r="AD21" s="2">
        <f>IFERROR(__xludf.DUMMYFUNCTION("""COMPUTED_VALUE"""),1.484643491529601)</f>
        <v>1.484643492</v>
      </c>
      <c r="AE21" s="2">
        <f>IFERROR(__xludf.DUMMYFUNCTION("""COMPUTED_VALUE"""),1.4747243330342694)</f>
        <v>1.474724333</v>
      </c>
      <c r="AF21" s="2">
        <f>IFERROR(__xludf.DUMMYFUNCTION("""COMPUTED_VALUE"""),1.396668755573813)</f>
        <v>1.396668756</v>
      </c>
      <c r="AG21" s="2">
        <f>IFERROR(__xludf.DUMMYFUNCTION("""COMPUTED_VALUE"""),1.4940371715907088)</f>
        <v>1.494037172</v>
      </c>
      <c r="AH21" s="2">
        <f>IFERROR(__xludf.DUMMYFUNCTION("""COMPUTED_VALUE"""),1.0733077283113432)</f>
        <v>1.073307728</v>
      </c>
      <c r="AI21" s="2">
        <f>IFERROR(__xludf.DUMMYFUNCTION("""COMPUTED_VALUE"""),1.7867745083005975)</f>
        <v>1.786774508</v>
      </c>
      <c r="AJ21" s="2">
        <f>IFERROR(__xludf.DUMMYFUNCTION("""COMPUTED_VALUE"""),0.8428722775314139)</f>
        <v>0.8428722775</v>
      </c>
      <c r="AK21" s="2">
        <f>IFERROR(__xludf.DUMMYFUNCTION("""COMPUTED_VALUE"""),1.3779057395793686)</f>
        <v>1.37790574</v>
      </c>
      <c r="AL21" s="2">
        <f>IFERROR(__xludf.DUMMYFUNCTION("""COMPUTED_VALUE"""),1.0204625980398843)</f>
        <v>1.020462598</v>
      </c>
      <c r="AM21" s="2">
        <f>IFERROR(__xludf.DUMMYFUNCTION("""COMPUTED_VALUE"""),1.383887606904841)</f>
        <v>1.383887607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IFERROR(__xludf.DUMMYFUNCTION("IMPORTRANGE(""https://docs.google.com/spreadsheets/d/1FbGZDOCtOSvenQiwL2rDZj-8xzXiuNuyRXUdZ9kHVWU/edit?gid=1016036885#gid=1016036885"",""Clean sheet %!A1:AM21"")"),"Team")</f>
        <v>Team</v>
      </c>
      <c r="B1" s="1" t="str">
        <f>IFERROR(__xludf.DUMMYFUNCTION("""COMPUTED_VALUE"""),"MD1")</f>
        <v>MD1</v>
      </c>
      <c r="C1" s="1" t="str">
        <f>IFERROR(__xludf.DUMMYFUNCTION("""COMPUTED_VALUE"""),"MD2")</f>
        <v>MD2</v>
      </c>
      <c r="D1" s="1" t="str">
        <f>IFERROR(__xludf.DUMMYFUNCTION("""COMPUTED_VALUE"""),"MD3")</f>
        <v>MD3</v>
      </c>
      <c r="E1" s="1" t="str">
        <f>IFERROR(__xludf.DUMMYFUNCTION("""COMPUTED_VALUE"""),"MD4")</f>
        <v>MD4</v>
      </c>
      <c r="F1" s="1" t="str">
        <f>IFERROR(__xludf.DUMMYFUNCTION("""COMPUTED_VALUE"""),"MD5")</f>
        <v>MD5</v>
      </c>
      <c r="G1" s="1" t="str">
        <f>IFERROR(__xludf.DUMMYFUNCTION("""COMPUTED_VALUE"""),"MD6")</f>
        <v>MD6</v>
      </c>
      <c r="H1" s="1" t="str">
        <f>IFERROR(__xludf.DUMMYFUNCTION("""COMPUTED_VALUE"""),"MD7")</f>
        <v>MD7</v>
      </c>
      <c r="I1" s="1" t="str">
        <f>IFERROR(__xludf.DUMMYFUNCTION("""COMPUTED_VALUE"""),"MD8")</f>
        <v>MD8</v>
      </c>
      <c r="J1" s="1" t="str">
        <f>IFERROR(__xludf.DUMMYFUNCTION("""COMPUTED_VALUE"""),"MD9")</f>
        <v>MD9</v>
      </c>
      <c r="K1" s="1" t="str">
        <f>IFERROR(__xludf.DUMMYFUNCTION("""COMPUTED_VALUE"""),"MD10")</f>
        <v>MD10</v>
      </c>
      <c r="L1" s="1" t="str">
        <f>IFERROR(__xludf.DUMMYFUNCTION("""COMPUTED_VALUE"""),"MD11")</f>
        <v>MD11</v>
      </c>
      <c r="M1" s="1" t="str">
        <f>IFERROR(__xludf.DUMMYFUNCTION("""COMPUTED_VALUE"""),"MD12")</f>
        <v>MD12</v>
      </c>
      <c r="N1" s="1" t="str">
        <f>IFERROR(__xludf.DUMMYFUNCTION("""COMPUTED_VALUE"""),"MD13")</f>
        <v>MD13</v>
      </c>
      <c r="O1" s="1" t="str">
        <f>IFERROR(__xludf.DUMMYFUNCTION("""COMPUTED_VALUE"""),"MD14")</f>
        <v>MD14</v>
      </c>
      <c r="P1" s="1" t="str">
        <f>IFERROR(__xludf.DUMMYFUNCTION("""COMPUTED_VALUE"""),"MD15")</f>
        <v>MD15</v>
      </c>
      <c r="Q1" s="1" t="str">
        <f>IFERROR(__xludf.DUMMYFUNCTION("""COMPUTED_VALUE"""),"MD16")</f>
        <v>MD16</v>
      </c>
      <c r="R1" s="1" t="str">
        <f>IFERROR(__xludf.DUMMYFUNCTION("""COMPUTED_VALUE"""),"MD17")</f>
        <v>MD17</v>
      </c>
      <c r="S1" s="1" t="str">
        <f>IFERROR(__xludf.DUMMYFUNCTION("""COMPUTED_VALUE"""),"MD18")</f>
        <v>MD18</v>
      </c>
      <c r="T1" s="1" t="str">
        <f>IFERROR(__xludf.DUMMYFUNCTION("""COMPUTED_VALUE"""),"MD19")</f>
        <v>MD19</v>
      </c>
      <c r="U1" s="1" t="str">
        <f>IFERROR(__xludf.DUMMYFUNCTION("""COMPUTED_VALUE"""),"MD20")</f>
        <v>MD20</v>
      </c>
      <c r="V1" s="1" t="str">
        <f>IFERROR(__xludf.DUMMYFUNCTION("""COMPUTED_VALUE"""),"MD21")</f>
        <v>MD21</v>
      </c>
      <c r="W1" s="1" t="str">
        <f>IFERROR(__xludf.DUMMYFUNCTION("""COMPUTED_VALUE"""),"MD22")</f>
        <v>MD22</v>
      </c>
      <c r="X1" s="1" t="str">
        <f>IFERROR(__xludf.DUMMYFUNCTION("""COMPUTED_VALUE"""),"MD23")</f>
        <v>MD23</v>
      </c>
      <c r="Y1" s="1" t="str">
        <f>IFERROR(__xludf.DUMMYFUNCTION("""COMPUTED_VALUE"""),"MD24")</f>
        <v>MD24</v>
      </c>
      <c r="Z1" s="1" t="str">
        <f>IFERROR(__xludf.DUMMYFUNCTION("""COMPUTED_VALUE"""),"MD25")</f>
        <v>MD25</v>
      </c>
      <c r="AA1" s="1" t="str">
        <f>IFERROR(__xludf.DUMMYFUNCTION("""COMPUTED_VALUE"""),"MD26")</f>
        <v>MD26</v>
      </c>
      <c r="AB1" s="1" t="str">
        <f>IFERROR(__xludf.DUMMYFUNCTION("""COMPUTED_VALUE"""),"MD27")</f>
        <v>MD27</v>
      </c>
      <c r="AC1" s="1" t="str">
        <f>IFERROR(__xludf.DUMMYFUNCTION("""COMPUTED_VALUE"""),"MD28")</f>
        <v>MD28</v>
      </c>
      <c r="AD1" s="1" t="str">
        <f>IFERROR(__xludf.DUMMYFUNCTION("""COMPUTED_VALUE"""),"MD29")</f>
        <v>MD29</v>
      </c>
      <c r="AE1" s="1" t="str">
        <f>IFERROR(__xludf.DUMMYFUNCTION("""COMPUTED_VALUE"""),"MD30")</f>
        <v>MD30</v>
      </c>
      <c r="AF1" s="1" t="str">
        <f>IFERROR(__xludf.DUMMYFUNCTION("""COMPUTED_VALUE"""),"MD31")</f>
        <v>MD31</v>
      </c>
      <c r="AG1" s="1" t="str">
        <f>IFERROR(__xludf.DUMMYFUNCTION("""COMPUTED_VALUE"""),"MD32")</f>
        <v>MD32</v>
      </c>
      <c r="AH1" s="1" t="str">
        <f>IFERROR(__xludf.DUMMYFUNCTION("""COMPUTED_VALUE"""),"MD33")</f>
        <v>MD33</v>
      </c>
      <c r="AI1" s="1" t="str">
        <f>IFERROR(__xludf.DUMMYFUNCTION("""COMPUTED_VALUE"""),"MD34")</f>
        <v>MD34</v>
      </c>
      <c r="AJ1" s="1" t="str">
        <f>IFERROR(__xludf.DUMMYFUNCTION("""COMPUTED_VALUE"""),"MD35")</f>
        <v>MD35</v>
      </c>
      <c r="AK1" s="1" t="str">
        <f>IFERROR(__xludf.DUMMYFUNCTION("""COMPUTED_VALUE"""),"MD36")</f>
        <v>MD36</v>
      </c>
      <c r="AL1" s="1" t="str">
        <f>IFERROR(__xludf.DUMMYFUNCTION("""COMPUTED_VALUE"""),"MD37")</f>
        <v>MD37</v>
      </c>
      <c r="AM1" s="1" t="str">
        <f>IFERROR(__xludf.DUMMYFUNCTION("""COMPUTED_VALUE"""),"MD38")</f>
        <v>MD38</v>
      </c>
    </row>
    <row r="2">
      <c r="A2" s="1" t="str">
        <f>IFERROR(__xludf.DUMMYFUNCTION("""COMPUTED_VALUE"""),"Arsenal")</f>
        <v>Arsenal</v>
      </c>
      <c r="B2" s="3">
        <f>IFERROR(__xludf.DUMMYFUNCTION("""COMPUTED_VALUE"""),0.5730413427333991)</f>
        <v>0.5730413427</v>
      </c>
      <c r="C2" s="3">
        <f>IFERROR(__xludf.DUMMYFUNCTION("""COMPUTED_VALUE"""),0.38734257098100955)</f>
        <v>0.387342571</v>
      </c>
      <c r="D2" s="3">
        <f>IFERROR(__xludf.DUMMYFUNCTION("""COMPUTED_VALUE"""),0.486267976344699)</f>
        <v>0.4862679763</v>
      </c>
      <c r="E2" s="3">
        <f>IFERROR(__xludf.DUMMYFUNCTION("""COMPUTED_VALUE"""),0.35854266211431385)</f>
        <v>0.3585426621</v>
      </c>
      <c r="F2" s="3">
        <f>IFERROR(__xludf.DUMMYFUNCTION("""COMPUTED_VALUE"""),0.29716378386032705)</f>
        <v>0.2971637839</v>
      </c>
      <c r="G2" s="3">
        <f>IFERROR(__xludf.DUMMYFUNCTION("""COMPUTED_VALUE"""),0.6480059516423391)</f>
        <v>0.6480059516</v>
      </c>
      <c r="H2" s="3">
        <f>IFERROR(__xludf.DUMMYFUNCTION("""COMPUTED_VALUE"""),0.6415131142671852)</f>
        <v>0.6415131143</v>
      </c>
      <c r="I2" s="3">
        <f>IFERROR(__xludf.DUMMYFUNCTION("""COMPUTED_VALUE"""),0.3935503857188061)</f>
        <v>0.3935503857</v>
      </c>
      <c r="J2" s="3">
        <f>IFERROR(__xludf.DUMMYFUNCTION("""COMPUTED_VALUE"""),0.3674871330107429)</f>
        <v>0.367487133</v>
      </c>
      <c r="K2" s="3">
        <f>IFERROR(__xludf.DUMMYFUNCTION("""COMPUTED_VALUE"""),0.3519213616834044)</f>
        <v>0.3519213617</v>
      </c>
      <c r="L2" s="3">
        <f>IFERROR(__xludf.DUMMYFUNCTION("""COMPUTED_VALUE"""),0.3556726980952491)</f>
        <v>0.3556726981</v>
      </c>
      <c r="M2" s="3">
        <f>IFERROR(__xludf.DUMMYFUNCTION("""COMPUTED_VALUE"""),0.5615354712751441)</f>
        <v>0.5615354713</v>
      </c>
      <c r="N2" s="3">
        <f>IFERROR(__xludf.DUMMYFUNCTION("""COMPUTED_VALUE"""),0.46392141646918844)</f>
        <v>0.4639214165</v>
      </c>
      <c r="O2" s="3">
        <f>IFERROR(__xludf.DUMMYFUNCTION("""COMPUTED_VALUE"""),0.5179661849336911)</f>
        <v>0.5179661849</v>
      </c>
      <c r="P2" s="3">
        <f>IFERROR(__xludf.DUMMYFUNCTION("""COMPUTED_VALUE"""),0.4494470188272213)</f>
        <v>0.4494470188</v>
      </c>
      <c r="Q2" s="3">
        <f>IFERROR(__xludf.DUMMYFUNCTION("""COMPUTED_VALUE"""),0.5865736031278648)</f>
        <v>0.5865736031</v>
      </c>
      <c r="R2" s="3">
        <f>IFERROR(__xludf.DUMMYFUNCTION("""COMPUTED_VALUE"""),0.4298565147262069)</f>
        <v>0.4298565147</v>
      </c>
      <c r="S2" s="3">
        <f>IFERROR(__xludf.DUMMYFUNCTION("""COMPUTED_VALUE"""),0.6182023270210016)</f>
        <v>0.618202327</v>
      </c>
      <c r="T2" s="3">
        <f>IFERROR(__xludf.DUMMYFUNCTION("""COMPUTED_VALUE"""),0.42652093812222214)</f>
        <v>0.4265209381</v>
      </c>
      <c r="U2" s="3">
        <f>IFERROR(__xludf.DUMMYFUNCTION("""COMPUTED_VALUE"""),0.3982644504786933)</f>
        <v>0.3982644505</v>
      </c>
      <c r="V2" s="3">
        <f>IFERROR(__xludf.DUMMYFUNCTION("""COMPUTED_VALUE"""),0.4478577926452983)</f>
        <v>0.4478577926</v>
      </c>
      <c r="W2" s="3">
        <f>IFERROR(__xludf.DUMMYFUNCTION("""COMPUTED_VALUE"""),0.47579310724324814)</f>
        <v>0.4757931072</v>
      </c>
      <c r="X2" s="3">
        <f>IFERROR(__xludf.DUMMYFUNCTION("""COMPUTED_VALUE"""),0.4911652659450869)</f>
        <v>0.4911652659</v>
      </c>
      <c r="Y2" s="3">
        <f>IFERROR(__xludf.DUMMYFUNCTION("""COMPUTED_VALUE"""),0.38661479627848294)</f>
        <v>0.3866147963</v>
      </c>
      <c r="Z2" s="3">
        <f>IFERROR(__xludf.DUMMYFUNCTION("""COMPUTED_VALUE"""),0.5746523913601653)</f>
        <v>0.5746523914</v>
      </c>
      <c r="AA2" s="3">
        <f>IFERROR(__xludf.DUMMYFUNCTION("""COMPUTED_VALUE"""),0.5479955794837097)</f>
        <v>0.5479955795</v>
      </c>
      <c r="AB2" s="3">
        <f>IFERROR(__xludf.DUMMYFUNCTION("""COMPUTED_VALUE"""),0.4786077650854491)</f>
        <v>0.4786077651</v>
      </c>
      <c r="AC2" s="3">
        <f>IFERROR(__xludf.DUMMYFUNCTION("""COMPUTED_VALUE"""),0.43170936311843444)</f>
        <v>0.4317093631</v>
      </c>
      <c r="AD2" s="3">
        <f>IFERROR(__xludf.DUMMYFUNCTION("""COMPUTED_VALUE"""),0.4450478539032254)</f>
        <v>0.4450478539</v>
      </c>
      <c r="AE2" s="3">
        <f>IFERROR(__xludf.DUMMYFUNCTION("""COMPUTED_VALUE"""),0.534559832765143)</f>
        <v>0.5345598328</v>
      </c>
      <c r="AF2" s="3">
        <f>IFERROR(__xludf.DUMMYFUNCTION("""COMPUTED_VALUE"""),0.5060238883371122)</f>
        <v>0.5060238883</v>
      </c>
      <c r="AG2" s="3">
        <f>IFERROR(__xludf.DUMMYFUNCTION("""COMPUTED_VALUE"""),0.5130846440191869)</f>
        <v>0.513084644</v>
      </c>
      <c r="AH2" s="3">
        <f>IFERROR(__xludf.DUMMYFUNCTION("""COMPUTED_VALUE"""),0.5411213986582628)</f>
        <v>0.5411213987</v>
      </c>
      <c r="AI2" s="3">
        <f>IFERROR(__xludf.DUMMYFUNCTION("""COMPUTED_VALUE"""),0.5162243967306716)</f>
        <v>0.5162243967</v>
      </c>
      <c r="AJ2" s="3">
        <f>IFERROR(__xludf.DUMMYFUNCTION("""COMPUTED_VALUE"""),0.4817545902308535)</f>
        <v>0.4817545902</v>
      </c>
      <c r="AK2" s="3">
        <f>IFERROR(__xludf.DUMMYFUNCTION("""COMPUTED_VALUE"""),0.27852083302184755)</f>
        <v>0.278520833</v>
      </c>
      <c r="AL2" s="3">
        <f>IFERROR(__xludf.DUMMYFUNCTION("""COMPUTED_VALUE"""),0.4413675488797556)</f>
        <v>0.4413675489</v>
      </c>
      <c r="AM2" s="3">
        <f>IFERROR(__xludf.DUMMYFUNCTION("""COMPUTED_VALUE"""),0.5673104098250075)</f>
        <v>0.5673104098</v>
      </c>
    </row>
    <row r="3">
      <c r="A3" s="1" t="str">
        <f>IFERROR(__xludf.DUMMYFUNCTION("""COMPUTED_VALUE"""),"Aston Villa")</f>
        <v>Aston Villa</v>
      </c>
      <c r="B3" s="3">
        <f>IFERROR(__xludf.DUMMYFUNCTION("""COMPUTED_VALUE"""),0.23313431704596754)</f>
        <v>0.233134317</v>
      </c>
      <c r="C3" s="3">
        <f>IFERROR(__xludf.DUMMYFUNCTION("""COMPUTED_VALUE"""),0.19721237805818634)</f>
        <v>0.1972123781</v>
      </c>
      <c r="D3" s="3">
        <f>IFERROR(__xludf.DUMMYFUNCTION("""COMPUTED_VALUE"""),0.3498260843722195)</f>
        <v>0.3498260844</v>
      </c>
      <c r="E3" s="3">
        <f>IFERROR(__xludf.DUMMYFUNCTION("""COMPUTED_VALUE"""),0.3637128510461616)</f>
        <v>0.363712851</v>
      </c>
      <c r="F3" s="3">
        <f>IFERROR(__xludf.DUMMYFUNCTION("""COMPUTED_VALUE"""),0.3479690104048299)</f>
        <v>0.3479690104</v>
      </c>
      <c r="G3" s="3">
        <f>IFERROR(__xludf.DUMMYFUNCTION("""COMPUTED_VALUE"""),0.31213956544817656)</f>
        <v>0.3121395654</v>
      </c>
      <c r="H3" s="3">
        <f>IFERROR(__xludf.DUMMYFUNCTION("""COMPUTED_VALUE"""),0.28730229450154054)</f>
        <v>0.2873022945</v>
      </c>
      <c r="I3" s="3">
        <f>IFERROR(__xludf.DUMMYFUNCTION("""COMPUTED_VALUE"""),0.21953671641716027)</f>
        <v>0.2195367164</v>
      </c>
      <c r="J3" s="3">
        <f>IFERROR(__xludf.DUMMYFUNCTION("""COMPUTED_VALUE"""),0.2504171454750908)</f>
        <v>0.2504171455</v>
      </c>
      <c r="K3" s="3">
        <f>IFERROR(__xludf.DUMMYFUNCTION("""COMPUTED_VALUE"""),0.14303629944589788)</f>
        <v>0.1430362994</v>
      </c>
      <c r="L3" s="3">
        <f>IFERROR(__xludf.DUMMYFUNCTION("""COMPUTED_VALUE"""),0.08861272191505143)</f>
        <v>0.08861272192</v>
      </c>
      <c r="M3" s="3">
        <f>IFERROR(__xludf.DUMMYFUNCTION("""COMPUTED_VALUE"""),0.28547336214032626)</f>
        <v>0.2854733621</v>
      </c>
      <c r="N3" s="3">
        <f>IFERROR(__xludf.DUMMYFUNCTION("""COMPUTED_VALUE"""),0.14087337779142275)</f>
        <v>0.1408733778</v>
      </c>
      <c r="O3" s="3">
        <f>IFERROR(__xludf.DUMMYFUNCTION("""COMPUTED_VALUE"""),0.28219046876700316)</f>
        <v>0.2821904688</v>
      </c>
      <c r="P3" s="3">
        <f>IFERROR(__xludf.DUMMYFUNCTION("""COMPUTED_VALUE"""),0.43100037127915897)</f>
        <v>0.4310003713</v>
      </c>
      <c r="Q3" s="3">
        <f>IFERROR(__xludf.DUMMYFUNCTION("""COMPUTED_VALUE"""),0.2473250188204044)</f>
        <v>0.2473250188</v>
      </c>
      <c r="R3" s="3">
        <f>IFERROR(__xludf.DUMMYFUNCTION("""COMPUTED_VALUE"""),0.16501146101999112)</f>
        <v>0.165011461</v>
      </c>
      <c r="S3" s="3">
        <f>IFERROR(__xludf.DUMMYFUNCTION("""COMPUTED_VALUE"""),0.1380697117845723)</f>
        <v>0.1380697118</v>
      </c>
      <c r="T3" s="3">
        <f>IFERROR(__xludf.DUMMYFUNCTION("""COMPUTED_VALUE"""),0.2548837582975173)</f>
        <v>0.2548837583</v>
      </c>
      <c r="U3" s="3">
        <f>IFERROR(__xludf.DUMMYFUNCTION("""COMPUTED_VALUE"""),0.43930824545687985)</f>
        <v>0.4393082455</v>
      </c>
      <c r="V3" s="3">
        <f>IFERROR(__xludf.DUMMYFUNCTION("""COMPUTED_VALUE"""),0.2748734006085259)</f>
        <v>0.2748734006</v>
      </c>
      <c r="W3" s="3">
        <f>IFERROR(__xludf.DUMMYFUNCTION("""COMPUTED_VALUE"""),0.1258060253457298)</f>
        <v>0.1258060253</v>
      </c>
      <c r="X3" s="3">
        <f>IFERROR(__xludf.DUMMYFUNCTION("""COMPUTED_VALUE"""),0.319700192270735)</f>
        <v>0.3197001923</v>
      </c>
      <c r="Y3" s="3">
        <f>IFERROR(__xludf.DUMMYFUNCTION("""COMPUTED_VALUE"""),0.2597724864840268)</f>
        <v>0.2597724865</v>
      </c>
      <c r="Z3" s="3">
        <f>IFERROR(__xludf.DUMMYFUNCTION("""COMPUTED_VALUE"""),0.4017916958149742)</f>
        <v>0.4017916958</v>
      </c>
      <c r="AA3" s="3">
        <f>IFERROR(__xludf.DUMMYFUNCTION("""COMPUTED_VALUE"""),0.21548061083634615)</f>
        <v>0.2154806108</v>
      </c>
      <c r="AB3" s="3">
        <f>IFERROR(__xludf.DUMMYFUNCTION("""COMPUTED_VALUE"""),0.20174914449107795)</f>
        <v>0.2017491445</v>
      </c>
      <c r="AC3" s="3">
        <f>IFERROR(__xludf.DUMMYFUNCTION("""COMPUTED_VALUE"""),0.19879136472529949)</f>
        <v>0.1987913647</v>
      </c>
      <c r="AD3" s="3">
        <f>IFERROR(__xludf.DUMMYFUNCTION("""COMPUTED_VALUE"""),0.14987701792989647)</f>
        <v>0.1498770179</v>
      </c>
      <c r="AE3" s="3">
        <f>IFERROR(__xludf.DUMMYFUNCTION("""COMPUTED_VALUE"""),0.17456545589542563)</f>
        <v>0.1745654559</v>
      </c>
      <c r="AF3" s="3">
        <f>IFERROR(__xludf.DUMMYFUNCTION("""COMPUTED_VALUE"""),0.33484196838449315)</f>
        <v>0.3348419684</v>
      </c>
      <c r="AG3" s="3">
        <f>IFERROR(__xludf.DUMMYFUNCTION("""COMPUTED_VALUE"""),0.3414007760409283)</f>
        <v>0.341400776</v>
      </c>
      <c r="AH3" s="3">
        <f>IFERROR(__xludf.DUMMYFUNCTION("""COMPUTED_VALUE"""),0.21211477871029508)</f>
        <v>0.2121147787</v>
      </c>
      <c r="AI3" s="3">
        <f>IFERROR(__xludf.DUMMYFUNCTION("""COMPUTED_VALUE"""),0.10019447327524053)</f>
        <v>0.1001944733</v>
      </c>
      <c r="AJ3" s="3">
        <f>IFERROR(__xludf.DUMMYFUNCTION("""COMPUTED_VALUE"""),0.3050025846400285)</f>
        <v>0.3050025846</v>
      </c>
      <c r="AK3" s="3">
        <f>IFERROR(__xludf.DUMMYFUNCTION("""COMPUTED_VALUE"""),0.17066880164316559)</f>
        <v>0.1706688016</v>
      </c>
      <c r="AL3" s="3">
        <f>IFERROR(__xludf.DUMMYFUNCTION("""COMPUTED_VALUE"""),0.2180672988543117)</f>
        <v>0.2180672989</v>
      </c>
      <c r="AM3" s="3">
        <f>IFERROR(__xludf.DUMMYFUNCTION("""COMPUTED_VALUE"""),0.20340104961476288)</f>
        <v>0.2034010496</v>
      </c>
    </row>
    <row r="4">
      <c r="A4" s="1" t="str">
        <f>IFERROR(__xludf.DUMMYFUNCTION("""COMPUTED_VALUE"""),"Bournemouth")</f>
        <v>Bournemouth</v>
      </c>
      <c r="B4" s="3">
        <f>IFERROR(__xludf.DUMMYFUNCTION("""COMPUTED_VALUE"""),0.2623742641068635)</f>
        <v>0.2623742641</v>
      </c>
      <c r="C4" s="3">
        <f>IFERROR(__xludf.DUMMYFUNCTION("""COMPUTED_VALUE"""),0.22648744180253172)</f>
        <v>0.2264874418</v>
      </c>
      <c r="D4" s="3">
        <f>IFERROR(__xludf.DUMMYFUNCTION("""COMPUTED_VALUE"""),0.29029977420558695)</f>
        <v>0.2902997742</v>
      </c>
      <c r="E4" s="3">
        <f>IFERROR(__xludf.DUMMYFUNCTION("""COMPUTED_VALUE"""),0.22992823742190127)</f>
        <v>0.2299282374</v>
      </c>
      <c r="F4" s="3">
        <f>IFERROR(__xludf.DUMMYFUNCTION("""COMPUTED_VALUE"""),0.09817409515025056)</f>
        <v>0.09817409515</v>
      </c>
      <c r="G4" s="3">
        <f>IFERROR(__xludf.DUMMYFUNCTION("""COMPUTED_VALUE"""),0.44661392966539604)</f>
        <v>0.4466139297</v>
      </c>
      <c r="H4" s="3">
        <f>IFERROR(__xludf.DUMMYFUNCTION("""COMPUTED_VALUE"""),0.36571143196391653)</f>
        <v>0.365711432</v>
      </c>
      <c r="I4" s="3">
        <f>IFERROR(__xludf.DUMMYFUNCTION("""COMPUTED_VALUE"""),0.2112248446095118)</f>
        <v>0.2112248446</v>
      </c>
      <c r="J4" s="3">
        <f>IFERROR(__xludf.DUMMYFUNCTION("""COMPUTED_VALUE"""),0.17868223109516865)</f>
        <v>0.1786822311</v>
      </c>
      <c r="K4" s="3">
        <f>IFERROR(__xludf.DUMMYFUNCTION("""COMPUTED_VALUE"""),0.17807310440055718)</f>
        <v>0.1780731044</v>
      </c>
      <c r="L4" s="3">
        <f>IFERROR(__xludf.DUMMYFUNCTION("""COMPUTED_VALUE"""),0.21284424455965392)</f>
        <v>0.2128442446</v>
      </c>
      <c r="M4" s="3">
        <f>IFERROR(__xludf.DUMMYFUNCTION("""COMPUTED_VALUE"""),0.270048991371293)</f>
        <v>0.2700489914</v>
      </c>
      <c r="N4" s="3">
        <f>IFERROR(__xludf.DUMMYFUNCTION("""COMPUTED_VALUE"""),0.27500759574911865)</f>
        <v>0.2750075957</v>
      </c>
      <c r="O4" s="3">
        <f>IFERROR(__xludf.DUMMYFUNCTION("""COMPUTED_VALUE"""),0.2325709901779472)</f>
        <v>0.2325709902</v>
      </c>
      <c r="P4" s="3">
        <f>IFERROR(__xludf.DUMMYFUNCTION("""COMPUTED_VALUE"""),0.3278900338220041)</f>
        <v>0.3278900338</v>
      </c>
      <c r="Q4" s="3">
        <f>IFERROR(__xludf.DUMMYFUNCTION("""COMPUTED_VALUE"""),0.3354925043582903)</f>
        <v>0.3354925044</v>
      </c>
      <c r="R4" s="3">
        <f>IFERROR(__xludf.DUMMYFUNCTION("""COMPUTED_VALUE"""),0.21756881709893808)</f>
        <v>0.2175688171</v>
      </c>
      <c r="S4" s="3">
        <f>IFERROR(__xludf.DUMMYFUNCTION("""COMPUTED_VALUE"""),0.30101266974784496)</f>
        <v>0.3010126697</v>
      </c>
      <c r="T4" s="3">
        <f>IFERROR(__xludf.DUMMYFUNCTION("""COMPUTED_VALUE"""),0.23407166514910485)</f>
        <v>0.2340716651</v>
      </c>
      <c r="U4" s="3">
        <f>IFERROR(__xludf.DUMMYFUNCTION("""COMPUTED_VALUE"""),0.3796034694714789)</f>
        <v>0.3796034695</v>
      </c>
      <c r="V4" s="3">
        <f>IFERROR(__xludf.DUMMYFUNCTION("""COMPUTED_VALUE"""),0.1530443216661018)</f>
        <v>0.1530443217</v>
      </c>
      <c r="W4" s="3">
        <f>IFERROR(__xludf.DUMMYFUNCTION("""COMPUTED_VALUE"""),0.1501259763973348)</f>
        <v>0.1501259764</v>
      </c>
      <c r="X4" s="3">
        <f>IFERROR(__xludf.DUMMYFUNCTION("""COMPUTED_VALUE"""),0.3506954176641292)</f>
        <v>0.3506954177</v>
      </c>
      <c r="Y4" s="3">
        <f>IFERROR(__xludf.DUMMYFUNCTION("""COMPUTED_VALUE"""),0.16239988636253128)</f>
        <v>0.1623998864</v>
      </c>
      <c r="Z4" s="3">
        <f>IFERROR(__xludf.DUMMYFUNCTION("""COMPUTED_VALUE"""),0.3572716110711618)</f>
        <v>0.3572716111</v>
      </c>
      <c r="AA4" s="3">
        <f>IFERROR(__xludf.DUMMYFUNCTION("""COMPUTED_VALUE"""),0.36385190484190283)</f>
        <v>0.3638519048</v>
      </c>
      <c r="AB4" s="3">
        <f>IFERROR(__xludf.DUMMYFUNCTION("""COMPUTED_VALUE"""),0.18793557812800524)</f>
        <v>0.1879355781</v>
      </c>
      <c r="AC4" s="3">
        <f>IFERROR(__xludf.DUMMYFUNCTION("""COMPUTED_VALUE"""),0.15529403395969377)</f>
        <v>0.155294034</v>
      </c>
      <c r="AD4" s="3">
        <f>IFERROR(__xludf.DUMMYFUNCTION("""COMPUTED_VALUE"""),0.29769662717367457)</f>
        <v>0.2976966272</v>
      </c>
      <c r="AE4" s="3">
        <f>IFERROR(__xludf.DUMMYFUNCTION("""COMPUTED_VALUE"""),0.4175842970076863)</f>
        <v>0.417584297</v>
      </c>
      <c r="AF4" s="3">
        <f>IFERROR(__xludf.DUMMYFUNCTION("""COMPUTED_VALUE"""),0.24793874283368164)</f>
        <v>0.2479387428</v>
      </c>
      <c r="AG4" s="3">
        <f>IFERROR(__xludf.DUMMYFUNCTION("""COMPUTED_VALUE"""),0.3207064092660516)</f>
        <v>0.3207064093</v>
      </c>
      <c r="AH4" s="3">
        <f>IFERROR(__xludf.DUMMYFUNCTION("""COMPUTED_VALUE"""),0.21587626723776526)</f>
        <v>0.2158762672</v>
      </c>
      <c r="AI4" s="3">
        <f>IFERROR(__xludf.DUMMYFUNCTION("""COMPUTED_VALUE"""),0.30285936944183345)</f>
        <v>0.3028593694</v>
      </c>
      <c r="AJ4" s="3">
        <f>IFERROR(__xludf.DUMMYFUNCTION("""COMPUTED_VALUE"""),0.13733046468827315)</f>
        <v>0.1373304647</v>
      </c>
      <c r="AK4" s="3">
        <f>IFERROR(__xludf.DUMMYFUNCTION("""COMPUTED_VALUE"""),0.2595792676475141)</f>
        <v>0.2595792676</v>
      </c>
      <c r="AL4" s="3">
        <f>IFERROR(__xludf.DUMMYFUNCTION("""COMPUTED_VALUE"""),0.11043049211007186)</f>
        <v>0.1104304921</v>
      </c>
      <c r="AM4" s="3">
        <f>IFERROR(__xludf.DUMMYFUNCTION("""COMPUTED_VALUE"""),0.45485544052991267)</f>
        <v>0.4548554405</v>
      </c>
    </row>
    <row r="5">
      <c r="A5" s="1" t="str">
        <f>IFERROR(__xludf.DUMMYFUNCTION("""COMPUTED_VALUE"""),"Brentford")</f>
        <v>Brentford</v>
      </c>
      <c r="B5" s="3">
        <f>IFERROR(__xludf.DUMMYFUNCTION("""COMPUTED_VALUE"""),0.27634630019003403)</f>
        <v>0.2763463002</v>
      </c>
      <c r="C5" s="3">
        <f>IFERROR(__xludf.DUMMYFUNCTION("""COMPUTED_VALUE"""),0.08321752540594389)</f>
        <v>0.08321752541</v>
      </c>
      <c r="D5" s="3">
        <f>IFERROR(__xludf.DUMMYFUNCTION("""COMPUTED_VALUE"""),0.42169958491770193)</f>
        <v>0.4216995849</v>
      </c>
      <c r="E5" s="3">
        <f>IFERROR(__xludf.DUMMYFUNCTION("""COMPUTED_VALUE"""),0.09439419303533444)</f>
        <v>0.09439419304</v>
      </c>
      <c r="F5" s="3">
        <f>IFERROR(__xludf.DUMMYFUNCTION("""COMPUTED_VALUE"""),0.13600507981520465)</f>
        <v>0.1360050798</v>
      </c>
      <c r="G5" s="3">
        <f>IFERROR(__xludf.DUMMYFUNCTION("""COMPUTED_VALUE"""),0.3103885238421175)</f>
        <v>0.3103885238</v>
      </c>
      <c r="H5" s="3">
        <f>IFERROR(__xludf.DUMMYFUNCTION("""COMPUTED_VALUE"""),0.33857675237100665)</f>
        <v>0.3385767524</v>
      </c>
      <c r="I5" s="3">
        <f>IFERROR(__xludf.DUMMYFUNCTION("""COMPUTED_VALUE"""),0.1951755698121722)</f>
        <v>0.1951755698</v>
      </c>
      <c r="J5" s="3">
        <f>IFERROR(__xludf.DUMMYFUNCTION("""COMPUTED_VALUE"""),0.39240679501164133)</f>
        <v>0.392406795</v>
      </c>
      <c r="K5" s="3">
        <f>IFERROR(__xludf.DUMMYFUNCTION("""COMPUTED_VALUE"""),0.21107596984030302)</f>
        <v>0.2110759698</v>
      </c>
      <c r="L5" s="3">
        <f>IFERROR(__xludf.DUMMYFUNCTION("""COMPUTED_VALUE"""),0.24158903393300304)</f>
        <v>0.2415890339</v>
      </c>
      <c r="M5" s="3">
        <f>IFERROR(__xludf.DUMMYFUNCTION("""COMPUTED_VALUE"""),0.26582439486959036)</f>
        <v>0.2658243949</v>
      </c>
      <c r="N5" s="3">
        <f>IFERROR(__xludf.DUMMYFUNCTION("""COMPUTED_VALUE"""),0.43004094552375116)</f>
        <v>0.4300409455</v>
      </c>
      <c r="O5" s="3">
        <f>IFERROR(__xludf.DUMMYFUNCTION("""COMPUTED_VALUE"""),0.15805944083277354)</f>
        <v>0.1580594408</v>
      </c>
      <c r="P5" s="3">
        <f>IFERROR(__xludf.DUMMYFUNCTION("""COMPUTED_VALUE"""),0.20375834517147773)</f>
        <v>0.2037583452</v>
      </c>
      <c r="Q5" s="3">
        <f>IFERROR(__xludf.DUMMYFUNCTION("""COMPUTED_VALUE"""),0.13389558841290336)</f>
        <v>0.1338955884</v>
      </c>
      <c r="R5" s="3">
        <f>IFERROR(__xludf.DUMMYFUNCTION("""COMPUTED_VALUE"""),0.32547944402770795)</f>
        <v>0.325479444</v>
      </c>
      <c r="S5" s="3">
        <f>IFERROR(__xludf.DUMMYFUNCTION("""COMPUTED_VALUE"""),0.16684361610878837)</f>
        <v>0.1668436161</v>
      </c>
      <c r="T5" s="3">
        <f>IFERROR(__xludf.DUMMYFUNCTION("""COMPUTED_VALUE"""),0.18908566725748235)</f>
        <v>0.1890856673</v>
      </c>
      <c r="U5" s="3">
        <f>IFERROR(__xludf.DUMMYFUNCTION("""COMPUTED_VALUE"""),0.332021763756835)</f>
        <v>0.3320217638</v>
      </c>
      <c r="V5" s="3">
        <f>IFERROR(__xludf.DUMMYFUNCTION("""COMPUTED_VALUE"""),0.15748231642727653)</f>
        <v>0.1574823164</v>
      </c>
      <c r="W5" s="3">
        <f>IFERROR(__xludf.DUMMYFUNCTION("""COMPUTED_VALUE"""),0.14268220087840358)</f>
        <v>0.1426822009</v>
      </c>
      <c r="X5" s="3">
        <f>IFERROR(__xludf.DUMMYFUNCTION("""COMPUTED_VALUE"""),0.19354955244560954)</f>
        <v>0.1935495524</v>
      </c>
      <c r="Y5" s="3">
        <f>IFERROR(__xludf.DUMMYFUNCTION("""COMPUTED_VALUE"""),0.20962668834581677)</f>
        <v>0.2096266883</v>
      </c>
      <c r="Z5" s="3">
        <f>IFERROR(__xludf.DUMMYFUNCTION("""COMPUTED_VALUE"""),0.22449895898197764)</f>
        <v>0.224498959</v>
      </c>
      <c r="AA5" s="3">
        <f>IFERROR(__xludf.DUMMYFUNCTION("""COMPUTED_VALUE"""),0.34043066559911045)</f>
        <v>0.3404306656</v>
      </c>
      <c r="AB5" s="3">
        <f>IFERROR(__xludf.DUMMYFUNCTION("""COMPUTED_VALUE"""),0.35430179497899283)</f>
        <v>0.354301795</v>
      </c>
      <c r="AC5" s="3">
        <f>IFERROR(__xludf.DUMMYFUNCTION("""COMPUTED_VALUE"""),0.23580819052607324)</f>
        <v>0.2358081905</v>
      </c>
      <c r="AD5" s="3">
        <f>IFERROR(__xludf.DUMMYFUNCTION("""COMPUTED_VALUE"""),0.16302390754164822)</f>
        <v>0.1630239075</v>
      </c>
      <c r="AE5" s="3">
        <f>IFERROR(__xludf.DUMMYFUNCTION("""COMPUTED_VALUE"""),0.13116243191573307)</f>
        <v>0.1311624319</v>
      </c>
      <c r="AF5" s="3">
        <f>IFERROR(__xludf.DUMMYFUNCTION("""COMPUTED_VALUE"""),0.20707606282821048)</f>
        <v>0.2070760628</v>
      </c>
      <c r="AG5" s="3">
        <f>IFERROR(__xludf.DUMMYFUNCTION("""COMPUTED_VALUE"""),0.11922446428859604)</f>
        <v>0.1192244643</v>
      </c>
      <c r="AH5" s="3">
        <f>IFERROR(__xludf.DUMMYFUNCTION("""COMPUTED_VALUE"""),0.24601089323515837)</f>
        <v>0.2460108932</v>
      </c>
      <c r="AI5" s="3">
        <f>IFERROR(__xludf.DUMMYFUNCTION("""COMPUTED_VALUE"""),0.23852908419608337)</f>
        <v>0.2385290842</v>
      </c>
      <c r="AJ5" s="3">
        <f>IFERROR(__xludf.DUMMYFUNCTION("""COMPUTED_VALUE"""),0.27816279993493603)</f>
        <v>0.2781627999</v>
      </c>
      <c r="AK5" s="3">
        <f>IFERROR(__xludf.DUMMYFUNCTION("""COMPUTED_VALUE"""),0.3028601696359008)</f>
        <v>0.3028601696</v>
      </c>
      <c r="AL5" s="3">
        <f>IFERROR(__xludf.DUMMYFUNCTION("""COMPUTED_VALUE"""),0.29575798699339456)</f>
        <v>0.295757987</v>
      </c>
      <c r="AM5" s="3">
        <f>IFERROR(__xludf.DUMMYFUNCTION("""COMPUTED_VALUE"""),0.2508529401434043)</f>
        <v>0.2508529401</v>
      </c>
    </row>
    <row r="6">
      <c r="A6" s="1" t="str">
        <f>IFERROR(__xludf.DUMMYFUNCTION("""COMPUTED_VALUE"""),"Brighton")</f>
        <v>Brighton</v>
      </c>
      <c r="B6" s="3">
        <f>IFERROR(__xludf.DUMMYFUNCTION("""COMPUTED_VALUE"""),0.2673511325570844)</f>
        <v>0.2673511326</v>
      </c>
      <c r="C6" s="3">
        <f>IFERROR(__xludf.DUMMYFUNCTION("""COMPUTED_VALUE"""),0.2797055422755317)</f>
        <v>0.2797055423</v>
      </c>
      <c r="D6" s="3">
        <f>IFERROR(__xludf.DUMMYFUNCTION("""COMPUTED_VALUE"""),0.12032553438183656)</f>
        <v>0.1203255344</v>
      </c>
      <c r="E6" s="3">
        <f>IFERROR(__xludf.DUMMYFUNCTION("""COMPUTED_VALUE"""),0.39399671139319736)</f>
        <v>0.3939967114</v>
      </c>
      <c r="F6" s="3">
        <f>IFERROR(__xludf.DUMMYFUNCTION("""COMPUTED_VALUE"""),0.3270624509834392)</f>
        <v>0.327062451</v>
      </c>
      <c r="G6" s="3">
        <f>IFERROR(__xludf.DUMMYFUNCTION("""COMPUTED_VALUE"""),0.13506437996562962)</f>
        <v>0.13506438</v>
      </c>
      <c r="H6" s="3">
        <f>IFERROR(__xludf.DUMMYFUNCTION("""COMPUTED_VALUE"""),0.21104721575712238)</f>
        <v>0.2110472158</v>
      </c>
      <c r="I6" s="3">
        <f>IFERROR(__xludf.DUMMYFUNCTION("""COMPUTED_VALUE"""),0.1323191606797012)</f>
        <v>0.1323191607</v>
      </c>
      <c r="J6" s="3">
        <f>IFERROR(__xludf.DUMMYFUNCTION("""COMPUTED_VALUE"""),0.3401654464155535)</f>
        <v>0.3401654464</v>
      </c>
      <c r="K6" s="3">
        <f>IFERROR(__xludf.DUMMYFUNCTION("""COMPUTED_VALUE"""),0.08411669082244069)</f>
        <v>0.08411669082</v>
      </c>
      <c r="L6" s="3">
        <f>IFERROR(__xludf.DUMMYFUNCTION("""COMPUTED_VALUE"""),0.1587456258766406)</f>
        <v>0.1587456259</v>
      </c>
      <c r="M6" s="3">
        <f>IFERROR(__xludf.DUMMYFUNCTION("""COMPUTED_VALUE"""),0.16430710732458903)</f>
        <v>0.1643071073</v>
      </c>
      <c r="N6" s="3">
        <f>IFERROR(__xludf.DUMMYFUNCTION("""COMPUTED_VALUE"""),0.4232764448814419)</f>
        <v>0.4232764449</v>
      </c>
      <c r="O6" s="3">
        <f>IFERROR(__xludf.DUMMYFUNCTION("""COMPUTED_VALUE"""),0.21249998961126712)</f>
        <v>0.2124999896</v>
      </c>
      <c r="P6" s="3">
        <f>IFERROR(__xludf.DUMMYFUNCTION("""COMPUTED_VALUE"""),0.3420199856414374)</f>
        <v>0.3420199856</v>
      </c>
      <c r="Q6" s="3">
        <f>IFERROR(__xludf.DUMMYFUNCTION("""COMPUTED_VALUE"""),0.27788683754751636)</f>
        <v>0.2778868375</v>
      </c>
      <c r="R6" s="3">
        <f>IFERROR(__xludf.DUMMYFUNCTION("""COMPUTED_VALUE"""),0.22595331311674913)</f>
        <v>0.2259533131</v>
      </c>
      <c r="S6" s="3">
        <f>IFERROR(__xludf.DUMMYFUNCTION("""COMPUTED_VALUE"""),0.27462293155218526)</f>
        <v>0.2746229316</v>
      </c>
      <c r="T6" s="3">
        <f>IFERROR(__xludf.DUMMYFUNCTION("""COMPUTED_VALUE"""),0.1593248607043901)</f>
        <v>0.1593248607</v>
      </c>
      <c r="U6" s="3">
        <f>IFERROR(__xludf.DUMMYFUNCTION("""COMPUTED_VALUE"""),0.1904518784359848)</f>
        <v>0.1904518784</v>
      </c>
      <c r="V6" s="3">
        <f>IFERROR(__xludf.DUMMYFUNCTION("""COMPUTED_VALUE"""),0.3044279316180078)</f>
        <v>0.3044279316</v>
      </c>
      <c r="W6" s="3">
        <f>IFERROR(__xludf.DUMMYFUNCTION("""COMPUTED_VALUE"""),0.19655884823188388)</f>
        <v>0.1965588482</v>
      </c>
      <c r="X6" s="3">
        <f>IFERROR(__xludf.DUMMYFUNCTION("""COMPUTED_VALUE"""),0.35589442959283285)</f>
        <v>0.3558944296</v>
      </c>
      <c r="Y6" s="3">
        <f>IFERROR(__xludf.DUMMYFUNCTION("""COMPUTED_VALUE"""),0.24001142985184662)</f>
        <v>0.2400114299</v>
      </c>
      <c r="Z6" s="3">
        <f>IFERROR(__xludf.DUMMYFUNCTION("""COMPUTED_VALUE"""),0.20849033832336947)</f>
        <v>0.2084903383</v>
      </c>
      <c r="AA6" s="3">
        <f>IFERROR(__xludf.DUMMYFUNCTION("""COMPUTED_VALUE"""),0.33360789079578557)</f>
        <v>0.3336078908</v>
      </c>
      <c r="AB6" s="3">
        <f>IFERROR(__xludf.DUMMYFUNCTION("""COMPUTED_VALUE"""),0.24307700223852777)</f>
        <v>0.2430770022</v>
      </c>
      <c r="AC6" s="3">
        <f>IFERROR(__xludf.DUMMYFUNCTION("""COMPUTED_VALUE"""),0.2973194794305883)</f>
        <v>0.2973194794</v>
      </c>
      <c r="AD6" s="3">
        <f>IFERROR(__xludf.DUMMYFUNCTION("""COMPUTED_VALUE"""),0.09536216161769934)</f>
        <v>0.09536216162</v>
      </c>
      <c r="AE6" s="3">
        <f>IFERROR(__xludf.DUMMYFUNCTION("""COMPUTED_VALUE"""),0.23728539382806818)</f>
        <v>0.2372853938</v>
      </c>
      <c r="AF6" s="3">
        <f>IFERROR(__xludf.DUMMYFUNCTION("""COMPUTED_VALUE"""),0.19492835555334503)</f>
        <v>0.1949283556</v>
      </c>
      <c r="AG6" s="3">
        <f>IFERROR(__xludf.DUMMYFUNCTION("""COMPUTED_VALUE"""),0.4316124518329954)</f>
        <v>0.4316124518</v>
      </c>
      <c r="AH6" s="3">
        <f>IFERROR(__xludf.DUMMYFUNCTION("""COMPUTED_VALUE"""),0.19200963341171948)</f>
        <v>0.1920096334</v>
      </c>
      <c r="AI6" s="3">
        <f>IFERROR(__xludf.DUMMYFUNCTION("""COMPUTED_VALUE"""),0.31196214521469245)</f>
        <v>0.3119621452</v>
      </c>
      <c r="AJ6" s="3">
        <f>IFERROR(__xludf.DUMMYFUNCTION("""COMPUTED_VALUE"""),0.20516428454075167)</f>
        <v>0.2051642845</v>
      </c>
      <c r="AK6" s="3">
        <f>IFERROR(__xludf.DUMMYFUNCTION("""COMPUTED_VALUE"""),0.25235691627004536)</f>
        <v>0.2523569163</v>
      </c>
      <c r="AL6" s="3">
        <f>IFERROR(__xludf.DUMMYFUNCTION("""COMPUTED_VALUE"""),0.14388815513152223)</f>
        <v>0.1438881551</v>
      </c>
      <c r="AM6" s="3">
        <f>IFERROR(__xludf.DUMMYFUNCTION("""COMPUTED_VALUE"""),0.13718301572969066)</f>
        <v>0.1371830157</v>
      </c>
    </row>
    <row r="7">
      <c r="A7" s="1" t="str">
        <f>IFERROR(__xludf.DUMMYFUNCTION("""COMPUTED_VALUE"""),"Chelsea")</f>
        <v>Chelsea</v>
      </c>
      <c r="B7" s="3">
        <f>IFERROR(__xludf.DUMMYFUNCTION("""COMPUTED_VALUE"""),0.19059304429986462)</f>
        <v>0.1905930443</v>
      </c>
      <c r="C7" s="3">
        <f>IFERROR(__xludf.DUMMYFUNCTION("""COMPUTED_VALUE"""),0.2893485164173906)</f>
        <v>0.2893485164</v>
      </c>
      <c r="D7" s="3">
        <f>IFERROR(__xludf.DUMMYFUNCTION("""COMPUTED_VALUE"""),0.31558489933365)</f>
        <v>0.3155848993</v>
      </c>
      <c r="E7" s="3">
        <f>IFERROR(__xludf.DUMMYFUNCTION("""COMPUTED_VALUE"""),0.1965965920427079)</f>
        <v>0.196596592</v>
      </c>
      <c r="F7" s="3">
        <f>IFERROR(__xludf.DUMMYFUNCTION("""COMPUTED_VALUE"""),0.2619346263908809)</f>
        <v>0.2619346264</v>
      </c>
      <c r="G7" s="3">
        <f>IFERROR(__xludf.DUMMYFUNCTION("""COMPUTED_VALUE"""),0.28433497725220014)</f>
        <v>0.2843349773</v>
      </c>
      <c r="H7" s="3">
        <f>IFERROR(__xludf.DUMMYFUNCTION("""COMPUTED_VALUE"""),0.3654677774392152)</f>
        <v>0.3654677774</v>
      </c>
      <c r="I7" s="3">
        <f>IFERROR(__xludf.DUMMYFUNCTION("""COMPUTED_VALUE"""),0.10756931656789703)</f>
        <v>0.1075693166</v>
      </c>
      <c r="J7" s="3">
        <f>IFERROR(__xludf.DUMMYFUNCTION("""COMPUTED_VALUE"""),0.2401265311812415)</f>
        <v>0.2401265312</v>
      </c>
      <c r="K7" s="3">
        <f>IFERROR(__xludf.DUMMYFUNCTION("""COMPUTED_VALUE"""),0.23103601738876325)</f>
        <v>0.2310360174</v>
      </c>
      <c r="L7" s="3">
        <f>IFERROR(__xludf.DUMMYFUNCTION("""COMPUTED_VALUE"""),0.22456087388076593)</f>
        <v>0.2245608739</v>
      </c>
      <c r="M7" s="3">
        <f>IFERROR(__xludf.DUMMYFUNCTION("""COMPUTED_VALUE"""),0.3804876411828452)</f>
        <v>0.3804876412</v>
      </c>
      <c r="N7" s="3">
        <f>IFERROR(__xludf.DUMMYFUNCTION("""COMPUTED_VALUE"""),0.2737372649021458)</f>
        <v>0.2737372649</v>
      </c>
      <c r="O7" s="3">
        <f>IFERROR(__xludf.DUMMYFUNCTION("""COMPUTED_VALUE"""),0.37204871104540216)</f>
        <v>0.372048711</v>
      </c>
      <c r="P7" s="3">
        <f>IFERROR(__xludf.DUMMYFUNCTION("""COMPUTED_VALUE"""),0.16711066214458678)</f>
        <v>0.1671106621</v>
      </c>
      <c r="Q7" s="3">
        <f>IFERROR(__xludf.DUMMYFUNCTION("""COMPUTED_VALUE"""),0.312244492621386)</f>
        <v>0.3122444926</v>
      </c>
      <c r="R7" s="3">
        <f>IFERROR(__xludf.DUMMYFUNCTION("""COMPUTED_VALUE"""),0.30478798652650063)</f>
        <v>0.3047879865</v>
      </c>
      <c r="S7" s="3">
        <f>IFERROR(__xludf.DUMMYFUNCTION("""COMPUTED_VALUE"""),0.3353940296011872)</f>
        <v>0.3353940296</v>
      </c>
      <c r="T7" s="3">
        <f>IFERROR(__xludf.DUMMYFUNCTION("""COMPUTED_VALUE"""),0.3426076699005708)</f>
        <v>0.3426076699</v>
      </c>
      <c r="U7" s="3">
        <f>IFERROR(__xludf.DUMMYFUNCTION("""COMPUTED_VALUE"""),0.22930920773286487)</f>
        <v>0.2293092077</v>
      </c>
      <c r="V7" s="3">
        <f>IFERROR(__xludf.DUMMYFUNCTION("""COMPUTED_VALUE"""),0.27974760411789923)</f>
        <v>0.2797476041</v>
      </c>
      <c r="W7" s="3">
        <f>IFERROR(__xludf.DUMMYFUNCTION("""COMPUTED_VALUE"""),0.378628975192807)</f>
        <v>0.3786289752</v>
      </c>
      <c r="X7" s="3">
        <f>IFERROR(__xludf.DUMMYFUNCTION("""COMPUTED_VALUE"""),0.12043942912337639)</f>
        <v>0.1204394291</v>
      </c>
      <c r="Y7" s="3">
        <f>IFERROR(__xludf.DUMMYFUNCTION("""COMPUTED_VALUE"""),0.3502351336803079)</f>
        <v>0.3502351337</v>
      </c>
      <c r="Z7" s="3">
        <f>IFERROR(__xludf.DUMMYFUNCTION("""COMPUTED_VALUE"""),0.20072242442415572)</f>
        <v>0.2007224244</v>
      </c>
      <c r="AA7" s="3">
        <f>IFERROR(__xludf.DUMMYFUNCTION("""COMPUTED_VALUE"""),0.1912192837184643)</f>
        <v>0.1912192837</v>
      </c>
      <c r="AB7" s="3">
        <f>IFERROR(__xludf.DUMMYFUNCTION("""COMPUTED_VALUE"""),0.46101670339111994)</f>
        <v>0.4610167034</v>
      </c>
      <c r="AC7" s="3">
        <f>IFERROR(__xludf.DUMMYFUNCTION("""COMPUTED_VALUE"""),0.46918605679992187)</f>
        <v>0.4691860568</v>
      </c>
      <c r="AD7" s="3">
        <f>IFERROR(__xludf.DUMMYFUNCTION("""COMPUTED_VALUE"""),0.14849728010254296)</f>
        <v>0.1484972801</v>
      </c>
      <c r="AE7" s="3">
        <f>IFERROR(__xludf.DUMMYFUNCTION("""COMPUTED_VALUE"""),0.24631921108237056)</f>
        <v>0.2463192111</v>
      </c>
      <c r="AF7" s="3">
        <f>IFERROR(__xludf.DUMMYFUNCTION("""COMPUTED_VALUE"""),0.22621447627418506)</f>
        <v>0.2262144763</v>
      </c>
      <c r="AG7" s="3">
        <f>IFERROR(__xludf.DUMMYFUNCTION("""COMPUTED_VALUE"""),0.43219314777256357)</f>
        <v>0.4321931478</v>
      </c>
      <c r="AH7" s="3">
        <f>IFERROR(__xludf.DUMMYFUNCTION("""COMPUTED_VALUE"""),0.2478458192976039)</f>
        <v>0.2478458193</v>
      </c>
      <c r="AI7" s="3">
        <f>IFERROR(__xludf.DUMMYFUNCTION("""COMPUTED_VALUE"""),0.39436160333991055)</f>
        <v>0.3943616033</v>
      </c>
      <c r="AJ7" s="3">
        <f>IFERROR(__xludf.DUMMYFUNCTION("""COMPUTED_VALUE"""),0.17444960456123873)</f>
        <v>0.1744496046</v>
      </c>
      <c r="AK7" s="3">
        <f>IFERROR(__xludf.DUMMYFUNCTION("""COMPUTED_VALUE"""),0.16176479955532247)</f>
        <v>0.1617647996</v>
      </c>
      <c r="AL7" s="3">
        <f>IFERROR(__xludf.DUMMYFUNCTION("""COMPUTED_VALUE"""),0.31744453827858876)</f>
        <v>0.3174445383</v>
      </c>
      <c r="AM7" s="3">
        <f>IFERROR(__xludf.DUMMYFUNCTION("""COMPUTED_VALUE"""),0.2765680487834173)</f>
        <v>0.2765680488</v>
      </c>
    </row>
    <row r="8">
      <c r="A8" s="1" t="str">
        <f>IFERROR(__xludf.DUMMYFUNCTION("""COMPUTED_VALUE"""),"Crystal Palace")</f>
        <v>Crystal Palace</v>
      </c>
      <c r="B8" s="3">
        <f>IFERROR(__xludf.DUMMYFUNCTION("""COMPUTED_VALUE"""),0.21002360268164078)</f>
        <v>0.2100236027</v>
      </c>
      <c r="C8" s="3">
        <f>IFERROR(__xludf.DUMMYFUNCTION("""COMPUTED_VALUE"""),0.3323479519697306)</f>
        <v>0.332347952</v>
      </c>
      <c r="D8" s="3">
        <f>IFERROR(__xludf.DUMMYFUNCTION("""COMPUTED_VALUE"""),0.15058727757630547)</f>
        <v>0.1505872776</v>
      </c>
      <c r="E8" s="3">
        <f>IFERROR(__xludf.DUMMYFUNCTION("""COMPUTED_VALUE"""),0.45177625015125444)</f>
        <v>0.4517762502</v>
      </c>
      <c r="F8" s="3">
        <f>IFERROR(__xludf.DUMMYFUNCTION("""COMPUTED_VALUE"""),0.29975607831170104)</f>
        <v>0.2997560783</v>
      </c>
      <c r="G8" s="3">
        <f>IFERROR(__xludf.DUMMYFUNCTION("""COMPUTED_VALUE"""),0.28722026393390443)</f>
        <v>0.2872202639</v>
      </c>
      <c r="H8" s="3">
        <f>IFERROR(__xludf.DUMMYFUNCTION("""COMPUTED_VALUE"""),0.15987441626397622)</f>
        <v>0.1598744163</v>
      </c>
      <c r="I8" s="3">
        <f>IFERROR(__xludf.DUMMYFUNCTION("""COMPUTED_VALUE"""),0.2593646977407942)</f>
        <v>0.2593646977</v>
      </c>
      <c r="J8" s="3">
        <f>IFERROR(__xludf.DUMMYFUNCTION("""COMPUTED_VALUE"""),0.22966438221288646)</f>
        <v>0.2296643822</v>
      </c>
      <c r="K8" s="3">
        <f>IFERROR(__xludf.DUMMYFUNCTION("""COMPUTED_VALUE"""),0.2719633745955882)</f>
        <v>0.2719633746</v>
      </c>
      <c r="L8" s="3">
        <f>IFERROR(__xludf.DUMMYFUNCTION("""COMPUTED_VALUE"""),0.3175769965097984)</f>
        <v>0.3175769965</v>
      </c>
      <c r="M8" s="3">
        <f>IFERROR(__xludf.DUMMYFUNCTION("""COMPUTED_VALUE"""),0.17604853478252705)</f>
        <v>0.1760485348</v>
      </c>
      <c r="N8" s="3">
        <f>IFERROR(__xludf.DUMMYFUNCTION("""COMPUTED_VALUE"""),0.22360575364786292)</f>
        <v>0.2236057536</v>
      </c>
      <c r="O8" s="3">
        <f>IFERROR(__xludf.DUMMYFUNCTION("""COMPUTED_VALUE"""),0.3247525485778725)</f>
        <v>0.3247525486</v>
      </c>
      <c r="P8" s="3">
        <f>IFERROR(__xludf.DUMMYFUNCTION("""COMPUTED_VALUE"""),0.17544322045134694)</f>
        <v>0.1754432205</v>
      </c>
      <c r="Q8" s="3">
        <f>IFERROR(__xludf.DUMMYFUNCTION("""COMPUTED_VALUE"""),0.1852461216558814)</f>
        <v>0.1852461217</v>
      </c>
      <c r="R8" s="3">
        <f>IFERROR(__xludf.DUMMYFUNCTION("""COMPUTED_VALUE"""),0.20841193796551066)</f>
        <v>0.208411938</v>
      </c>
      <c r="S8" s="3">
        <f>IFERROR(__xludf.DUMMYFUNCTION("""COMPUTED_VALUE"""),0.18125021197365315)</f>
        <v>0.181250212</v>
      </c>
      <c r="T8" s="3">
        <f>IFERROR(__xludf.DUMMYFUNCTION("""COMPUTED_VALUE"""),0.44352059826181967)</f>
        <v>0.4435205983</v>
      </c>
      <c r="U8" s="3">
        <f>IFERROR(__xludf.DUMMYFUNCTION("""COMPUTED_VALUE"""),0.22703228486009058)</f>
        <v>0.2270322849</v>
      </c>
      <c r="V8" s="3">
        <f>IFERROR(__xludf.DUMMYFUNCTION("""COMPUTED_VALUE"""),0.3625531516737848)</f>
        <v>0.3625531517</v>
      </c>
      <c r="W8" s="3">
        <f>IFERROR(__xludf.DUMMYFUNCTION("""COMPUTED_VALUE"""),0.24497519411125968)</f>
        <v>0.2449751941</v>
      </c>
      <c r="X8" s="3">
        <f>IFERROR(__xludf.DUMMYFUNCTION("""COMPUTED_VALUE"""),0.29460255796690826)</f>
        <v>0.294602558</v>
      </c>
      <c r="Y8" s="3">
        <f>IFERROR(__xludf.DUMMYFUNCTION("""COMPUTED_VALUE"""),0.21472620915719817)</f>
        <v>0.2147262092</v>
      </c>
      <c r="Z8" s="3">
        <f>IFERROR(__xludf.DUMMYFUNCTION("""COMPUTED_VALUE"""),0.3764462146111836)</f>
        <v>0.3764462146</v>
      </c>
      <c r="AA8" s="3">
        <f>IFERROR(__xludf.DUMMYFUNCTION("""COMPUTED_VALUE"""),0.2311591215560018)</f>
        <v>0.2311591216</v>
      </c>
      <c r="AB8" s="3">
        <f>IFERROR(__xludf.DUMMYFUNCTION("""COMPUTED_VALUE"""),0.2565780662476256)</f>
        <v>0.2565780662</v>
      </c>
      <c r="AC8" s="3">
        <f>IFERROR(__xludf.DUMMYFUNCTION("""COMPUTED_VALUE"""),0.4144517842229342)</f>
        <v>0.4144517842</v>
      </c>
      <c r="AD8" s="3">
        <f>IFERROR(__xludf.DUMMYFUNCTION("""COMPUTED_VALUE"""),0.14769126484697803)</f>
        <v>0.1476912648</v>
      </c>
      <c r="AE8" s="3">
        <f>IFERROR(__xludf.DUMMYFUNCTION("""COMPUTED_VALUE"""),0.35411491895588776)</f>
        <v>0.354114919</v>
      </c>
      <c r="AF8" s="3">
        <f>IFERROR(__xludf.DUMMYFUNCTION("""COMPUTED_VALUE"""),0.26701776429082963)</f>
        <v>0.2670177643</v>
      </c>
      <c r="AG8" s="3">
        <f>IFERROR(__xludf.DUMMYFUNCTION("""COMPUTED_VALUE"""),0.10835226958897193)</f>
        <v>0.1083522696</v>
      </c>
      <c r="AH8" s="3">
        <f>IFERROR(__xludf.DUMMYFUNCTION("""COMPUTED_VALUE"""),0.26249635996243065)</f>
        <v>0.26249636</v>
      </c>
      <c r="AI8" s="3">
        <f>IFERROR(__xludf.DUMMYFUNCTION("""COMPUTED_VALUE"""),0.13499953037871082)</f>
        <v>0.1349995304</v>
      </c>
      <c r="AJ8" s="3">
        <f>IFERROR(__xludf.DUMMYFUNCTION("""COMPUTED_VALUE"""),0.3475411523387731)</f>
        <v>0.3475411523</v>
      </c>
      <c r="AK8" s="3">
        <f>IFERROR(__xludf.DUMMYFUNCTION("""COMPUTED_VALUE"""),0.15282009955087064)</f>
        <v>0.1528200996</v>
      </c>
      <c r="AL8" s="3">
        <f>IFERROR(__xludf.DUMMYFUNCTION("""COMPUTED_VALUE"""),0.3606938288754992)</f>
        <v>0.3606938289</v>
      </c>
      <c r="AM8" s="3">
        <f>IFERROR(__xludf.DUMMYFUNCTION("""COMPUTED_VALUE"""),0.0962288662553624)</f>
        <v>0.09622886626</v>
      </c>
    </row>
    <row r="9">
      <c r="A9" s="1" t="str">
        <f>IFERROR(__xludf.DUMMYFUNCTION("""COMPUTED_VALUE"""),"Everton")</f>
        <v>Everton</v>
      </c>
      <c r="B9" s="3">
        <f>IFERROR(__xludf.DUMMYFUNCTION("""COMPUTED_VALUE"""),0.29300741932298696)</f>
        <v>0.2930074193</v>
      </c>
      <c r="C9" s="3">
        <f>IFERROR(__xludf.DUMMYFUNCTION("""COMPUTED_VALUE"""),0.1744082675081882)</f>
        <v>0.1744082675</v>
      </c>
      <c r="D9" s="3">
        <f>IFERROR(__xludf.DUMMYFUNCTION("""COMPUTED_VALUE"""),0.28839217135148393)</f>
        <v>0.2883921714</v>
      </c>
      <c r="E9" s="3">
        <f>IFERROR(__xludf.DUMMYFUNCTION("""COMPUTED_VALUE"""),0.19892819245885746)</f>
        <v>0.1989281925</v>
      </c>
      <c r="F9" s="3">
        <f>IFERROR(__xludf.DUMMYFUNCTION("""COMPUTED_VALUE"""),0.3893735769435821)</f>
        <v>0.3893735769</v>
      </c>
      <c r="G9" s="3">
        <f>IFERROR(__xludf.DUMMYFUNCTION("""COMPUTED_VALUE"""),0.3244013370511994)</f>
        <v>0.3244013371</v>
      </c>
      <c r="H9" s="3">
        <f>IFERROR(__xludf.DUMMYFUNCTION("""COMPUTED_VALUE"""),0.24845160848277686)</f>
        <v>0.2484516085</v>
      </c>
      <c r="I9" s="3">
        <f>IFERROR(__xludf.DUMMYFUNCTION("""COMPUTED_VALUE"""),0.3514884550212095)</f>
        <v>0.351488455</v>
      </c>
      <c r="J9" s="3">
        <f>IFERROR(__xludf.DUMMYFUNCTION("""COMPUTED_VALUE"""),0.34426280431093076)</f>
        <v>0.3442628043</v>
      </c>
      <c r="K9" s="3">
        <f>IFERROR(__xludf.DUMMYFUNCTION("""COMPUTED_VALUE"""),0.38094163264938)</f>
        <v>0.3809416326</v>
      </c>
      <c r="L9" s="3">
        <f>IFERROR(__xludf.DUMMYFUNCTION("""COMPUTED_VALUE"""),0.270453522619272)</f>
        <v>0.2704535226</v>
      </c>
      <c r="M9" s="3">
        <f>IFERROR(__xludf.DUMMYFUNCTION("""COMPUTED_VALUE"""),0.32104921853189117)</f>
        <v>0.3210492185</v>
      </c>
      <c r="N9" s="3">
        <f>IFERROR(__xludf.DUMMYFUNCTION("""COMPUTED_VALUE"""),0.2392664316707908)</f>
        <v>0.2392664317</v>
      </c>
      <c r="O9" s="3">
        <f>IFERROR(__xludf.DUMMYFUNCTION("""COMPUTED_VALUE"""),0.3875168367167682)</f>
        <v>0.3875168367</v>
      </c>
      <c r="P9" s="3">
        <f>IFERROR(__xludf.DUMMYFUNCTION("""COMPUTED_VALUE"""),0.181880843317738)</f>
        <v>0.1818808433</v>
      </c>
      <c r="Q9" s="3">
        <f>IFERROR(__xludf.DUMMYFUNCTION("""COMPUTED_VALUE"""),0.1554199099801559)</f>
        <v>0.15541991</v>
      </c>
      <c r="R9" s="3">
        <f>IFERROR(__xludf.DUMMYFUNCTION("""COMPUTED_VALUE"""),0.2519891680267659)</f>
        <v>0.251989168</v>
      </c>
      <c r="S9" s="3">
        <f>IFERROR(__xludf.DUMMYFUNCTION("""COMPUTED_VALUE"""),0.12668631073475745)</f>
        <v>0.1266863107</v>
      </c>
      <c r="T9" s="3">
        <f>IFERROR(__xludf.DUMMYFUNCTION("""COMPUTED_VALUE"""),0.374362980172446)</f>
        <v>0.3743629802</v>
      </c>
      <c r="U9" s="3">
        <f>IFERROR(__xludf.DUMMYFUNCTION("""COMPUTED_VALUE"""),0.20438682106716324)</f>
        <v>0.2043868211</v>
      </c>
      <c r="V9" s="3">
        <f>IFERROR(__xludf.DUMMYFUNCTION("""COMPUTED_VALUE"""),0.2823425689261923)</f>
        <v>0.2823425689</v>
      </c>
      <c r="W9" s="3">
        <f>IFERROR(__xludf.DUMMYFUNCTION("""COMPUTED_VALUE"""),0.25470399962946944)</f>
        <v>0.2547039996</v>
      </c>
      <c r="X9" s="3">
        <f>IFERROR(__xludf.DUMMYFUNCTION("""COMPUTED_VALUE"""),0.20857262477555405)</f>
        <v>0.2085726248</v>
      </c>
      <c r="Y9" s="3">
        <f>IFERROR(__xludf.DUMMYFUNCTION("""COMPUTED_VALUE"""),0.47774578586595773)</f>
        <v>0.4777457859</v>
      </c>
      <c r="Z9" s="3">
        <f>IFERROR(__xludf.DUMMYFUNCTION("""COMPUTED_VALUE"""),0.23752067418740871)</f>
        <v>0.2375206742</v>
      </c>
      <c r="AA9" s="3">
        <f>IFERROR(__xludf.DUMMYFUNCTION("""COMPUTED_VALUE"""),0.3262671282197386)</f>
        <v>0.3262671282</v>
      </c>
      <c r="AB9" s="3">
        <f>IFERROR(__xludf.DUMMYFUNCTION("""COMPUTED_VALUE"""),0.23439119754444665)</f>
        <v>0.2343911975</v>
      </c>
      <c r="AC9" s="3">
        <f>IFERROR(__xludf.DUMMYFUNCTION("""COMPUTED_VALUE"""),0.2980493897392327)</f>
        <v>0.2980493897</v>
      </c>
      <c r="AD9" s="3">
        <f>IFERROR(__xludf.DUMMYFUNCTION("""COMPUTED_VALUE"""),0.35912466713601277)</f>
        <v>0.3591246671</v>
      </c>
      <c r="AE9" s="3">
        <f>IFERROR(__xludf.DUMMYFUNCTION("""COMPUTED_VALUE"""),0.11345456322554322)</f>
        <v>0.1134545632</v>
      </c>
      <c r="AF9" s="3">
        <f>IFERROR(__xludf.DUMMYFUNCTION("""COMPUTED_VALUE"""),0.2327186113774512)</f>
        <v>0.2327186114</v>
      </c>
      <c r="AG9" s="3">
        <f>IFERROR(__xludf.DUMMYFUNCTION("""COMPUTED_VALUE"""),0.28519223635117935)</f>
        <v>0.2851922364</v>
      </c>
      <c r="AH9" s="3">
        <f>IFERROR(__xludf.DUMMYFUNCTION("""COMPUTED_VALUE"""),0.1982922460086941)</f>
        <v>0.198292246</v>
      </c>
      <c r="AI9" s="3">
        <f>IFERROR(__xludf.DUMMYFUNCTION("""COMPUTED_VALUE"""),0.17203805074655343)</f>
        <v>0.1720380507</v>
      </c>
      <c r="AJ9" s="3">
        <f>IFERROR(__xludf.DUMMYFUNCTION("""COMPUTED_VALUE"""),0.44094229321993533)</f>
        <v>0.4409422932</v>
      </c>
      <c r="AK9" s="3">
        <f>IFERROR(__xludf.DUMMYFUNCTION("""COMPUTED_VALUE"""),0.25624474715192036)</f>
        <v>0.2562447472</v>
      </c>
      <c r="AL9" s="3">
        <f>IFERROR(__xludf.DUMMYFUNCTION("""COMPUTED_VALUE"""),0.4696244251420132)</f>
        <v>0.4696244251</v>
      </c>
      <c r="AM9" s="3">
        <f>IFERROR(__xludf.DUMMYFUNCTION("""COMPUTED_VALUE"""),0.16896014387482758)</f>
        <v>0.1689601439</v>
      </c>
    </row>
    <row r="10">
      <c r="A10" s="1" t="str">
        <f>IFERROR(__xludf.DUMMYFUNCTION("""COMPUTED_VALUE"""),"Fulham")</f>
        <v>Fulham</v>
      </c>
      <c r="B10" s="3">
        <f>IFERROR(__xludf.DUMMYFUNCTION("""COMPUTED_VALUE"""),0.22304552449829823)</f>
        <v>0.2230455245</v>
      </c>
      <c r="C10" s="3">
        <f>IFERROR(__xludf.DUMMYFUNCTION("""COMPUTED_VALUE"""),0.4607336117351578)</f>
        <v>0.4607336117</v>
      </c>
      <c r="D10" s="3">
        <f>IFERROR(__xludf.DUMMYFUNCTION("""COMPUTED_VALUE"""),0.33390399767585577)</f>
        <v>0.3339039977</v>
      </c>
      <c r="E10" s="3">
        <f>IFERROR(__xludf.DUMMYFUNCTION("""COMPUTED_VALUE"""),0.3415182908049852)</f>
        <v>0.3415182908</v>
      </c>
      <c r="F10" s="3">
        <f>IFERROR(__xludf.DUMMYFUNCTION("""COMPUTED_VALUE"""),0.23203665899110873)</f>
        <v>0.232036659</v>
      </c>
      <c r="G10" s="3">
        <f>IFERROR(__xludf.DUMMYFUNCTION("""COMPUTED_VALUE"""),0.2681591028090342)</f>
        <v>0.2681591028</v>
      </c>
      <c r="H10" s="3">
        <f>IFERROR(__xludf.DUMMYFUNCTION("""COMPUTED_VALUE"""),0.11446855653015714)</f>
        <v>0.1144685565</v>
      </c>
      <c r="I10" s="3">
        <f>IFERROR(__xludf.DUMMYFUNCTION("""COMPUTED_VALUE"""),0.2653487988773563)</f>
        <v>0.2653487989</v>
      </c>
      <c r="J10" s="3">
        <f>IFERROR(__xludf.DUMMYFUNCTION("""COMPUTED_VALUE"""),0.29621158775082007)</f>
        <v>0.2962115878</v>
      </c>
      <c r="K10" s="3">
        <f>IFERROR(__xludf.DUMMYFUNCTION("""COMPUTED_VALUE"""),0.30363452495538634)</f>
        <v>0.303634525</v>
      </c>
      <c r="L10" s="3">
        <f>IFERROR(__xludf.DUMMYFUNCTION("""COMPUTED_VALUE"""),0.22133854297673278)</f>
        <v>0.221338543</v>
      </c>
      <c r="M10" s="3">
        <f>IFERROR(__xludf.DUMMYFUNCTION("""COMPUTED_VALUE"""),0.36989748152133795)</f>
        <v>0.3698974815</v>
      </c>
      <c r="N10" s="3">
        <f>IFERROR(__xludf.DUMMYFUNCTION("""COMPUTED_VALUE"""),0.16008055008387154)</f>
        <v>0.1600805501</v>
      </c>
      <c r="O10" s="3">
        <f>IFERROR(__xludf.DUMMYFUNCTION("""COMPUTED_VALUE"""),0.2758733687805964)</f>
        <v>0.2758733688</v>
      </c>
      <c r="P10" s="3">
        <f>IFERROR(__xludf.DUMMYFUNCTION("""COMPUTED_VALUE"""),0.21664633076326875)</f>
        <v>0.2166463308</v>
      </c>
      <c r="Q10" s="3">
        <f>IFERROR(__xludf.DUMMYFUNCTION("""COMPUTED_VALUE"""),0.101959308919457)</f>
        <v>0.1019593089</v>
      </c>
      <c r="R10" s="3">
        <f>IFERROR(__xludf.DUMMYFUNCTION("""COMPUTED_VALUE"""),0.45252044309901285)</f>
        <v>0.4525204431</v>
      </c>
      <c r="S10" s="3">
        <f>IFERROR(__xludf.DUMMYFUNCTION("""COMPUTED_VALUE"""),0.1577990253452038)</f>
        <v>0.1577990253</v>
      </c>
      <c r="T10" s="3">
        <f>IFERROR(__xludf.DUMMYFUNCTION("""COMPUTED_VALUE"""),0.27131647866099945)</f>
        <v>0.2713164787</v>
      </c>
      <c r="U10" s="3">
        <f>IFERROR(__xludf.DUMMYFUNCTION("""COMPUTED_VALUE"""),0.42357064145826856)</f>
        <v>0.4235706415</v>
      </c>
      <c r="V10" s="3">
        <f>IFERROR(__xludf.DUMMYFUNCTION("""COMPUTED_VALUE"""),0.25363915409235266)</f>
        <v>0.2536391541</v>
      </c>
      <c r="W10" s="3">
        <f>IFERROR(__xludf.DUMMYFUNCTION("""COMPUTED_VALUE"""),0.371757015249414)</f>
        <v>0.3717570152</v>
      </c>
      <c r="X10" s="3">
        <f>IFERROR(__xludf.DUMMYFUNCTION("""COMPUTED_VALUE"""),0.30881368740834975)</f>
        <v>0.3088136874</v>
      </c>
      <c r="Y10" s="3">
        <f>IFERROR(__xludf.DUMMYFUNCTION("""COMPUTED_VALUE"""),0.15483859686867105)</f>
        <v>0.1548385969</v>
      </c>
      <c r="Z10" s="3">
        <f>IFERROR(__xludf.DUMMYFUNCTION("""COMPUTED_VALUE"""),0.35673647495449556)</f>
        <v>0.356736475</v>
      </c>
      <c r="AA10" s="3">
        <f>IFERROR(__xludf.DUMMYFUNCTION("""COMPUTED_VALUE"""),0.3069612808515875)</f>
        <v>0.3069612809</v>
      </c>
      <c r="AB10" s="3">
        <f>IFERROR(__xludf.DUMMYFUNCTION("""COMPUTED_VALUE"""),0.28085561244025964)</f>
        <v>0.2808556124</v>
      </c>
      <c r="AC10" s="3">
        <f>IFERROR(__xludf.DUMMYFUNCTION("""COMPUTED_VALUE"""),0.19312669828700763)</f>
        <v>0.1931266983</v>
      </c>
      <c r="AD10" s="3">
        <f>IFERROR(__xludf.DUMMYFUNCTION("""COMPUTED_VALUE"""),0.23816634312736962)</f>
        <v>0.2381663431</v>
      </c>
      <c r="AE10" s="3">
        <f>IFERROR(__xludf.DUMMYFUNCTION("""COMPUTED_VALUE"""),0.14184723790150974)</f>
        <v>0.1418472379</v>
      </c>
      <c r="AF10" s="3">
        <f>IFERROR(__xludf.DUMMYFUNCTION("""COMPUTED_VALUE"""),0.1672833828126291)</f>
        <v>0.1672833828</v>
      </c>
      <c r="AG10" s="3">
        <f>IFERROR(__xludf.DUMMYFUNCTION("""COMPUTED_VALUE"""),0.1890626425702077)</f>
        <v>0.1890626426</v>
      </c>
      <c r="AH10" s="3">
        <f>IFERROR(__xludf.DUMMYFUNCTION("""COMPUTED_VALUE"""),0.2355038736796152)</f>
        <v>0.2355038737</v>
      </c>
      <c r="AI10" s="3">
        <f>IFERROR(__xludf.DUMMYFUNCTION("""COMPUTED_VALUE"""),0.363315914855363)</f>
        <v>0.3633159149</v>
      </c>
      <c r="AJ10" s="3">
        <f>IFERROR(__xludf.DUMMYFUNCTION("""COMPUTED_VALUE"""),0.18376893070742384)</f>
        <v>0.1837689307</v>
      </c>
      <c r="AK10" s="3">
        <f>IFERROR(__xludf.DUMMYFUNCTION("""COMPUTED_VALUE"""),0.38564427924076494)</f>
        <v>0.3856442792</v>
      </c>
      <c r="AL10" s="3">
        <f>IFERROR(__xludf.DUMMYFUNCTION("""COMPUTED_VALUE"""),0.21828012091276808)</f>
        <v>0.2182801209</v>
      </c>
      <c r="AM10" s="3">
        <f>IFERROR(__xludf.DUMMYFUNCTION("""COMPUTED_VALUE"""),0.18315265746315618)</f>
        <v>0.1831526575</v>
      </c>
    </row>
    <row r="11">
      <c r="A11" s="1" t="str">
        <f>IFERROR(__xludf.DUMMYFUNCTION("""COMPUTED_VALUE"""),"Ipswich")</f>
        <v>Ipswich</v>
      </c>
      <c r="B11" s="3">
        <f>IFERROR(__xludf.DUMMYFUNCTION("""COMPUTED_VALUE"""),0.08132840261270541)</f>
        <v>0.08132840261</v>
      </c>
      <c r="C11" s="3">
        <f>IFERROR(__xludf.DUMMYFUNCTION("""COMPUTED_VALUE"""),0.04775502856660621)</f>
        <v>0.04775502857</v>
      </c>
      <c r="D11" s="3">
        <f>IFERROR(__xludf.DUMMYFUNCTION("""COMPUTED_VALUE"""),0.20806523608920077)</f>
        <v>0.2080652361</v>
      </c>
      <c r="E11" s="3">
        <f>IFERROR(__xludf.DUMMYFUNCTION("""COMPUTED_VALUE"""),0.09949374601686578)</f>
        <v>0.09949374602</v>
      </c>
      <c r="F11" s="3">
        <f>IFERROR(__xludf.DUMMYFUNCTION("""COMPUTED_VALUE"""),0.24150752444885892)</f>
        <v>0.2415075244</v>
      </c>
      <c r="G11" s="3">
        <f>IFERROR(__xludf.DUMMYFUNCTION("""COMPUTED_VALUE"""),0.1553892605241841)</f>
        <v>0.1553892605</v>
      </c>
      <c r="H11" s="3">
        <f>IFERROR(__xludf.DUMMYFUNCTION("""COMPUTED_VALUE"""),0.14585268260980727)</f>
        <v>0.1458526826</v>
      </c>
      <c r="I11" s="3">
        <f>IFERROR(__xludf.DUMMYFUNCTION("""COMPUTED_VALUE"""),0.2625914453373984)</f>
        <v>0.2625914453</v>
      </c>
      <c r="J11" s="3">
        <f>IFERROR(__xludf.DUMMYFUNCTION("""COMPUTED_VALUE"""),0.11814459517355831)</f>
        <v>0.1181445952</v>
      </c>
      <c r="K11" s="3">
        <f>IFERROR(__xludf.DUMMYFUNCTION("""COMPUTED_VALUE"""),0.33705955153831585)</f>
        <v>0.3370595515</v>
      </c>
      <c r="L11" s="3">
        <f>IFERROR(__xludf.DUMMYFUNCTION("""COMPUTED_VALUE"""),0.07645722331475438)</f>
        <v>0.07645722331</v>
      </c>
      <c r="M11" s="3">
        <f>IFERROR(__xludf.DUMMYFUNCTION("""COMPUTED_VALUE"""),0.19225252377701396)</f>
        <v>0.1922525238</v>
      </c>
      <c r="N11" s="3">
        <f>IFERROR(__xludf.DUMMYFUNCTION("""COMPUTED_VALUE"""),0.1577036899528558)</f>
        <v>0.15770369</v>
      </c>
      <c r="O11" s="3">
        <f>IFERROR(__xludf.DUMMYFUNCTION("""COMPUTED_VALUE"""),0.19063612833662213)</f>
        <v>0.1906361283</v>
      </c>
      <c r="P11" s="3">
        <f>IFERROR(__xludf.DUMMYFUNCTION("""COMPUTED_VALUE"""),0.16031564271838963)</f>
        <v>0.1603156427</v>
      </c>
      <c r="Q11" s="3">
        <f>IFERROR(__xludf.DUMMYFUNCTION("""COMPUTED_VALUE"""),0.16828123647942864)</f>
        <v>0.1682812365</v>
      </c>
      <c r="R11" s="3">
        <f>IFERROR(__xludf.DUMMYFUNCTION("""COMPUTED_VALUE"""),0.12872468192125686)</f>
        <v>0.1287246819</v>
      </c>
      <c r="S11" s="3">
        <f>IFERROR(__xludf.DUMMYFUNCTION("""COMPUTED_VALUE"""),0.06452358492457436)</f>
        <v>0.06452358492</v>
      </c>
      <c r="T11" s="3">
        <f>IFERROR(__xludf.DUMMYFUNCTION("""COMPUTED_VALUE"""),0.13143207284167976)</f>
        <v>0.1314320728</v>
      </c>
      <c r="U11" s="3">
        <f>IFERROR(__xludf.DUMMYFUNCTION("""COMPUTED_VALUE"""),0.13471283369624149)</f>
        <v>0.1347128337</v>
      </c>
      <c r="V11" s="3">
        <f>IFERROR(__xludf.DUMMYFUNCTION("""COMPUTED_VALUE"""),0.16410699426976358)</f>
        <v>0.1641069943</v>
      </c>
      <c r="W11" s="3">
        <f>IFERROR(__xludf.DUMMYFUNCTION("""COMPUTED_VALUE"""),0.09235878192053544)</f>
        <v>0.09235878192</v>
      </c>
      <c r="X11" s="3">
        <f>IFERROR(__xludf.DUMMYFUNCTION("""COMPUTED_VALUE"""),0.04059647442793608)</f>
        <v>0.04059647443</v>
      </c>
      <c r="Y11" s="3">
        <f>IFERROR(__xludf.DUMMYFUNCTION("""COMPUTED_VALUE"""),0.3286579922626155)</f>
        <v>0.3286579923</v>
      </c>
      <c r="Z11" s="3">
        <f>IFERROR(__xludf.DUMMYFUNCTION("""COMPUTED_VALUE"""),0.09279519203029571)</f>
        <v>0.09279519203</v>
      </c>
      <c r="AA11" s="3">
        <f>IFERROR(__xludf.DUMMYFUNCTION("""COMPUTED_VALUE"""),0.13352202756869347)</f>
        <v>0.1335220276</v>
      </c>
      <c r="AB11" s="3">
        <f>IFERROR(__xludf.DUMMYFUNCTION("""COMPUTED_VALUE"""),0.12178007024424199)</f>
        <v>0.1217800702</v>
      </c>
      <c r="AC11" s="3">
        <f>IFERROR(__xludf.DUMMYFUNCTION("""COMPUTED_VALUE"""),0.12047419462556562)</f>
        <v>0.1204741946</v>
      </c>
      <c r="AD11" s="3">
        <f>IFERROR(__xludf.DUMMYFUNCTION("""COMPUTED_VALUE"""),0.23539243923187583)</f>
        <v>0.2353924392</v>
      </c>
      <c r="AE11" s="3">
        <f>IFERROR(__xludf.DUMMYFUNCTION("""COMPUTED_VALUE"""),0.09656810904751864)</f>
        <v>0.09656810905</v>
      </c>
      <c r="AF11" s="3">
        <f>IFERROR(__xludf.DUMMYFUNCTION("""COMPUTED_VALUE"""),0.24766943934941496)</f>
        <v>0.2476694393</v>
      </c>
      <c r="AG11" s="3">
        <f>IFERROR(__xludf.DUMMYFUNCTION("""COMPUTED_VALUE"""),0.07493242076522819)</f>
        <v>0.07493242077</v>
      </c>
      <c r="AH11" s="3">
        <f>IFERROR(__xludf.DUMMYFUNCTION("""COMPUTED_VALUE"""),0.11690551035964478)</f>
        <v>0.1169055104</v>
      </c>
      <c r="AI11" s="3">
        <f>IFERROR(__xludf.DUMMYFUNCTION("""COMPUTED_VALUE"""),0.07296711702514065)</f>
        <v>0.07296711703</v>
      </c>
      <c r="AJ11" s="3">
        <f>IFERROR(__xludf.DUMMYFUNCTION("""COMPUTED_VALUE"""),0.1813340512702967)</f>
        <v>0.1813340513</v>
      </c>
      <c r="AK11" s="3">
        <f>IFERROR(__xludf.DUMMYFUNCTION("""COMPUTED_VALUE"""),0.1877431022146765)</f>
        <v>0.1877431022</v>
      </c>
      <c r="AL11" s="3">
        <f>IFERROR(__xludf.DUMMYFUNCTION("""COMPUTED_VALUE"""),0.24941846771924775)</f>
        <v>0.2494184677</v>
      </c>
      <c r="AM11" s="3">
        <f>IFERROR(__xludf.DUMMYFUNCTION("""COMPUTED_VALUE"""),0.2214228069945607)</f>
        <v>0.221422807</v>
      </c>
    </row>
    <row r="12">
      <c r="A12" s="1" t="str">
        <f>IFERROR(__xludf.DUMMYFUNCTION("""COMPUTED_VALUE"""),"Leicester")</f>
        <v>Leicester</v>
      </c>
      <c r="B12" s="3">
        <f>IFERROR(__xludf.DUMMYFUNCTION("""COMPUTED_VALUE"""),0.13301524588841046)</f>
        <v>0.1330152459</v>
      </c>
      <c r="C12" s="3">
        <f>IFERROR(__xludf.DUMMYFUNCTION("""COMPUTED_VALUE"""),0.13420378274427228)</f>
        <v>0.1342037827</v>
      </c>
      <c r="D12" s="3">
        <f>IFERROR(__xludf.DUMMYFUNCTION("""COMPUTED_VALUE"""),0.1548438292002459)</f>
        <v>0.1548438292</v>
      </c>
      <c r="E12" s="3">
        <f>IFERROR(__xludf.DUMMYFUNCTION("""COMPUTED_VALUE"""),0.11999362985575687)</f>
        <v>0.1199936299</v>
      </c>
      <c r="F12" s="3">
        <f>IFERROR(__xludf.DUMMYFUNCTION("""COMPUTED_VALUE"""),0.2619291394624205)</f>
        <v>0.2619291395</v>
      </c>
      <c r="G12" s="3">
        <f>IFERROR(__xludf.DUMMYFUNCTION("""COMPUTED_VALUE"""),0.0641904619312985)</f>
        <v>0.06419046193</v>
      </c>
      <c r="H12" s="3">
        <f>IFERROR(__xludf.DUMMYFUNCTION("""COMPUTED_VALUE"""),0.15976233643193957)</f>
        <v>0.1597623364</v>
      </c>
      <c r="I12" s="3">
        <f>IFERROR(__xludf.DUMMYFUNCTION("""COMPUTED_VALUE"""),0.240860319247295)</f>
        <v>0.2408603192</v>
      </c>
      <c r="J12" s="3">
        <f>IFERROR(__xludf.DUMMYFUNCTION("""COMPUTED_VALUE"""),0.23475025080377035)</f>
        <v>0.2347502508</v>
      </c>
      <c r="K12" s="3">
        <f>IFERROR(__xludf.DUMMYFUNCTION("""COMPUTED_VALUE"""),0.21390345659579446)</f>
        <v>0.2139034566</v>
      </c>
      <c r="L12" s="3">
        <f>IFERROR(__xludf.DUMMYFUNCTION("""COMPUTED_VALUE"""),0.12129676616388735)</f>
        <v>0.1212967662</v>
      </c>
      <c r="M12" s="3">
        <f>IFERROR(__xludf.DUMMYFUNCTION("""COMPUTED_VALUE"""),0.1309293224140844)</f>
        <v>0.1309293224</v>
      </c>
      <c r="N12" s="3">
        <f>IFERROR(__xludf.DUMMYFUNCTION("""COMPUTED_VALUE"""),0.1176689835947529)</f>
        <v>0.1176689836</v>
      </c>
      <c r="O12" s="3">
        <f>IFERROR(__xludf.DUMMYFUNCTION("""COMPUTED_VALUE"""),0.22079321677257052)</f>
        <v>0.2207932168</v>
      </c>
      <c r="P12" s="3">
        <f>IFERROR(__xludf.DUMMYFUNCTION("""COMPUTED_VALUE"""),0.16354782226392095)</f>
        <v>0.1635478223</v>
      </c>
      <c r="Q12" s="3">
        <f>IFERROR(__xludf.DUMMYFUNCTION("""COMPUTED_VALUE"""),0.07260726339038055)</f>
        <v>0.07260726339</v>
      </c>
      <c r="R12" s="3">
        <f>IFERROR(__xludf.DUMMYFUNCTION("""COMPUTED_VALUE"""),0.24701747452826298)</f>
        <v>0.2470174745</v>
      </c>
      <c r="S12" s="3">
        <f>IFERROR(__xludf.DUMMYFUNCTION("""COMPUTED_VALUE"""),0.04035155583061389)</f>
        <v>0.04035155583</v>
      </c>
      <c r="T12" s="3">
        <f>IFERROR(__xludf.DUMMYFUNCTION("""COMPUTED_VALUE"""),0.09194420870002157)</f>
        <v>0.0919442087</v>
      </c>
      <c r="U12" s="3">
        <f>IFERROR(__xludf.DUMMYFUNCTION("""COMPUTED_VALUE"""),0.09237948233630328)</f>
        <v>0.09237948234</v>
      </c>
      <c r="V12" s="3">
        <f>IFERROR(__xludf.DUMMYFUNCTION("""COMPUTED_VALUE"""),0.19004033681363194)</f>
        <v>0.1900403368</v>
      </c>
      <c r="W12" s="3">
        <f>IFERROR(__xludf.DUMMYFUNCTION("""COMPUTED_VALUE"""),0.20744924689283373)</f>
        <v>0.2074492469</v>
      </c>
      <c r="X12" s="3">
        <f>IFERROR(__xludf.DUMMYFUNCTION("""COMPUTED_VALUE"""),0.07608687112870222)</f>
        <v>0.07608687113</v>
      </c>
      <c r="Y12" s="3">
        <f>IFERROR(__xludf.DUMMYFUNCTION("""COMPUTED_VALUE"""),0.18075025339245737)</f>
        <v>0.1807502534</v>
      </c>
      <c r="Z12" s="3">
        <f>IFERROR(__xludf.DUMMYFUNCTION("""COMPUTED_VALUE"""),0.1164325684822784)</f>
        <v>0.1164325685</v>
      </c>
      <c r="AA12" s="3">
        <f>IFERROR(__xludf.DUMMYFUNCTION("""COMPUTED_VALUE"""),0.18715094708287477)</f>
        <v>0.1871509471</v>
      </c>
      <c r="AB12" s="3">
        <f>IFERROR(__xludf.DUMMYFUNCTION("""COMPUTED_VALUE"""),0.14532334126976243)</f>
        <v>0.1453233413</v>
      </c>
      <c r="AC12" s="3">
        <f>IFERROR(__xludf.DUMMYFUNCTION("""COMPUTED_VALUE"""),0.07456661759267974)</f>
        <v>0.07456661759</v>
      </c>
      <c r="AD12" s="3">
        <f>IFERROR(__xludf.DUMMYFUNCTION("""COMPUTED_VALUE"""),0.19165473666702693)</f>
        <v>0.1916547367</v>
      </c>
      <c r="AE12" s="3">
        <f>IFERROR(__xludf.DUMMYFUNCTION("""COMPUTED_VALUE"""),0.04748148357360847)</f>
        <v>0.04748148357</v>
      </c>
      <c r="AF12" s="3">
        <f>IFERROR(__xludf.DUMMYFUNCTION("""COMPUTED_VALUE"""),0.12822724698851057)</f>
        <v>0.128227247</v>
      </c>
      <c r="AG12" s="3">
        <f>IFERROR(__xludf.DUMMYFUNCTION("""COMPUTED_VALUE"""),0.09906106693010464)</f>
        <v>0.09906106693</v>
      </c>
      <c r="AH12" s="3">
        <f>IFERROR(__xludf.DUMMYFUNCTION("""COMPUTED_VALUE"""),0.08094389628393246)</f>
        <v>0.08094389628</v>
      </c>
      <c r="AI12" s="3">
        <f>IFERROR(__xludf.DUMMYFUNCTION("""COMPUTED_VALUE"""),0.1677157972806261)</f>
        <v>0.1677157973</v>
      </c>
      <c r="AJ12" s="3">
        <f>IFERROR(__xludf.DUMMYFUNCTION("""COMPUTED_VALUE"""),0.3279680306085797)</f>
        <v>0.3279680306</v>
      </c>
      <c r="AK12" s="3">
        <f>IFERROR(__xludf.DUMMYFUNCTION("""COMPUTED_VALUE"""),0.15715452282880701)</f>
        <v>0.1571545228</v>
      </c>
      <c r="AL12" s="3">
        <f>IFERROR(__xludf.DUMMYFUNCTION("""COMPUTED_VALUE"""),0.2988562161946127)</f>
        <v>0.2988562162</v>
      </c>
      <c r="AM12" s="3">
        <f>IFERROR(__xludf.DUMMYFUNCTION("""COMPUTED_VALUE"""),0.09614273344974494)</f>
        <v>0.09614273345</v>
      </c>
    </row>
    <row r="13">
      <c r="A13" s="1" t="str">
        <f>IFERROR(__xludf.DUMMYFUNCTION("""COMPUTED_VALUE"""),"Liverpool")</f>
        <v>Liverpool</v>
      </c>
      <c r="B13" s="3">
        <f>IFERROR(__xludf.DUMMYFUNCTION("""COMPUTED_VALUE"""),0.43830834222607074)</f>
        <v>0.4383083422</v>
      </c>
      <c r="C13" s="3">
        <f>IFERROR(__xludf.DUMMYFUNCTION("""COMPUTED_VALUE"""),0.4080804183721644)</f>
        <v>0.4080804184</v>
      </c>
      <c r="D13" s="3">
        <f>IFERROR(__xludf.DUMMYFUNCTION("""COMPUTED_VALUE"""),0.3236042296821656)</f>
        <v>0.3236042297</v>
      </c>
      <c r="E13" s="3">
        <f>IFERROR(__xludf.DUMMYFUNCTION("""COMPUTED_VALUE"""),0.4606601345652374)</f>
        <v>0.4606601346</v>
      </c>
      <c r="F13" s="3">
        <f>IFERROR(__xludf.DUMMYFUNCTION("""COMPUTED_VALUE"""),0.374967339272124)</f>
        <v>0.3749673393</v>
      </c>
      <c r="G13" s="3">
        <f>IFERROR(__xludf.DUMMYFUNCTION("""COMPUTED_VALUE"""),0.38483817235302914)</f>
        <v>0.3848381724</v>
      </c>
      <c r="H13" s="3">
        <f>IFERROR(__xludf.DUMMYFUNCTION("""COMPUTED_VALUE"""),0.3217401652699815)</f>
        <v>0.3217401653</v>
      </c>
      <c r="I13" s="3">
        <f>IFERROR(__xludf.DUMMYFUNCTION("""COMPUTED_VALUE"""),0.33710407166249573)</f>
        <v>0.3371040717</v>
      </c>
      <c r="J13" s="3">
        <f>IFERROR(__xludf.DUMMYFUNCTION("""COMPUTED_VALUE"""),0.2302492844777081)</f>
        <v>0.2302492845</v>
      </c>
      <c r="K13" s="3">
        <f>IFERROR(__xludf.DUMMYFUNCTION("""COMPUTED_VALUE"""),0.3796932406905197)</f>
        <v>0.3796932407</v>
      </c>
      <c r="L13" s="3">
        <f>IFERROR(__xludf.DUMMYFUNCTION("""COMPUTED_VALUE"""),0.3687484205279715)</f>
        <v>0.3687484205</v>
      </c>
      <c r="M13" s="3">
        <f>IFERROR(__xludf.DUMMYFUNCTION("""COMPUTED_VALUE"""),0.46703444491116103)</f>
        <v>0.4670344449</v>
      </c>
      <c r="N13" s="3">
        <f>IFERROR(__xludf.DUMMYFUNCTION("""COMPUTED_VALUE"""),0.27903632065656475)</f>
        <v>0.2790363207</v>
      </c>
      <c r="O13" s="3">
        <f>IFERROR(__xludf.DUMMYFUNCTION("""COMPUTED_VALUE"""),0.24593303147248652)</f>
        <v>0.2459330315</v>
      </c>
      <c r="P13" s="3">
        <f>IFERROR(__xludf.DUMMYFUNCTION("""COMPUTED_VALUE"""),0.40055558736304353)</f>
        <v>0.4005555874</v>
      </c>
      <c r="Q13" s="3">
        <f>IFERROR(__xludf.DUMMYFUNCTION("""COMPUTED_VALUE"""),0.4311846658225826)</f>
        <v>0.4311846658</v>
      </c>
      <c r="R13" s="3">
        <f>IFERROR(__xludf.DUMMYFUNCTION("""COMPUTED_VALUE"""),0.25216789510901766)</f>
        <v>0.2521678951</v>
      </c>
      <c r="S13" s="3">
        <f>IFERROR(__xludf.DUMMYFUNCTION("""COMPUTED_VALUE"""),0.5583748168070171)</f>
        <v>0.5583748168</v>
      </c>
      <c r="T13" s="3">
        <f>IFERROR(__xludf.DUMMYFUNCTION("""COMPUTED_VALUE"""),0.35644375851382076)</f>
        <v>0.3564437585</v>
      </c>
      <c r="U13" s="3">
        <f>IFERROR(__xludf.DUMMYFUNCTION("""COMPUTED_VALUE"""),0.413303647036401)</f>
        <v>0.413303647</v>
      </c>
      <c r="V13" s="3">
        <f>IFERROR(__xludf.DUMMYFUNCTION("""COMPUTED_VALUE"""),0.37168131296342644)</f>
        <v>0.371681313</v>
      </c>
      <c r="W13" s="3">
        <f>IFERROR(__xludf.DUMMYFUNCTION("""COMPUTED_VALUE"""),0.3183913464469463)</f>
        <v>0.3183913464</v>
      </c>
      <c r="X13" s="3">
        <f>IFERROR(__xludf.DUMMYFUNCTION("""COMPUTED_VALUE"""),0.5241565156590602)</f>
        <v>0.5241565157</v>
      </c>
      <c r="Y13" s="3">
        <f>IFERROR(__xludf.DUMMYFUNCTION("""COMPUTED_VALUE"""),0.2857802586228841)</f>
        <v>0.2857802586</v>
      </c>
      <c r="Z13" s="3">
        <f>IFERROR(__xludf.DUMMYFUNCTION("""COMPUTED_VALUE"""),0.47338223254848943)</f>
        <v>0.4733822325</v>
      </c>
      <c r="AA13" s="3">
        <f>IFERROR(__xludf.DUMMYFUNCTION("""COMPUTED_VALUE"""),0.195958539850294)</f>
        <v>0.1959585399</v>
      </c>
      <c r="AB13" s="3">
        <f>IFERROR(__xludf.DUMMYFUNCTION("""COMPUTED_VALUE"""),0.3333651884337217)</f>
        <v>0.3333651884</v>
      </c>
      <c r="AC13" s="3">
        <f>IFERROR(__xludf.DUMMYFUNCTION("""COMPUTED_VALUE"""),0.5508732667689846)</f>
        <v>0.5508732668</v>
      </c>
      <c r="AD13" s="3">
        <f>IFERROR(__xludf.DUMMYFUNCTION("""COMPUTED_VALUE"""),0.2797420495804658)</f>
        <v>0.2797420496</v>
      </c>
      <c r="AE13" s="3">
        <f>IFERROR(__xludf.DUMMYFUNCTION("""COMPUTED_VALUE"""),0.48845739053593984)</f>
        <v>0.4884573905</v>
      </c>
      <c r="AF13" s="3">
        <f>IFERROR(__xludf.DUMMYFUNCTION("""COMPUTED_VALUE"""),0.3415871915025751)</f>
        <v>0.3415871915</v>
      </c>
      <c r="AG13" s="3">
        <f>IFERROR(__xludf.DUMMYFUNCTION("""COMPUTED_VALUE"""),0.4458032690663598)</f>
        <v>0.4458032691</v>
      </c>
      <c r="AH13" s="3">
        <f>IFERROR(__xludf.DUMMYFUNCTION("""COMPUTED_VALUE"""),0.4751706234911715)</f>
        <v>0.4751706235</v>
      </c>
      <c r="AI13" s="3">
        <f>IFERROR(__xludf.DUMMYFUNCTION("""COMPUTED_VALUE"""),0.339965890868602)</f>
        <v>0.3399658909</v>
      </c>
      <c r="AJ13" s="3">
        <f>IFERROR(__xludf.DUMMYFUNCTION("""COMPUTED_VALUE"""),0.24946053487639513)</f>
        <v>0.2494605349</v>
      </c>
      <c r="AK13" s="3">
        <f>IFERROR(__xludf.DUMMYFUNCTION("""COMPUTED_VALUE"""),0.3165976636094949)</f>
        <v>0.3165976636</v>
      </c>
      <c r="AL13" s="3">
        <f>IFERROR(__xludf.DUMMYFUNCTION("""COMPUTED_VALUE"""),0.2903874389060128)</f>
        <v>0.2903874389</v>
      </c>
      <c r="AM13" s="3">
        <f>IFERROR(__xludf.DUMMYFUNCTION("""COMPUTED_VALUE"""),0.4114379940165828)</f>
        <v>0.411437994</v>
      </c>
    </row>
    <row r="14">
      <c r="A14" s="1" t="str">
        <f>IFERROR(__xludf.DUMMYFUNCTION("""COMPUTED_VALUE"""),"Man City")</f>
        <v>Man City</v>
      </c>
      <c r="B14" s="3">
        <f>IFERROR(__xludf.DUMMYFUNCTION("""COMPUTED_VALUE"""),0.20935201935794165)</f>
        <v>0.2093520194</v>
      </c>
      <c r="C14" s="3">
        <f>IFERROR(__xludf.DUMMYFUNCTION("""COMPUTED_VALUE"""),0.4831085421695915)</f>
        <v>0.4831085422</v>
      </c>
      <c r="D14" s="3">
        <f>IFERROR(__xludf.DUMMYFUNCTION("""COMPUTED_VALUE"""),0.3129195661181451)</f>
        <v>0.3129195661</v>
      </c>
      <c r="E14" s="3">
        <f>IFERROR(__xludf.DUMMYFUNCTION("""COMPUTED_VALUE"""),0.3644222409881556)</f>
        <v>0.364422241</v>
      </c>
      <c r="F14" s="3">
        <f>IFERROR(__xludf.DUMMYFUNCTION("""COMPUTED_VALUE"""),0.2738104185397079)</f>
        <v>0.2738104185</v>
      </c>
      <c r="G14" s="3">
        <f>IFERROR(__xludf.DUMMYFUNCTION("""COMPUTED_VALUE"""),0.20602093459270637)</f>
        <v>0.2060209346</v>
      </c>
      <c r="H14" s="3">
        <f>IFERROR(__xludf.DUMMYFUNCTION("""COMPUTED_VALUE"""),0.38774112470767164)</f>
        <v>0.3877411247</v>
      </c>
      <c r="I14" s="3">
        <f>IFERROR(__xludf.DUMMYFUNCTION("""COMPUTED_VALUE"""),0.34113174632437415)</f>
        <v>0.3411317463</v>
      </c>
      <c r="J14" s="3">
        <f>IFERROR(__xludf.DUMMYFUNCTION("""COMPUTED_VALUE"""),0.5109296604073388)</f>
        <v>0.5109296604</v>
      </c>
      <c r="K14" s="3">
        <f>IFERROR(__xludf.DUMMYFUNCTION("""COMPUTED_VALUE"""),0.2439830976506644)</f>
        <v>0.2439830977</v>
      </c>
      <c r="L14" s="3">
        <f>IFERROR(__xludf.DUMMYFUNCTION("""COMPUTED_VALUE"""),0.2484174964130079)</f>
        <v>0.2484174964</v>
      </c>
      <c r="M14" s="3">
        <f>IFERROR(__xludf.DUMMYFUNCTION("""COMPUTED_VALUE"""),0.2966757357777717)</f>
        <v>0.2966757358</v>
      </c>
      <c r="N14" s="3">
        <f>IFERROR(__xludf.DUMMYFUNCTION("""COMPUTED_VALUE"""),0.14462386150730053)</f>
        <v>0.1446238615</v>
      </c>
      <c r="O14" s="3">
        <f>IFERROR(__xludf.DUMMYFUNCTION("""COMPUTED_VALUE"""),0.41771932553683266)</f>
        <v>0.4177193255</v>
      </c>
      <c r="P14" s="3">
        <f>IFERROR(__xludf.DUMMYFUNCTION("""COMPUTED_VALUE"""),0.27882450738403186)</f>
        <v>0.2788245074</v>
      </c>
      <c r="Q14" s="3">
        <f>IFERROR(__xludf.DUMMYFUNCTION("""COMPUTED_VALUE"""),0.3696797491510565)</f>
        <v>0.3696797492</v>
      </c>
      <c r="R14" s="3">
        <f>IFERROR(__xludf.DUMMYFUNCTION("""COMPUTED_VALUE"""),0.23818500950206936)</f>
        <v>0.2381850095</v>
      </c>
      <c r="S14" s="3">
        <f>IFERROR(__xludf.DUMMYFUNCTION("""COMPUTED_VALUE"""),0.4462138294209859)</f>
        <v>0.4462138294</v>
      </c>
      <c r="T14" s="3">
        <f>IFERROR(__xludf.DUMMYFUNCTION("""COMPUTED_VALUE"""),0.43256750475778505)</f>
        <v>0.4325675048</v>
      </c>
      <c r="U14" s="3">
        <f>IFERROR(__xludf.DUMMYFUNCTION("""COMPUTED_VALUE"""),0.4025777865123739)</f>
        <v>0.4025777865</v>
      </c>
      <c r="V14" s="3">
        <f>IFERROR(__xludf.DUMMYFUNCTION("""COMPUTED_VALUE"""),0.2755581524144428)</f>
        <v>0.2755581524</v>
      </c>
      <c r="W14" s="3">
        <f>IFERROR(__xludf.DUMMYFUNCTION("""COMPUTED_VALUE"""),0.39496325979553987)</f>
        <v>0.3949632598</v>
      </c>
      <c r="X14" s="3">
        <f>IFERROR(__xludf.DUMMYFUNCTION("""COMPUTED_VALUE"""),0.29386454809660656)</f>
        <v>0.2938645481</v>
      </c>
      <c r="Y14" s="3">
        <f>IFERROR(__xludf.DUMMYFUNCTION("""COMPUTED_VALUE"""),0.19128453764414818)</f>
        <v>0.1912845376</v>
      </c>
      <c r="Z14" s="3">
        <f>IFERROR(__xludf.DUMMYFUNCTION("""COMPUTED_VALUE"""),0.2901963539191199)</f>
        <v>0.2901963539</v>
      </c>
      <c r="AA14" s="3">
        <f>IFERROR(__xludf.DUMMYFUNCTION("""COMPUTED_VALUE"""),0.21996050317615384)</f>
        <v>0.2199605032</v>
      </c>
      <c r="AB14" s="3">
        <f>IFERROR(__xludf.DUMMYFUNCTION("""COMPUTED_VALUE"""),0.21191266916233434)</f>
        <v>0.2119126692</v>
      </c>
      <c r="AC14" s="3">
        <f>IFERROR(__xludf.DUMMYFUNCTION("""COMPUTED_VALUE"""),0.32802542361442166)</f>
        <v>0.3280254236</v>
      </c>
      <c r="AD14" s="3">
        <f>IFERROR(__xludf.DUMMYFUNCTION("""COMPUTED_VALUE"""),0.3359997317624875)</f>
        <v>0.3359997318</v>
      </c>
      <c r="AE14" s="3">
        <f>IFERROR(__xludf.DUMMYFUNCTION("""COMPUTED_VALUE"""),0.5187723398214649)</f>
        <v>0.5187723398</v>
      </c>
      <c r="AF14" s="3">
        <f>IFERROR(__xludf.DUMMYFUNCTION("""COMPUTED_VALUE"""),0.28064453286074104)</f>
        <v>0.2806445329</v>
      </c>
      <c r="AG14" s="3">
        <f>IFERROR(__xludf.DUMMYFUNCTION("""COMPUTED_VALUE"""),0.36780088347060996)</f>
        <v>0.3678008835</v>
      </c>
      <c r="AH14" s="3">
        <f>IFERROR(__xludf.DUMMYFUNCTION("""COMPUTED_VALUE"""),0.35686297371403247)</f>
        <v>0.3568629737</v>
      </c>
      <c r="AI14" s="3">
        <f>IFERROR(__xludf.DUMMYFUNCTION("""COMPUTED_VALUE"""),0.3251116996600163)</f>
        <v>0.3251116997</v>
      </c>
      <c r="AJ14" s="3">
        <f>IFERROR(__xludf.DUMMYFUNCTION("""COMPUTED_VALUE"""),0.4307343639365126)</f>
        <v>0.4307343639</v>
      </c>
      <c r="AK14" s="3">
        <f>IFERROR(__xludf.DUMMYFUNCTION("""COMPUTED_VALUE"""),0.4242348165242254)</f>
        <v>0.4242348165</v>
      </c>
      <c r="AL14" s="3">
        <f>IFERROR(__xludf.DUMMYFUNCTION("""COMPUTED_VALUE"""),0.3312934221082903)</f>
        <v>0.3312934221</v>
      </c>
      <c r="AM14" s="3">
        <f>IFERROR(__xludf.DUMMYFUNCTION("""COMPUTED_VALUE"""),0.29826968003350723)</f>
        <v>0.29826968</v>
      </c>
    </row>
    <row r="15">
      <c r="A15" s="1" t="str">
        <f>IFERROR(__xludf.DUMMYFUNCTION("""COMPUTED_VALUE"""),"Man Utd")</f>
        <v>Man Utd</v>
      </c>
      <c r="B15" s="3">
        <f>IFERROR(__xludf.DUMMYFUNCTION("""COMPUTED_VALUE"""),0.29926233329653784)</f>
        <v>0.2992623333</v>
      </c>
      <c r="C15" s="3">
        <f>IFERROR(__xludf.DUMMYFUNCTION("""COMPUTED_VALUE"""),0.1697575786871228)</f>
        <v>0.1697575787</v>
      </c>
      <c r="D15" s="3">
        <f>IFERROR(__xludf.DUMMYFUNCTION("""COMPUTED_VALUE"""),0.14539393663290728)</f>
        <v>0.1453939366</v>
      </c>
      <c r="E15" s="3">
        <f>IFERROR(__xludf.DUMMYFUNCTION("""COMPUTED_VALUE"""),0.33558029232748987)</f>
        <v>0.3355802923</v>
      </c>
      <c r="F15" s="3">
        <f>IFERROR(__xludf.DUMMYFUNCTION("""COMPUTED_VALUE"""),0.1966474232437897)</f>
        <v>0.1966474232</v>
      </c>
      <c r="G15" s="3">
        <f>IFERROR(__xludf.DUMMYFUNCTION("""COMPUTED_VALUE"""),0.21281762129055193)</f>
        <v>0.2128176213</v>
      </c>
      <c r="H15" s="3">
        <f>IFERROR(__xludf.DUMMYFUNCTION("""COMPUTED_VALUE"""),0.16090411041293293)</f>
        <v>0.1609041104</v>
      </c>
      <c r="I15" s="3">
        <f>IFERROR(__xludf.DUMMYFUNCTION("""COMPUTED_VALUE"""),0.2765353650063285)</f>
        <v>0.276535365</v>
      </c>
      <c r="J15" s="3">
        <f>IFERROR(__xludf.DUMMYFUNCTION("""COMPUTED_VALUE"""),0.22776527625471485)</f>
        <v>0.2277652763</v>
      </c>
      <c r="K15" s="3">
        <f>IFERROR(__xludf.DUMMYFUNCTION("""COMPUTED_VALUE"""),0.21025305643544606)</f>
        <v>0.2102530564</v>
      </c>
      <c r="L15" s="3">
        <f>IFERROR(__xludf.DUMMYFUNCTION("""COMPUTED_VALUE"""),0.43356422917153065)</f>
        <v>0.4335642292</v>
      </c>
      <c r="M15" s="3">
        <f>IFERROR(__xludf.DUMMYFUNCTION("""COMPUTED_VALUE"""),0.3063783624148726)</f>
        <v>0.3063783624</v>
      </c>
      <c r="N15" s="3">
        <f>IFERROR(__xludf.DUMMYFUNCTION("""COMPUTED_VALUE"""),0.35787430162340556)</f>
        <v>0.3578743016</v>
      </c>
      <c r="O15" s="3">
        <f>IFERROR(__xludf.DUMMYFUNCTION("""COMPUTED_VALUE"""),0.12170154992193605)</f>
        <v>0.1217015499</v>
      </c>
      <c r="P15" s="3">
        <f>IFERROR(__xludf.DUMMYFUNCTION("""COMPUTED_VALUE"""),0.3290311620318184)</f>
        <v>0.329031162</v>
      </c>
      <c r="Q15" s="3">
        <f>IFERROR(__xludf.DUMMYFUNCTION("""COMPUTED_VALUE"""),0.09657320623177401)</f>
        <v>0.09657320623</v>
      </c>
      <c r="R15" s="3">
        <f>IFERROR(__xludf.DUMMYFUNCTION("""COMPUTED_VALUE"""),0.2449301872870134)</f>
        <v>0.2449301873</v>
      </c>
      <c r="S15" s="3">
        <f>IFERROR(__xludf.DUMMYFUNCTION("""COMPUTED_VALUE"""),0.25422969739851475)</f>
        <v>0.2542296974</v>
      </c>
      <c r="T15" s="3">
        <f>IFERROR(__xludf.DUMMYFUNCTION("""COMPUTED_VALUE"""),0.20691674958425404)</f>
        <v>0.2069167496</v>
      </c>
      <c r="U15" s="3">
        <f>IFERROR(__xludf.DUMMYFUNCTION("""COMPUTED_VALUE"""),0.08524234032288265)</f>
        <v>0.08524234032</v>
      </c>
      <c r="V15" s="3">
        <f>IFERROR(__xludf.DUMMYFUNCTION("""COMPUTED_VALUE"""),0.42523505683509)</f>
        <v>0.4252350568</v>
      </c>
      <c r="W15" s="3">
        <f>IFERROR(__xludf.DUMMYFUNCTION("""COMPUTED_VALUE"""),0.2493694632525698)</f>
        <v>0.2493694633</v>
      </c>
      <c r="X15" s="3">
        <f>IFERROR(__xludf.DUMMYFUNCTION("""COMPUTED_VALUE"""),0.21427468854724535)</f>
        <v>0.2142746885</v>
      </c>
      <c r="Y15" s="3">
        <f>IFERROR(__xludf.DUMMYFUNCTION("""COMPUTED_VALUE"""),0.2798042478292792)</f>
        <v>0.2798042478</v>
      </c>
      <c r="Z15" s="3">
        <f>IFERROR(__xludf.DUMMYFUNCTION("""COMPUTED_VALUE"""),0.1386541538560397)</f>
        <v>0.1386541539</v>
      </c>
      <c r="AA15" s="3">
        <f>IFERROR(__xludf.DUMMYFUNCTION("""COMPUTED_VALUE"""),0.26925172398853214)</f>
        <v>0.269251724</v>
      </c>
      <c r="AB15" s="3">
        <f>IFERROR(__xludf.DUMMYFUNCTION("""COMPUTED_VALUE"""),0.3959722282591677)</f>
        <v>0.3959722283</v>
      </c>
      <c r="AC15" s="3">
        <f>IFERROR(__xludf.DUMMYFUNCTION("""COMPUTED_VALUE"""),0.19215543894473583)</f>
        <v>0.1921554389</v>
      </c>
      <c r="AD15" s="3">
        <f>IFERROR(__xludf.DUMMYFUNCTION("""COMPUTED_VALUE"""),0.3439961187717987)</f>
        <v>0.3439961188</v>
      </c>
      <c r="AE15" s="3">
        <f>IFERROR(__xludf.DUMMYFUNCTION("""COMPUTED_VALUE"""),0.24185772599306832)</f>
        <v>0.241857726</v>
      </c>
      <c r="AF15" s="3">
        <f>IFERROR(__xludf.DUMMYFUNCTION("""COMPUTED_VALUE"""),0.16032226965984134)</f>
        <v>0.1603222697</v>
      </c>
      <c r="AG15" s="3">
        <f>IFERROR(__xludf.DUMMYFUNCTION("""COMPUTED_VALUE"""),0.13376406627294635)</f>
        <v>0.1337640663</v>
      </c>
      <c r="AH15" s="3">
        <f>IFERROR(__xludf.DUMMYFUNCTION("""COMPUTED_VALUE"""),0.3421408533505937)</f>
        <v>0.3421408534</v>
      </c>
      <c r="AI15" s="3">
        <f>IFERROR(__xludf.DUMMYFUNCTION("""COMPUTED_VALUE"""),0.16590830695139921)</f>
        <v>0.165908307</v>
      </c>
      <c r="AJ15" s="3">
        <f>IFERROR(__xludf.DUMMYFUNCTION("""COMPUTED_VALUE"""),0.19371865386360423)</f>
        <v>0.1937186539</v>
      </c>
      <c r="AK15" s="3">
        <f>IFERROR(__xludf.DUMMYFUNCTION("""COMPUTED_VALUE"""),0.3139196331715732)</f>
        <v>0.3139196332</v>
      </c>
      <c r="AL15" s="3">
        <f>IFERROR(__xludf.DUMMYFUNCTION("""COMPUTED_VALUE"""),0.13652420794799627)</f>
        <v>0.1365242079</v>
      </c>
      <c r="AM15" s="3">
        <f>IFERROR(__xludf.DUMMYFUNCTION("""COMPUTED_VALUE"""),0.23912538712425738)</f>
        <v>0.2391253871</v>
      </c>
    </row>
    <row r="16">
      <c r="A16" s="1" t="str">
        <f>IFERROR(__xludf.DUMMYFUNCTION("""COMPUTED_VALUE"""),"Newcastle")</f>
        <v>Newcastle</v>
      </c>
      <c r="B16" s="3">
        <f>IFERROR(__xludf.DUMMYFUNCTION("""COMPUTED_VALUE"""),0.43798618955010127)</f>
        <v>0.4379861896</v>
      </c>
      <c r="C16" s="3">
        <f>IFERROR(__xludf.DUMMYFUNCTION("""COMPUTED_VALUE"""),0.17653170519196618)</f>
        <v>0.1765317052</v>
      </c>
      <c r="D16" s="3">
        <f>IFERROR(__xludf.DUMMYFUNCTION("""COMPUTED_VALUE"""),0.22450489197294318)</f>
        <v>0.224504892</v>
      </c>
      <c r="E16" s="3">
        <f>IFERROR(__xludf.DUMMYFUNCTION("""COMPUTED_VALUE"""),0.26654865586403687)</f>
        <v>0.2665486559</v>
      </c>
      <c r="F16" s="3">
        <f>IFERROR(__xludf.DUMMYFUNCTION("""COMPUTED_VALUE"""),0.22598869333915164)</f>
        <v>0.2259886933</v>
      </c>
      <c r="G16" s="3">
        <f>IFERROR(__xludf.DUMMYFUNCTION("""COMPUTED_VALUE"""),0.17078997037465893)</f>
        <v>0.1707899704</v>
      </c>
      <c r="H16" s="3">
        <f>IFERROR(__xludf.DUMMYFUNCTION("""COMPUTED_VALUE"""),0.2817391942407764)</f>
        <v>0.2817391942</v>
      </c>
      <c r="I16" s="3">
        <f>IFERROR(__xludf.DUMMYFUNCTION("""COMPUTED_VALUE"""),0.26162734310182567)</f>
        <v>0.2616273431</v>
      </c>
      <c r="J16" s="3">
        <f>IFERROR(__xludf.DUMMYFUNCTION("""COMPUTED_VALUE"""),0.14624778999944588)</f>
        <v>0.14624779</v>
      </c>
      <c r="K16" s="3">
        <f>IFERROR(__xludf.DUMMYFUNCTION("""COMPUTED_VALUE"""),0.20342457910699135)</f>
        <v>0.2034245791</v>
      </c>
      <c r="L16" s="3">
        <f>IFERROR(__xludf.DUMMYFUNCTION("""COMPUTED_VALUE"""),0.2540146596511919)</f>
        <v>0.2540146597</v>
      </c>
      <c r="M16" s="3">
        <f>IFERROR(__xludf.DUMMYFUNCTION("""COMPUTED_VALUE"""),0.32674132307164083)</f>
        <v>0.3267413231</v>
      </c>
      <c r="N16" s="3">
        <f>IFERROR(__xludf.DUMMYFUNCTION("""COMPUTED_VALUE"""),0.2080138547193579)</f>
        <v>0.2080138547</v>
      </c>
      <c r="O16" s="3">
        <f>IFERROR(__xludf.DUMMYFUNCTION("""COMPUTED_VALUE"""),0.1554108820364537)</f>
        <v>0.155410882</v>
      </c>
      <c r="P16" s="3">
        <f>IFERROR(__xludf.DUMMYFUNCTION("""COMPUTED_VALUE"""),0.20502206767802075)</f>
        <v>0.2050220677</v>
      </c>
      <c r="Q16" s="3">
        <f>IFERROR(__xludf.DUMMYFUNCTION("""COMPUTED_VALUE"""),0.4462659238103088)</f>
        <v>0.4462659238</v>
      </c>
      <c r="R16" s="3">
        <f>IFERROR(__xludf.DUMMYFUNCTION("""COMPUTED_VALUE"""),0.3191600694869477)</f>
        <v>0.3191600695</v>
      </c>
      <c r="S16" s="3">
        <f>IFERROR(__xludf.DUMMYFUNCTION("""COMPUTED_VALUE"""),0.2512435886453076)</f>
        <v>0.2512435886</v>
      </c>
      <c r="T16" s="3">
        <f>IFERROR(__xludf.DUMMYFUNCTION("""COMPUTED_VALUE"""),0.20968438731036773)</f>
        <v>0.2096843873</v>
      </c>
      <c r="U16" s="3">
        <f>IFERROR(__xludf.DUMMYFUNCTION("""COMPUTED_VALUE"""),0.14845001136531027)</f>
        <v>0.1484500114</v>
      </c>
      <c r="V16" s="3">
        <f>IFERROR(__xludf.DUMMYFUNCTION("""COMPUTED_VALUE"""),0.3550575630716818)</f>
        <v>0.3550575631</v>
      </c>
      <c r="W16" s="3">
        <f>IFERROR(__xludf.DUMMYFUNCTION("""COMPUTED_VALUE"""),0.25712938332092816)</f>
        <v>0.2571293833</v>
      </c>
      <c r="X16" s="3">
        <f>IFERROR(__xludf.DUMMYFUNCTION("""COMPUTED_VALUE"""),0.34848236547972233)</f>
        <v>0.3484823655</v>
      </c>
      <c r="Y16" s="3">
        <f>IFERROR(__xludf.DUMMYFUNCTION("""COMPUTED_VALUE"""),0.3120003994463166)</f>
        <v>0.3120003994</v>
      </c>
      <c r="Z16" s="3">
        <f>IFERROR(__xludf.DUMMYFUNCTION("""COMPUTED_VALUE"""),0.1046962657004132)</f>
        <v>0.1046962657</v>
      </c>
      <c r="AA16" s="3">
        <f>IFERROR(__xludf.DUMMYFUNCTION("""COMPUTED_VALUE"""),0.34191419260642913)</f>
        <v>0.3419141926</v>
      </c>
      <c r="AB16" s="3">
        <f>IFERROR(__xludf.DUMMYFUNCTION("""COMPUTED_VALUE"""),0.0928116795677232)</f>
        <v>0.09281167957</v>
      </c>
      <c r="AC16" s="3">
        <f>IFERROR(__xludf.DUMMYFUNCTION("""COMPUTED_VALUE"""),0.23971056107228403)</f>
        <v>0.2397105611</v>
      </c>
      <c r="AD16" s="3">
        <f>IFERROR(__xludf.DUMMYFUNCTION("""COMPUTED_VALUE"""),0.2923924919578914)</f>
        <v>0.292392492</v>
      </c>
      <c r="AE16" s="3">
        <f>IFERROR(__xludf.DUMMYFUNCTION("""COMPUTED_VALUE"""),0.2890939010410862)</f>
        <v>0.289093901</v>
      </c>
      <c r="AF16" s="3">
        <f>IFERROR(__xludf.DUMMYFUNCTION("""COMPUTED_VALUE"""),0.3569161739209977)</f>
        <v>0.3569161739</v>
      </c>
      <c r="AG16" s="3">
        <f>IFERROR(__xludf.DUMMYFUNCTION("""COMPUTED_VALUE"""),0.29422985474731583)</f>
        <v>0.2942298547</v>
      </c>
      <c r="AH16" s="3">
        <f>IFERROR(__xludf.DUMMYFUNCTION("""COMPUTED_VALUE"""),0.17138834703484176)</f>
        <v>0.171388347</v>
      </c>
      <c r="AI16" s="3">
        <f>IFERROR(__xludf.DUMMYFUNCTION("""COMPUTED_VALUE"""),0.40885182597642816)</f>
        <v>0.408851826</v>
      </c>
      <c r="AJ16" s="3">
        <f>IFERROR(__xludf.DUMMYFUNCTION("""COMPUTED_VALUE"""),0.1804843666524833)</f>
        <v>0.1804843667</v>
      </c>
      <c r="AK16" s="3">
        <f>IFERROR(__xludf.DUMMYFUNCTION("""COMPUTED_VALUE"""),0.22189241852901148)</f>
        <v>0.2218924185</v>
      </c>
      <c r="AL16" s="3">
        <f>IFERROR(__xludf.DUMMYFUNCTION("""COMPUTED_VALUE"""),0.13088815163982545)</f>
        <v>0.1308881516</v>
      </c>
      <c r="AM16" s="3">
        <f>IFERROR(__xludf.DUMMYFUNCTION("""COMPUTED_VALUE"""),0.3708085272198227)</f>
        <v>0.3708085272</v>
      </c>
    </row>
    <row r="17">
      <c r="A17" s="1" t="str">
        <f>IFERROR(__xludf.DUMMYFUNCTION("""COMPUTED_VALUE"""),"Nott'm Forest")</f>
        <v>Nott'm Forest</v>
      </c>
      <c r="B17" s="3">
        <f>IFERROR(__xludf.DUMMYFUNCTION("""COMPUTED_VALUE"""),0.26028821770890437)</f>
        <v>0.2602882177</v>
      </c>
      <c r="C17" s="3">
        <f>IFERROR(__xludf.DUMMYFUNCTION("""COMPUTED_VALUE"""),0.35180066110703273)</f>
        <v>0.3518006611</v>
      </c>
      <c r="D17" s="3">
        <f>IFERROR(__xludf.DUMMYFUNCTION("""COMPUTED_VALUE"""),0.35837823958021675)</f>
        <v>0.3583782396</v>
      </c>
      <c r="E17" s="3">
        <f>IFERROR(__xludf.DUMMYFUNCTION("""COMPUTED_VALUE"""),0.09481651714142209)</f>
        <v>0.09481651714</v>
      </c>
      <c r="F17" s="3">
        <f>IFERROR(__xludf.DUMMYFUNCTION("""COMPUTED_VALUE"""),0.18328388426992434)</f>
        <v>0.1832838843</v>
      </c>
      <c r="G17" s="3">
        <f>IFERROR(__xludf.DUMMYFUNCTION("""COMPUTED_VALUE"""),0.31528459487273236)</f>
        <v>0.3152845949</v>
      </c>
      <c r="H17" s="3">
        <f>IFERROR(__xludf.DUMMYFUNCTION("""COMPUTED_VALUE"""),0.1487973687570391)</f>
        <v>0.1487973688</v>
      </c>
      <c r="I17" s="3">
        <f>IFERROR(__xludf.DUMMYFUNCTION("""COMPUTED_VALUE"""),0.29564275414642704)</f>
        <v>0.2956427541</v>
      </c>
      <c r="J17" s="3">
        <f>IFERROR(__xludf.DUMMYFUNCTION("""COMPUTED_VALUE"""),0.3602373240329616)</f>
        <v>0.360237324</v>
      </c>
      <c r="K17" s="3">
        <f>IFERROR(__xludf.DUMMYFUNCTION("""COMPUTED_VALUE"""),0.3300436812469517)</f>
        <v>0.3300436812</v>
      </c>
      <c r="L17" s="3">
        <f>IFERROR(__xludf.DUMMYFUNCTION("""COMPUTED_VALUE"""),0.22150031862030595)</f>
        <v>0.2215003186</v>
      </c>
      <c r="M17" s="3">
        <f>IFERROR(__xludf.DUMMYFUNCTION("""COMPUTED_VALUE"""),0.13330286957806076)</f>
        <v>0.1333028696</v>
      </c>
      <c r="N17" s="3">
        <f>IFERROR(__xludf.DUMMYFUNCTION("""COMPUTED_VALUE"""),0.4121525648725856)</f>
        <v>0.4121525649</v>
      </c>
      <c r="O17" s="3">
        <f>IFERROR(__xludf.DUMMYFUNCTION("""COMPUTED_VALUE"""),0.10684202693592056)</f>
        <v>0.1068420269</v>
      </c>
      <c r="P17" s="3">
        <f>IFERROR(__xludf.DUMMYFUNCTION("""COMPUTED_VALUE"""),0.21264995287543623)</f>
        <v>0.2126499529</v>
      </c>
      <c r="Q17" s="3">
        <f>IFERROR(__xludf.DUMMYFUNCTION("""COMPUTED_VALUE"""),0.25438306776965214)</f>
        <v>0.2543830678</v>
      </c>
      <c r="R17" s="3">
        <f>IFERROR(__xludf.DUMMYFUNCTION("""COMPUTED_VALUE"""),0.2079637297723018)</f>
        <v>0.2079637298</v>
      </c>
      <c r="S17" s="3">
        <f>IFERROR(__xludf.DUMMYFUNCTION("""COMPUTED_VALUE"""),0.2275403178894142)</f>
        <v>0.2275403179</v>
      </c>
      <c r="T17" s="3">
        <f>IFERROR(__xludf.DUMMYFUNCTION("""COMPUTED_VALUE"""),0.284966102215589)</f>
        <v>0.2849661022</v>
      </c>
      <c r="U17" s="3">
        <f>IFERROR(__xludf.DUMMYFUNCTION("""COMPUTED_VALUE"""),0.26973594827615016)</f>
        <v>0.2697359483</v>
      </c>
      <c r="V17" s="3">
        <f>IFERROR(__xludf.DUMMYFUNCTION("""COMPUTED_VALUE"""),0.15803384136247767)</f>
        <v>0.1580338414</v>
      </c>
      <c r="W17" s="3">
        <f>IFERROR(__xludf.DUMMYFUNCTION("""COMPUTED_VALUE"""),0.44124899292320796)</f>
        <v>0.4412489929</v>
      </c>
      <c r="X17" s="3">
        <f>IFERROR(__xludf.DUMMYFUNCTION("""COMPUTED_VALUE"""),0.17930560407676843)</f>
        <v>0.1793056041</v>
      </c>
      <c r="Y17" s="3">
        <f>IFERROR(__xludf.DUMMYFUNCTION("""COMPUTED_VALUE"""),0.2648001482575755)</f>
        <v>0.2648001483</v>
      </c>
      <c r="Z17" s="3">
        <f>IFERROR(__xludf.DUMMYFUNCTION("""COMPUTED_VALUE"""),0.22903061696742183)</f>
        <v>0.229030617</v>
      </c>
      <c r="AA17" s="3">
        <f>IFERROR(__xludf.DUMMYFUNCTION("""COMPUTED_VALUE"""),0.1459178809963553)</f>
        <v>0.145917881</v>
      </c>
      <c r="AB17" s="3">
        <f>IFERROR(__xludf.DUMMYFUNCTION("""COMPUTED_VALUE"""),0.20635783166042515)</f>
        <v>0.2063578317</v>
      </c>
      <c r="AC17" s="3">
        <f>IFERROR(__xludf.DUMMYFUNCTION("""COMPUTED_VALUE"""),0.17352522310665058)</f>
        <v>0.1735252231</v>
      </c>
      <c r="AD17" s="3">
        <f>IFERROR(__xludf.DUMMYFUNCTION("""COMPUTED_VALUE"""),0.3224538517096996)</f>
        <v>0.3224538517</v>
      </c>
      <c r="AE17" s="3">
        <f>IFERROR(__xludf.DUMMYFUNCTION("""COMPUTED_VALUE"""),0.2974837876258831)</f>
        <v>0.2974837876</v>
      </c>
      <c r="AF17" s="3">
        <f>IFERROR(__xludf.DUMMYFUNCTION("""COMPUTED_VALUE"""),0.1741277078453445)</f>
        <v>0.1741277078</v>
      </c>
      <c r="AG17" s="3">
        <f>IFERROR(__xludf.DUMMYFUNCTION("""COMPUTED_VALUE"""),0.3741304915074611)</f>
        <v>0.3741304915</v>
      </c>
      <c r="AH17" s="3">
        <f>IFERROR(__xludf.DUMMYFUNCTION("""COMPUTED_VALUE"""),0.15101768916240105)</f>
        <v>0.1510176892</v>
      </c>
      <c r="AI17" s="3">
        <f>IFERROR(__xludf.DUMMYFUNCTION("""COMPUTED_VALUE"""),0.2923373118757617)</f>
        <v>0.2923373119</v>
      </c>
      <c r="AJ17" s="3">
        <f>IFERROR(__xludf.DUMMYFUNCTION("""COMPUTED_VALUE"""),0.21097096433705356)</f>
        <v>0.2109709643</v>
      </c>
      <c r="AK17" s="3">
        <f>IFERROR(__xludf.DUMMYFUNCTION("""COMPUTED_VALUE"""),0.4495147192860502)</f>
        <v>0.4495147193</v>
      </c>
      <c r="AL17" s="3">
        <f>IFERROR(__xludf.DUMMYFUNCTION("""COMPUTED_VALUE"""),0.2428084795282167)</f>
        <v>0.2428084795</v>
      </c>
      <c r="AM17" s="3">
        <f>IFERROR(__xludf.DUMMYFUNCTION("""COMPUTED_VALUE"""),0.22491618859111254)</f>
        <v>0.2249161886</v>
      </c>
    </row>
    <row r="18">
      <c r="A18" s="1" t="str">
        <f>IFERROR(__xludf.DUMMYFUNCTION("""COMPUTED_VALUE"""),"Southampton")</f>
        <v>Southampton</v>
      </c>
      <c r="B18" s="3">
        <f>IFERROR(__xludf.DUMMYFUNCTION("""COMPUTED_VALUE"""),0.06187521657274822)</f>
        <v>0.06187521657</v>
      </c>
      <c r="C18" s="3">
        <f>IFERROR(__xludf.DUMMYFUNCTION("""COMPUTED_VALUE"""),0.21489304616034935)</f>
        <v>0.2148930462</v>
      </c>
      <c r="D18" s="3">
        <f>IFERROR(__xludf.DUMMYFUNCTION("""COMPUTED_VALUE"""),0.10327284861287249)</f>
        <v>0.1032728486</v>
      </c>
      <c r="E18" s="3">
        <f>IFERROR(__xludf.DUMMYFUNCTION("""COMPUTED_VALUE"""),0.1732861619346497)</f>
        <v>0.1732861619</v>
      </c>
      <c r="F18" s="3">
        <f>IFERROR(__xludf.DUMMYFUNCTION("""COMPUTED_VALUE"""),0.2776343941841975)</f>
        <v>0.2776343942</v>
      </c>
      <c r="G18" s="3">
        <f>IFERROR(__xludf.DUMMYFUNCTION("""COMPUTED_VALUE"""),0.08334689829460122)</f>
        <v>0.08334689829</v>
      </c>
      <c r="H18" s="3">
        <f>IFERROR(__xludf.DUMMYFUNCTION("""COMPUTED_VALUE"""),0.054293004322065935)</f>
        <v>0.05429300432</v>
      </c>
      <c r="I18" s="3">
        <f>IFERROR(__xludf.DUMMYFUNCTION("""COMPUTED_VALUE"""),0.3147439298023493)</f>
        <v>0.3147439298</v>
      </c>
      <c r="J18" s="3">
        <f>IFERROR(__xludf.DUMMYFUNCTION("""COMPUTED_VALUE"""),0.03942864699565342)</f>
        <v>0.039428647</v>
      </c>
      <c r="K18" s="3">
        <f>IFERROR(__xludf.DUMMYFUNCTION("""COMPUTED_VALUE"""),0.2413802046051013)</f>
        <v>0.2413802046</v>
      </c>
      <c r="L18" s="3">
        <f>IFERROR(__xludf.DUMMYFUNCTION("""COMPUTED_VALUE"""),0.1504126887402976)</f>
        <v>0.1504126887</v>
      </c>
      <c r="M18" s="3">
        <f>IFERROR(__xludf.DUMMYFUNCTION("""COMPUTED_VALUE"""),0.06943836975676751)</f>
        <v>0.06943836976</v>
      </c>
      <c r="N18" s="3">
        <f>IFERROR(__xludf.DUMMYFUNCTION("""COMPUTED_VALUE"""),0.08603357394479492)</f>
        <v>0.08603357394</v>
      </c>
      <c r="O18" s="3">
        <f>IFERROR(__xludf.DUMMYFUNCTION("""COMPUTED_VALUE"""),0.1156616164220639)</f>
        <v>0.1156616164</v>
      </c>
      <c r="P18" s="3">
        <f>IFERROR(__xludf.DUMMYFUNCTION("""COMPUTED_VALUE"""),0.07988973136866603)</f>
        <v>0.07988973137</v>
      </c>
      <c r="Q18" s="3">
        <f>IFERROR(__xludf.DUMMYFUNCTION("""COMPUTED_VALUE"""),0.11761762119966167)</f>
        <v>0.1176176212</v>
      </c>
      <c r="R18" s="3">
        <f>IFERROR(__xludf.DUMMYFUNCTION("""COMPUTED_VALUE"""),0.11873297056497233)</f>
        <v>0.1187329706</v>
      </c>
      <c r="S18" s="3">
        <f>IFERROR(__xludf.DUMMYFUNCTION("""COMPUTED_VALUE"""),0.20136249230370248)</f>
        <v>0.2013624923</v>
      </c>
      <c r="T18" s="3">
        <f>IFERROR(__xludf.DUMMYFUNCTION("""COMPUTED_VALUE"""),0.10543880790295694)</f>
        <v>0.1054388079</v>
      </c>
      <c r="U18" s="3">
        <f>IFERROR(__xludf.DUMMYFUNCTION("""COMPUTED_VALUE"""),0.16896880347266538)</f>
        <v>0.1689688035</v>
      </c>
      <c r="V18" s="3">
        <f>IFERROR(__xludf.DUMMYFUNCTION("""COMPUTED_VALUE"""),0.10665411145227137)</f>
        <v>0.1066541115</v>
      </c>
      <c r="W18" s="3">
        <f>IFERROR(__xludf.DUMMYFUNCTION("""COMPUTED_VALUE"""),0.14038306954066623)</f>
        <v>0.1403830695</v>
      </c>
      <c r="X18" s="3">
        <f>IFERROR(__xludf.DUMMYFUNCTION("""COMPUTED_VALUE"""),0.11313066416667684)</f>
        <v>0.1131306642</v>
      </c>
      <c r="Y18" s="3">
        <f>IFERROR(__xludf.DUMMYFUNCTION("""COMPUTED_VALUE"""),0.19470226977252494)</f>
        <v>0.1947022698</v>
      </c>
      <c r="Z18" s="3">
        <f>IFERROR(__xludf.DUMMYFUNCTION("""COMPUTED_VALUE"""),0.14285588824251091)</f>
        <v>0.1428558882</v>
      </c>
      <c r="AA18" s="3">
        <f>IFERROR(__xludf.DUMMYFUNCTION("""COMPUTED_VALUE"""),0.14644978877944856)</f>
        <v>0.1464497888</v>
      </c>
      <c r="AB18" s="3">
        <f>IFERROR(__xludf.DUMMYFUNCTION("""COMPUTED_VALUE"""),0.0636482346957031)</f>
        <v>0.0636482347</v>
      </c>
      <c r="AC18" s="3">
        <f>IFERROR(__xludf.DUMMYFUNCTION("""COMPUTED_VALUE"""),0.03317710002487173)</f>
        <v>0.03317710002</v>
      </c>
      <c r="AD18" s="3">
        <f>IFERROR(__xludf.DUMMYFUNCTION("""COMPUTED_VALUE"""),0.22682612052518394)</f>
        <v>0.2268261205</v>
      </c>
      <c r="AE18" s="3">
        <f>IFERROR(__xludf.DUMMYFUNCTION("""COMPUTED_VALUE"""),0.17173786985160686)</f>
        <v>0.1717378699</v>
      </c>
      <c r="AF18" s="3">
        <f>IFERROR(__xludf.DUMMYFUNCTION("""COMPUTED_VALUE"""),0.06502587380094557)</f>
        <v>0.0650258738</v>
      </c>
      <c r="AG18" s="3">
        <f>IFERROR(__xludf.DUMMYFUNCTION("""COMPUTED_VALUE"""),0.1381940790476274)</f>
        <v>0.138194079</v>
      </c>
      <c r="AH18" s="3">
        <f>IFERROR(__xludf.DUMMYFUNCTION("""COMPUTED_VALUE"""),0.12919635054121528)</f>
        <v>0.1291963505</v>
      </c>
      <c r="AI18" s="3">
        <f>IFERROR(__xludf.DUMMYFUNCTION("""COMPUTED_VALUE"""),0.18847493800370926)</f>
        <v>0.188474938</v>
      </c>
      <c r="AJ18" s="3">
        <f>IFERROR(__xludf.DUMMYFUNCTION("""COMPUTED_VALUE"""),0.22852923024800512)</f>
        <v>0.2285292302</v>
      </c>
      <c r="AK18" s="3">
        <f>IFERROR(__xludf.DUMMYFUNCTION("""COMPUTED_VALUE"""),0.07949040809390923)</f>
        <v>0.07949040809</v>
      </c>
      <c r="AL18" s="3">
        <f>IFERROR(__xludf.DUMMYFUNCTION("""COMPUTED_VALUE"""),0.16284399125848842)</f>
        <v>0.1628439913</v>
      </c>
      <c r="AM18" s="3">
        <f>IFERROR(__xludf.DUMMYFUNCTION("""COMPUTED_VALUE"""),0.10212189413931273)</f>
        <v>0.1021218941</v>
      </c>
    </row>
    <row r="19">
      <c r="A19" s="1" t="str">
        <f>IFERROR(__xludf.DUMMYFUNCTION("""COMPUTED_VALUE"""),"Spurs")</f>
        <v>Spurs</v>
      </c>
      <c r="B19" s="3">
        <f>IFERROR(__xludf.DUMMYFUNCTION("""COMPUTED_VALUE"""),0.3124502122493125)</f>
        <v>0.3124502122</v>
      </c>
      <c r="C19" s="3">
        <f>IFERROR(__xludf.DUMMYFUNCTION("""COMPUTED_VALUE"""),0.3262165874326592)</f>
        <v>0.3262165874</v>
      </c>
      <c r="D19" s="3">
        <f>IFERROR(__xludf.DUMMYFUNCTION("""COMPUTED_VALUE"""),0.1115814812503098)</f>
        <v>0.1115814813</v>
      </c>
      <c r="E19" s="3">
        <f>IFERROR(__xludf.DUMMYFUNCTION("""COMPUTED_VALUE"""),0.16560931439664717)</f>
        <v>0.1656093144</v>
      </c>
      <c r="F19" s="3">
        <f>IFERROR(__xludf.DUMMYFUNCTION("""COMPUTED_VALUE"""),0.246282135390169)</f>
        <v>0.2462821354</v>
      </c>
      <c r="G19" s="3">
        <f>IFERROR(__xludf.DUMMYFUNCTION("""COMPUTED_VALUE"""),0.17137496028961066)</f>
        <v>0.1713749603</v>
      </c>
      <c r="H19" s="3">
        <f>IFERROR(__xludf.DUMMYFUNCTION("""COMPUTED_VALUE"""),0.14468045667359516)</f>
        <v>0.1446804567</v>
      </c>
      <c r="I19" s="3">
        <f>IFERROR(__xludf.DUMMYFUNCTION("""COMPUTED_VALUE"""),0.28279012641244994)</f>
        <v>0.2827901264</v>
      </c>
      <c r="J19" s="3">
        <f>IFERROR(__xludf.DUMMYFUNCTION("""COMPUTED_VALUE"""),0.16983409990747503)</f>
        <v>0.1698340999</v>
      </c>
      <c r="K19" s="3">
        <f>IFERROR(__xludf.DUMMYFUNCTION("""COMPUTED_VALUE"""),0.21019295209387884)</f>
        <v>0.2101929521</v>
      </c>
      <c r="L19" s="3">
        <f>IFERROR(__xludf.DUMMYFUNCTION("""COMPUTED_VALUE"""),0.3642505883593689)</f>
        <v>0.3642505884</v>
      </c>
      <c r="M19" s="3">
        <f>IFERROR(__xludf.DUMMYFUNCTION("""COMPUTED_VALUE"""),0.07822701623370706)</f>
        <v>0.07822701623</v>
      </c>
      <c r="N19" s="3">
        <f>IFERROR(__xludf.DUMMYFUNCTION("""COMPUTED_VALUE"""),0.2684269034976972)</f>
        <v>0.2684269035</v>
      </c>
      <c r="O19" s="3">
        <f>IFERROR(__xludf.DUMMYFUNCTION("""COMPUTED_VALUE"""),0.14110779078436428)</f>
        <v>0.1411077908</v>
      </c>
      <c r="P19" s="3">
        <f>IFERROR(__xludf.DUMMYFUNCTION("""COMPUTED_VALUE"""),0.18268283279424596)</f>
        <v>0.1826828328</v>
      </c>
      <c r="Q19" s="3">
        <f>IFERROR(__xludf.DUMMYFUNCTION("""COMPUTED_VALUE"""),0.3041264127993267)</f>
        <v>0.3041264128</v>
      </c>
      <c r="R19" s="3">
        <f>IFERROR(__xludf.DUMMYFUNCTION("""COMPUTED_VALUE"""),0.12219753809171913)</f>
        <v>0.1221975381</v>
      </c>
      <c r="S19" s="3">
        <f>IFERROR(__xludf.DUMMYFUNCTION("""COMPUTED_VALUE"""),0.21281252264061512)</f>
        <v>0.2128125226</v>
      </c>
      <c r="T19" s="3">
        <f>IFERROR(__xludf.DUMMYFUNCTION("""COMPUTED_VALUE"""),0.3106136407312422)</f>
        <v>0.3106136407</v>
      </c>
      <c r="U19" s="3">
        <f>IFERROR(__xludf.DUMMYFUNCTION("""COMPUTED_VALUE"""),0.17952499753464243)</f>
        <v>0.1795249975</v>
      </c>
      <c r="V19" s="3">
        <f>IFERROR(__xludf.DUMMYFUNCTION("""COMPUTED_VALUE"""),0.10065823920042073)</f>
        <v>0.1006582392</v>
      </c>
      <c r="W19" s="3">
        <f>IFERROR(__xludf.DUMMYFUNCTION("""COMPUTED_VALUE"""),0.23921910586407516)</f>
        <v>0.2392191059</v>
      </c>
      <c r="X19" s="3">
        <f>IFERROR(__xludf.DUMMYFUNCTION("""COMPUTED_VALUE"""),0.402104819043695)</f>
        <v>0.402104819</v>
      </c>
      <c r="Y19" s="3">
        <f>IFERROR(__xludf.DUMMYFUNCTION("""COMPUTED_VALUE"""),0.16707854455240595)</f>
        <v>0.1670785446</v>
      </c>
      <c r="Z19" s="3">
        <f>IFERROR(__xludf.DUMMYFUNCTION("""COMPUTED_VALUE"""),0.2512282200035549)</f>
        <v>0.25122822</v>
      </c>
      <c r="AA19" s="3">
        <f>IFERROR(__xludf.DUMMYFUNCTION("""COMPUTED_VALUE"""),0.27539242765034855)</f>
        <v>0.2753924277</v>
      </c>
      <c r="AB19" s="3">
        <f>IFERROR(__xludf.DUMMYFUNCTION("""COMPUTED_VALUE"""),0.13593648041576442)</f>
        <v>0.1359364804</v>
      </c>
      <c r="AC19" s="3">
        <f>IFERROR(__xludf.DUMMYFUNCTION("""COMPUTED_VALUE"""),0.2157613647070564)</f>
        <v>0.2157613647</v>
      </c>
      <c r="AD19" s="3">
        <f>IFERROR(__xludf.DUMMYFUNCTION("""COMPUTED_VALUE"""),0.18649533481827468)</f>
        <v>0.1864953348</v>
      </c>
      <c r="AE19" s="3">
        <f>IFERROR(__xludf.DUMMYFUNCTION("""COMPUTED_VALUE"""),0.1140937463990969)</f>
        <v>0.1140937464</v>
      </c>
      <c r="AF19" s="3">
        <f>IFERROR(__xludf.DUMMYFUNCTION("""COMPUTED_VALUE"""),0.39369106991513236)</f>
        <v>0.3936910699</v>
      </c>
      <c r="AG19" s="3">
        <f>IFERROR(__xludf.DUMMYFUNCTION("""COMPUTED_VALUE"""),0.22470688902391747)</f>
        <v>0.224706889</v>
      </c>
      <c r="AH19" s="3">
        <f>IFERROR(__xludf.DUMMYFUNCTION("""COMPUTED_VALUE"""),0.2976618798318197)</f>
        <v>0.2976618798</v>
      </c>
      <c r="AI19" s="3">
        <f>IFERROR(__xludf.DUMMYFUNCTION("""COMPUTED_VALUE"""),0.06827631138975211)</f>
        <v>0.06827631139</v>
      </c>
      <c r="AJ19" s="3">
        <f>IFERROR(__xludf.DUMMYFUNCTION("""COMPUTED_VALUE"""),0.19933092892328874)</f>
        <v>0.1993309289</v>
      </c>
      <c r="AK19" s="3">
        <f>IFERROR(__xludf.DUMMYFUNCTION("""COMPUTED_VALUE"""),0.24945749065286)</f>
        <v>0.2494574907</v>
      </c>
      <c r="AL19" s="3">
        <f>IFERROR(__xludf.DUMMYFUNCTION("""COMPUTED_VALUE"""),0.13647437542354454)</f>
        <v>0.1364743754</v>
      </c>
      <c r="AM19" s="3">
        <f>IFERROR(__xludf.DUMMYFUNCTION("""COMPUTED_VALUE"""),0.2200279107630172)</f>
        <v>0.2200279108</v>
      </c>
    </row>
    <row r="20">
      <c r="A20" s="1" t="str">
        <f>IFERROR(__xludf.DUMMYFUNCTION("""COMPUTED_VALUE"""),"West Ham")</f>
        <v>West Ham</v>
      </c>
      <c r="B20" s="3">
        <f>IFERROR(__xludf.DUMMYFUNCTION("""COMPUTED_VALUE"""),0.2144738767439753)</f>
        <v>0.2144738767</v>
      </c>
      <c r="C20" s="3">
        <f>IFERROR(__xludf.DUMMYFUNCTION("""COMPUTED_VALUE"""),0.17377130522698656)</f>
        <v>0.1737713052</v>
      </c>
      <c r="D20" s="3">
        <f>IFERROR(__xludf.DUMMYFUNCTION("""COMPUTED_VALUE"""),0.13948870748302097)</f>
        <v>0.1394887075</v>
      </c>
      <c r="E20" s="3">
        <f>IFERROR(__xludf.DUMMYFUNCTION("""COMPUTED_VALUE"""),0.19058809292372333)</f>
        <v>0.1905880929</v>
      </c>
      <c r="F20" s="3">
        <f>IFERROR(__xludf.DUMMYFUNCTION("""COMPUTED_VALUE"""),0.18674177572055078)</f>
        <v>0.1867417757</v>
      </c>
      <c r="G20" s="3">
        <f>IFERROR(__xludf.DUMMYFUNCTION("""COMPUTED_VALUE"""),0.17098802108772299)</f>
        <v>0.1709880211</v>
      </c>
      <c r="H20" s="3">
        <f>IFERROR(__xludf.DUMMYFUNCTION("""COMPUTED_VALUE"""),0.3690369654824118)</f>
        <v>0.3690369655</v>
      </c>
      <c r="I20" s="3">
        <f>IFERROR(__xludf.DUMMYFUNCTION("""COMPUTED_VALUE"""),0.11931161529436725)</f>
        <v>0.1193116153</v>
      </c>
      <c r="J20" s="3">
        <f>IFERROR(__xludf.DUMMYFUNCTION("""COMPUTED_VALUE"""),0.25575462960269235)</f>
        <v>0.2557546296</v>
      </c>
      <c r="K20" s="3">
        <f>IFERROR(__xludf.DUMMYFUNCTION("""COMPUTED_VALUE"""),0.21711203568387377)</f>
        <v>0.2171120357</v>
      </c>
      <c r="L20" s="3">
        <f>IFERROR(__xludf.DUMMYFUNCTION("""COMPUTED_VALUE"""),0.33097467074618175)</f>
        <v>0.3309746707</v>
      </c>
      <c r="M20" s="3">
        <f>IFERROR(__xludf.DUMMYFUNCTION("""COMPUTED_VALUE"""),0.11478986082199907)</f>
        <v>0.1147898608</v>
      </c>
      <c r="N20" s="3">
        <f>IFERROR(__xludf.DUMMYFUNCTION("""COMPUTED_VALUE"""),0.16950376432590197)</f>
        <v>0.1695037643</v>
      </c>
      <c r="O20" s="3">
        <f>IFERROR(__xludf.DUMMYFUNCTION("""COMPUTED_VALUE"""),0.31718423699975823)</f>
        <v>0.317184237</v>
      </c>
      <c r="P20" s="3">
        <f>IFERROR(__xludf.DUMMYFUNCTION("""COMPUTED_VALUE"""),0.31534386934279934)</f>
        <v>0.3153438693</v>
      </c>
      <c r="Q20" s="3">
        <f>IFERROR(__xludf.DUMMYFUNCTION("""COMPUTED_VALUE"""),0.14472528607237556)</f>
        <v>0.1447252861</v>
      </c>
      <c r="R20" s="3">
        <f>IFERROR(__xludf.DUMMYFUNCTION("""COMPUTED_VALUE"""),0.2243764691561852)</f>
        <v>0.2243764692</v>
      </c>
      <c r="S20" s="3">
        <f>IFERROR(__xludf.DUMMYFUNCTION("""COMPUTED_VALUE"""),0.3088421007697756)</f>
        <v>0.3088421008</v>
      </c>
      <c r="T20" s="3">
        <f>IFERROR(__xludf.DUMMYFUNCTION("""COMPUTED_VALUE"""),0.125563567265025)</f>
        <v>0.1255635673</v>
      </c>
      <c r="U20" s="3">
        <f>IFERROR(__xludf.DUMMYFUNCTION("""COMPUTED_VALUE"""),0.08084662841605751)</f>
        <v>0.08084662842</v>
      </c>
      <c r="V20" s="3">
        <f>IFERROR(__xludf.DUMMYFUNCTION("""COMPUTED_VALUE"""),0.27302938167533986)</f>
        <v>0.2730293817</v>
      </c>
      <c r="W20" s="3">
        <f>IFERROR(__xludf.DUMMYFUNCTION("""COMPUTED_VALUE"""),0.2539752174874564)</f>
        <v>0.2539752175</v>
      </c>
      <c r="X20" s="3">
        <f>IFERROR(__xludf.DUMMYFUNCTION("""COMPUTED_VALUE"""),0.1400335097340624)</f>
        <v>0.1400335097</v>
      </c>
      <c r="Y20" s="3">
        <f>IFERROR(__xludf.DUMMYFUNCTION("""COMPUTED_VALUE"""),0.11734058556594548)</f>
        <v>0.1173405856</v>
      </c>
      <c r="Z20" s="3">
        <f>IFERROR(__xludf.DUMMYFUNCTION("""COMPUTED_VALUE"""),0.25078388215963043)</f>
        <v>0.2507838822</v>
      </c>
      <c r="AA20" s="3">
        <f>IFERROR(__xludf.DUMMYFUNCTION("""COMPUTED_VALUE"""),0.10369053343910531)</f>
        <v>0.1036905334</v>
      </c>
      <c r="AB20" s="3">
        <f>IFERROR(__xludf.DUMMYFUNCTION("""COMPUTED_VALUE"""),0.40686827768768624)</f>
        <v>0.4068682777</v>
      </c>
      <c r="AC20" s="3">
        <f>IFERROR(__xludf.DUMMYFUNCTION("""COMPUTED_VALUE"""),0.1835551470164536)</f>
        <v>0.183555147</v>
      </c>
      <c r="AD20" s="3">
        <f>IFERROR(__xludf.DUMMYFUNCTION("""COMPUTED_VALUE"""),0.24368338988558835)</f>
        <v>0.2436833899</v>
      </c>
      <c r="AE20" s="3">
        <f>IFERROR(__xludf.DUMMYFUNCTION("""COMPUTED_VALUE"""),0.22908559974334017)</f>
        <v>0.2290855997</v>
      </c>
      <c r="AF20" s="3">
        <f>IFERROR(__xludf.DUMMYFUNCTION("""COMPUTED_VALUE"""),0.22008130069192564)</f>
        <v>0.2200813007</v>
      </c>
      <c r="AG20" s="3">
        <f>IFERROR(__xludf.DUMMYFUNCTION("""COMPUTED_VALUE"""),0.07068690863202176)</f>
        <v>0.07068690863</v>
      </c>
      <c r="AH20" s="3">
        <f>IFERROR(__xludf.DUMMYFUNCTION("""COMPUTED_VALUE"""),0.39846376177480125)</f>
        <v>0.3984637618</v>
      </c>
      <c r="AI20" s="3">
        <f>IFERROR(__xludf.DUMMYFUNCTION("""COMPUTED_VALUE"""),0.14834158894352512)</f>
        <v>0.1483415889</v>
      </c>
      <c r="AJ20" s="3">
        <f>IFERROR(__xludf.DUMMYFUNCTION("""COMPUTED_VALUE"""),0.18919390390566818)</f>
        <v>0.1891939039</v>
      </c>
      <c r="AK20" s="3">
        <f>IFERROR(__xludf.DUMMYFUNCTION("""COMPUTED_VALUE"""),0.17532741600776144)</f>
        <v>0.175327416</v>
      </c>
      <c r="AL20" s="3">
        <f>IFERROR(__xludf.DUMMYFUNCTION("""COMPUTED_VALUE"""),0.302361294334133)</f>
        <v>0.3023612943</v>
      </c>
      <c r="AM20" s="3">
        <f>IFERROR(__xludf.DUMMYFUNCTION("""COMPUTED_VALUE"""),0.2800215902454328)</f>
        <v>0.2800215902</v>
      </c>
    </row>
    <row r="21">
      <c r="A21" s="1" t="str">
        <f>IFERROR(__xludf.DUMMYFUNCTION("""COMPUTED_VALUE"""),"Wolves")</f>
        <v>Wolves</v>
      </c>
      <c r="B21" s="3">
        <f>IFERROR(__xludf.DUMMYFUNCTION("""COMPUTED_VALUE"""),0.09423299337955539)</f>
        <v>0.09423299338</v>
      </c>
      <c r="C21" s="3">
        <f>IFERROR(__xludf.DUMMYFUNCTION("""COMPUTED_VALUE"""),0.17397531989993648)</f>
        <v>0.1739753199</v>
      </c>
      <c r="D21" s="3">
        <f>IFERROR(__xludf.DUMMYFUNCTION("""COMPUTED_VALUE"""),0.2035596753770716)</f>
        <v>0.2035596754</v>
      </c>
      <c r="E21" s="3">
        <f>IFERROR(__xludf.DUMMYFUNCTION("""COMPUTED_VALUE"""),0.17088237940734435)</f>
        <v>0.1708823794</v>
      </c>
      <c r="F21" s="3">
        <f>IFERROR(__xludf.DUMMYFUNCTION("""COMPUTED_VALUE"""),0.1288850939584137)</f>
        <v>0.128885094</v>
      </c>
      <c r="G21" s="3">
        <f>IFERROR(__xludf.DUMMYFUNCTION("""COMPUTED_VALUE"""),0.1150364326808459)</f>
        <v>0.1150364327</v>
      </c>
      <c r="H21" s="3">
        <f>IFERROR(__xludf.DUMMYFUNCTION("""COMPUTED_VALUE"""),0.15870718727016886)</f>
        <v>0.1587071873</v>
      </c>
      <c r="I21" s="3">
        <f>IFERROR(__xludf.DUMMYFUNCTION("""COMPUTED_VALUE"""),0.1283625472509397)</f>
        <v>0.1283625473</v>
      </c>
      <c r="J21" s="3">
        <f>IFERROR(__xludf.DUMMYFUNCTION("""COMPUTED_VALUE"""),0.1368642302862799)</f>
        <v>0.1368642303</v>
      </c>
      <c r="K21" s="3">
        <f>IFERROR(__xludf.DUMMYFUNCTION("""COMPUTED_VALUE"""),0.23970293226410216)</f>
        <v>0.2397029323</v>
      </c>
      <c r="L21" s="3">
        <f>IFERROR(__xludf.DUMMYFUNCTION("""COMPUTED_VALUE"""),0.38328790298413623)</f>
        <v>0.383287903</v>
      </c>
      <c r="M21" s="3">
        <f>IFERROR(__xludf.DUMMYFUNCTION("""COMPUTED_VALUE"""),0.1777115183230083)</f>
        <v>0.1777115183</v>
      </c>
      <c r="N21" s="3">
        <f>IFERROR(__xludf.DUMMYFUNCTION("""COMPUTED_VALUE"""),0.20646191170664144)</f>
        <v>0.2064619117</v>
      </c>
      <c r="O21" s="3">
        <f>IFERROR(__xludf.DUMMYFUNCTION("""COMPUTED_VALUE"""),0.22958831846314245)</f>
        <v>0.2295883185</v>
      </c>
      <c r="P21" s="3">
        <f>IFERROR(__xludf.DUMMYFUNCTION("""COMPUTED_VALUE"""),0.19030611067715983)</f>
        <v>0.1903061107</v>
      </c>
      <c r="Q21" s="3">
        <f>IFERROR(__xludf.DUMMYFUNCTION("""COMPUTED_VALUE"""),0.353834423424658)</f>
        <v>0.3538344234</v>
      </c>
      <c r="R21" s="3">
        <f>IFERROR(__xludf.DUMMYFUNCTION("""COMPUTED_VALUE"""),0.302180744892957)</f>
        <v>0.3021807449</v>
      </c>
      <c r="S21" s="3">
        <f>IFERROR(__xludf.DUMMYFUNCTION("""COMPUTED_VALUE"""),0.2414534793834053)</f>
        <v>0.2414534794</v>
      </c>
      <c r="T21" s="3">
        <f>IFERROR(__xludf.DUMMYFUNCTION("""COMPUTED_VALUE"""),0.10907329768895692)</f>
        <v>0.1090732977</v>
      </c>
      <c r="U21" s="3">
        <f>IFERROR(__xludf.DUMMYFUNCTION("""COMPUTED_VALUE"""),0.28747774961378975)</f>
        <v>0.2874777496</v>
      </c>
      <c r="V21" s="3">
        <f>IFERROR(__xludf.DUMMYFUNCTION("""COMPUTED_VALUE"""),0.10476860472816042)</f>
        <v>0.1047686047</v>
      </c>
      <c r="W21" s="3">
        <f>IFERROR(__xludf.DUMMYFUNCTION("""COMPUTED_VALUE"""),0.10719602276920001)</f>
        <v>0.1071960228</v>
      </c>
      <c r="X21" s="3">
        <f>IFERROR(__xludf.DUMMYFUNCTION("""COMPUTED_VALUE"""),0.15727166024800993)</f>
        <v>0.1572716602</v>
      </c>
      <c r="Y21" s="3">
        <f>IFERROR(__xludf.DUMMYFUNCTION("""COMPUTED_VALUE"""),0.2009824748602077)</f>
        <v>0.2009824749</v>
      </c>
      <c r="Z21" s="3">
        <f>IFERROR(__xludf.DUMMYFUNCTION("""COMPUTED_VALUE"""),0.06320926341103764)</f>
        <v>0.06320926341</v>
      </c>
      <c r="AA21" s="3">
        <f>IFERROR(__xludf.DUMMYFUNCTION("""COMPUTED_VALUE"""),0.13338872608749097)</f>
        <v>0.1333887261</v>
      </c>
      <c r="AB21" s="3">
        <f>IFERROR(__xludf.DUMMYFUNCTION("""COMPUTED_VALUE"""),0.25847422560859085)</f>
        <v>0.2584742256</v>
      </c>
      <c r="AC21" s="3">
        <f>IFERROR(__xludf.DUMMYFUNCTION("""COMPUTED_VALUE"""),0.31588568495735003)</f>
        <v>0.315885685</v>
      </c>
      <c r="AD21" s="3">
        <f>IFERROR(__xludf.DUMMYFUNCTION("""COMPUTED_VALUE"""),0.2939024567025261)</f>
        <v>0.2939024567</v>
      </c>
      <c r="AE21" s="3">
        <f>IFERROR(__xludf.DUMMYFUNCTION("""COMPUTED_VALUE"""),0.27271297312805626)</f>
        <v>0.2727129731</v>
      </c>
      <c r="AF21" s="3">
        <f>IFERROR(__xludf.DUMMYFUNCTION("""COMPUTED_VALUE"""),0.26537672146433927)</f>
        <v>0.2653767215</v>
      </c>
      <c r="AG21" s="3">
        <f>IFERROR(__xludf.DUMMYFUNCTION("""COMPUTED_VALUE"""),0.17635687339581843)</f>
        <v>0.1763568734</v>
      </c>
      <c r="AH21" s="3">
        <f>IFERROR(__xludf.DUMMYFUNCTION("""COMPUTED_VALUE"""),0.16290711601826327)</f>
        <v>0.162907116</v>
      </c>
      <c r="AI21" s="3">
        <f>IFERROR(__xludf.DUMMYFUNCTION("""COMPUTED_VALUE"""),0.3917172151803131)</f>
        <v>0.3917172152</v>
      </c>
      <c r="AJ21" s="3">
        <f>IFERROR(__xludf.DUMMYFUNCTION("""COMPUTED_VALUE"""),0.0727051038986181)</f>
        <v>0.0727051039</v>
      </c>
      <c r="AK21" s="3">
        <f>IFERROR(__xludf.DUMMYFUNCTION("""COMPUTED_VALUE"""),0.21066303961471358)</f>
        <v>0.2106630396</v>
      </c>
      <c r="AL21" s="3">
        <f>IFERROR(__xludf.DUMMYFUNCTION("""COMPUTED_VALUE"""),0.16140050768706724)</f>
        <v>0.1614005077</v>
      </c>
      <c r="AM21" s="3">
        <f>IFERROR(__xludf.DUMMYFUNCTION("""COMPUTED_VALUE"""),0.23656466432621284)</f>
        <v>0.2365646643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IFERROR(__xludf.DUMMYFUNCTION("IMPORTRANGE(""https://docs.google.com/spreadsheets/d/1FbGZDOCtOSvenQiwL2rDZj-8xzXiuNuyRXUdZ9kHVWU/edit?gid=1016036885#gid=1016036885"",""Win %!A1:AM21"")"),"Team")</f>
        <v>Team</v>
      </c>
      <c r="B1" s="1" t="str">
        <f>IFERROR(__xludf.DUMMYFUNCTION("""COMPUTED_VALUE"""),"MD1")</f>
        <v>MD1</v>
      </c>
      <c r="C1" s="1" t="str">
        <f>IFERROR(__xludf.DUMMYFUNCTION("""COMPUTED_VALUE"""),"MD2")</f>
        <v>MD2</v>
      </c>
      <c r="D1" s="1" t="str">
        <f>IFERROR(__xludf.DUMMYFUNCTION("""COMPUTED_VALUE"""),"MD3")</f>
        <v>MD3</v>
      </c>
      <c r="E1" s="1" t="str">
        <f>IFERROR(__xludf.DUMMYFUNCTION("""COMPUTED_VALUE"""),"MD4")</f>
        <v>MD4</v>
      </c>
      <c r="F1" s="1" t="str">
        <f>IFERROR(__xludf.DUMMYFUNCTION("""COMPUTED_VALUE"""),"MD5")</f>
        <v>MD5</v>
      </c>
      <c r="G1" s="1" t="str">
        <f>IFERROR(__xludf.DUMMYFUNCTION("""COMPUTED_VALUE"""),"MD6")</f>
        <v>MD6</v>
      </c>
      <c r="H1" s="1" t="str">
        <f>IFERROR(__xludf.DUMMYFUNCTION("""COMPUTED_VALUE"""),"MD7")</f>
        <v>MD7</v>
      </c>
      <c r="I1" s="1" t="str">
        <f>IFERROR(__xludf.DUMMYFUNCTION("""COMPUTED_VALUE"""),"MD8")</f>
        <v>MD8</v>
      </c>
      <c r="J1" s="1" t="str">
        <f>IFERROR(__xludf.DUMMYFUNCTION("""COMPUTED_VALUE"""),"MD9")</f>
        <v>MD9</v>
      </c>
      <c r="K1" s="1" t="str">
        <f>IFERROR(__xludf.DUMMYFUNCTION("""COMPUTED_VALUE"""),"MD10")</f>
        <v>MD10</v>
      </c>
      <c r="L1" s="1" t="str">
        <f>IFERROR(__xludf.DUMMYFUNCTION("""COMPUTED_VALUE"""),"MD11")</f>
        <v>MD11</v>
      </c>
      <c r="M1" s="1" t="str">
        <f>IFERROR(__xludf.DUMMYFUNCTION("""COMPUTED_VALUE"""),"MD12")</f>
        <v>MD12</v>
      </c>
      <c r="N1" s="1" t="str">
        <f>IFERROR(__xludf.DUMMYFUNCTION("""COMPUTED_VALUE"""),"MD13")</f>
        <v>MD13</v>
      </c>
      <c r="O1" s="1" t="str">
        <f>IFERROR(__xludf.DUMMYFUNCTION("""COMPUTED_VALUE"""),"MD14")</f>
        <v>MD14</v>
      </c>
      <c r="P1" s="1" t="str">
        <f>IFERROR(__xludf.DUMMYFUNCTION("""COMPUTED_VALUE"""),"MD15")</f>
        <v>MD15</v>
      </c>
      <c r="Q1" s="1" t="str">
        <f>IFERROR(__xludf.DUMMYFUNCTION("""COMPUTED_VALUE"""),"MD16")</f>
        <v>MD16</v>
      </c>
      <c r="R1" s="1" t="str">
        <f>IFERROR(__xludf.DUMMYFUNCTION("""COMPUTED_VALUE"""),"MD17")</f>
        <v>MD17</v>
      </c>
      <c r="S1" s="1" t="str">
        <f>IFERROR(__xludf.DUMMYFUNCTION("""COMPUTED_VALUE"""),"MD18")</f>
        <v>MD18</v>
      </c>
      <c r="T1" s="1" t="str">
        <f>IFERROR(__xludf.DUMMYFUNCTION("""COMPUTED_VALUE"""),"MD19")</f>
        <v>MD19</v>
      </c>
      <c r="U1" s="1" t="str">
        <f>IFERROR(__xludf.DUMMYFUNCTION("""COMPUTED_VALUE"""),"MD20")</f>
        <v>MD20</v>
      </c>
      <c r="V1" s="1" t="str">
        <f>IFERROR(__xludf.DUMMYFUNCTION("""COMPUTED_VALUE"""),"MD21")</f>
        <v>MD21</v>
      </c>
      <c r="W1" s="1" t="str">
        <f>IFERROR(__xludf.DUMMYFUNCTION("""COMPUTED_VALUE"""),"MD22")</f>
        <v>MD22</v>
      </c>
      <c r="X1" s="1" t="str">
        <f>IFERROR(__xludf.DUMMYFUNCTION("""COMPUTED_VALUE"""),"MD23")</f>
        <v>MD23</v>
      </c>
      <c r="Y1" s="1" t="str">
        <f>IFERROR(__xludf.DUMMYFUNCTION("""COMPUTED_VALUE"""),"MD24")</f>
        <v>MD24</v>
      </c>
      <c r="Z1" s="1" t="str">
        <f>IFERROR(__xludf.DUMMYFUNCTION("""COMPUTED_VALUE"""),"MD25")</f>
        <v>MD25</v>
      </c>
      <c r="AA1" s="1" t="str">
        <f>IFERROR(__xludf.DUMMYFUNCTION("""COMPUTED_VALUE"""),"MD26")</f>
        <v>MD26</v>
      </c>
      <c r="AB1" s="1" t="str">
        <f>IFERROR(__xludf.DUMMYFUNCTION("""COMPUTED_VALUE"""),"MD27")</f>
        <v>MD27</v>
      </c>
      <c r="AC1" s="1" t="str">
        <f>IFERROR(__xludf.DUMMYFUNCTION("""COMPUTED_VALUE"""),"MD28")</f>
        <v>MD28</v>
      </c>
      <c r="AD1" s="1" t="str">
        <f>IFERROR(__xludf.DUMMYFUNCTION("""COMPUTED_VALUE"""),"MD29")</f>
        <v>MD29</v>
      </c>
      <c r="AE1" s="1" t="str">
        <f>IFERROR(__xludf.DUMMYFUNCTION("""COMPUTED_VALUE"""),"MD30")</f>
        <v>MD30</v>
      </c>
      <c r="AF1" s="1" t="str">
        <f>IFERROR(__xludf.DUMMYFUNCTION("""COMPUTED_VALUE"""),"MD31")</f>
        <v>MD31</v>
      </c>
      <c r="AG1" s="1" t="str">
        <f>IFERROR(__xludf.DUMMYFUNCTION("""COMPUTED_VALUE"""),"MD32")</f>
        <v>MD32</v>
      </c>
      <c r="AH1" s="1" t="str">
        <f>IFERROR(__xludf.DUMMYFUNCTION("""COMPUTED_VALUE"""),"MD33")</f>
        <v>MD33</v>
      </c>
      <c r="AI1" s="1" t="str">
        <f>IFERROR(__xludf.DUMMYFUNCTION("""COMPUTED_VALUE"""),"MD34")</f>
        <v>MD34</v>
      </c>
      <c r="AJ1" s="1" t="str">
        <f>IFERROR(__xludf.DUMMYFUNCTION("""COMPUTED_VALUE"""),"MD35")</f>
        <v>MD35</v>
      </c>
      <c r="AK1" s="1" t="str">
        <f>IFERROR(__xludf.DUMMYFUNCTION("""COMPUTED_VALUE"""),"MD36")</f>
        <v>MD36</v>
      </c>
      <c r="AL1" s="1" t="str">
        <f>IFERROR(__xludf.DUMMYFUNCTION("""COMPUTED_VALUE"""),"MD37")</f>
        <v>MD37</v>
      </c>
      <c r="AM1" s="1" t="str">
        <f>IFERROR(__xludf.DUMMYFUNCTION("""COMPUTED_VALUE"""),"MD38")</f>
        <v>MD38</v>
      </c>
    </row>
    <row r="2">
      <c r="A2" s="1" t="str">
        <f>IFERROR(__xludf.DUMMYFUNCTION("""COMPUTED_VALUE"""),"Arsenal")</f>
        <v>Arsenal</v>
      </c>
      <c r="B2" s="2">
        <f>IFERROR(__xludf.DUMMYFUNCTION("""COMPUTED_VALUE"""),0.8646647167633813)</f>
        <v>0.8646647168</v>
      </c>
      <c r="C2" s="2">
        <f>IFERROR(__xludf.DUMMYFUNCTION("""COMPUTED_VALUE"""),0.8646647167633813)</f>
        <v>0.8646647168</v>
      </c>
      <c r="D2" s="2">
        <f>IFERROR(__xludf.DUMMYFUNCTION("""COMPUTED_VALUE"""),0.3457458387231646)</f>
        <v>0.3457458387</v>
      </c>
      <c r="E2" s="2">
        <f>IFERROR(__xludf.DUMMYFUNCTION("""COMPUTED_VALUE"""),0.6321205588285577)</f>
        <v>0.6321205588</v>
      </c>
      <c r="F2" s="2">
        <f>IFERROR(__xludf.DUMMYFUNCTION("""COMPUTED_VALUE"""),0.39649903938800063)</f>
        <v>0.3964990394</v>
      </c>
      <c r="G2" s="2">
        <f>IFERROR(__xludf.DUMMYFUNCTION("""COMPUTED_VALUE"""),0.7299605441282991)</f>
        <v>0.7299605441</v>
      </c>
      <c r="H2" s="2">
        <f>IFERROR(__xludf.DUMMYFUNCTION("""COMPUTED_VALUE"""),0.7750152911979067)</f>
        <v>0.7750152912</v>
      </c>
      <c r="I2" s="2">
        <f>IFERROR(__xludf.DUMMYFUNCTION("""COMPUTED_VALUE"""),0.0)</f>
        <v>0</v>
      </c>
      <c r="J2" s="2">
        <f>IFERROR(__xludf.DUMMYFUNCTION("""COMPUTED_VALUE"""),0.39649903938800063)</f>
        <v>0.3964990394</v>
      </c>
      <c r="K2" s="2">
        <f>IFERROR(__xludf.DUMMYFUNCTION("""COMPUTED_VALUE"""),0.0)</f>
        <v>0</v>
      </c>
      <c r="L2" s="2">
        <f>IFERROR(__xludf.DUMMYFUNCTION("""COMPUTED_VALUE"""),0.3457458387231646)</f>
        <v>0.3457458387</v>
      </c>
      <c r="M2" s="2">
        <f>IFERROR(__xludf.DUMMYFUNCTION("""COMPUTED_VALUE"""),0.9502129316203457)</f>
        <v>0.9502129316</v>
      </c>
      <c r="N2" s="2">
        <f>IFERROR(__xludf.DUMMYFUNCTION("""COMPUTED_VALUE"""),0.8314310053773641)</f>
        <v>0.8314310054</v>
      </c>
      <c r="O2" s="2">
        <f>IFERROR(__xludf.DUMMYFUNCTION("""COMPUTED_VALUE"""),0.8646647167633813)</f>
        <v>0.8646647168</v>
      </c>
      <c r="P2" s="2">
        <f>IFERROR(__xludf.DUMMYFUNCTION("""COMPUTED_VALUE"""),0.3457458387231646)</f>
        <v>0.3457458387</v>
      </c>
      <c r="Q2" s="2">
        <f>IFERROR(__xludf.DUMMYFUNCTION("""COMPUTED_VALUE"""),0.0)</f>
        <v>0</v>
      </c>
      <c r="R2" s="2">
        <f>IFERROR(__xludf.DUMMYFUNCTION("""COMPUTED_VALUE"""),0.9343679696950098)</f>
        <v>0.9343679697</v>
      </c>
      <c r="S2" s="2">
        <f>IFERROR(__xludf.DUMMYFUNCTION("""COMPUTED_VALUE"""),0.6321205588285577)</f>
        <v>0.6321205588</v>
      </c>
      <c r="T2" s="2">
        <f>IFERROR(__xludf.DUMMYFUNCTION("""COMPUTED_VALUE"""),0.7750152911979067)</f>
        <v>0.7750152912</v>
      </c>
      <c r="U2" s="2">
        <f>IFERROR(__xludf.DUMMYFUNCTION("""COMPUTED_VALUE"""),0.3457458387231646)</f>
        <v>0.3457458387</v>
      </c>
      <c r="V2" s="2">
        <f>IFERROR(__xludf.DUMMYFUNCTION("""COMPUTED_VALUE"""),0.6057031411076627)</f>
        <v>0.6057031411</v>
      </c>
      <c r="W2" s="2">
        <f>IFERROR(__xludf.DUMMYFUNCTION("""COMPUTED_VALUE"""),0.39649903938800063)</f>
        <v>0.3964990394</v>
      </c>
      <c r="X2" s="2">
        <f>IFERROR(__xludf.DUMMYFUNCTION("""COMPUTED_VALUE"""),0.6321205588285577)</f>
        <v>0.6321205588</v>
      </c>
      <c r="Y2" s="2">
        <f>IFERROR(__xludf.DUMMYFUNCTION("""COMPUTED_VALUE"""),0.9343679696950098)</f>
        <v>0.9343679697</v>
      </c>
      <c r="Z2" s="2">
        <f>IFERROR(__xludf.DUMMYFUNCTION("""COMPUTED_VALUE"""),0.8646647167633813)</f>
        <v>0.8646647168</v>
      </c>
      <c r="AA2" s="2">
        <f>IFERROR(__xludf.DUMMYFUNCTION("""COMPUTED_VALUE"""),0.0)</f>
        <v>0</v>
      </c>
      <c r="AB2" s="2">
        <f>IFERROR(__xludf.DUMMYFUNCTION("""COMPUTED_VALUE"""),0.0)</f>
        <v>0</v>
      </c>
      <c r="AC2" s="2">
        <f>IFERROR(__xludf.DUMMYFUNCTION("""COMPUTED_VALUE"""),0.3457458387231646)</f>
        <v>0.3457458387</v>
      </c>
      <c r="AD2" s="2">
        <f>IFERROR(__xludf.DUMMYFUNCTION("""COMPUTED_VALUE"""),0.6321205588285577)</f>
        <v>0.6321205588</v>
      </c>
      <c r="AE2" s="2">
        <f>IFERROR(__xludf.DUMMYFUNCTION("""COMPUTED_VALUE"""),0.6057031411076627)</f>
        <v>0.6057031411</v>
      </c>
      <c r="AF2" s="2">
        <f>IFERROR(__xludf.DUMMYFUNCTION("""COMPUTED_VALUE"""),0.3457458387231646)</f>
        <v>0.3457458387</v>
      </c>
      <c r="AG2" s="2">
        <f>IFERROR(__xludf.DUMMYFUNCTION("""COMPUTED_VALUE"""),0.3457458387231646)</f>
        <v>0.3457458387</v>
      </c>
      <c r="AH2" s="2">
        <f>IFERROR(__xludf.DUMMYFUNCTION("""COMPUTED_VALUE"""),0.9816843591882072)</f>
        <v>0.9816843592</v>
      </c>
      <c r="AI2" s="2">
        <f>IFERROR(__xludf.DUMMYFUNCTION("""COMPUTED_VALUE"""),0.39649903938800063)</f>
        <v>0.3964990394</v>
      </c>
      <c r="AJ2" s="2">
        <f>IFERROR(__xludf.DUMMYFUNCTION("""COMPUTED_VALUE"""),0.6690659815428743)</f>
        <v>0.6690659815</v>
      </c>
      <c r="AK2" s="2">
        <f>IFERROR(__xludf.DUMMYFUNCTION("""COMPUTED_VALUE"""),0.3321423942394269)</f>
        <v>0.3321423942</v>
      </c>
      <c r="AL2" s="2">
        <f>IFERROR(__xludf.DUMMYFUNCTION("""COMPUTED_VALUE"""),0.6569511941977473)</f>
        <v>0.6569511942</v>
      </c>
      <c r="AM2" s="2">
        <f>IFERROR(__xludf.DUMMYFUNCTION("""COMPUTED_VALUE"""),0.7633255889983608)</f>
        <v>0.763325589</v>
      </c>
    </row>
    <row r="3">
      <c r="A3" s="1" t="str">
        <f>IFERROR(__xludf.DUMMYFUNCTION("""COMPUTED_VALUE"""),"Aston Villa")</f>
        <v>Aston Villa</v>
      </c>
      <c r="B3" s="2">
        <f>IFERROR(__xludf.DUMMYFUNCTION("""COMPUTED_VALUE"""),0.6057031411076627)</f>
        <v>0.6057031411</v>
      </c>
      <c r="C3" s="2">
        <f>IFERROR(__xludf.DUMMYFUNCTION("""COMPUTED_VALUE"""),0.0)</f>
        <v>0</v>
      </c>
      <c r="D3" s="2">
        <f>IFERROR(__xludf.DUMMYFUNCTION("""COMPUTED_VALUE"""),0.6057031411076627)</f>
        <v>0.6057031411</v>
      </c>
      <c r="E3" s="2">
        <f>IFERROR(__xludf.DUMMYFUNCTION("""COMPUTED_VALUE"""),0.5852894147540798)</f>
        <v>0.5852894148</v>
      </c>
      <c r="F3" s="2">
        <f>IFERROR(__xludf.DUMMYFUNCTION("""COMPUTED_VALUE"""),0.7750152911979067)</f>
        <v>0.7750152912</v>
      </c>
      <c r="G3" s="2">
        <f>IFERROR(__xludf.DUMMYFUNCTION("""COMPUTED_VALUE"""),0.39649903938800063)</f>
        <v>0.3964990394</v>
      </c>
      <c r="H3" s="2">
        <f>IFERROR(__xludf.DUMMYFUNCTION("""COMPUTED_VALUE"""),0.0)</f>
        <v>0</v>
      </c>
      <c r="I3" s="2">
        <f>IFERROR(__xludf.DUMMYFUNCTION("""COMPUTED_VALUE"""),0.7750152911979067)</f>
        <v>0.7750152912</v>
      </c>
      <c r="J3" s="2">
        <f>IFERROR(__xludf.DUMMYFUNCTION("""COMPUTED_VALUE"""),0.3457458387231646)</f>
        <v>0.3457458387</v>
      </c>
      <c r="K3" s="2">
        <f>IFERROR(__xludf.DUMMYFUNCTION("""COMPUTED_VALUE"""),0.04722969675352744)</f>
        <v>0.04722969675</v>
      </c>
      <c r="L3" s="2">
        <f>IFERROR(__xludf.DUMMYFUNCTION("""COMPUTED_VALUE"""),0.0)</f>
        <v>0</v>
      </c>
      <c r="M3" s="2">
        <f>IFERROR(__xludf.DUMMYFUNCTION("""COMPUTED_VALUE"""),0.39649903938800063)</f>
        <v>0.3964990394</v>
      </c>
      <c r="N3" s="2">
        <f>IFERROR(__xludf.DUMMYFUNCTION("""COMPUTED_VALUE"""),0.0)</f>
        <v>0</v>
      </c>
      <c r="O3" s="2">
        <f>IFERROR(__xludf.DUMMYFUNCTION("""COMPUTED_VALUE"""),0.7750152911979067)</f>
        <v>0.7750152912</v>
      </c>
      <c r="P3" s="2">
        <f>IFERROR(__xludf.DUMMYFUNCTION("""COMPUTED_VALUE"""),0.6321205588285577)</f>
        <v>0.6321205588</v>
      </c>
      <c r="Q3" s="2">
        <f>IFERROR(__xludf.DUMMYFUNCTION("""COMPUTED_VALUE"""),0.18258477493038808)</f>
        <v>0.1825847749</v>
      </c>
      <c r="R3" s="2">
        <f>IFERROR(__xludf.DUMMYFUNCTION("""COMPUTED_VALUE"""),0.6057031411076627)</f>
        <v>0.6057031411</v>
      </c>
      <c r="S3" s="2">
        <f>IFERROR(__xludf.DUMMYFUNCTION("""COMPUTED_VALUE"""),0.0)</f>
        <v>0</v>
      </c>
      <c r="T3" s="2">
        <f>IFERROR(__xludf.DUMMYFUNCTION("""COMPUTED_VALUE"""),0.39649903938800063)</f>
        <v>0.3964990394</v>
      </c>
      <c r="U3" s="2">
        <f>IFERROR(__xludf.DUMMYFUNCTION("""COMPUTED_VALUE"""),0.6057031411076627)</f>
        <v>0.6057031411</v>
      </c>
      <c r="V3" s="2">
        <f>IFERROR(__xludf.DUMMYFUNCTION("""COMPUTED_VALUE"""),0.6321205588285577)</f>
        <v>0.6321205588</v>
      </c>
      <c r="W3" s="2">
        <f>IFERROR(__xludf.DUMMYFUNCTION("""COMPUTED_VALUE"""),0.39649903938800063)</f>
        <v>0.3964990394</v>
      </c>
      <c r="X3" s="2">
        <f>IFERROR(__xludf.DUMMYFUNCTION("""COMPUTED_VALUE"""),0.3457458387231646)</f>
        <v>0.3457458387</v>
      </c>
      <c r="Y3" s="2">
        <f>IFERROR(__xludf.DUMMYFUNCTION("""COMPUTED_VALUE"""),0.0)</f>
        <v>0</v>
      </c>
      <c r="Z3" s="2">
        <f>IFERROR(__xludf.DUMMYFUNCTION("""COMPUTED_VALUE"""),0.3457458387231646)</f>
        <v>0.3457458387</v>
      </c>
      <c r="AA3" s="2">
        <f>IFERROR(__xludf.DUMMYFUNCTION("""COMPUTED_VALUE"""),0.6057031411076627)</f>
        <v>0.6057031411</v>
      </c>
      <c r="AB3" s="2">
        <f>IFERROR(__xludf.DUMMYFUNCTION("""COMPUTED_VALUE"""),0.04722969675352744)</f>
        <v>0.04722969675</v>
      </c>
      <c r="AC3" s="2">
        <f>IFERROR(__xludf.DUMMYFUNCTION("""COMPUTED_VALUE"""),0.6321205588285577)</f>
        <v>0.6321205588</v>
      </c>
      <c r="AD3" s="2">
        <f>IFERROR(__xludf.DUMMYFUNCTION("""COMPUTED_VALUE"""),0.39649903938800063)</f>
        <v>0.3964990394</v>
      </c>
      <c r="AE3" s="2">
        <f>IFERROR(__xludf.DUMMYFUNCTION("""COMPUTED_VALUE"""),0.9502129316203457)</f>
        <v>0.9502129316</v>
      </c>
      <c r="AF3" s="2">
        <f>IFERROR(__xludf.DUMMYFUNCTION("""COMPUTED_VALUE"""),0.6057031411076627)</f>
        <v>0.6057031411</v>
      </c>
      <c r="AG3" s="2">
        <f>IFERROR(__xludf.DUMMYFUNCTION("""COMPUTED_VALUE"""),0.9502129316203457)</f>
        <v>0.9502129316</v>
      </c>
      <c r="AH3" s="2">
        <f>IFERROR(__xludf.DUMMYFUNCTION("""COMPUTED_VALUE"""),0.876618550222119)</f>
        <v>0.8766185502</v>
      </c>
      <c r="AI3" s="2">
        <f>IFERROR(__xludf.DUMMYFUNCTION("""COMPUTED_VALUE"""),0.18258477493038808)</f>
        <v>0.1825847749</v>
      </c>
      <c r="AJ3" s="2">
        <f>IFERROR(__xludf.DUMMYFUNCTION("""COMPUTED_VALUE"""),0.49242666748595937)</f>
        <v>0.4924266675</v>
      </c>
      <c r="AK3" s="2">
        <f>IFERROR(__xludf.DUMMYFUNCTION("""COMPUTED_VALUE"""),0.2937953700474728)</f>
        <v>0.29379537</v>
      </c>
      <c r="AL3" s="2">
        <f>IFERROR(__xludf.DUMMYFUNCTION("""COMPUTED_VALUE"""),0.48704042358780114)</f>
        <v>0.4870404236</v>
      </c>
      <c r="AM3" s="2">
        <f>IFERROR(__xludf.DUMMYFUNCTION("""COMPUTED_VALUE"""),0.3440710059549823)</f>
        <v>0.344071006</v>
      </c>
    </row>
    <row r="4">
      <c r="A4" s="1" t="str">
        <f>IFERROR(__xludf.DUMMYFUNCTION("""COMPUTED_VALUE"""),"Bournemouth")</f>
        <v>Bournemouth</v>
      </c>
      <c r="B4" s="2">
        <f>IFERROR(__xludf.DUMMYFUNCTION("""COMPUTED_VALUE"""),0.3457458387231646)</f>
        <v>0.3457458387</v>
      </c>
      <c r="C4" s="2">
        <f>IFERROR(__xludf.DUMMYFUNCTION("""COMPUTED_VALUE"""),0.3457458387231646)</f>
        <v>0.3457458387</v>
      </c>
      <c r="D4" s="2">
        <f>IFERROR(__xludf.DUMMYFUNCTION("""COMPUTED_VALUE"""),0.5852894147540798)</f>
        <v>0.5852894148</v>
      </c>
      <c r="E4" s="2">
        <f>IFERROR(__xludf.DUMMYFUNCTION("""COMPUTED_VALUE"""),0.0)</f>
        <v>0</v>
      </c>
      <c r="F4" s="2">
        <f>IFERROR(__xludf.DUMMYFUNCTION("""COMPUTED_VALUE"""),0.0)</f>
        <v>0</v>
      </c>
      <c r="G4" s="2">
        <f>IFERROR(__xludf.DUMMYFUNCTION("""COMPUTED_VALUE"""),0.7750152911979067)</f>
        <v>0.7750152912</v>
      </c>
      <c r="H4" s="2">
        <f>IFERROR(__xludf.DUMMYFUNCTION("""COMPUTED_VALUE"""),0.0)</f>
        <v>0</v>
      </c>
      <c r="I4" s="2">
        <f>IFERROR(__xludf.DUMMYFUNCTION("""COMPUTED_VALUE"""),0.8646647167633813)</f>
        <v>0.8646647168</v>
      </c>
      <c r="J4" s="2">
        <f>IFERROR(__xludf.DUMMYFUNCTION("""COMPUTED_VALUE"""),0.3457458387231646)</f>
        <v>0.3457458387</v>
      </c>
      <c r="K4" s="2">
        <f>IFERROR(__xludf.DUMMYFUNCTION("""COMPUTED_VALUE"""),0.6057031411076627)</f>
        <v>0.6057031411</v>
      </c>
      <c r="L4" s="2">
        <f>IFERROR(__xludf.DUMMYFUNCTION("""COMPUTED_VALUE"""),0.24698869937222218)</f>
        <v>0.2469886994</v>
      </c>
      <c r="M4" s="2">
        <f>IFERROR(__xludf.DUMMYFUNCTION("""COMPUTED_VALUE"""),0.18258477493038808)</f>
        <v>0.1825847749</v>
      </c>
      <c r="N4" s="2">
        <f>IFERROR(__xludf.DUMMYFUNCTION("""COMPUTED_VALUE"""),0.7299605441282991)</f>
        <v>0.7299605441</v>
      </c>
      <c r="O4" s="2">
        <f>IFERROR(__xludf.DUMMYFUNCTION("""COMPUTED_VALUE"""),0.6321205588285577)</f>
        <v>0.6321205588</v>
      </c>
      <c r="P4" s="2">
        <f>IFERROR(__xludf.DUMMYFUNCTION("""COMPUTED_VALUE"""),0.6057031411076627)</f>
        <v>0.6057031411</v>
      </c>
      <c r="Q4" s="2">
        <f>IFERROR(__xludf.DUMMYFUNCTION("""COMPUTED_VALUE"""),0.3457458387231646)</f>
        <v>0.3457458387</v>
      </c>
      <c r="R4" s="2">
        <f>IFERROR(__xludf.DUMMYFUNCTION("""COMPUTED_VALUE"""),0.9502129316203457)</f>
        <v>0.9502129316</v>
      </c>
      <c r="S4" s="2">
        <f>IFERROR(__xludf.DUMMYFUNCTION("""COMPUTED_VALUE"""),0.0)</f>
        <v>0</v>
      </c>
      <c r="T4" s="2">
        <f>IFERROR(__xludf.DUMMYFUNCTION("""COMPUTED_VALUE"""),0.39649903938800063)</f>
        <v>0.3964990394</v>
      </c>
      <c r="U4" s="2">
        <f>IFERROR(__xludf.DUMMYFUNCTION("""COMPUTED_VALUE"""),0.6321205588285577)</f>
        <v>0.6321205588</v>
      </c>
      <c r="V4" s="2">
        <f>IFERROR(__xludf.DUMMYFUNCTION("""COMPUTED_VALUE"""),0.39649903938800063)</f>
        <v>0.3964990394</v>
      </c>
      <c r="W4" s="2">
        <f>IFERROR(__xludf.DUMMYFUNCTION("""COMPUTED_VALUE"""),0.876618550222119)</f>
        <v>0.8766185502</v>
      </c>
      <c r="X4" s="2">
        <f>IFERROR(__xludf.DUMMYFUNCTION("""COMPUTED_VALUE"""),0.9932619719084098)</f>
        <v>0.9932619719</v>
      </c>
      <c r="Y4" s="2">
        <f>IFERROR(__xludf.DUMMYFUNCTION("""COMPUTED_VALUE"""),0.0)</f>
        <v>0</v>
      </c>
      <c r="Z4" s="2">
        <f>IFERROR(__xludf.DUMMYFUNCTION("""COMPUTED_VALUE"""),0.7750152911979067)</f>
        <v>0.7750152912</v>
      </c>
      <c r="AA4" s="2">
        <f>IFERROR(__xludf.DUMMYFUNCTION("""COMPUTED_VALUE"""),0.0)</f>
        <v>0</v>
      </c>
      <c r="AB4" s="2">
        <f>IFERROR(__xludf.DUMMYFUNCTION("""COMPUTED_VALUE"""),0.18258477493038808)</f>
        <v>0.1825847749</v>
      </c>
      <c r="AC4" s="2">
        <f>IFERROR(__xludf.DUMMYFUNCTION("""COMPUTED_VALUE"""),0.39649903938800063)</f>
        <v>0.3964990394</v>
      </c>
      <c r="AD4" s="2">
        <f>IFERROR(__xludf.DUMMYFUNCTION("""COMPUTED_VALUE"""),0.18258477493038808)</f>
        <v>0.1825847749</v>
      </c>
      <c r="AE4" s="2">
        <f>IFERROR(__xludf.DUMMYFUNCTION("""COMPUTED_VALUE"""),0.18258477493038808)</f>
        <v>0.1825847749</v>
      </c>
      <c r="AF4" s="2">
        <f>IFERROR(__xludf.DUMMYFUNCTION("""COMPUTED_VALUE"""),0.39649903938800063)</f>
        <v>0.3964990394</v>
      </c>
      <c r="AG4" s="2">
        <f>IFERROR(__xludf.DUMMYFUNCTION("""COMPUTED_VALUE"""),0.0)</f>
        <v>0</v>
      </c>
      <c r="AH4" s="2">
        <f>IFERROR(__xludf.DUMMYFUNCTION("""COMPUTED_VALUE"""),0.0)</f>
        <v>0</v>
      </c>
      <c r="AI4" s="2">
        <f>IFERROR(__xludf.DUMMYFUNCTION("""COMPUTED_VALUE"""),0.5149291962287403)</f>
        <v>0.5149291962</v>
      </c>
      <c r="AJ4" s="2">
        <f>IFERROR(__xludf.DUMMYFUNCTION("""COMPUTED_VALUE"""),0.12806453735745624)</f>
        <v>0.1280645374</v>
      </c>
      <c r="AK4" s="2">
        <f>IFERROR(__xludf.DUMMYFUNCTION("""COMPUTED_VALUE"""),0.47396207359620873)</f>
        <v>0.4739620736</v>
      </c>
      <c r="AL4" s="2">
        <f>IFERROR(__xludf.DUMMYFUNCTION("""COMPUTED_VALUE"""),0.18021507835765233)</f>
        <v>0.1802150784</v>
      </c>
      <c r="AM4" s="2">
        <f>IFERROR(__xludf.DUMMYFUNCTION("""COMPUTED_VALUE"""),0.7214951958053429)</f>
        <v>0.7214951958</v>
      </c>
    </row>
    <row r="5">
      <c r="A5" s="1" t="str">
        <f>IFERROR(__xludf.DUMMYFUNCTION("""COMPUTED_VALUE"""),"Brentford")</f>
        <v>Brentford</v>
      </c>
      <c r="B5" s="2">
        <f>IFERROR(__xludf.DUMMYFUNCTION("""COMPUTED_VALUE"""),0.6057031411076627)</f>
        <v>0.6057031411</v>
      </c>
      <c r="C5" s="2">
        <f>IFERROR(__xludf.DUMMYFUNCTION("""COMPUTED_VALUE"""),0.0)</f>
        <v>0</v>
      </c>
      <c r="D5" s="2">
        <f>IFERROR(__xludf.DUMMYFUNCTION("""COMPUTED_VALUE"""),0.7750152911979067)</f>
        <v>0.7750152912</v>
      </c>
      <c r="E5" s="2">
        <f>IFERROR(__xludf.DUMMYFUNCTION("""COMPUTED_VALUE"""),0.18258477493038808)</f>
        <v>0.1825847749</v>
      </c>
      <c r="F5" s="2">
        <f>IFERROR(__xludf.DUMMYFUNCTION("""COMPUTED_VALUE"""),0.09386311341649525)</f>
        <v>0.09386311342</v>
      </c>
      <c r="G5" s="2">
        <f>IFERROR(__xludf.DUMMYFUNCTION("""COMPUTED_VALUE"""),0.3457458387231646)</f>
        <v>0.3457458387</v>
      </c>
      <c r="H5" s="2">
        <f>IFERROR(__xludf.DUMMYFUNCTION("""COMPUTED_VALUE"""),0.7018065225334963)</f>
        <v>0.7018065225</v>
      </c>
      <c r="I5" s="2">
        <f>IFERROR(__xludf.DUMMYFUNCTION("""COMPUTED_VALUE"""),0.18258477493038808)</f>
        <v>0.1825847749</v>
      </c>
      <c r="J5" s="2">
        <f>IFERROR(__xludf.DUMMYFUNCTION("""COMPUTED_VALUE"""),0.57309244161627)</f>
        <v>0.5730924416</v>
      </c>
      <c r="K5" s="2">
        <f>IFERROR(__xludf.DUMMYFUNCTION("""COMPUTED_VALUE"""),0.18258477493038808)</f>
        <v>0.1825847749</v>
      </c>
      <c r="L5" s="2">
        <f>IFERROR(__xludf.DUMMYFUNCTION("""COMPUTED_VALUE"""),0.5852894147540798)</f>
        <v>0.5852894148</v>
      </c>
      <c r="M5" s="2">
        <f>IFERROR(__xludf.DUMMYFUNCTION("""COMPUTED_VALUE"""),0.0)</f>
        <v>0</v>
      </c>
      <c r="N5" s="2">
        <f>IFERROR(__xludf.DUMMYFUNCTION("""COMPUTED_VALUE"""),0.876618550222119)</f>
        <v>0.8766185502</v>
      </c>
      <c r="O5" s="2">
        <f>IFERROR(__xludf.DUMMYFUNCTION("""COMPUTED_VALUE"""),0.09386311341649525)</f>
        <v>0.09386311342</v>
      </c>
      <c r="P5" s="2">
        <f>IFERROR(__xludf.DUMMYFUNCTION("""COMPUTED_VALUE"""),0.7299605441282991)</f>
        <v>0.7299605441</v>
      </c>
      <c r="Q5" s="2">
        <f>IFERROR(__xludf.DUMMYFUNCTION("""COMPUTED_VALUE"""),0.18258477493038808)</f>
        <v>0.1825847749</v>
      </c>
      <c r="R5" s="2">
        <f>IFERROR(__xludf.DUMMYFUNCTION("""COMPUTED_VALUE"""),0.0)</f>
        <v>0</v>
      </c>
      <c r="S5" s="2">
        <f>IFERROR(__xludf.DUMMYFUNCTION("""COMPUTED_VALUE"""),0.0)</f>
        <v>0</v>
      </c>
      <c r="T5" s="2">
        <f>IFERROR(__xludf.DUMMYFUNCTION("""COMPUTED_VALUE"""),0.09386311341649525)</f>
        <v>0.09386311342</v>
      </c>
      <c r="U5" s="2">
        <f>IFERROR(__xludf.DUMMYFUNCTION("""COMPUTED_VALUE"""),0.9932619719084098)</f>
        <v>0.9932619719</v>
      </c>
      <c r="V5" s="2">
        <f>IFERROR(__xludf.DUMMYFUNCTION("""COMPUTED_VALUE"""),0.39649903938800063)</f>
        <v>0.3964990394</v>
      </c>
      <c r="W5" s="2">
        <f>IFERROR(__xludf.DUMMYFUNCTION("""COMPUTED_VALUE"""),0.0)</f>
        <v>0</v>
      </c>
      <c r="X5" s="2">
        <f>IFERROR(__xludf.DUMMYFUNCTION("""COMPUTED_VALUE"""),0.6057031411076627)</f>
        <v>0.6057031411</v>
      </c>
      <c r="Y5" s="2">
        <f>IFERROR(__xludf.DUMMYFUNCTION("""COMPUTED_VALUE"""),0.0)</f>
        <v>0</v>
      </c>
      <c r="Z5" s="2">
        <f>IFERROR(__xludf.DUMMYFUNCTION("""COMPUTED_VALUE"""),0.6321205588285577)</f>
        <v>0.6321205588</v>
      </c>
      <c r="AA5" s="2">
        <f>IFERROR(__xludf.DUMMYFUNCTION("""COMPUTED_VALUE"""),0.9816843591882072)</f>
        <v>0.9816843592</v>
      </c>
      <c r="AB5" s="2">
        <f>IFERROR(__xludf.DUMMYFUNCTION("""COMPUTED_VALUE"""),0.3457458387231646)</f>
        <v>0.3457458387</v>
      </c>
      <c r="AC5" s="2">
        <f>IFERROR(__xludf.DUMMYFUNCTION("""COMPUTED_VALUE"""),0.0)</f>
        <v>0</v>
      </c>
      <c r="AD5" s="2">
        <f>IFERROR(__xludf.DUMMYFUNCTION("""COMPUTED_VALUE"""),0.6057031411076627)</f>
        <v>0.6057031411</v>
      </c>
      <c r="AE5" s="2">
        <f>IFERROR(__xludf.DUMMYFUNCTION("""COMPUTED_VALUE"""),0.18258477493038808)</f>
        <v>0.1825847749</v>
      </c>
      <c r="AF5" s="2">
        <f>IFERROR(__xludf.DUMMYFUNCTION("""COMPUTED_VALUE"""),0.0)</f>
        <v>0</v>
      </c>
      <c r="AG5" s="2">
        <f>IFERROR(__xludf.DUMMYFUNCTION("""COMPUTED_VALUE"""),0.3457458387231646)</f>
        <v>0.3457458387</v>
      </c>
      <c r="AH5" s="2">
        <f>IFERROR(__xludf.DUMMYFUNCTION("""COMPUTED_VALUE"""),0.7299605441282991)</f>
        <v>0.7299605441</v>
      </c>
      <c r="AI5" s="2">
        <f>IFERROR(__xludf.DUMMYFUNCTION("""COMPUTED_VALUE"""),0.32362119409027307)</f>
        <v>0.3236211941</v>
      </c>
      <c r="AJ5" s="2">
        <f>IFERROR(__xludf.DUMMYFUNCTION("""COMPUTED_VALUE"""),0.4590264437121175)</f>
        <v>0.4590264437</v>
      </c>
      <c r="AK5" s="2">
        <f>IFERROR(__xludf.DUMMYFUNCTION("""COMPUTED_VALUE"""),0.48566704372255726)</f>
        <v>0.4856670437</v>
      </c>
      <c r="AL5" s="2">
        <f>IFERROR(__xludf.DUMMYFUNCTION("""COMPUTED_VALUE"""),0.44306553719140046)</f>
        <v>0.4430655372</v>
      </c>
      <c r="AM5" s="2">
        <f>IFERROR(__xludf.DUMMYFUNCTION("""COMPUTED_VALUE"""),0.3875930240285037)</f>
        <v>0.387593024</v>
      </c>
    </row>
    <row r="6">
      <c r="A6" s="1" t="str">
        <f>IFERROR(__xludf.DUMMYFUNCTION("""COMPUTED_VALUE"""),"Brighton")</f>
        <v>Brighton</v>
      </c>
      <c r="B6" s="2">
        <f>IFERROR(__xludf.DUMMYFUNCTION("""COMPUTED_VALUE"""),0.9502129316203457)</f>
        <v>0.9502129316</v>
      </c>
      <c r="C6" s="2">
        <f>IFERROR(__xludf.DUMMYFUNCTION("""COMPUTED_VALUE"""),0.6057031411076627)</f>
        <v>0.6057031411</v>
      </c>
      <c r="D6" s="2">
        <f>IFERROR(__xludf.DUMMYFUNCTION("""COMPUTED_VALUE"""),0.3457458387231646)</f>
        <v>0.3457458387</v>
      </c>
      <c r="E6" s="2">
        <f>IFERROR(__xludf.DUMMYFUNCTION("""COMPUTED_VALUE"""),0.0)</f>
        <v>0</v>
      </c>
      <c r="F6" s="2">
        <f>IFERROR(__xludf.DUMMYFUNCTION("""COMPUTED_VALUE"""),0.39649903938800063)</f>
        <v>0.3964990394</v>
      </c>
      <c r="G6" s="2">
        <f>IFERROR(__xludf.DUMMYFUNCTION("""COMPUTED_VALUE"""),0.1480636430575833)</f>
        <v>0.1480636431</v>
      </c>
      <c r="H6" s="2">
        <f>IFERROR(__xludf.DUMMYFUNCTION("""COMPUTED_VALUE"""),0.5852894147540798)</f>
        <v>0.5852894148</v>
      </c>
      <c r="I6" s="2">
        <f>IFERROR(__xludf.DUMMYFUNCTION("""COMPUTED_VALUE"""),0.6321205588285577)</f>
        <v>0.6321205588</v>
      </c>
      <c r="J6" s="2">
        <f>IFERROR(__xludf.DUMMYFUNCTION("""COMPUTED_VALUE"""),0.39649903938800063)</f>
        <v>0.3964990394</v>
      </c>
      <c r="K6" s="2">
        <f>IFERROR(__xludf.DUMMYFUNCTION("""COMPUTED_VALUE"""),0.18258477493038808)</f>
        <v>0.1825847749</v>
      </c>
      <c r="L6" s="2">
        <f>IFERROR(__xludf.DUMMYFUNCTION("""COMPUTED_VALUE"""),0.6057031411076627)</f>
        <v>0.6057031411</v>
      </c>
      <c r="M6" s="2">
        <f>IFERROR(__xludf.DUMMYFUNCTION("""COMPUTED_VALUE"""),0.6057031411076627)</f>
        <v>0.6057031411</v>
      </c>
      <c r="N6" s="2">
        <f>IFERROR(__xludf.DUMMYFUNCTION("""COMPUTED_VALUE"""),0.3457458387231646)</f>
        <v>0.3457458387</v>
      </c>
      <c r="O6" s="2">
        <f>IFERROR(__xludf.DUMMYFUNCTION("""COMPUTED_VALUE"""),0.09386311341649525)</f>
        <v>0.09386311342</v>
      </c>
      <c r="P6" s="2">
        <f>IFERROR(__xludf.DUMMYFUNCTION("""COMPUTED_VALUE"""),0.39649903938800063)</f>
        <v>0.3964990394</v>
      </c>
      <c r="Q6" s="2">
        <f>IFERROR(__xludf.DUMMYFUNCTION("""COMPUTED_VALUE"""),0.09386311341649525)</f>
        <v>0.09386311342</v>
      </c>
      <c r="R6" s="2">
        <f>IFERROR(__xludf.DUMMYFUNCTION("""COMPUTED_VALUE"""),0.3457458387231646)</f>
        <v>0.3457458387</v>
      </c>
      <c r="S6" s="2">
        <f>IFERROR(__xludf.DUMMYFUNCTION("""COMPUTED_VALUE"""),0.0)</f>
        <v>0</v>
      </c>
      <c r="T6" s="2">
        <f>IFERROR(__xludf.DUMMYFUNCTION("""COMPUTED_VALUE"""),0.39649903938800063)</f>
        <v>0.3964990394</v>
      </c>
      <c r="U6" s="2">
        <f>IFERROR(__xludf.DUMMYFUNCTION("""COMPUTED_VALUE"""),0.3457458387231646)</f>
        <v>0.3457458387</v>
      </c>
      <c r="V6" s="2">
        <f>IFERROR(__xludf.DUMMYFUNCTION("""COMPUTED_VALUE"""),0.8646647167633813)</f>
        <v>0.8646647168</v>
      </c>
      <c r="W6" s="2">
        <f>IFERROR(__xludf.DUMMYFUNCTION("""COMPUTED_VALUE"""),0.7750152911979067)</f>
        <v>0.7750152912</v>
      </c>
      <c r="X6" s="2">
        <f>IFERROR(__xludf.DUMMYFUNCTION("""COMPUTED_VALUE"""),0.0)</f>
        <v>0</v>
      </c>
      <c r="Y6" s="2">
        <f>IFERROR(__xludf.DUMMYFUNCTION("""COMPUTED_VALUE"""),0.0)</f>
        <v>0</v>
      </c>
      <c r="Z6" s="2">
        <f>IFERROR(__xludf.DUMMYFUNCTION("""COMPUTED_VALUE"""),0.9502129316203457)</f>
        <v>0.9502129316</v>
      </c>
      <c r="AA6" s="2">
        <f>IFERROR(__xludf.DUMMYFUNCTION("""COMPUTED_VALUE"""),0.9816843591882072)</f>
        <v>0.9816843592</v>
      </c>
      <c r="AB6" s="2">
        <f>IFERROR(__xludf.DUMMYFUNCTION("""COMPUTED_VALUE"""),0.6057031411076627)</f>
        <v>0.6057031411</v>
      </c>
      <c r="AC6" s="2">
        <f>IFERROR(__xludf.DUMMYFUNCTION("""COMPUTED_VALUE"""),0.6057031411076627)</f>
        <v>0.6057031411</v>
      </c>
      <c r="AD6" s="2">
        <f>IFERROR(__xludf.DUMMYFUNCTION("""COMPUTED_VALUE"""),0.39649903938800063)</f>
        <v>0.3964990394</v>
      </c>
      <c r="AE6" s="2">
        <f>IFERROR(__xludf.DUMMYFUNCTION("""COMPUTED_VALUE"""),0.0)</f>
        <v>0</v>
      </c>
      <c r="AF6" s="2">
        <f>IFERROR(__xludf.DUMMYFUNCTION("""COMPUTED_VALUE"""),0.18258477493038808)</f>
        <v>0.1825847749</v>
      </c>
      <c r="AG6" s="2">
        <f>IFERROR(__xludf.DUMMYFUNCTION("""COMPUTED_VALUE"""),0.39649903938800063)</f>
        <v>0.3964990394</v>
      </c>
      <c r="AH6" s="2">
        <f>IFERROR(__xludf.DUMMYFUNCTION("""COMPUTED_VALUE"""),0.1480636430575833)</f>
        <v>0.1480636431</v>
      </c>
      <c r="AI6" s="2">
        <f>IFERROR(__xludf.DUMMYFUNCTION("""COMPUTED_VALUE"""),0.5471644610971922)</f>
        <v>0.5471644611</v>
      </c>
      <c r="AJ6" s="2">
        <f>IFERROR(__xludf.DUMMYFUNCTION("""COMPUTED_VALUE"""),0.4120933433186409)</f>
        <v>0.4120933433</v>
      </c>
      <c r="AK6" s="2">
        <f>IFERROR(__xludf.DUMMYFUNCTION("""COMPUTED_VALUE"""),0.4176282314709632)</f>
        <v>0.4176282315</v>
      </c>
      <c r="AL6" s="2">
        <f>IFERROR(__xludf.DUMMYFUNCTION("""COMPUTED_VALUE"""),0.2419129183125239)</f>
        <v>0.2419129183</v>
      </c>
      <c r="AM6" s="2">
        <f>IFERROR(__xludf.DUMMYFUNCTION("""COMPUTED_VALUE"""),0.29543827113968024)</f>
        <v>0.2954382711</v>
      </c>
    </row>
    <row r="7">
      <c r="A7" s="1" t="str">
        <f>IFERROR(__xludf.DUMMYFUNCTION("""COMPUTED_VALUE"""),"Chelsea")</f>
        <v>Chelsea</v>
      </c>
      <c r="B7" s="2">
        <f>IFERROR(__xludf.DUMMYFUNCTION("""COMPUTED_VALUE"""),0.0)</f>
        <v>0</v>
      </c>
      <c r="C7" s="2">
        <f>IFERROR(__xludf.DUMMYFUNCTION("""COMPUTED_VALUE"""),0.8983075870802932)</f>
        <v>0.8983075871</v>
      </c>
      <c r="D7" s="2">
        <f>IFERROR(__xludf.DUMMYFUNCTION("""COMPUTED_VALUE"""),0.3457458387231646)</f>
        <v>0.3457458387</v>
      </c>
      <c r="E7" s="2">
        <f>IFERROR(__xludf.DUMMYFUNCTION("""COMPUTED_VALUE"""),0.6321205588285577)</f>
        <v>0.6321205588</v>
      </c>
      <c r="F7" s="2">
        <f>IFERROR(__xludf.DUMMYFUNCTION("""COMPUTED_VALUE"""),0.9502129316203457)</f>
        <v>0.9502129316</v>
      </c>
      <c r="G7" s="2">
        <f>IFERROR(__xludf.DUMMYFUNCTION("""COMPUTED_VALUE"""),0.7299605441282991)</f>
        <v>0.7299605441</v>
      </c>
      <c r="H7" s="2">
        <f>IFERROR(__xludf.DUMMYFUNCTION("""COMPUTED_VALUE"""),0.3457458387231646)</f>
        <v>0.3457458387</v>
      </c>
      <c r="I7" s="2">
        <f>IFERROR(__xludf.DUMMYFUNCTION("""COMPUTED_VALUE"""),0.18258477493038808)</f>
        <v>0.1825847749</v>
      </c>
      <c r="J7" s="2">
        <f>IFERROR(__xludf.DUMMYFUNCTION("""COMPUTED_VALUE"""),0.6057031411076627)</f>
        <v>0.6057031411</v>
      </c>
      <c r="K7" s="2">
        <f>IFERROR(__xludf.DUMMYFUNCTION("""COMPUTED_VALUE"""),0.3457458387231646)</f>
        <v>0.3457458387</v>
      </c>
      <c r="L7" s="2">
        <f>IFERROR(__xludf.DUMMYFUNCTION("""COMPUTED_VALUE"""),0.3457458387231646)</f>
        <v>0.3457458387</v>
      </c>
      <c r="M7" s="2">
        <f>IFERROR(__xludf.DUMMYFUNCTION("""COMPUTED_VALUE"""),0.6057031411076627)</f>
        <v>0.6057031411</v>
      </c>
      <c r="N7" s="2">
        <f>IFERROR(__xludf.DUMMYFUNCTION("""COMPUTED_VALUE"""),0.9502129316203457)</f>
        <v>0.9502129316</v>
      </c>
      <c r="O7" s="2">
        <f>IFERROR(__xludf.DUMMYFUNCTION("""COMPUTED_VALUE"""),0.02334994522935559)</f>
        <v>0.02334994523</v>
      </c>
      <c r="P7" s="2">
        <f>IFERROR(__xludf.DUMMYFUNCTION("""COMPUTED_VALUE"""),0.57309244161627)</f>
        <v>0.5730924416</v>
      </c>
      <c r="Q7" s="2">
        <f>IFERROR(__xludf.DUMMYFUNCTION("""COMPUTED_VALUE"""),0.6057031411076627)</f>
        <v>0.6057031411</v>
      </c>
      <c r="R7" s="2">
        <f>IFERROR(__xludf.DUMMYFUNCTION("""COMPUTED_VALUE"""),0.0)</f>
        <v>0</v>
      </c>
      <c r="S7" s="2">
        <f>IFERROR(__xludf.DUMMYFUNCTION("""COMPUTED_VALUE"""),0.18258477493038808)</f>
        <v>0.1825847749</v>
      </c>
      <c r="T7" s="2">
        <f>IFERROR(__xludf.DUMMYFUNCTION("""COMPUTED_VALUE"""),0.0)</f>
        <v>0</v>
      </c>
      <c r="U7" s="2">
        <f>IFERROR(__xludf.DUMMYFUNCTION("""COMPUTED_VALUE"""),0.3457458387231646)</f>
        <v>0.3457458387</v>
      </c>
      <c r="V7" s="2">
        <f>IFERROR(__xludf.DUMMYFUNCTION("""COMPUTED_VALUE"""),0.39649903938800063)</f>
        <v>0.3964990394</v>
      </c>
      <c r="W7" s="2">
        <f>IFERROR(__xludf.DUMMYFUNCTION("""COMPUTED_VALUE"""),0.7750152911979067)</f>
        <v>0.7750152912</v>
      </c>
      <c r="X7" s="2">
        <f>IFERROR(__xludf.DUMMYFUNCTION("""COMPUTED_VALUE"""),0.09386311341649525)</f>
        <v>0.09386311342</v>
      </c>
      <c r="Y7" s="2">
        <f>IFERROR(__xludf.DUMMYFUNCTION("""COMPUTED_VALUE"""),0.6057031411076627)</f>
        <v>0.6057031411</v>
      </c>
      <c r="Z7" s="2">
        <f>IFERROR(__xludf.DUMMYFUNCTION("""COMPUTED_VALUE"""),0.0)</f>
        <v>0</v>
      </c>
      <c r="AA7" s="2">
        <f>IFERROR(__xludf.DUMMYFUNCTION("""COMPUTED_VALUE"""),0.18258477493038808)</f>
        <v>0.1825847749</v>
      </c>
      <c r="AB7" s="2">
        <f>IFERROR(__xludf.DUMMYFUNCTION("""COMPUTED_VALUE"""),0.9816843591882072)</f>
        <v>0.9816843592</v>
      </c>
      <c r="AC7" s="2">
        <f>IFERROR(__xludf.DUMMYFUNCTION("""COMPUTED_VALUE"""),0.6321205588285577)</f>
        <v>0.6321205588</v>
      </c>
      <c r="AD7" s="2">
        <f>IFERROR(__xludf.DUMMYFUNCTION("""COMPUTED_VALUE"""),0.0)</f>
        <v>0</v>
      </c>
      <c r="AE7" s="2">
        <f>IFERROR(__xludf.DUMMYFUNCTION("""COMPUTED_VALUE"""),0.6321205588285577)</f>
        <v>0.6321205588</v>
      </c>
      <c r="AF7" s="2">
        <f>IFERROR(__xludf.DUMMYFUNCTION("""COMPUTED_VALUE"""),0.0)</f>
        <v>0</v>
      </c>
      <c r="AG7" s="2">
        <f>IFERROR(__xludf.DUMMYFUNCTION("""COMPUTED_VALUE"""),0.39649903938800063)</f>
        <v>0.3964990394</v>
      </c>
      <c r="AH7" s="2">
        <f>IFERROR(__xludf.DUMMYFUNCTION("""COMPUTED_VALUE"""),0.6057031411076627)</f>
        <v>0.6057031411</v>
      </c>
      <c r="AI7" s="2">
        <f>IFERROR(__xludf.DUMMYFUNCTION("""COMPUTED_VALUE"""),0.5693792589922818)</f>
        <v>0.569379259</v>
      </c>
      <c r="AJ7" s="2">
        <f>IFERROR(__xludf.DUMMYFUNCTION("""COMPUTED_VALUE"""),0.3067314347280716)</f>
        <v>0.3067314347</v>
      </c>
      <c r="AK7" s="2">
        <f>IFERROR(__xludf.DUMMYFUNCTION("""COMPUTED_VALUE"""),0.32075574115125305)</f>
        <v>0.3207557412</v>
      </c>
      <c r="AL7" s="2">
        <f>IFERROR(__xludf.DUMMYFUNCTION("""COMPUTED_VALUE"""),0.5693719556352539)</f>
        <v>0.5693719556</v>
      </c>
      <c r="AM7" s="2">
        <f>IFERROR(__xludf.DUMMYFUNCTION("""COMPUTED_VALUE"""),0.4208142521539302)</f>
        <v>0.4208142522</v>
      </c>
    </row>
    <row r="8">
      <c r="A8" s="1" t="str">
        <f>IFERROR(__xludf.DUMMYFUNCTION("""COMPUTED_VALUE"""),"Crystal Palace")</f>
        <v>Crystal Palace</v>
      </c>
      <c r="B8" s="2">
        <f>IFERROR(__xludf.DUMMYFUNCTION("""COMPUTED_VALUE"""),0.18258477493038808)</f>
        <v>0.1825847749</v>
      </c>
      <c r="C8" s="2">
        <f>IFERROR(__xludf.DUMMYFUNCTION("""COMPUTED_VALUE"""),0.0)</f>
        <v>0</v>
      </c>
      <c r="D8" s="2">
        <f>IFERROR(__xludf.DUMMYFUNCTION("""COMPUTED_VALUE"""),0.3457458387231646)</f>
        <v>0.3457458387</v>
      </c>
      <c r="E8" s="2">
        <f>IFERROR(__xludf.DUMMYFUNCTION("""COMPUTED_VALUE"""),0.39649903938800063)</f>
        <v>0.3964990394</v>
      </c>
      <c r="F8" s="2">
        <f>IFERROR(__xludf.DUMMYFUNCTION("""COMPUTED_VALUE"""),0.0)</f>
        <v>0</v>
      </c>
      <c r="G8" s="2">
        <f>IFERROR(__xludf.DUMMYFUNCTION("""COMPUTED_VALUE"""),0.18258477493038808)</f>
        <v>0.1825847749</v>
      </c>
      <c r="H8" s="2">
        <f>IFERROR(__xludf.DUMMYFUNCTION("""COMPUTED_VALUE"""),0.0)</f>
        <v>0</v>
      </c>
      <c r="I8" s="2">
        <f>IFERROR(__xludf.DUMMYFUNCTION("""COMPUTED_VALUE"""),0.0)</f>
        <v>0</v>
      </c>
      <c r="J8" s="2">
        <f>IFERROR(__xludf.DUMMYFUNCTION("""COMPUTED_VALUE"""),0.6321205588285577)</f>
        <v>0.6321205588</v>
      </c>
      <c r="K8" s="2">
        <f>IFERROR(__xludf.DUMMYFUNCTION("""COMPUTED_VALUE"""),0.39649903938800063)</f>
        <v>0.3964990394</v>
      </c>
      <c r="L8" s="2">
        <f>IFERROR(__xludf.DUMMYFUNCTION("""COMPUTED_VALUE"""),0.0)</f>
        <v>0</v>
      </c>
      <c r="M8" s="2">
        <f>IFERROR(__xludf.DUMMYFUNCTION("""COMPUTED_VALUE"""),0.39649903938800063)</f>
        <v>0.3964990394</v>
      </c>
      <c r="N8" s="2">
        <f>IFERROR(__xludf.DUMMYFUNCTION("""COMPUTED_VALUE"""),0.3457458387231646)</f>
        <v>0.3457458387</v>
      </c>
      <c r="O8" s="2">
        <f>IFERROR(__xludf.DUMMYFUNCTION("""COMPUTED_VALUE"""),0.6321205588285577)</f>
        <v>0.6321205588</v>
      </c>
      <c r="P8" s="2">
        <f>IFERROR(__xludf.DUMMYFUNCTION("""COMPUTED_VALUE"""),0.39649903938800063)</f>
        <v>0.3964990394</v>
      </c>
      <c r="Q8" s="2">
        <f>IFERROR(__xludf.DUMMYFUNCTION("""COMPUTED_VALUE"""),0.7750152911979067)</f>
        <v>0.7750152912</v>
      </c>
      <c r="R8" s="2">
        <f>IFERROR(__xludf.DUMMYFUNCTION("""COMPUTED_VALUE"""),0.02334994522935559)</f>
        <v>0.02334994523</v>
      </c>
      <c r="S8" s="2">
        <f>IFERROR(__xludf.DUMMYFUNCTION("""COMPUTED_VALUE"""),0.0)</f>
        <v>0</v>
      </c>
      <c r="T8" s="2">
        <f>IFERROR(__xludf.DUMMYFUNCTION("""COMPUTED_VALUE"""),0.6057031411076627)</f>
        <v>0.6057031411</v>
      </c>
      <c r="U8" s="2">
        <f>IFERROR(__xludf.DUMMYFUNCTION("""COMPUTED_VALUE"""),0.3457458387231646)</f>
        <v>0.3457458387</v>
      </c>
      <c r="V8" s="2">
        <f>IFERROR(__xludf.DUMMYFUNCTION("""COMPUTED_VALUE"""),0.8646647167633813)</f>
        <v>0.8646647168</v>
      </c>
      <c r="W8" s="2">
        <f>IFERROR(__xludf.DUMMYFUNCTION("""COMPUTED_VALUE"""),0.8646647167633813)</f>
        <v>0.8646647168</v>
      </c>
      <c r="X8" s="2">
        <f>IFERROR(__xludf.DUMMYFUNCTION("""COMPUTED_VALUE"""),0.18258477493038808)</f>
        <v>0.1825847749</v>
      </c>
      <c r="Y8" s="2">
        <f>IFERROR(__xludf.DUMMYFUNCTION("""COMPUTED_VALUE"""),0.8646647167633813)</f>
        <v>0.8646647168</v>
      </c>
      <c r="Z8" s="2">
        <f>IFERROR(__xludf.DUMMYFUNCTION("""COMPUTED_VALUE"""),0.18258477493038808)</f>
        <v>0.1825847749</v>
      </c>
      <c r="AA8" s="2">
        <f>IFERROR(__xludf.DUMMYFUNCTION("""COMPUTED_VALUE"""),0.8646647167633813)</f>
        <v>0.8646647168</v>
      </c>
      <c r="AB8" s="2">
        <f>IFERROR(__xludf.DUMMYFUNCTION("""COMPUTED_VALUE"""),0.876618550222119)</f>
        <v>0.8766185502</v>
      </c>
      <c r="AC8" s="2">
        <f>IFERROR(__xludf.DUMMYFUNCTION("""COMPUTED_VALUE"""),0.6321205588285577)</f>
        <v>0.6321205588</v>
      </c>
      <c r="AD8" s="2">
        <f>IFERROR(__xludf.DUMMYFUNCTION("""COMPUTED_VALUE"""),0.0)</f>
        <v>0</v>
      </c>
      <c r="AE8" s="2">
        <f>IFERROR(__xludf.DUMMYFUNCTION("""COMPUTED_VALUE"""),0.3457458387231646)</f>
        <v>0.3457458387</v>
      </c>
      <c r="AF8" s="2">
        <f>IFERROR(__xludf.DUMMYFUNCTION("""COMPUTED_VALUE"""),0.6057031411076627)</f>
        <v>0.6057031411</v>
      </c>
      <c r="AG8" s="2">
        <f>IFERROR(__xludf.DUMMYFUNCTION("""COMPUTED_VALUE"""),0.08606552239978132)</f>
        <v>0.0860655224</v>
      </c>
      <c r="AH8" s="2">
        <f>IFERROR(__xludf.DUMMYFUNCTION("""COMPUTED_VALUE"""),0.0)</f>
        <v>0</v>
      </c>
      <c r="AI8" s="2">
        <f>IFERROR(__xludf.DUMMYFUNCTION("""COMPUTED_VALUE"""),0.39649903938800063)</f>
        <v>0.3964990394</v>
      </c>
      <c r="AJ8" s="2">
        <f>IFERROR(__xludf.DUMMYFUNCTION("""COMPUTED_VALUE"""),0.4888069796532734)</f>
        <v>0.4888069797</v>
      </c>
      <c r="AK8" s="2">
        <f>IFERROR(__xludf.DUMMYFUNCTION("""COMPUTED_VALUE"""),0.2849240765213281)</f>
        <v>0.2849240765</v>
      </c>
      <c r="AL8" s="2">
        <f>IFERROR(__xludf.DUMMYFUNCTION("""COMPUTED_VALUE"""),0.5623239726518747)</f>
        <v>0.5623239727</v>
      </c>
      <c r="AM8" s="2">
        <f>IFERROR(__xludf.DUMMYFUNCTION("""COMPUTED_VALUE"""),0.1258732526663653)</f>
        <v>0.1258732527</v>
      </c>
    </row>
    <row r="9">
      <c r="A9" s="1" t="str">
        <f>IFERROR(__xludf.DUMMYFUNCTION("""COMPUTED_VALUE"""),"Everton")</f>
        <v>Everton</v>
      </c>
      <c r="B9" s="2">
        <f>IFERROR(__xludf.DUMMYFUNCTION("""COMPUTED_VALUE"""),0.0)</f>
        <v>0</v>
      </c>
      <c r="C9" s="2">
        <f>IFERROR(__xludf.DUMMYFUNCTION("""COMPUTED_VALUE"""),0.0)</f>
        <v>0</v>
      </c>
      <c r="D9" s="2">
        <f>IFERROR(__xludf.DUMMYFUNCTION("""COMPUTED_VALUE"""),0.24698869937222218)</f>
        <v>0.2469886994</v>
      </c>
      <c r="E9" s="2">
        <f>IFERROR(__xludf.DUMMYFUNCTION("""COMPUTED_VALUE"""),0.24698869937222218)</f>
        <v>0.2469886994</v>
      </c>
      <c r="F9" s="2">
        <f>IFERROR(__xludf.DUMMYFUNCTION("""COMPUTED_VALUE"""),0.3457458387231646)</f>
        <v>0.3457458387</v>
      </c>
      <c r="G9" s="2">
        <f>IFERROR(__xludf.DUMMYFUNCTION("""COMPUTED_VALUE"""),0.6057031411076627)</f>
        <v>0.6057031411</v>
      </c>
      <c r="H9" s="2">
        <f>IFERROR(__xludf.DUMMYFUNCTION("""COMPUTED_VALUE"""),0.0)</f>
        <v>0</v>
      </c>
      <c r="I9" s="2">
        <f>IFERROR(__xludf.DUMMYFUNCTION("""COMPUTED_VALUE"""),0.8646647167633813)</f>
        <v>0.8646647168</v>
      </c>
      <c r="J9" s="2">
        <f>IFERROR(__xludf.DUMMYFUNCTION("""COMPUTED_VALUE"""),0.3457458387231646)</f>
        <v>0.3457458387</v>
      </c>
      <c r="K9" s="2">
        <f>IFERROR(__xludf.DUMMYFUNCTION("""COMPUTED_VALUE"""),0.0)</f>
        <v>0</v>
      </c>
      <c r="L9" s="2">
        <f>IFERROR(__xludf.DUMMYFUNCTION("""COMPUTED_VALUE"""),0.0)</f>
        <v>0</v>
      </c>
      <c r="M9" s="2">
        <f>IFERROR(__xludf.DUMMYFUNCTION("""COMPUTED_VALUE"""),0.0)</f>
        <v>0</v>
      </c>
      <c r="N9" s="2">
        <f>IFERROR(__xludf.DUMMYFUNCTION("""COMPUTED_VALUE"""),0.0)</f>
        <v>0</v>
      </c>
      <c r="O9" s="2">
        <f>IFERROR(__xludf.DUMMYFUNCTION("""COMPUTED_VALUE"""),0.9816843591882072)</f>
        <v>0.9816843592</v>
      </c>
      <c r="P9" s="2">
        <f>IFERROR(__xludf.DUMMYFUNCTION("""COMPUTED_VALUE"""),0.39649903938800063)</f>
        <v>0.3964990394</v>
      </c>
      <c r="Q9" s="2">
        <f>IFERROR(__xludf.DUMMYFUNCTION("""COMPUTED_VALUE"""),0.0)</f>
        <v>0</v>
      </c>
      <c r="R9" s="2">
        <f>IFERROR(__xludf.DUMMYFUNCTION("""COMPUTED_VALUE"""),0.0)</f>
        <v>0</v>
      </c>
      <c r="S9" s="2">
        <f>IFERROR(__xludf.DUMMYFUNCTION("""COMPUTED_VALUE"""),0.3457458387231646)</f>
        <v>0.3457458387</v>
      </c>
      <c r="T9" s="2">
        <f>IFERROR(__xludf.DUMMYFUNCTION("""COMPUTED_VALUE"""),0.0)</f>
        <v>0</v>
      </c>
      <c r="U9" s="2">
        <f>IFERROR(__xludf.DUMMYFUNCTION("""COMPUTED_VALUE"""),0.0)</f>
        <v>0</v>
      </c>
      <c r="V9" s="2">
        <f>IFERROR(__xludf.DUMMYFUNCTION("""COMPUTED_VALUE"""),0.0)</f>
        <v>0</v>
      </c>
      <c r="W9" s="2">
        <f>IFERROR(__xludf.DUMMYFUNCTION("""COMPUTED_VALUE"""),0.5852894147540798)</f>
        <v>0.5852894148</v>
      </c>
      <c r="X9" s="2">
        <f>IFERROR(__xludf.DUMMYFUNCTION("""COMPUTED_VALUE"""),0.6321205588285577)</f>
        <v>0.6321205588</v>
      </c>
      <c r="Y9" s="2">
        <f>IFERROR(__xludf.DUMMYFUNCTION("""COMPUTED_VALUE"""),0.9816843591882072)</f>
        <v>0.9816843592</v>
      </c>
      <c r="Z9" s="2">
        <f>IFERROR(__xludf.DUMMYFUNCTION("""COMPUTED_VALUE"""),0.6057031411076627)</f>
        <v>0.6057031411</v>
      </c>
      <c r="AA9" s="2">
        <f>IFERROR(__xludf.DUMMYFUNCTION("""COMPUTED_VALUE"""),0.39649903938800063)</f>
        <v>0.3964990394</v>
      </c>
      <c r="AB9" s="2">
        <f>IFERROR(__xludf.DUMMYFUNCTION("""COMPUTED_VALUE"""),0.3457458387231646)</f>
        <v>0.3457458387</v>
      </c>
      <c r="AC9" s="2">
        <f>IFERROR(__xludf.DUMMYFUNCTION("""COMPUTED_VALUE"""),0.3457458387231646)</f>
        <v>0.3457458387</v>
      </c>
      <c r="AD9" s="2">
        <f>IFERROR(__xludf.DUMMYFUNCTION("""COMPUTED_VALUE"""),0.3457458387231646)</f>
        <v>0.3457458387</v>
      </c>
      <c r="AE9" s="2">
        <f>IFERROR(__xludf.DUMMYFUNCTION("""COMPUTED_VALUE"""),0.0)</f>
        <v>0</v>
      </c>
      <c r="AF9" s="2">
        <f>IFERROR(__xludf.DUMMYFUNCTION("""COMPUTED_VALUE"""),0.3457458387231646)</f>
        <v>0.3457458387</v>
      </c>
      <c r="AG9" s="2">
        <f>IFERROR(__xludf.DUMMYFUNCTION("""COMPUTED_VALUE"""),0.6321205588285577)</f>
        <v>0.6321205588</v>
      </c>
      <c r="AH9" s="2">
        <f>IFERROR(__xludf.DUMMYFUNCTION("""COMPUTED_VALUE"""),0.0)</f>
        <v>0</v>
      </c>
      <c r="AI9" s="2">
        <f>IFERROR(__xludf.DUMMYFUNCTION("""COMPUTED_VALUE"""),0.1971126106316062)</f>
        <v>0.1971126106</v>
      </c>
      <c r="AJ9" s="2">
        <f>IFERROR(__xludf.DUMMYFUNCTION("""COMPUTED_VALUE"""),0.5851682067711057)</f>
        <v>0.5851682068</v>
      </c>
      <c r="AK9" s="2">
        <f>IFERROR(__xludf.DUMMYFUNCTION("""COMPUTED_VALUE"""),0.2625205950241991)</f>
        <v>0.262520595</v>
      </c>
      <c r="AL9" s="2">
        <f>IFERROR(__xludf.DUMMYFUNCTION("""COMPUTED_VALUE"""),0.6262211448230353)</f>
        <v>0.6262211448</v>
      </c>
      <c r="AM9" s="2">
        <f>IFERROR(__xludf.DUMMYFUNCTION("""COMPUTED_VALUE"""),0.20906271089568704)</f>
        <v>0.2090627109</v>
      </c>
    </row>
    <row r="10">
      <c r="A10" s="1" t="str">
        <f>IFERROR(__xludf.DUMMYFUNCTION("""COMPUTED_VALUE"""),"Fulham")</f>
        <v>Fulham</v>
      </c>
      <c r="B10" s="2">
        <f>IFERROR(__xludf.DUMMYFUNCTION("""COMPUTED_VALUE"""),0.0)</f>
        <v>0</v>
      </c>
      <c r="C10" s="2">
        <f>IFERROR(__xludf.DUMMYFUNCTION("""COMPUTED_VALUE"""),0.6057031411076627)</f>
        <v>0.6057031411</v>
      </c>
      <c r="D10" s="2">
        <f>IFERROR(__xludf.DUMMYFUNCTION("""COMPUTED_VALUE"""),0.3457458387231646)</f>
        <v>0.3457458387</v>
      </c>
      <c r="E10" s="2">
        <f>IFERROR(__xludf.DUMMYFUNCTION("""COMPUTED_VALUE"""),0.3457458387231646)</f>
        <v>0.3457458387</v>
      </c>
      <c r="F10" s="2">
        <f>IFERROR(__xludf.DUMMYFUNCTION("""COMPUTED_VALUE"""),0.7750152911979067)</f>
        <v>0.7750152912</v>
      </c>
      <c r="G10" s="2">
        <f>IFERROR(__xludf.DUMMYFUNCTION("""COMPUTED_VALUE"""),0.6321205588285577)</f>
        <v>0.6321205588</v>
      </c>
      <c r="H10" s="2">
        <f>IFERROR(__xludf.DUMMYFUNCTION("""COMPUTED_VALUE"""),0.24698869937222218)</f>
        <v>0.2469886994</v>
      </c>
      <c r="I10" s="2">
        <f>IFERROR(__xludf.DUMMYFUNCTION("""COMPUTED_VALUE"""),0.09386311341649525)</f>
        <v>0.09386311342</v>
      </c>
      <c r="J10" s="2">
        <f>IFERROR(__xludf.DUMMYFUNCTION("""COMPUTED_VALUE"""),0.3457458387231646)</f>
        <v>0.3457458387</v>
      </c>
      <c r="K10" s="2">
        <f>IFERROR(__xludf.DUMMYFUNCTION("""COMPUTED_VALUE"""),0.6057031411076627)</f>
        <v>0.6057031411</v>
      </c>
      <c r="L10" s="2">
        <f>IFERROR(__xludf.DUMMYFUNCTION("""COMPUTED_VALUE"""),0.8646647167633813)</f>
        <v>0.8646647168</v>
      </c>
      <c r="M10" s="2">
        <f>IFERROR(__xludf.DUMMYFUNCTION("""COMPUTED_VALUE"""),0.04722969675352744)</f>
        <v>0.04722969675</v>
      </c>
      <c r="N10" s="2">
        <f>IFERROR(__xludf.DUMMYFUNCTION("""COMPUTED_VALUE"""),0.3457458387231646)</f>
        <v>0.3457458387</v>
      </c>
      <c r="O10" s="2">
        <f>IFERROR(__xludf.DUMMYFUNCTION("""COMPUTED_VALUE"""),0.7750152911979067)</f>
        <v>0.7750152912</v>
      </c>
      <c r="P10" s="2">
        <f>IFERROR(__xludf.DUMMYFUNCTION("""COMPUTED_VALUE"""),0.3457458387231646)</f>
        <v>0.3457458387</v>
      </c>
      <c r="Q10" s="2">
        <f>IFERROR(__xludf.DUMMYFUNCTION("""COMPUTED_VALUE"""),0.39649903938800063)</f>
        <v>0.3964990394</v>
      </c>
      <c r="R10" s="2">
        <f>IFERROR(__xludf.DUMMYFUNCTION("""COMPUTED_VALUE"""),0.0)</f>
        <v>0</v>
      </c>
      <c r="S10" s="2">
        <f>IFERROR(__xludf.DUMMYFUNCTION("""COMPUTED_VALUE"""),0.6057031411076627)</f>
        <v>0.6057031411</v>
      </c>
      <c r="T10" s="2">
        <f>IFERROR(__xludf.DUMMYFUNCTION("""COMPUTED_VALUE"""),0.39649903938800063)</f>
        <v>0.3964990394</v>
      </c>
      <c r="U10" s="2">
        <f>IFERROR(__xludf.DUMMYFUNCTION("""COMPUTED_VALUE"""),0.39649903938800063)</f>
        <v>0.3964990394</v>
      </c>
      <c r="V10" s="2">
        <f>IFERROR(__xludf.DUMMYFUNCTION("""COMPUTED_VALUE"""),0.24698869937222218)</f>
        <v>0.2469886994</v>
      </c>
      <c r="W10" s="2">
        <f>IFERROR(__xludf.DUMMYFUNCTION("""COMPUTED_VALUE"""),0.8646647167633813)</f>
        <v>0.8646647168</v>
      </c>
      <c r="X10" s="2">
        <f>IFERROR(__xludf.DUMMYFUNCTION("""COMPUTED_VALUE"""),0.0)</f>
        <v>0</v>
      </c>
      <c r="Y10" s="2">
        <f>IFERROR(__xludf.DUMMYFUNCTION("""COMPUTED_VALUE"""),0.6057031411076627)</f>
        <v>0.6057031411</v>
      </c>
      <c r="Z10" s="2">
        <f>IFERROR(__xludf.DUMMYFUNCTION("""COMPUTED_VALUE"""),0.6057031411076627)</f>
        <v>0.6057031411</v>
      </c>
      <c r="AA10" s="2">
        <f>IFERROR(__xludf.DUMMYFUNCTION("""COMPUTED_VALUE"""),0.0)</f>
        <v>0</v>
      </c>
      <c r="AB10" s="2">
        <f>IFERROR(__xludf.DUMMYFUNCTION("""COMPUTED_VALUE"""),0.18258477493038808)</f>
        <v>0.1825847749</v>
      </c>
      <c r="AC10" s="2">
        <f>IFERROR(__xludf.DUMMYFUNCTION("""COMPUTED_VALUE"""),0.18258477493038808)</f>
        <v>0.1825847749</v>
      </c>
      <c r="AD10" s="2">
        <f>IFERROR(__xludf.DUMMYFUNCTION("""COMPUTED_VALUE"""),0.8646647167633813)</f>
        <v>0.8646647168</v>
      </c>
      <c r="AE10" s="2">
        <f>IFERROR(__xludf.DUMMYFUNCTION("""COMPUTED_VALUE"""),0.18258477493038808)</f>
        <v>0.1825847749</v>
      </c>
      <c r="AF10" s="2">
        <f>IFERROR(__xludf.DUMMYFUNCTION("""COMPUTED_VALUE"""),0.5852894147540798)</f>
        <v>0.5852894148</v>
      </c>
      <c r="AG10" s="2">
        <f>IFERROR(__xludf.DUMMYFUNCTION("""COMPUTED_VALUE"""),0.6321205588285577)</f>
        <v>0.6321205588</v>
      </c>
      <c r="AH10" s="2">
        <f>IFERROR(__xludf.DUMMYFUNCTION("""COMPUTED_VALUE"""),0.18258477493038808)</f>
        <v>0.1825847749</v>
      </c>
      <c r="AI10" s="2">
        <f>IFERROR(__xludf.DUMMYFUNCTION("""COMPUTED_VALUE"""),0.5274901678021654)</f>
        <v>0.5274901678</v>
      </c>
      <c r="AJ10" s="2">
        <f>IFERROR(__xludf.DUMMYFUNCTION("""COMPUTED_VALUE"""),0.26777523555789257)</f>
        <v>0.2677752356</v>
      </c>
      <c r="AK10" s="2">
        <f>IFERROR(__xludf.DUMMYFUNCTION("""COMPUTED_VALUE"""),0.4624848435248931)</f>
        <v>0.4624848435</v>
      </c>
      <c r="AL10" s="2">
        <f>IFERROR(__xludf.DUMMYFUNCTION("""COMPUTED_VALUE"""),0.3044484390206524)</f>
        <v>0.304448439</v>
      </c>
      <c r="AM10" s="2">
        <f>IFERROR(__xludf.DUMMYFUNCTION("""COMPUTED_VALUE"""),0.272585434319216)</f>
        <v>0.2725854343</v>
      </c>
    </row>
    <row r="11">
      <c r="A11" s="1" t="str">
        <f>IFERROR(__xludf.DUMMYFUNCTION("""COMPUTED_VALUE"""),"Ipswich")</f>
        <v>Ipswich</v>
      </c>
      <c r="B11" s="2">
        <f>IFERROR(__xludf.DUMMYFUNCTION("""COMPUTED_VALUE"""),0.0)</f>
        <v>0</v>
      </c>
      <c r="C11" s="2">
        <f>IFERROR(__xludf.DUMMYFUNCTION("""COMPUTED_VALUE"""),0.04722969675352744)</f>
        <v>0.04722969675</v>
      </c>
      <c r="D11" s="2">
        <f>IFERROR(__xludf.DUMMYFUNCTION("""COMPUTED_VALUE"""),0.3457458387231646)</f>
        <v>0.3457458387</v>
      </c>
      <c r="E11" s="2">
        <f>IFERROR(__xludf.DUMMYFUNCTION("""COMPUTED_VALUE"""),0.0)</f>
        <v>0</v>
      </c>
      <c r="F11" s="2">
        <f>IFERROR(__xludf.DUMMYFUNCTION("""COMPUTED_VALUE"""),0.3457458387231646)</f>
        <v>0.3457458387</v>
      </c>
      <c r="G11" s="2">
        <f>IFERROR(__xludf.DUMMYFUNCTION("""COMPUTED_VALUE"""),0.39649903938800063)</f>
        <v>0.3964990394</v>
      </c>
      <c r="H11" s="2">
        <f>IFERROR(__xludf.DUMMYFUNCTION("""COMPUTED_VALUE"""),0.04722969675352744)</f>
        <v>0.04722969675</v>
      </c>
      <c r="I11" s="2">
        <f>IFERROR(__xludf.DUMMYFUNCTION("""COMPUTED_VALUE"""),0.0)</f>
        <v>0</v>
      </c>
      <c r="J11" s="2">
        <f>IFERROR(__xludf.DUMMYFUNCTION("""COMPUTED_VALUE"""),0.2830495172694125)</f>
        <v>0.2830495173</v>
      </c>
      <c r="K11" s="2">
        <f>IFERROR(__xludf.DUMMYFUNCTION("""COMPUTED_VALUE"""),0.3457458387231646)</f>
        <v>0.3457458387</v>
      </c>
      <c r="L11" s="2">
        <f>IFERROR(__xludf.DUMMYFUNCTION("""COMPUTED_VALUE"""),0.6057031411076627)</f>
        <v>0.6057031411</v>
      </c>
      <c r="M11" s="2">
        <f>IFERROR(__xludf.DUMMYFUNCTION("""COMPUTED_VALUE"""),0.3457458387231646)</f>
        <v>0.3457458387</v>
      </c>
      <c r="N11" s="2">
        <f>IFERROR(__xludf.DUMMYFUNCTION("""COMPUTED_VALUE"""),0.0)</f>
        <v>0</v>
      </c>
      <c r="O11" s="2">
        <f>IFERROR(__xludf.DUMMYFUNCTION("""COMPUTED_VALUE"""),0.0)</f>
        <v>0</v>
      </c>
      <c r="P11" s="2">
        <f>IFERROR(__xludf.DUMMYFUNCTION("""COMPUTED_VALUE"""),0.18258477493038808)</f>
        <v>0.1825847749</v>
      </c>
      <c r="Q11" s="2">
        <f>IFERROR(__xludf.DUMMYFUNCTION("""COMPUTED_VALUE"""),0.6057031411076627)</f>
        <v>0.6057031411</v>
      </c>
      <c r="R11" s="2">
        <f>IFERROR(__xludf.DUMMYFUNCTION("""COMPUTED_VALUE"""),0.0)</f>
        <v>0</v>
      </c>
      <c r="S11" s="2">
        <f>IFERROR(__xludf.DUMMYFUNCTION("""COMPUTED_VALUE"""),0.0)</f>
        <v>0</v>
      </c>
      <c r="T11" s="2">
        <f>IFERROR(__xludf.DUMMYFUNCTION("""COMPUTED_VALUE"""),0.8646647167633813)</f>
        <v>0.8646647168</v>
      </c>
      <c r="U11" s="2">
        <f>IFERROR(__xludf.DUMMYFUNCTION("""COMPUTED_VALUE"""),0.39649903938800063)</f>
        <v>0.3964990394</v>
      </c>
      <c r="V11" s="2">
        <f>IFERROR(__xludf.DUMMYFUNCTION("""COMPUTED_VALUE"""),0.0)</f>
        <v>0</v>
      </c>
      <c r="W11" s="2">
        <f>IFERROR(__xludf.DUMMYFUNCTION("""COMPUTED_VALUE"""),0.0)</f>
        <v>0</v>
      </c>
      <c r="X11" s="2">
        <f>IFERROR(__xludf.DUMMYFUNCTION("""COMPUTED_VALUE"""),0.04722969675352744)</f>
        <v>0.04722969675</v>
      </c>
      <c r="Y11" s="2">
        <f>IFERROR(__xludf.DUMMYFUNCTION("""COMPUTED_VALUE"""),0.18258477493038808)</f>
        <v>0.1825847749</v>
      </c>
      <c r="Z11" s="2">
        <f>IFERROR(__xludf.DUMMYFUNCTION("""COMPUTED_VALUE"""),0.3457458387231646)</f>
        <v>0.3457458387</v>
      </c>
      <c r="AA11" s="2">
        <f>IFERROR(__xludf.DUMMYFUNCTION("""COMPUTED_VALUE"""),0.04722969675352744)</f>
        <v>0.04722969675</v>
      </c>
      <c r="AB11" s="2">
        <f>IFERROR(__xludf.DUMMYFUNCTION("""COMPUTED_VALUE"""),0.24698869937222218)</f>
        <v>0.2469886994</v>
      </c>
      <c r="AC11" s="2">
        <f>IFERROR(__xludf.DUMMYFUNCTION("""COMPUTED_VALUE"""),0.0)</f>
        <v>0</v>
      </c>
      <c r="AD11" s="2">
        <f>IFERROR(__xludf.DUMMYFUNCTION("""COMPUTED_VALUE"""),0.1480636430575833)</f>
        <v>0.1480636431</v>
      </c>
      <c r="AE11" s="2">
        <f>IFERROR(__xludf.DUMMYFUNCTION("""COMPUTED_VALUE"""),0.6057031411076627)</f>
        <v>0.6057031411</v>
      </c>
      <c r="AF11" s="2">
        <f>IFERROR(__xludf.DUMMYFUNCTION("""COMPUTED_VALUE"""),0.18258477493038808)</f>
        <v>0.1825847749</v>
      </c>
      <c r="AG11" s="2">
        <f>IFERROR(__xludf.DUMMYFUNCTION("""COMPUTED_VALUE"""),0.39649903938800063)</f>
        <v>0.3964990394</v>
      </c>
      <c r="AH11" s="2">
        <f>IFERROR(__xludf.DUMMYFUNCTION("""COMPUTED_VALUE"""),0.0)</f>
        <v>0</v>
      </c>
      <c r="AI11" s="2">
        <f>IFERROR(__xludf.DUMMYFUNCTION("""COMPUTED_VALUE"""),0.10487572197593908)</f>
        <v>0.104875722</v>
      </c>
      <c r="AJ11" s="2">
        <f>IFERROR(__xludf.DUMMYFUNCTION("""COMPUTED_VALUE"""),0.17750984442409082)</f>
        <v>0.1775098444</v>
      </c>
      <c r="AK11" s="2">
        <f>IFERROR(__xludf.DUMMYFUNCTION("""COMPUTED_VALUE"""),0.27292562250178304)</f>
        <v>0.2729256225</v>
      </c>
      <c r="AL11" s="2">
        <f>IFERROR(__xludf.DUMMYFUNCTION("""COMPUTED_VALUE"""),0.3262869998790324)</f>
        <v>0.3262869999</v>
      </c>
      <c r="AM11" s="2">
        <f>IFERROR(__xludf.DUMMYFUNCTION("""COMPUTED_VALUE"""),0.320826193068023)</f>
        <v>0.3208261931</v>
      </c>
    </row>
    <row r="12">
      <c r="A12" s="1" t="str">
        <f>IFERROR(__xludf.DUMMYFUNCTION("""COMPUTED_VALUE"""),"Leicester")</f>
        <v>Leicester</v>
      </c>
      <c r="B12" s="2">
        <f>IFERROR(__xludf.DUMMYFUNCTION("""COMPUTED_VALUE"""),0.3457458387231646)</f>
        <v>0.3457458387</v>
      </c>
      <c r="C12" s="2">
        <f>IFERROR(__xludf.DUMMYFUNCTION("""COMPUTED_VALUE"""),0.18258477493038808)</f>
        <v>0.1825847749</v>
      </c>
      <c r="D12" s="2">
        <f>IFERROR(__xludf.DUMMYFUNCTION("""COMPUTED_VALUE"""),0.18258477493038808)</f>
        <v>0.1825847749</v>
      </c>
      <c r="E12" s="2">
        <f>IFERROR(__xludf.DUMMYFUNCTION("""COMPUTED_VALUE"""),0.39649903938800063)</f>
        <v>0.3964990394</v>
      </c>
      <c r="F12" s="2">
        <f>IFERROR(__xludf.DUMMYFUNCTION("""COMPUTED_VALUE"""),0.3457458387231646)</f>
        <v>0.3457458387</v>
      </c>
      <c r="G12" s="2">
        <f>IFERROR(__xludf.DUMMYFUNCTION("""COMPUTED_VALUE"""),0.1480636430575833)</f>
        <v>0.1480636431</v>
      </c>
      <c r="H12" s="2">
        <f>IFERROR(__xludf.DUMMYFUNCTION("""COMPUTED_VALUE"""),0.6321205588285577)</f>
        <v>0.6321205588</v>
      </c>
      <c r="I12" s="2">
        <f>IFERROR(__xludf.DUMMYFUNCTION("""COMPUTED_VALUE"""),0.5852894147540798)</f>
        <v>0.5852894148</v>
      </c>
      <c r="J12" s="2">
        <f>IFERROR(__xludf.DUMMYFUNCTION("""COMPUTED_VALUE"""),0.09386311341649525)</f>
        <v>0.09386311342</v>
      </c>
      <c r="K12" s="2">
        <f>IFERROR(__xludf.DUMMYFUNCTION("""COMPUTED_VALUE"""),0.3457458387231646)</f>
        <v>0.3457458387</v>
      </c>
      <c r="L12" s="2">
        <f>IFERROR(__xludf.DUMMYFUNCTION("""COMPUTED_VALUE"""),0.0)</f>
        <v>0</v>
      </c>
      <c r="M12" s="2">
        <f>IFERROR(__xludf.DUMMYFUNCTION("""COMPUTED_VALUE"""),0.18258477493038808)</f>
        <v>0.1825847749</v>
      </c>
      <c r="N12" s="2">
        <f>IFERROR(__xludf.DUMMYFUNCTION("""COMPUTED_VALUE"""),0.04722969675352744)</f>
        <v>0.04722969675</v>
      </c>
      <c r="O12" s="2">
        <f>IFERROR(__xludf.DUMMYFUNCTION("""COMPUTED_VALUE"""),0.7750152911979067)</f>
        <v>0.7750152912</v>
      </c>
      <c r="P12" s="2">
        <f>IFERROR(__xludf.DUMMYFUNCTION("""COMPUTED_VALUE"""),0.39649903938800063)</f>
        <v>0.3964990394</v>
      </c>
      <c r="Q12" s="2">
        <f>IFERROR(__xludf.DUMMYFUNCTION("""COMPUTED_VALUE"""),0.0)</f>
        <v>0</v>
      </c>
      <c r="R12" s="2">
        <f>IFERROR(__xludf.DUMMYFUNCTION("""COMPUTED_VALUE"""),0.0)</f>
        <v>0</v>
      </c>
      <c r="S12" s="2">
        <f>IFERROR(__xludf.DUMMYFUNCTION("""COMPUTED_VALUE"""),0.09386311341649525)</f>
        <v>0.09386311342</v>
      </c>
      <c r="T12" s="2">
        <f>IFERROR(__xludf.DUMMYFUNCTION("""COMPUTED_VALUE"""),0.0)</f>
        <v>0</v>
      </c>
      <c r="U12" s="2">
        <f>IFERROR(__xludf.DUMMYFUNCTION("""COMPUTED_VALUE"""),0.18258477493038808)</f>
        <v>0.1825847749</v>
      </c>
      <c r="V12" s="2">
        <f>IFERROR(__xludf.DUMMYFUNCTION("""COMPUTED_VALUE"""),0.0)</f>
        <v>0</v>
      </c>
      <c r="W12" s="2">
        <f>IFERROR(__xludf.DUMMYFUNCTION("""COMPUTED_VALUE"""),0.0)</f>
        <v>0</v>
      </c>
      <c r="X12" s="2">
        <f>IFERROR(__xludf.DUMMYFUNCTION("""COMPUTED_VALUE"""),0.6057031411076627)</f>
        <v>0.6057031411</v>
      </c>
      <c r="Y12" s="2">
        <f>IFERROR(__xludf.DUMMYFUNCTION("""COMPUTED_VALUE"""),0.0)</f>
        <v>0</v>
      </c>
      <c r="Z12" s="2">
        <f>IFERROR(__xludf.DUMMYFUNCTION("""COMPUTED_VALUE"""),0.0)</f>
        <v>0</v>
      </c>
      <c r="AA12" s="2">
        <f>IFERROR(__xludf.DUMMYFUNCTION("""COMPUTED_VALUE"""),0.0)</f>
        <v>0</v>
      </c>
      <c r="AB12" s="2">
        <f>IFERROR(__xludf.DUMMYFUNCTION("""COMPUTED_VALUE"""),0.0)</f>
        <v>0</v>
      </c>
      <c r="AC12" s="2">
        <f>IFERROR(__xludf.DUMMYFUNCTION("""COMPUTED_VALUE"""),0.0)</f>
        <v>0</v>
      </c>
      <c r="AD12" s="2">
        <f>IFERROR(__xludf.DUMMYFUNCTION("""COMPUTED_VALUE"""),0.0)</f>
        <v>0</v>
      </c>
      <c r="AE12" s="2">
        <f>IFERROR(__xludf.DUMMYFUNCTION("""COMPUTED_VALUE"""),0.0)</f>
        <v>0</v>
      </c>
      <c r="AF12" s="2">
        <f>IFERROR(__xludf.DUMMYFUNCTION("""COMPUTED_VALUE"""),0.0)</f>
        <v>0</v>
      </c>
      <c r="AG12" s="2">
        <f>IFERROR(__xludf.DUMMYFUNCTION("""COMPUTED_VALUE"""),0.39649903938800063)</f>
        <v>0.3964990394</v>
      </c>
      <c r="AH12" s="2">
        <f>IFERROR(__xludf.DUMMYFUNCTION("""COMPUTED_VALUE"""),0.0)</f>
        <v>0</v>
      </c>
      <c r="AI12" s="2">
        <f>IFERROR(__xludf.DUMMYFUNCTION("""COMPUTED_VALUE"""),0.19535867963105502)</f>
        <v>0.1953586796</v>
      </c>
      <c r="AJ12" s="2">
        <f>IFERROR(__xludf.DUMMYFUNCTION("""COMPUTED_VALUE"""),0.4547212042413025)</f>
        <v>0.4547212042</v>
      </c>
      <c r="AK12" s="2">
        <f>IFERROR(__xludf.DUMMYFUNCTION("""COMPUTED_VALUE"""),0.1564180342256428)</f>
        <v>0.1564180342</v>
      </c>
      <c r="AL12" s="2">
        <f>IFERROR(__xludf.DUMMYFUNCTION("""COMPUTED_VALUE"""),0.4109854626636995)</f>
        <v>0.4109854627</v>
      </c>
      <c r="AM12" s="2">
        <f>IFERROR(__xludf.DUMMYFUNCTION("""COMPUTED_VALUE"""),0.10842833818163213)</f>
        <v>0.1084283382</v>
      </c>
    </row>
    <row r="13">
      <c r="A13" s="1" t="str">
        <f>IFERROR(__xludf.DUMMYFUNCTION("""COMPUTED_VALUE"""),"Liverpool")</f>
        <v>Liverpool</v>
      </c>
      <c r="B13" s="2">
        <f>IFERROR(__xludf.DUMMYFUNCTION("""COMPUTED_VALUE"""),0.8646647167633813)</f>
        <v>0.8646647168</v>
      </c>
      <c r="C13" s="2">
        <f>IFERROR(__xludf.DUMMYFUNCTION("""COMPUTED_VALUE"""),0.8646647167633813)</f>
        <v>0.8646647168</v>
      </c>
      <c r="D13" s="2">
        <f>IFERROR(__xludf.DUMMYFUNCTION("""COMPUTED_VALUE"""),0.9502129316203457)</f>
        <v>0.9502129316</v>
      </c>
      <c r="E13" s="2">
        <f>IFERROR(__xludf.DUMMYFUNCTION("""COMPUTED_VALUE"""),0.0)</f>
        <v>0</v>
      </c>
      <c r="F13" s="2">
        <f>IFERROR(__xludf.DUMMYFUNCTION("""COMPUTED_VALUE"""),0.9502129316203457)</f>
        <v>0.9502129316</v>
      </c>
      <c r="G13" s="2">
        <f>IFERROR(__xludf.DUMMYFUNCTION("""COMPUTED_VALUE"""),0.6057031411076627)</f>
        <v>0.6057031411</v>
      </c>
      <c r="H13" s="2">
        <f>IFERROR(__xludf.DUMMYFUNCTION("""COMPUTED_VALUE"""),0.6321205588285577)</f>
        <v>0.6321205588</v>
      </c>
      <c r="I13" s="2">
        <f>IFERROR(__xludf.DUMMYFUNCTION("""COMPUTED_VALUE"""),0.6057031411076627)</f>
        <v>0.6057031411</v>
      </c>
      <c r="J13" s="2">
        <f>IFERROR(__xludf.DUMMYFUNCTION("""COMPUTED_VALUE"""),0.39649903938800063)</f>
        <v>0.3964990394</v>
      </c>
      <c r="K13" s="2">
        <f>IFERROR(__xludf.DUMMYFUNCTION("""COMPUTED_VALUE"""),0.6057031411076627)</f>
        <v>0.6057031411</v>
      </c>
      <c r="L13" s="2">
        <f>IFERROR(__xludf.DUMMYFUNCTION("""COMPUTED_VALUE"""),0.8646647167633813)</f>
        <v>0.8646647168</v>
      </c>
      <c r="M13" s="2">
        <f>IFERROR(__xludf.DUMMYFUNCTION("""COMPUTED_VALUE"""),0.5852894147540798)</f>
        <v>0.5852894148</v>
      </c>
      <c r="N13" s="2">
        <f>IFERROR(__xludf.DUMMYFUNCTION("""COMPUTED_VALUE"""),0.8646647167633813)</f>
        <v>0.8646647168</v>
      </c>
      <c r="O13" s="2">
        <f>IFERROR(__xludf.DUMMYFUNCTION("""COMPUTED_VALUE"""),0.41667128366830125)</f>
        <v>0.4166712837</v>
      </c>
      <c r="P13" s="2">
        <f>IFERROR(__xludf.DUMMYFUNCTION("""COMPUTED_VALUE"""),0.39649903938800063)</f>
        <v>0.3964990394</v>
      </c>
      <c r="Q13" s="2">
        <f>IFERROR(__xludf.DUMMYFUNCTION("""COMPUTED_VALUE"""),0.39649903938800063)</f>
        <v>0.3964990394</v>
      </c>
      <c r="R13" s="2">
        <f>IFERROR(__xludf.DUMMYFUNCTION("""COMPUTED_VALUE"""),0.7996555337180433)</f>
        <v>0.7996555337</v>
      </c>
      <c r="S13" s="2">
        <f>IFERROR(__xludf.DUMMYFUNCTION("""COMPUTED_VALUE"""),0.7750152911979067)</f>
        <v>0.7750152912</v>
      </c>
      <c r="T13" s="2">
        <f>IFERROR(__xludf.DUMMYFUNCTION("""COMPUTED_VALUE"""),0.9932619719084098)</f>
        <v>0.9932619719</v>
      </c>
      <c r="U13" s="2">
        <f>IFERROR(__xludf.DUMMYFUNCTION("""COMPUTED_VALUE"""),0.39649903938800063)</f>
        <v>0.3964990394</v>
      </c>
      <c r="V13" s="2">
        <f>IFERROR(__xludf.DUMMYFUNCTION("""COMPUTED_VALUE"""),0.3457458387231646)</f>
        <v>0.3457458387</v>
      </c>
      <c r="W13" s="2">
        <f>IFERROR(__xludf.DUMMYFUNCTION("""COMPUTED_VALUE"""),0.8646647167633813)</f>
        <v>0.8646647168</v>
      </c>
      <c r="X13" s="2">
        <f>IFERROR(__xludf.DUMMYFUNCTION("""COMPUTED_VALUE"""),0.876618550222119)</f>
        <v>0.8766185502</v>
      </c>
      <c r="Y13" s="2">
        <f>IFERROR(__xludf.DUMMYFUNCTION("""COMPUTED_VALUE"""),0.8646647167633813)</f>
        <v>0.8646647168</v>
      </c>
      <c r="Z13" s="2">
        <f>IFERROR(__xludf.DUMMYFUNCTION("""COMPUTED_VALUE"""),0.6057031411076627)</f>
        <v>0.6057031411</v>
      </c>
      <c r="AA13" s="2">
        <f>IFERROR(__xludf.DUMMYFUNCTION("""COMPUTED_VALUE"""),0.8646647167633813)</f>
        <v>0.8646647168</v>
      </c>
      <c r="AB13" s="2">
        <f>IFERROR(__xludf.DUMMYFUNCTION("""COMPUTED_VALUE"""),0.8646647167633813)</f>
        <v>0.8646647168</v>
      </c>
      <c r="AC13" s="2">
        <f>IFERROR(__xludf.DUMMYFUNCTION("""COMPUTED_VALUE"""),0.7750152911979067)</f>
        <v>0.7750152912</v>
      </c>
      <c r="AD13" s="2">
        <f>IFERROR(__xludf.DUMMYFUNCTION("""COMPUTED_VALUE"""),0.39649903938800063)</f>
        <v>0.3964990394</v>
      </c>
      <c r="AE13" s="2">
        <f>IFERROR(__xludf.DUMMYFUNCTION("""COMPUTED_VALUE"""),0.6321205588285577)</f>
        <v>0.6321205588</v>
      </c>
      <c r="AF13" s="2">
        <f>IFERROR(__xludf.DUMMYFUNCTION("""COMPUTED_VALUE"""),0.24698869937222218)</f>
        <v>0.2469886994</v>
      </c>
      <c r="AG13" s="2">
        <f>IFERROR(__xludf.DUMMYFUNCTION("""COMPUTED_VALUE"""),0.6057031411076627)</f>
        <v>0.6057031411</v>
      </c>
      <c r="AH13" s="2">
        <f>IFERROR(__xludf.DUMMYFUNCTION("""COMPUTED_VALUE"""),0.6321205588285577)</f>
        <v>0.6321205588</v>
      </c>
      <c r="AI13" s="2">
        <f>IFERROR(__xludf.DUMMYFUNCTION("""COMPUTED_VALUE"""),0.7137838246715345)</f>
        <v>0.7137838247</v>
      </c>
      <c r="AJ13" s="2">
        <f>IFERROR(__xludf.DUMMYFUNCTION("""COMPUTED_VALUE"""),0.46028827187009175)</f>
        <v>0.4602882719</v>
      </c>
      <c r="AK13" s="2">
        <f>IFERROR(__xludf.DUMMYFUNCTION("""COMPUTED_VALUE"""),0.3939697230420229)</f>
        <v>0.393969723</v>
      </c>
      <c r="AL13" s="2">
        <f>IFERROR(__xludf.DUMMYFUNCTION("""COMPUTED_VALUE"""),0.5375741432244103)</f>
        <v>0.5375741432</v>
      </c>
      <c r="AM13" s="2">
        <f>IFERROR(__xludf.DUMMYFUNCTION("""COMPUTED_VALUE"""),0.6982717589735481)</f>
        <v>0.698271759</v>
      </c>
    </row>
    <row r="14">
      <c r="A14" s="1" t="str">
        <f>IFERROR(__xludf.DUMMYFUNCTION("""COMPUTED_VALUE"""),"Man City")</f>
        <v>Man City</v>
      </c>
      <c r="B14" s="2">
        <f>IFERROR(__xludf.DUMMYFUNCTION("""COMPUTED_VALUE"""),0.8646647167633813)</f>
        <v>0.8646647168</v>
      </c>
      <c r="C14" s="2">
        <f>IFERROR(__xludf.DUMMYFUNCTION("""COMPUTED_VALUE"""),0.876618550222119)</f>
        <v>0.8766185502</v>
      </c>
      <c r="D14" s="2">
        <f>IFERROR(__xludf.DUMMYFUNCTION("""COMPUTED_VALUE"""),0.7750152911979067)</f>
        <v>0.7750152912</v>
      </c>
      <c r="E14" s="2">
        <f>IFERROR(__xludf.DUMMYFUNCTION("""COMPUTED_VALUE"""),0.6057031411076627)</f>
        <v>0.6057031411</v>
      </c>
      <c r="F14" s="2">
        <f>IFERROR(__xludf.DUMMYFUNCTION("""COMPUTED_VALUE"""),0.39649903938800063)</f>
        <v>0.3964990394</v>
      </c>
      <c r="G14" s="2">
        <f>IFERROR(__xludf.DUMMYFUNCTION("""COMPUTED_VALUE"""),0.3457458387231646)</f>
        <v>0.3457458387</v>
      </c>
      <c r="H14" s="2">
        <f>IFERROR(__xludf.DUMMYFUNCTION("""COMPUTED_VALUE"""),0.5852894147540798)</f>
        <v>0.5852894148</v>
      </c>
      <c r="I14" s="2">
        <f>IFERROR(__xludf.DUMMYFUNCTION("""COMPUTED_VALUE"""),0.6057031411076627)</f>
        <v>0.6057031411</v>
      </c>
      <c r="J14" s="2">
        <f>IFERROR(__xludf.DUMMYFUNCTION("""COMPUTED_VALUE"""),0.6321205588285577)</f>
        <v>0.6321205588</v>
      </c>
      <c r="K14" s="2">
        <f>IFERROR(__xludf.DUMMYFUNCTION("""COMPUTED_VALUE"""),0.18258477493038808)</f>
        <v>0.1825847749</v>
      </c>
      <c r="L14" s="2">
        <f>IFERROR(__xludf.DUMMYFUNCTION("""COMPUTED_VALUE"""),0.18258477493038808)</f>
        <v>0.1825847749</v>
      </c>
      <c r="M14" s="2">
        <f>IFERROR(__xludf.DUMMYFUNCTION("""COMPUTED_VALUE"""),0.0)</f>
        <v>0</v>
      </c>
      <c r="N14" s="2">
        <f>IFERROR(__xludf.DUMMYFUNCTION("""COMPUTED_VALUE"""),0.0)</f>
        <v>0</v>
      </c>
      <c r="O14" s="2">
        <f>IFERROR(__xludf.DUMMYFUNCTION("""COMPUTED_VALUE"""),0.9502129316203457)</f>
        <v>0.9502129316</v>
      </c>
      <c r="P14" s="2">
        <f>IFERROR(__xludf.DUMMYFUNCTION("""COMPUTED_VALUE"""),0.39649903938800063)</f>
        <v>0.3964990394</v>
      </c>
      <c r="Q14" s="2">
        <f>IFERROR(__xludf.DUMMYFUNCTION("""COMPUTED_VALUE"""),0.18258477493038808)</f>
        <v>0.1825847749</v>
      </c>
      <c r="R14" s="2">
        <f>IFERROR(__xludf.DUMMYFUNCTION("""COMPUTED_VALUE"""),0.18258477493038808)</f>
        <v>0.1825847749</v>
      </c>
      <c r="S14" s="2">
        <f>IFERROR(__xludf.DUMMYFUNCTION("""COMPUTED_VALUE"""),0.3457458387231646)</f>
        <v>0.3457458387</v>
      </c>
      <c r="T14" s="2">
        <f>IFERROR(__xludf.DUMMYFUNCTION("""COMPUTED_VALUE"""),0.8646647167633813)</f>
        <v>0.8646647168</v>
      </c>
      <c r="U14" s="2">
        <f>IFERROR(__xludf.DUMMYFUNCTION("""COMPUTED_VALUE"""),0.876618550222119)</f>
        <v>0.8766185502</v>
      </c>
      <c r="V14" s="2">
        <f>IFERROR(__xludf.DUMMYFUNCTION("""COMPUTED_VALUE"""),0.39649903938800063)</f>
        <v>0.3964990394</v>
      </c>
      <c r="W14" s="2">
        <f>IFERROR(__xludf.DUMMYFUNCTION("""COMPUTED_VALUE"""),0.9975197927163438)</f>
        <v>0.9975197927</v>
      </c>
      <c r="X14" s="2">
        <f>IFERROR(__xludf.DUMMYFUNCTION("""COMPUTED_VALUE"""),0.7750152911979067)</f>
        <v>0.7750152912</v>
      </c>
      <c r="Y14" s="2">
        <f>IFERROR(__xludf.DUMMYFUNCTION("""COMPUTED_VALUE"""),0.02334994522935559)</f>
        <v>0.02334994523</v>
      </c>
      <c r="Z14" s="2">
        <f>IFERROR(__xludf.DUMMYFUNCTION("""COMPUTED_VALUE"""),0.9816843591882072)</f>
        <v>0.9816843592</v>
      </c>
      <c r="AA14" s="2">
        <f>IFERROR(__xludf.DUMMYFUNCTION("""COMPUTED_VALUE"""),0.0)</f>
        <v>0</v>
      </c>
      <c r="AB14" s="2">
        <f>IFERROR(__xludf.DUMMYFUNCTION("""COMPUTED_VALUE"""),0.6321205588285577)</f>
        <v>0.6321205588</v>
      </c>
      <c r="AC14" s="2">
        <f>IFERROR(__xludf.DUMMYFUNCTION("""COMPUTED_VALUE"""),0.0)</f>
        <v>0</v>
      </c>
      <c r="AD14" s="2">
        <f>IFERROR(__xludf.DUMMYFUNCTION("""COMPUTED_VALUE"""),0.39649903938800063)</f>
        <v>0.3964990394</v>
      </c>
      <c r="AE14" s="2">
        <f>IFERROR(__xludf.DUMMYFUNCTION("""COMPUTED_VALUE"""),0.8646647167633813)</f>
        <v>0.8646647168</v>
      </c>
      <c r="AF14" s="2">
        <f>IFERROR(__xludf.DUMMYFUNCTION("""COMPUTED_VALUE"""),0.0)</f>
        <v>0</v>
      </c>
      <c r="AG14" s="2">
        <f>IFERROR(__xludf.DUMMYFUNCTION("""COMPUTED_VALUE"""),0.8314310053773641)</f>
        <v>0.8314310054</v>
      </c>
      <c r="AH14" s="2">
        <f>IFERROR(__xludf.DUMMYFUNCTION("""COMPUTED_VALUE"""),0.8646647167633813)</f>
        <v>0.8646647168</v>
      </c>
      <c r="AI14" s="2">
        <f>IFERROR(__xludf.DUMMYFUNCTION("""COMPUTED_VALUE"""),0.6057031411076627)</f>
        <v>0.6057031411</v>
      </c>
      <c r="AJ14" s="2">
        <f>IFERROR(__xludf.DUMMYFUNCTION("""COMPUTED_VALUE"""),0.7539751146507984)</f>
        <v>0.7539751147</v>
      </c>
      <c r="AK14" s="2">
        <f>IFERROR(__xludf.DUMMYFUNCTION("""COMPUTED_VALUE"""),0.7369966567744124)</f>
        <v>0.7369966568</v>
      </c>
      <c r="AL14" s="2">
        <f>IFERROR(__xludf.DUMMYFUNCTION("""COMPUTED_VALUE"""),0.622940302696964)</f>
        <v>0.6229403027</v>
      </c>
      <c r="AM14" s="2">
        <f>IFERROR(__xludf.DUMMYFUNCTION("""COMPUTED_VALUE"""),0.48814961319828537)</f>
        <v>0.4881496132</v>
      </c>
    </row>
    <row r="15">
      <c r="A15" s="1" t="str">
        <f>IFERROR(__xludf.DUMMYFUNCTION("""COMPUTED_VALUE"""),"Man Utd")</f>
        <v>Man Utd</v>
      </c>
      <c r="B15" s="2">
        <f>IFERROR(__xludf.DUMMYFUNCTION("""COMPUTED_VALUE"""),0.6321205588285577)</f>
        <v>0.6321205588</v>
      </c>
      <c r="C15" s="2">
        <f>IFERROR(__xludf.DUMMYFUNCTION("""COMPUTED_VALUE"""),0.18258477493038808)</f>
        <v>0.1825847749</v>
      </c>
      <c r="D15" s="2">
        <f>IFERROR(__xludf.DUMMYFUNCTION("""COMPUTED_VALUE"""),0.0)</f>
        <v>0</v>
      </c>
      <c r="E15" s="2">
        <f>IFERROR(__xludf.DUMMYFUNCTION("""COMPUTED_VALUE"""),0.9502129316203457)</f>
        <v>0.9502129316</v>
      </c>
      <c r="F15" s="2">
        <f>IFERROR(__xludf.DUMMYFUNCTION("""COMPUTED_VALUE"""),0.0)</f>
        <v>0</v>
      </c>
      <c r="G15" s="2">
        <f>IFERROR(__xludf.DUMMYFUNCTION("""COMPUTED_VALUE"""),0.0)</f>
        <v>0</v>
      </c>
      <c r="H15" s="2">
        <f>IFERROR(__xludf.DUMMYFUNCTION("""COMPUTED_VALUE"""),0.0)</f>
        <v>0</v>
      </c>
      <c r="I15" s="2">
        <f>IFERROR(__xludf.DUMMYFUNCTION("""COMPUTED_VALUE"""),0.6057031411076627)</f>
        <v>0.6057031411</v>
      </c>
      <c r="J15" s="2">
        <f>IFERROR(__xludf.DUMMYFUNCTION("""COMPUTED_VALUE"""),0.18258477493038808)</f>
        <v>0.1825847749</v>
      </c>
      <c r="K15" s="2">
        <f>IFERROR(__xludf.DUMMYFUNCTION("""COMPUTED_VALUE"""),0.3457458387231646)</f>
        <v>0.3457458387</v>
      </c>
      <c r="L15" s="2">
        <f>IFERROR(__xludf.DUMMYFUNCTION("""COMPUTED_VALUE"""),0.9502129316203457)</f>
        <v>0.9502129316</v>
      </c>
      <c r="M15" s="2">
        <f>IFERROR(__xludf.DUMMYFUNCTION("""COMPUTED_VALUE"""),0.3457458387231646)</f>
        <v>0.3457458387</v>
      </c>
      <c r="N15" s="2">
        <f>IFERROR(__xludf.DUMMYFUNCTION("""COMPUTED_VALUE"""),0.9816843591882072)</f>
        <v>0.9816843592</v>
      </c>
      <c r="O15" s="2">
        <f>IFERROR(__xludf.DUMMYFUNCTION("""COMPUTED_VALUE"""),0.0)</f>
        <v>0</v>
      </c>
      <c r="P15" s="2">
        <f>IFERROR(__xludf.DUMMYFUNCTION("""COMPUTED_VALUE"""),0.24698869937222218)</f>
        <v>0.2469886994</v>
      </c>
      <c r="Q15" s="2">
        <f>IFERROR(__xludf.DUMMYFUNCTION("""COMPUTED_VALUE"""),0.6057031411076627)</f>
        <v>0.6057031411</v>
      </c>
      <c r="R15" s="2">
        <f>IFERROR(__xludf.DUMMYFUNCTION("""COMPUTED_VALUE"""),0.0)</f>
        <v>0</v>
      </c>
      <c r="S15" s="2">
        <f>IFERROR(__xludf.DUMMYFUNCTION("""COMPUTED_VALUE"""),0.0)</f>
        <v>0</v>
      </c>
      <c r="T15" s="2">
        <f>IFERROR(__xludf.DUMMYFUNCTION("""COMPUTED_VALUE"""),0.0)</f>
        <v>0</v>
      </c>
      <c r="U15" s="2">
        <f>IFERROR(__xludf.DUMMYFUNCTION("""COMPUTED_VALUE"""),0.39649903938800063)</f>
        <v>0.3964990394</v>
      </c>
      <c r="V15" s="2">
        <f>IFERROR(__xludf.DUMMYFUNCTION("""COMPUTED_VALUE"""),0.7750152911979067)</f>
        <v>0.7750152912</v>
      </c>
      <c r="W15" s="2">
        <f>IFERROR(__xludf.DUMMYFUNCTION("""COMPUTED_VALUE"""),0.09386311341649525)</f>
        <v>0.09386311342</v>
      </c>
      <c r="X15" s="2">
        <f>IFERROR(__xludf.DUMMYFUNCTION("""COMPUTED_VALUE"""),0.6321205588285577)</f>
        <v>0.6321205588</v>
      </c>
      <c r="Y15" s="2">
        <f>IFERROR(__xludf.DUMMYFUNCTION("""COMPUTED_VALUE"""),0.0)</f>
        <v>0</v>
      </c>
      <c r="Z15" s="2">
        <f>IFERROR(__xludf.DUMMYFUNCTION("""COMPUTED_VALUE"""),0.0)</f>
        <v>0</v>
      </c>
      <c r="AA15" s="2">
        <f>IFERROR(__xludf.DUMMYFUNCTION("""COMPUTED_VALUE"""),0.39649903938800063)</f>
        <v>0.3964990394</v>
      </c>
      <c r="AB15" s="2">
        <f>IFERROR(__xludf.DUMMYFUNCTION("""COMPUTED_VALUE"""),0.5852894147540798)</f>
        <v>0.5852894148</v>
      </c>
      <c r="AC15" s="2">
        <f>IFERROR(__xludf.DUMMYFUNCTION("""COMPUTED_VALUE"""),0.3457458387231646)</f>
        <v>0.3457458387</v>
      </c>
      <c r="AD15" s="2">
        <f>IFERROR(__xludf.DUMMYFUNCTION("""COMPUTED_VALUE"""),0.9502129316203457)</f>
        <v>0.9502129316</v>
      </c>
      <c r="AE15" s="2">
        <f>IFERROR(__xludf.DUMMYFUNCTION("""COMPUTED_VALUE"""),0.0)</f>
        <v>0</v>
      </c>
      <c r="AF15" s="2">
        <f>IFERROR(__xludf.DUMMYFUNCTION("""COMPUTED_VALUE"""),0.0)</f>
        <v>0</v>
      </c>
      <c r="AG15" s="2">
        <f>IFERROR(__xludf.DUMMYFUNCTION("""COMPUTED_VALUE"""),0.04722969675352744)</f>
        <v>0.04722969675</v>
      </c>
      <c r="AH15" s="2">
        <f>IFERROR(__xludf.DUMMYFUNCTION("""COMPUTED_VALUE"""),0.0)</f>
        <v>0</v>
      </c>
      <c r="AI15" s="2">
        <f>IFERROR(__xludf.DUMMYFUNCTION("""COMPUTED_VALUE"""),0.25347704715198094)</f>
        <v>0.2534770472</v>
      </c>
      <c r="AJ15" s="2">
        <f>IFERROR(__xludf.DUMMYFUNCTION("""COMPUTED_VALUE"""),0.2987563712979575)</f>
        <v>0.2987563713</v>
      </c>
      <c r="AK15" s="2">
        <f>IFERROR(__xludf.DUMMYFUNCTION("""COMPUTED_VALUE"""),0.510252213944026)</f>
        <v>0.5102522139</v>
      </c>
      <c r="AL15" s="2">
        <f>IFERROR(__xludf.DUMMYFUNCTION("""COMPUTED_VALUE"""),0.2151975329003728)</f>
        <v>0.2151975329</v>
      </c>
      <c r="AM15" s="2">
        <f>IFERROR(__xludf.DUMMYFUNCTION("""COMPUTED_VALUE"""),0.41494835921395057)</f>
        <v>0.4149483592</v>
      </c>
    </row>
    <row r="16">
      <c r="A16" s="1" t="str">
        <f>IFERROR(__xludf.DUMMYFUNCTION("""COMPUTED_VALUE"""),"Newcastle")</f>
        <v>Newcastle</v>
      </c>
      <c r="B16" s="2">
        <f>IFERROR(__xludf.DUMMYFUNCTION("""COMPUTED_VALUE"""),0.6321205588285577)</f>
        <v>0.6321205588</v>
      </c>
      <c r="C16" s="2">
        <f>IFERROR(__xludf.DUMMYFUNCTION("""COMPUTED_VALUE"""),0.3457458387231646)</f>
        <v>0.3457458387</v>
      </c>
      <c r="D16" s="2">
        <f>IFERROR(__xludf.DUMMYFUNCTION("""COMPUTED_VALUE"""),0.6057031411076627)</f>
        <v>0.6057031411</v>
      </c>
      <c r="E16" s="2">
        <f>IFERROR(__xludf.DUMMYFUNCTION("""COMPUTED_VALUE"""),0.6057031411076627)</f>
        <v>0.6057031411</v>
      </c>
      <c r="F16" s="2">
        <f>IFERROR(__xludf.DUMMYFUNCTION("""COMPUTED_VALUE"""),0.09386311341649525)</f>
        <v>0.09386311342</v>
      </c>
      <c r="G16" s="2">
        <f>IFERROR(__xludf.DUMMYFUNCTION("""COMPUTED_VALUE"""),0.3457458387231646)</f>
        <v>0.3457458387</v>
      </c>
      <c r="H16" s="2">
        <f>IFERROR(__xludf.DUMMYFUNCTION("""COMPUTED_VALUE"""),0.0)</f>
        <v>0</v>
      </c>
      <c r="I16" s="2">
        <f>IFERROR(__xludf.DUMMYFUNCTION("""COMPUTED_VALUE"""),0.0)</f>
        <v>0</v>
      </c>
      <c r="J16" s="2">
        <f>IFERROR(__xludf.DUMMYFUNCTION("""COMPUTED_VALUE"""),0.18258477493038808)</f>
        <v>0.1825847749</v>
      </c>
      <c r="K16" s="2">
        <f>IFERROR(__xludf.DUMMYFUNCTION("""COMPUTED_VALUE"""),0.6321205588285577)</f>
        <v>0.6321205588</v>
      </c>
      <c r="L16" s="2">
        <f>IFERROR(__xludf.DUMMYFUNCTION("""COMPUTED_VALUE"""),0.7750152911979067)</f>
        <v>0.7750152912</v>
      </c>
      <c r="M16" s="2">
        <f>IFERROR(__xludf.DUMMYFUNCTION("""COMPUTED_VALUE"""),0.0)</f>
        <v>0</v>
      </c>
      <c r="N16" s="2">
        <f>IFERROR(__xludf.DUMMYFUNCTION("""COMPUTED_VALUE"""),0.3457458387231646)</f>
        <v>0.3457458387</v>
      </c>
      <c r="O16" s="2">
        <f>IFERROR(__xludf.DUMMYFUNCTION("""COMPUTED_VALUE"""),0.41667128366830125)</f>
        <v>0.4166712837</v>
      </c>
      <c r="P16" s="2">
        <f>IFERROR(__xludf.DUMMYFUNCTION("""COMPUTED_VALUE"""),0.1480636430575833)</f>
        <v>0.1480636431</v>
      </c>
      <c r="Q16" s="2">
        <f>IFERROR(__xludf.DUMMYFUNCTION("""COMPUTED_VALUE"""),0.9816843591882072)</f>
        <v>0.9816843592</v>
      </c>
      <c r="R16" s="2">
        <f>IFERROR(__xludf.DUMMYFUNCTION("""COMPUTED_VALUE"""),0.9816843591882072)</f>
        <v>0.9816843592</v>
      </c>
      <c r="S16" s="2">
        <f>IFERROR(__xludf.DUMMYFUNCTION("""COMPUTED_VALUE"""),0.9502129316203457)</f>
        <v>0.9502129316</v>
      </c>
      <c r="T16" s="2">
        <f>IFERROR(__xludf.DUMMYFUNCTION("""COMPUTED_VALUE"""),0.8646647167633813)</f>
        <v>0.8646647168</v>
      </c>
      <c r="U16" s="2">
        <f>IFERROR(__xludf.DUMMYFUNCTION("""COMPUTED_VALUE"""),0.6057031411076627)</f>
        <v>0.6057031411</v>
      </c>
      <c r="V16" s="2">
        <f>IFERROR(__xludf.DUMMYFUNCTION("""COMPUTED_VALUE"""),0.9502129316203457)</f>
        <v>0.9502129316</v>
      </c>
      <c r="W16" s="2">
        <f>IFERROR(__xludf.DUMMYFUNCTION("""COMPUTED_VALUE"""),0.04722969675352744)</f>
        <v>0.04722969675</v>
      </c>
      <c r="X16" s="2">
        <f>IFERROR(__xludf.DUMMYFUNCTION("""COMPUTED_VALUE"""),0.7750152911979067)</f>
        <v>0.7750152912</v>
      </c>
      <c r="Y16" s="2">
        <f>IFERROR(__xludf.DUMMYFUNCTION("""COMPUTED_VALUE"""),0.18258477493038808)</f>
        <v>0.1825847749</v>
      </c>
      <c r="Z16" s="2">
        <f>IFERROR(__xludf.DUMMYFUNCTION("""COMPUTED_VALUE"""),0.0)</f>
        <v>0</v>
      </c>
      <c r="AA16" s="2">
        <f>IFERROR(__xludf.DUMMYFUNCTION("""COMPUTED_VALUE"""),0.57309244161627)</f>
        <v>0.5730924416</v>
      </c>
      <c r="AB16" s="2">
        <f>IFERROR(__xludf.DUMMYFUNCTION("""COMPUTED_VALUE"""),0.0)</f>
        <v>0</v>
      </c>
      <c r="AC16" s="2">
        <f>IFERROR(__xludf.DUMMYFUNCTION("""COMPUTED_VALUE"""),0.6321205588285577)</f>
        <v>0.6321205588</v>
      </c>
      <c r="AD16" s="2">
        <f>IFERROR(__xludf.DUMMYFUNCTION("""COMPUTED_VALUE"""),0.9932619719084098)</f>
        <v>0.9932619719</v>
      </c>
      <c r="AE16" s="2">
        <f>IFERROR(__xludf.DUMMYFUNCTION("""COMPUTED_VALUE"""),0.6057031411076627)</f>
        <v>0.6057031411</v>
      </c>
      <c r="AF16" s="2">
        <f>IFERROR(__xludf.DUMMYFUNCTION("""COMPUTED_VALUE"""),0.9502129316203457)</f>
        <v>0.9502129316</v>
      </c>
      <c r="AG16" s="2">
        <f>IFERROR(__xludf.DUMMYFUNCTION("""COMPUTED_VALUE"""),0.876618550222119)</f>
        <v>0.8766185502</v>
      </c>
      <c r="AH16" s="2">
        <f>IFERROR(__xludf.DUMMYFUNCTION("""COMPUTED_VALUE"""),0.04722969675352744)</f>
        <v>0.04722969675</v>
      </c>
      <c r="AI16" s="2">
        <f>IFERROR(__xludf.DUMMYFUNCTION("""COMPUTED_VALUE"""),0.7423242031749006)</f>
        <v>0.7423242032</v>
      </c>
      <c r="AJ16" s="2">
        <f>IFERROR(__xludf.DUMMYFUNCTION("""COMPUTED_VALUE"""),0.35807367494993403)</f>
        <v>0.3580736749</v>
      </c>
      <c r="AK16" s="2">
        <f>IFERROR(__xludf.DUMMYFUNCTION("""COMPUTED_VALUE"""),0.4529949237083836)</f>
        <v>0.4529949237</v>
      </c>
      <c r="AL16" s="2">
        <f>IFERROR(__xludf.DUMMYFUNCTION("""COMPUTED_VALUE"""),0.14118048812980008)</f>
        <v>0.1411804881</v>
      </c>
      <c r="AM16" s="2">
        <f>IFERROR(__xludf.DUMMYFUNCTION("""COMPUTED_VALUE"""),0.5584631978938057)</f>
        <v>0.5584631979</v>
      </c>
    </row>
    <row r="17">
      <c r="A17" s="1" t="str">
        <f>IFERROR(__xludf.DUMMYFUNCTION("""COMPUTED_VALUE"""),"Nott'm Forest")</f>
        <v>Nott'm Forest</v>
      </c>
      <c r="B17" s="2">
        <f>IFERROR(__xludf.DUMMYFUNCTION("""COMPUTED_VALUE"""),0.3457458387231646)</f>
        <v>0.3457458387</v>
      </c>
      <c r="C17" s="2">
        <f>IFERROR(__xludf.DUMMYFUNCTION("""COMPUTED_VALUE"""),0.6321205588285577)</f>
        <v>0.6321205588</v>
      </c>
      <c r="D17" s="2">
        <f>IFERROR(__xludf.DUMMYFUNCTION("""COMPUTED_VALUE"""),0.3457458387231646)</f>
        <v>0.3457458387</v>
      </c>
      <c r="E17" s="2">
        <f>IFERROR(__xludf.DUMMYFUNCTION("""COMPUTED_VALUE"""),0.6321205588285577)</f>
        <v>0.6321205588</v>
      </c>
      <c r="F17" s="2">
        <f>IFERROR(__xludf.DUMMYFUNCTION("""COMPUTED_VALUE"""),0.39649903938800063)</f>
        <v>0.3964990394</v>
      </c>
      <c r="G17" s="2">
        <f>IFERROR(__xludf.DUMMYFUNCTION("""COMPUTED_VALUE"""),0.0)</f>
        <v>0</v>
      </c>
      <c r="H17" s="2">
        <f>IFERROR(__xludf.DUMMYFUNCTION("""COMPUTED_VALUE"""),0.3457458387231646)</f>
        <v>0.3457458387</v>
      </c>
      <c r="I17" s="2">
        <f>IFERROR(__xludf.DUMMYFUNCTION("""COMPUTED_VALUE"""),0.6321205588285577)</f>
        <v>0.6321205588</v>
      </c>
      <c r="J17" s="2">
        <f>IFERROR(__xludf.DUMMYFUNCTION("""COMPUTED_VALUE"""),0.7750152911979067)</f>
        <v>0.7750152912</v>
      </c>
      <c r="K17" s="2">
        <f>IFERROR(__xludf.DUMMYFUNCTION("""COMPUTED_VALUE"""),0.7750152911979067)</f>
        <v>0.7750152912</v>
      </c>
      <c r="L17" s="2">
        <f>IFERROR(__xludf.DUMMYFUNCTION("""COMPUTED_VALUE"""),0.09386311341649525)</f>
        <v>0.09386311342</v>
      </c>
      <c r="M17" s="2">
        <f>IFERROR(__xludf.DUMMYFUNCTION("""COMPUTED_VALUE"""),0.0)</f>
        <v>0</v>
      </c>
      <c r="N17" s="2">
        <f>IFERROR(__xludf.DUMMYFUNCTION("""COMPUTED_VALUE"""),0.6321205588285577)</f>
        <v>0.6321205588</v>
      </c>
      <c r="O17" s="2">
        <f>IFERROR(__xludf.DUMMYFUNCTION("""COMPUTED_VALUE"""),0.0)</f>
        <v>0</v>
      </c>
      <c r="P17" s="2">
        <f>IFERROR(__xludf.DUMMYFUNCTION("""COMPUTED_VALUE"""),0.5852894147540798)</f>
        <v>0.5852894148</v>
      </c>
      <c r="Q17" s="2">
        <f>IFERROR(__xludf.DUMMYFUNCTION("""COMPUTED_VALUE"""),0.6057031411076627)</f>
        <v>0.6057031411</v>
      </c>
      <c r="R17" s="2">
        <f>IFERROR(__xludf.DUMMYFUNCTION("""COMPUTED_VALUE"""),0.8646647167633813)</f>
        <v>0.8646647168</v>
      </c>
      <c r="S17" s="2">
        <f>IFERROR(__xludf.DUMMYFUNCTION("""COMPUTED_VALUE"""),0.6321205588285577)</f>
        <v>0.6321205588</v>
      </c>
      <c r="T17" s="2">
        <f>IFERROR(__xludf.DUMMYFUNCTION("""COMPUTED_VALUE"""),0.8646647167633813)</f>
        <v>0.8646647168</v>
      </c>
      <c r="U17" s="2">
        <f>IFERROR(__xludf.DUMMYFUNCTION("""COMPUTED_VALUE"""),0.9502129316203457)</f>
        <v>0.9502129316</v>
      </c>
      <c r="V17" s="2">
        <f>IFERROR(__xludf.DUMMYFUNCTION("""COMPUTED_VALUE"""),0.3457458387231646)</f>
        <v>0.3457458387</v>
      </c>
      <c r="W17" s="2">
        <f>IFERROR(__xludf.DUMMYFUNCTION("""COMPUTED_VALUE"""),0.5852894147540798)</f>
        <v>0.5852894148</v>
      </c>
      <c r="X17" s="2">
        <f>IFERROR(__xludf.DUMMYFUNCTION("""COMPUTED_VALUE"""),0.0)</f>
        <v>0</v>
      </c>
      <c r="Y17" s="2">
        <f>IFERROR(__xludf.DUMMYFUNCTION("""COMPUTED_VALUE"""),0.9990736226928346)</f>
        <v>0.9990736227</v>
      </c>
      <c r="Z17" s="2">
        <f>IFERROR(__xludf.DUMMYFUNCTION("""COMPUTED_VALUE"""),0.18258477493038808)</f>
        <v>0.1825847749</v>
      </c>
      <c r="AA17" s="2">
        <f>IFERROR(__xludf.DUMMYFUNCTION("""COMPUTED_VALUE"""),0.2830495172694125)</f>
        <v>0.2830495173</v>
      </c>
      <c r="AB17" s="2">
        <f>IFERROR(__xludf.DUMMYFUNCTION("""COMPUTED_VALUE"""),0.0)</f>
        <v>0</v>
      </c>
      <c r="AC17" s="2">
        <f>IFERROR(__xludf.DUMMYFUNCTION("""COMPUTED_VALUE"""),0.6321205588285577)</f>
        <v>0.6321205588</v>
      </c>
      <c r="AD17" s="2">
        <f>IFERROR(__xludf.DUMMYFUNCTION("""COMPUTED_VALUE"""),0.7299605441282991)</f>
        <v>0.7299605441</v>
      </c>
      <c r="AE17" s="2">
        <f>IFERROR(__xludf.DUMMYFUNCTION("""COMPUTED_VALUE"""),0.6321205588285577)</f>
        <v>0.6321205588</v>
      </c>
      <c r="AF17" s="2">
        <f>IFERROR(__xludf.DUMMYFUNCTION("""COMPUTED_VALUE"""),0.18258477493038808)</f>
        <v>0.1825847749</v>
      </c>
      <c r="AG17" s="2">
        <f>IFERROR(__xludf.DUMMYFUNCTION("""COMPUTED_VALUE"""),0.0)</f>
        <v>0</v>
      </c>
      <c r="AH17" s="2">
        <f>IFERROR(__xludf.DUMMYFUNCTION("""COMPUTED_VALUE"""),0.6057031411076627)</f>
        <v>0.6057031411</v>
      </c>
      <c r="AI17" s="2">
        <f>IFERROR(__xludf.DUMMYFUNCTION("""COMPUTED_VALUE"""),0.41781454437818066)</f>
        <v>0.4178145444</v>
      </c>
      <c r="AJ17" s="2">
        <f>IFERROR(__xludf.DUMMYFUNCTION("""COMPUTED_VALUE"""),0.25778170487810287)</f>
        <v>0.2577817049</v>
      </c>
      <c r="AK17" s="2">
        <f>IFERROR(__xludf.DUMMYFUNCTION("""COMPUTED_VALUE"""),0.6228923145903933)</f>
        <v>0.6228923146</v>
      </c>
      <c r="AL17" s="2">
        <f>IFERROR(__xludf.DUMMYFUNCTION("""COMPUTED_VALUE"""),0.31817505332770696)</f>
        <v>0.3181750533</v>
      </c>
      <c r="AM17" s="2">
        <f>IFERROR(__xludf.DUMMYFUNCTION("""COMPUTED_VALUE"""),0.32684258211780454)</f>
        <v>0.3268425821</v>
      </c>
    </row>
    <row r="18">
      <c r="A18" s="1" t="str">
        <f>IFERROR(__xludf.DUMMYFUNCTION("""COMPUTED_VALUE"""),"Southampton")</f>
        <v>Southampton</v>
      </c>
      <c r="B18" s="2">
        <f>IFERROR(__xludf.DUMMYFUNCTION("""COMPUTED_VALUE"""),0.0)</f>
        <v>0</v>
      </c>
      <c r="C18" s="2">
        <f>IFERROR(__xludf.DUMMYFUNCTION("""COMPUTED_VALUE"""),0.0)</f>
        <v>0</v>
      </c>
      <c r="D18" s="2">
        <f>IFERROR(__xludf.DUMMYFUNCTION("""COMPUTED_VALUE"""),0.09386311341649525)</f>
        <v>0.09386311342</v>
      </c>
      <c r="E18" s="2">
        <f>IFERROR(__xludf.DUMMYFUNCTION("""COMPUTED_VALUE"""),0.0)</f>
        <v>0</v>
      </c>
      <c r="F18" s="2">
        <f>IFERROR(__xludf.DUMMYFUNCTION("""COMPUTED_VALUE"""),0.3457458387231646)</f>
        <v>0.3457458387</v>
      </c>
      <c r="G18" s="2">
        <f>IFERROR(__xludf.DUMMYFUNCTION("""COMPUTED_VALUE"""),0.09386311341649525)</f>
        <v>0.09386311342</v>
      </c>
      <c r="H18" s="2">
        <f>IFERROR(__xludf.DUMMYFUNCTION("""COMPUTED_VALUE"""),0.09386311341649525)</f>
        <v>0.09386311342</v>
      </c>
      <c r="I18" s="2">
        <f>IFERROR(__xludf.DUMMYFUNCTION("""COMPUTED_VALUE"""),0.24698869937222218)</f>
        <v>0.2469886994</v>
      </c>
      <c r="J18" s="2">
        <f>IFERROR(__xludf.DUMMYFUNCTION("""COMPUTED_VALUE"""),0.0)</f>
        <v>0</v>
      </c>
      <c r="K18" s="2">
        <f>IFERROR(__xludf.DUMMYFUNCTION("""COMPUTED_VALUE"""),0.6321205588285577)</f>
        <v>0.6321205588</v>
      </c>
      <c r="L18" s="2">
        <f>IFERROR(__xludf.DUMMYFUNCTION("""COMPUTED_VALUE"""),0.0)</f>
        <v>0</v>
      </c>
      <c r="M18" s="2">
        <f>IFERROR(__xludf.DUMMYFUNCTION("""COMPUTED_VALUE"""),0.24698869937222218)</f>
        <v>0.2469886994</v>
      </c>
      <c r="N18" s="2">
        <f>IFERROR(__xludf.DUMMYFUNCTION("""COMPUTED_VALUE"""),0.3457458387231646)</f>
        <v>0.3457458387</v>
      </c>
      <c r="O18" s="2">
        <f>IFERROR(__xludf.DUMMYFUNCTION("""COMPUTED_VALUE"""),0.9343679696950098)</f>
        <v>0.9343679697</v>
      </c>
      <c r="P18" s="2">
        <f>IFERROR(__xludf.DUMMYFUNCTION("""COMPUTED_VALUE"""),0.0)</f>
        <v>0</v>
      </c>
      <c r="Q18" s="2">
        <f>IFERROR(__xludf.DUMMYFUNCTION("""COMPUTED_VALUE"""),0.0)</f>
        <v>0</v>
      </c>
      <c r="R18" s="2">
        <f>IFERROR(__xludf.DUMMYFUNCTION("""COMPUTED_VALUE"""),0.0)</f>
        <v>0</v>
      </c>
      <c r="S18" s="2">
        <f>IFERROR(__xludf.DUMMYFUNCTION("""COMPUTED_VALUE"""),0.0)</f>
        <v>0</v>
      </c>
      <c r="T18" s="2">
        <f>IFERROR(__xludf.DUMMYFUNCTION("""COMPUTED_VALUE"""),0.18258477493038808)</f>
        <v>0.1825847749</v>
      </c>
      <c r="U18" s="2">
        <f>IFERROR(__xludf.DUMMYFUNCTION("""COMPUTED_VALUE"""),0.0)</f>
        <v>0</v>
      </c>
      <c r="V18" s="2">
        <f>IFERROR(__xludf.DUMMYFUNCTION("""COMPUTED_VALUE"""),0.09386311341649525)</f>
        <v>0.09386311342</v>
      </c>
      <c r="W18" s="2">
        <f>IFERROR(__xludf.DUMMYFUNCTION("""COMPUTED_VALUE"""),0.24698869937222218)</f>
        <v>0.2469886994</v>
      </c>
      <c r="X18" s="2">
        <f>IFERROR(__xludf.DUMMYFUNCTION("""COMPUTED_VALUE"""),0.09386311341649525)</f>
        <v>0.09386311342</v>
      </c>
      <c r="Y18" s="2">
        <f>IFERROR(__xludf.DUMMYFUNCTION("""COMPUTED_VALUE"""),0.6057031411076627)</f>
        <v>0.6057031411</v>
      </c>
      <c r="Z18" s="2">
        <f>IFERROR(__xludf.DUMMYFUNCTION("""COMPUTED_VALUE"""),0.09386311341649525)</f>
        <v>0.09386311342</v>
      </c>
      <c r="AA18" s="2">
        <f>IFERROR(__xludf.DUMMYFUNCTION("""COMPUTED_VALUE"""),0.0)</f>
        <v>0</v>
      </c>
      <c r="AB18" s="2">
        <f>IFERROR(__xludf.DUMMYFUNCTION("""COMPUTED_VALUE"""),0.0)</f>
        <v>0</v>
      </c>
      <c r="AC18" s="2">
        <f>IFERROR(__xludf.DUMMYFUNCTION("""COMPUTED_VALUE"""),0.09386311341649525)</f>
        <v>0.09386311342</v>
      </c>
      <c r="AD18" s="2">
        <f>IFERROR(__xludf.DUMMYFUNCTION("""COMPUTED_VALUE"""),0.18258477493038808)</f>
        <v>0.1825847749</v>
      </c>
      <c r="AE18" s="2">
        <f>IFERROR(__xludf.DUMMYFUNCTION("""COMPUTED_VALUE"""),0.3457458387231646)</f>
        <v>0.3457458387</v>
      </c>
      <c r="AF18" s="2">
        <f>IFERROR(__xludf.DUMMYFUNCTION("""COMPUTED_VALUE"""),0.09386311341649525)</f>
        <v>0.09386311342</v>
      </c>
      <c r="AG18" s="2">
        <f>IFERROR(__xludf.DUMMYFUNCTION("""COMPUTED_VALUE"""),0.0)</f>
        <v>0</v>
      </c>
      <c r="AH18" s="2">
        <f>IFERROR(__xludf.DUMMYFUNCTION("""COMPUTED_VALUE"""),0.3457458387231646)</f>
        <v>0.3457458387</v>
      </c>
      <c r="AI18" s="2">
        <f>IFERROR(__xludf.DUMMYFUNCTION("""COMPUTED_VALUE"""),0.22936827879919702)</f>
        <v>0.2293682788</v>
      </c>
      <c r="AJ18" s="2">
        <f>IFERROR(__xludf.DUMMYFUNCTION("""COMPUTED_VALUE"""),0.2860648806391533)</f>
        <v>0.2860648806</v>
      </c>
      <c r="AK18" s="2">
        <f>IFERROR(__xludf.DUMMYFUNCTION("""COMPUTED_VALUE"""),0.10542479443357729)</f>
        <v>0.1054247944</v>
      </c>
      <c r="AL18" s="2">
        <f>IFERROR(__xludf.DUMMYFUNCTION("""COMPUTED_VALUE"""),0.15056884174564902)</f>
        <v>0.1505688417</v>
      </c>
      <c r="AM18" s="2">
        <f>IFERROR(__xludf.DUMMYFUNCTION("""COMPUTED_VALUE"""),0.0759432516913214)</f>
        <v>0.07594325169</v>
      </c>
    </row>
    <row r="19">
      <c r="A19" s="1" t="str">
        <f>IFERROR(__xludf.DUMMYFUNCTION("""COMPUTED_VALUE"""),"Spurs")</f>
        <v>Spurs</v>
      </c>
      <c r="B19" s="2">
        <f>IFERROR(__xludf.DUMMYFUNCTION("""COMPUTED_VALUE"""),0.3457458387231646)</f>
        <v>0.3457458387</v>
      </c>
      <c r="C19" s="2">
        <f>IFERROR(__xludf.DUMMYFUNCTION("""COMPUTED_VALUE"""),0.9816843591882072)</f>
        <v>0.9816843592</v>
      </c>
      <c r="D19" s="2">
        <f>IFERROR(__xludf.DUMMYFUNCTION("""COMPUTED_VALUE"""),0.18258477493038808)</f>
        <v>0.1825847749</v>
      </c>
      <c r="E19" s="2">
        <f>IFERROR(__xludf.DUMMYFUNCTION("""COMPUTED_VALUE"""),0.0)</f>
        <v>0</v>
      </c>
      <c r="F19" s="2">
        <f>IFERROR(__xludf.DUMMYFUNCTION("""COMPUTED_VALUE"""),0.7750152911979067)</f>
        <v>0.7750152912</v>
      </c>
      <c r="G19" s="2">
        <f>IFERROR(__xludf.DUMMYFUNCTION("""COMPUTED_VALUE"""),0.9502129316203457)</f>
        <v>0.9502129316</v>
      </c>
      <c r="H19" s="2">
        <f>IFERROR(__xludf.DUMMYFUNCTION("""COMPUTED_VALUE"""),0.24698869937222218)</f>
        <v>0.2469886994</v>
      </c>
      <c r="I19" s="2">
        <f>IFERROR(__xludf.DUMMYFUNCTION("""COMPUTED_VALUE"""),0.876618550222119)</f>
        <v>0.8766185502</v>
      </c>
      <c r="J19" s="2">
        <f>IFERROR(__xludf.DUMMYFUNCTION("""COMPUTED_VALUE"""),0.0)</f>
        <v>0</v>
      </c>
      <c r="K19" s="2">
        <f>IFERROR(__xludf.DUMMYFUNCTION("""COMPUTED_VALUE"""),0.876618550222119)</f>
        <v>0.8766185502</v>
      </c>
      <c r="L19" s="2">
        <f>IFERROR(__xludf.DUMMYFUNCTION("""COMPUTED_VALUE"""),0.18258477493038808)</f>
        <v>0.1825847749</v>
      </c>
      <c r="M19" s="2">
        <f>IFERROR(__xludf.DUMMYFUNCTION("""COMPUTED_VALUE"""),0.9816843591882072)</f>
        <v>0.9816843592</v>
      </c>
      <c r="N19" s="2">
        <f>IFERROR(__xludf.DUMMYFUNCTION("""COMPUTED_VALUE"""),0.3457458387231646)</f>
        <v>0.3457458387</v>
      </c>
      <c r="O19" s="2">
        <f>IFERROR(__xludf.DUMMYFUNCTION("""COMPUTED_VALUE"""),0.0)</f>
        <v>0</v>
      </c>
      <c r="P19" s="2">
        <f>IFERROR(__xludf.DUMMYFUNCTION("""COMPUTED_VALUE"""),0.2830495172694125)</f>
        <v>0.2830495173</v>
      </c>
      <c r="Q19" s="2">
        <f>IFERROR(__xludf.DUMMYFUNCTION("""COMPUTED_VALUE"""),0.9932619719084098)</f>
        <v>0.9932619719</v>
      </c>
      <c r="R19" s="2">
        <f>IFERROR(__xludf.DUMMYFUNCTION("""COMPUTED_VALUE"""),0.11719149920378917)</f>
        <v>0.1171914992</v>
      </c>
      <c r="S19" s="2">
        <f>IFERROR(__xludf.DUMMYFUNCTION("""COMPUTED_VALUE"""),0.0)</f>
        <v>0</v>
      </c>
      <c r="T19" s="2">
        <f>IFERROR(__xludf.DUMMYFUNCTION("""COMPUTED_VALUE"""),0.39649903938800063)</f>
        <v>0.3964990394</v>
      </c>
      <c r="U19" s="2">
        <f>IFERROR(__xludf.DUMMYFUNCTION("""COMPUTED_VALUE"""),0.18258477493038808)</f>
        <v>0.1825847749</v>
      </c>
      <c r="V19" s="2">
        <f>IFERROR(__xludf.DUMMYFUNCTION("""COMPUTED_VALUE"""),0.18258477493038808)</f>
        <v>0.1825847749</v>
      </c>
      <c r="W19" s="2">
        <f>IFERROR(__xludf.DUMMYFUNCTION("""COMPUTED_VALUE"""),0.24698869937222218)</f>
        <v>0.2469886994</v>
      </c>
      <c r="X19" s="2">
        <f>IFERROR(__xludf.DUMMYFUNCTION("""COMPUTED_VALUE"""),0.18258477493038808)</f>
        <v>0.1825847749</v>
      </c>
      <c r="Y19" s="2">
        <f>IFERROR(__xludf.DUMMYFUNCTION("""COMPUTED_VALUE"""),0.8646647167633813)</f>
        <v>0.8646647168</v>
      </c>
      <c r="Z19" s="2">
        <f>IFERROR(__xludf.DUMMYFUNCTION("""COMPUTED_VALUE"""),0.6321205588285577)</f>
        <v>0.6321205588</v>
      </c>
      <c r="AA19" s="2">
        <f>IFERROR(__xludf.DUMMYFUNCTION("""COMPUTED_VALUE"""),0.876618550222119)</f>
        <v>0.8766185502</v>
      </c>
      <c r="AB19" s="2">
        <f>IFERROR(__xludf.DUMMYFUNCTION("""COMPUTED_VALUE"""),0.0)</f>
        <v>0</v>
      </c>
      <c r="AC19" s="2">
        <f>IFERROR(__xludf.DUMMYFUNCTION("""COMPUTED_VALUE"""),0.39649903938800063)</f>
        <v>0.3964990394</v>
      </c>
      <c r="AD19" s="2">
        <f>IFERROR(__xludf.DUMMYFUNCTION("""COMPUTED_VALUE"""),0.0)</f>
        <v>0</v>
      </c>
      <c r="AE19" s="2">
        <f>IFERROR(__xludf.DUMMYFUNCTION("""COMPUTED_VALUE"""),0.0)</f>
        <v>0</v>
      </c>
      <c r="AF19" s="2">
        <f>IFERROR(__xludf.DUMMYFUNCTION("""COMPUTED_VALUE"""),0.7750152911979067)</f>
        <v>0.7750152912</v>
      </c>
      <c r="AG19" s="2">
        <f>IFERROR(__xludf.DUMMYFUNCTION("""COMPUTED_VALUE"""),0.1480636430575833)</f>
        <v>0.1480636431</v>
      </c>
      <c r="AH19" s="2">
        <f>IFERROR(__xludf.DUMMYFUNCTION("""COMPUTED_VALUE"""),0.18258477493038808)</f>
        <v>0.1825847749</v>
      </c>
      <c r="AI19" s="2">
        <f>IFERROR(__xludf.DUMMYFUNCTION("""COMPUTED_VALUE"""),0.1283692406806415)</f>
        <v>0.1283692407</v>
      </c>
      <c r="AJ19" s="2">
        <f>IFERROR(__xludf.DUMMYFUNCTION("""COMPUTED_VALUE"""),0.39555760036542975)</f>
        <v>0.3955576004</v>
      </c>
      <c r="AK19" s="2">
        <f>IFERROR(__xludf.DUMMYFUNCTION("""COMPUTED_VALUE"""),0.4905891098676304)</f>
        <v>0.4905891099</v>
      </c>
      <c r="AL19" s="2">
        <f>IFERROR(__xludf.DUMMYFUNCTION("""COMPUTED_VALUE"""),0.2965544655616972)</f>
        <v>0.2965544656</v>
      </c>
      <c r="AM19" s="2">
        <f>IFERROR(__xludf.DUMMYFUNCTION("""COMPUTED_VALUE"""),0.4877829160097202)</f>
        <v>0.487782916</v>
      </c>
    </row>
    <row r="20">
      <c r="A20" s="1" t="str">
        <f>IFERROR(__xludf.DUMMYFUNCTION("""COMPUTED_VALUE"""),"West Ham")</f>
        <v>West Ham</v>
      </c>
      <c r="B20" s="2">
        <f>IFERROR(__xludf.DUMMYFUNCTION("""COMPUTED_VALUE"""),0.18258477493038808)</f>
        <v>0.1825847749</v>
      </c>
      <c r="C20" s="2">
        <f>IFERROR(__xludf.DUMMYFUNCTION("""COMPUTED_VALUE"""),0.8646647167633813)</f>
        <v>0.8646647168</v>
      </c>
      <c r="D20" s="2">
        <f>IFERROR(__xludf.DUMMYFUNCTION("""COMPUTED_VALUE"""),0.09386311341649525)</f>
        <v>0.09386311342</v>
      </c>
      <c r="E20" s="2">
        <f>IFERROR(__xludf.DUMMYFUNCTION("""COMPUTED_VALUE"""),0.3457458387231646)</f>
        <v>0.3457458387</v>
      </c>
      <c r="F20" s="2">
        <f>IFERROR(__xludf.DUMMYFUNCTION("""COMPUTED_VALUE"""),0.0)</f>
        <v>0</v>
      </c>
      <c r="G20" s="2">
        <f>IFERROR(__xludf.DUMMYFUNCTION("""COMPUTED_VALUE"""),0.3457458387231646)</f>
        <v>0.3457458387</v>
      </c>
      <c r="H20" s="2">
        <f>IFERROR(__xludf.DUMMYFUNCTION("""COMPUTED_VALUE"""),0.876618550222119)</f>
        <v>0.8766185502</v>
      </c>
      <c r="I20" s="2">
        <f>IFERROR(__xludf.DUMMYFUNCTION("""COMPUTED_VALUE"""),0.04722969675352744)</f>
        <v>0.04722969675</v>
      </c>
      <c r="J20" s="2">
        <f>IFERROR(__xludf.DUMMYFUNCTION("""COMPUTED_VALUE"""),0.6057031411076627)</f>
        <v>0.6057031411</v>
      </c>
      <c r="K20" s="2">
        <f>IFERROR(__xludf.DUMMYFUNCTION("""COMPUTED_VALUE"""),0.09386311341649525)</f>
        <v>0.09386311342</v>
      </c>
      <c r="L20" s="2">
        <f>IFERROR(__xludf.DUMMYFUNCTION("""COMPUTED_VALUE"""),0.0)</f>
        <v>0</v>
      </c>
      <c r="M20" s="2">
        <f>IFERROR(__xludf.DUMMYFUNCTION("""COMPUTED_VALUE"""),0.8646647167633813)</f>
        <v>0.8646647168</v>
      </c>
      <c r="N20" s="2">
        <f>IFERROR(__xludf.DUMMYFUNCTION("""COMPUTED_VALUE"""),0.08606552239978132)</f>
        <v>0.0860655224</v>
      </c>
      <c r="O20" s="2">
        <f>IFERROR(__xludf.DUMMYFUNCTION("""COMPUTED_VALUE"""),0.09386311341649525)</f>
        <v>0.09386311342</v>
      </c>
      <c r="P20" s="2">
        <f>IFERROR(__xludf.DUMMYFUNCTION("""COMPUTED_VALUE"""),0.6057031411076627)</f>
        <v>0.6057031411</v>
      </c>
      <c r="Q20" s="2">
        <f>IFERROR(__xludf.DUMMYFUNCTION("""COMPUTED_VALUE"""),0.3457458387231646)</f>
        <v>0.3457458387</v>
      </c>
      <c r="R20" s="2">
        <f>IFERROR(__xludf.DUMMYFUNCTION("""COMPUTED_VALUE"""),0.3457458387231646)</f>
        <v>0.3457458387</v>
      </c>
      <c r="S20" s="2">
        <f>IFERROR(__xludf.DUMMYFUNCTION("""COMPUTED_VALUE"""),0.6321205588285577)</f>
        <v>0.6321205588</v>
      </c>
      <c r="T20" s="2">
        <f>IFERROR(__xludf.DUMMYFUNCTION("""COMPUTED_VALUE"""),0.0)</f>
        <v>0</v>
      </c>
      <c r="U20" s="2">
        <f>IFERROR(__xludf.DUMMYFUNCTION("""COMPUTED_VALUE"""),0.04722969675352744)</f>
        <v>0.04722969675</v>
      </c>
      <c r="V20" s="2">
        <f>IFERROR(__xludf.DUMMYFUNCTION("""COMPUTED_VALUE"""),0.5852894147540798)</f>
        <v>0.5852894148</v>
      </c>
      <c r="W20" s="2">
        <f>IFERROR(__xludf.DUMMYFUNCTION("""COMPUTED_VALUE"""),0.0)</f>
        <v>0</v>
      </c>
      <c r="X20" s="2">
        <f>IFERROR(__xludf.DUMMYFUNCTION("""COMPUTED_VALUE"""),0.3457458387231646)</f>
        <v>0.3457458387</v>
      </c>
      <c r="Y20" s="2">
        <f>IFERROR(__xludf.DUMMYFUNCTION("""COMPUTED_VALUE"""),0.18258477493038808)</f>
        <v>0.1825847749</v>
      </c>
      <c r="Z20" s="2">
        <f>IFERROR(__xludf.DUMMYFUNCTION("""COMPUTED_VALUE"""),0.0)</f>
        <v>0</v>
      </c>
      <c r="AA20" s="2">
        <f>IFERROR(__xludf.DUMMYFUNCTION("""COMPUTED_VALUE"""),0.6321205588285577)</f>
        <v>0.6321205588</v>
      </c>
      <c r="AB20" s="2">
        <f>IFERROR(__xludf.DUMMYFUNCTION("""COMPUTED_VALUE"""),0.8646647167633813)</f>
        <v>0.8646647168</v>
      </c>
      <c r="AC20" s="2">
        <f>IFERROR(__xludf.DUMMYFUNCTION("""COMPUTED_VALUE"""),0.0)</f>
        <v>0</v>
      </c>
      <c r="AD20" s="2">
        <f>IFERROR(__xludf.DUMMYFUNCTION("""COMPUTED_VALUE"""),0.3457458387231646)</f>
        <v>0.3457458387</v>
      </c>
      <c r="AE20" s="2">
        <f>IFERROR(__xludf.DUMMYFUNCTION("""COMPUTED_VALUE"""),0.0)</f>
        <v>0</v>
      </c>
      <c r="AF20" s="2">
        <f>IFERROR(__xludf.DUMMYFUNCTION("""COMPUTED_VALUE"""),0.39649903938800063)</f>
        <v>0.3964990394</v>
      </c>
      <c r="AG20" s="2">
        <f>IFERROR(__xludf.DUMMYFUNCTION("""COMPUTED_VALUE"""),0.18258477493038808)</f>
        <v>0.1825847749</v>
      </c>
      <c r="AH20" s="2">
        <f>IFERROR(__xludf.DUMMYFUNCTION("""COMPUTED_VALUE"""),0.3457458387231646)</f>
        <v>0.3457458387</v>
      </c>
      <c r="AI20" s="2">
        <f>IFERROR(__xludf.DUMMYFUNCTION("""COMPUTED_VALUE"""),0.23036745188168034)</f>
        <v>0.2303674519</v>
      </c>
      <c r="AJ20" s="2">
        <f>IFERROR(__xludf.DUMMYFUNCTION("""COMPUTED_VALUE"""),0.3734923069223994)</f>
        <v>0.3734923069</v>
      </c>
      <c r="AK20" s="2">
        <f>IFERROR(__xludf.DUMMYFUNCTION("""COMPUTED_VALUE"""),0.25352808598457677)</f>
        <v>0.253528086</v>
      </c>
      <c r="AL20" s="2">
        <f>IFERROR(__xludf.DUMMYFUNCTION("""COMPUTED_VALUE"""),0.42058707239078935)</f>
        <v>0.4205870724</v>
      </c>
      <c r="AM20" s="2">
        <f>IFERROR(__xludf.DUMMYFUNCTION("""COMPUTED_VALUE"""),0.42744561256620417)</f>
        <v>0.4274456126</v>
      </c>
    </row>
    <row r="21">
      <c r="A21" s="1" t="str">
        <f>IFERROR(__xludf.DUMMYFUNCTION("""COMPUTED_VALUE"""),"Wolves")</f>
        <v>Wolves</v>
      </c>
      <c r="B21" s="2">
        <f>IFERROR(__xludf.DUMMYFUNCTION("""COMPUTED_VALUE"""),0.0)</f>
        <v>0</v>
      </c>
      <c r="C21" s="2">
        <f>IFERROR(__xludf.DUMMYFUNCTION("""COMPUTED_VALUE"""),0.04876854275134832)</f>
        <v>0.04876854275</v>
      </c>
      <c r="D21" s="2">
        <f>IFERROR(__xludf.DUMMYFUNCTION("""COMPUTED_VALUE"""),0.3457458387231646)</f>
        <v>0.3457458387</v>
      </c>
      <c r="E21" s="2">
        <f>IFERROR(__xludf.DUMMYFUNCTION("""COMPUTED_VALUE"""),0.18258477493038808)</f>
        <v>0.1825847749</v>
      </c>
      <c r="F21" s="2">
        <f>IFERROR(__xludf.DUMMYFUNCTION("""COMPUTED_VALUE"""),0.09386311341649525)</f>
        <v>0.09386311342</v>
      </c>
      <c r="G21" s="2">
        <f>IFERROR(__xludf.DUMMYFUNCTION("""COMPUTED_VALUE"""),0.18258477493038808)</f>
        <v>0.1825847749</v>
      </c>
      <c r="H21" s="2">
        <f>IFERROR(__xludf.DUMMYFUNCTION("""COMPUTED_VALUE"""),0.1850612275016534)</f>
        <v>0.1850612275</v>
      </c>
      <c r="I21" s="2">
        <f>IFERROR(__xludf.DUMMYFUNCTION("""COMPUTED_VALUE"""),0.18258477493038808)</f>
        <v>0.1825847749</v>
      </c>
      <c r="J21" s="2">
        <f>IFERROR(__xludf.DUMMYFUNCTION("""COMPUTED_VALUE"""),0.39649903938800063)</f>
        <v>0.3964990394</v>
      </c>
      <c r="K21" s="2">
        <f>IFERROR(__xludf.DUMMYFUNCTION("""COMPUTED_VALUE"""),0.39649903938800063)</f>
        <v>0.3964990394</v>
      </c>
      <c r="L21" s="2">
        <f>IFERROR(__xludf.DUMMYFUNCTION("""COMPUTED_VALUE"""),0.8646647167633813)</f>
        <v>0.8646647168</v>
      </c>
      <c r="M21" s="2">
        <f>IFERROR(__xludf.DUMMYFUNCTION("""COMPUTED_VALUE"""),0.876618550222119)</f>
        <v>0.8766185502</v>
      </c>
      <c r="N21" s="2">
        <f>IFERROR(__xludf.DUMMYFUNCTION("""COMPUTED_VALUE"""),0.1480636430575833)</f>
        <v>0.1480636431</v>
      </c>
      <c r="O21" s="2">
        <f>IFERROR(__xludf.DUMMYFUNCTION("""COMPUTED_VALUE"""),0.0)</f>
        <v>0</v>
      </c>
      <c r="P21" s="2">
        <f>IFERROR(__xludf.DUMMYFUNCTION("""COMPUTED_VALUE"""),0.18258477493038808)</f>
        <v>0.1825847749</v>
      </c>
      <c r="Q21" s="2">
        <f>IFERROR(__xludf.DUMMYFUNCTION("""COMPUTED_VALUE"""),0.18258477493038808)</f>
        <v>0.1825847749</v>
      </c>
      <c r="R21" s="2">
        <f>IFERROR(__xludf.DUMMYFUNCTION("""COMPUTED_VALUE"""),0.9502129316203457)</f>
        <v>0.9502129316</v>
      </c>
      <c r="S21" s="2">
        <f>IFERROR(__xludf.DUMMYFUNCTION("""COMPUTED_VALUE"""),0.8646647167633813)</f>
        <v>0.8646647168</v>
      </c>
      <c r="T21" s="2">
        <f>IFERROR(__xludf.DUMMYFUNCTION("""COMPUTED_VALUE"""),0.39649903938800063)</f>
        <v>0.3964990394</v>
      </c>
      <c r="U21" s="2">
        <f>IFERROR(__xludf.DUMMYFUNCTION("""COMPUTED_VALUE"""),0.0)</f>
        <v>0</v>
      </c>
      <c r="V21" s="2">
        <f>IFERROR(__xludf.DUMMYFUNCTION("""COMPUTED_VALUE"""),0.0)</f>
        <v>0</v>
      </c>
      <c r="W21" s="2">
        <f>IFERROR(__xludf.DUMMYFUNCTION("""COMPUTED_VALUE"""),0.09386311341649525)</f>
        <v>0.09386311342</v>
      </c>
      <c r="X21" s="2">
        <f>IFERROR(__xludf.DUMMYFUNCTION("""COMPUTED_VALUE"""),0.0)</f>
        <v>0</v>
      </c>
      <c r="Y21" s="2">
        <f>IFERROR(__xludf.DUMMYFUNCTION("""COMPUTED_VALUE"""),0.8646647167633813)</f>
        <v>0.8646647168</v>
      </c>
      <c r="Z21" s="2">
        <f>IFERROR(__xludf.DUMMYFUNCTION("""COMPUTED_VALUE"""),0.18258477493038808)</f>
        <v>0.1825847749</v>
      </c>
      <c r="AA21" s="2">
        <f>IFERROR(__xludf.DUMMYFUNCTION("""COMPUTED_VALUE"""),0.6321205588285577)</f>
        <v>0.6321205588</v>
      </c>
      <c r="AB21" s="2">
        <f>IFERROR(__xludf.DUMMYFUNCTION("""COMPUTED_VALUE"""),0.6057031411076627)</f>
        <v>0.6057031411</v>
      </c>
      <c r="AC21" s="2">
        <f>IFERROR(__xludf.DUMMYFUNCTION("""COMPUTED_VALUE"""),0.3457458387231646)</f>
        <v>0.3457458387</v>
      </c>
      <c r="AD21" s="2">
        <f>IFERROR(__xludf.DUMMYFUNCTION("""COMPUTED_VALUE"""),0.6057031411076627)</f>
        <v>0.6057031411</v>
      </c>
      <c r="AE21" s="2">
        <f>IFERROR(__xludf.DUMMYFUNCTION("""COMPUTED_VALUE"""),0.6321205588285577)</f>
        <v>0.6321205588</v>
      </c>
      <c r="AF21" s="2">
        <f>IFERROR(__xludf.DUMMYFUNCTION("""COMPUTED_VALUE"""),0.6057031411076627)</f>
        <v>0.6057031411</v>
      </c>
      <c r="AG21" s="2">
        <f>IFERROR(__xludf.DUMMYFUNCTION("""COMPUTED_VALUE"""),0.7299605441282991)</f>
        <v>0.7299605441</v>
      </c>
      <c r="AH21" s="2">
        <f>IFERROR(__xludf.DUMMYFUNCTION("""COMPUTED_VALUE"""),0.6321205588285577)</f>
        <v>0.6321205588</v>
      </c>
      <c r="AI21" s="2">
        <f>IFERROR(__xludf.DUMMYFUNCTION("""COMPUTED_VALUE"""),0.5736279579885623)</f>
        <v>0.573627958</v>
      </c>
      <c r="AJ21" s="2">
        <f>IFERROR(__xludf.DUMMYFUNCTION("""COMPUTED_VALUE"""),0.09674005019015905)</f>
        <v>0.09674005019</v>
      </c>
      <c r="AK21" s="2">
        <f>IFERROR(__xludf.DUMMYFUNCTION("""COMPUTED_VALUE"""),0.3374852982995608)</f>
        <v>0.3374852983</v>
      </c>
      <c r="AL21" s="2">
        <f>IFERROR(__xludf.DUMMYFUNCTION("""COMPUTED_VALUE"""),0.2092515903304576)</f>
        <v>0.2092515903</v>
      </c>
      <c r="AM21" s="2">
        <f>IFERROR(__xludf.DUMMYFUNCTION("""COMPUTED_VALUE"""),0.3610900222843729)</f>
        <v>0.3610900223</v>
      </c>
    </row>
  </sheetData>
  <drawing r:id="rId1"/>
</worksheet>
</file>