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d64f692f4c952/semestr 1/STARE/Dokumenty/"/>
    </mc:Choice>
  </mc:AlternateContent>
  <xr:revisionPtr revIDLastSave="0" documentId="8_{88FA2651-7855-49DA-A60B-881BF70CA93E}" xr6:coauthVersionLast="47" xr6:coauthVersionMax="47" xr10:uidLastSave="{00000000-0000-0000-0000-000000000000}"/>
  <bookViews>
    <workbookView xWindow="-108" yWindow="-108" windowWidth="23256" windowHeight="12456" firstSheet="7" activeTab="6" xr2:uid="{382C2D97-A2EA-475A-B8DF-F7FBFCFCA400}"/>
  </bookViews>
  <sheets>
    <sheet name="Wstęp" sheetId="26" r:id="rId1"/>
    <sheet name="przepływy pieniężne" sheetId="5" r:id="rId2"/>
    <sheet name="analiza kapit.-majątk." sheetId="18" r:id="rId3"/>
    <sheet name="pasywa" sheetId="19" r:id="rId4"/>
    <sheet name="aktywa" sheetId="20" r:id="rId5"/>
    <sheet name="rachunek zyskow i strat" sheetId="1" r:id="rId6"/>
    <sheet name="RZiS wykresy" sheetId="25" r:id="rId7"/>
    <sheet name="Wskaźniki finansowe" sheetId="17" r:id="rId8"/>
    <sheet name="zadłużenie" sheetId="21" r:id="rId9"/>
    <sheet name="Płynność" sheetId="22" r:id="rId10"/>
    <sheet name="Rentowność" sheetId="23" r:id="rId11"/>
    <sheet name="Obrotowość" sheetId="2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0" l="1"/>
  <c r="E33" i="24"/>
  <c r="D33" i="24"/>
  <c r="E21" i="24"/>
  <c r="D21" i="24"/>
  <c r="E17" i="24"/>
  <c r="D17" i="24"/>
  <c r="E13" i="24"/>
  <c r="D13" i="24"/>
  <c r="E8" i="23"/>
  <c r="D8" i="23"/>
  <c r="C28" i="17"/>
  <c r="D28" i="17"/>
  <c r="B28" i="17"/>
  <c r="C22" i="17"/>
  <c r="D22" i="17"/>
  <c r="B22" i="17"/>
  <c r="C16" i="17"/>
  <c r="D16" i="17"/>
  <c r="B16" i="17"/>
  <c r="D4" i="17"/>
  <c r="C4" i="17"/>
  <c r="E40" i="21"/>
  <c r="D40" i="21"/>
  <c r="C40" i="21"/>
  <c r="E36" i="21"/>
  <c r="D36" i="21"/>
  <c r="C36" i="21"/>
  <c r="D29" i="21"/>
  <c r="E29" i="21"/>
  <c r="C29" i="21"/>
  <c r="D21" i="21"/>
  <c r="E21" i="21"/>
  <c r="C21" i="21"/>
  <c r="D25" i="24"/>
  <c r="E25" i="24"/>
  <c r="E53" i="22"/>
  <c r="C53" i="22"/>
  <c r="E49" i="22"/>
  <c r="C49" i="22"/>
  <c r="E45" i="22"/>
  <c r="C45" i="22"/>
  <c r="E38" i="22"/>
  <c r="C38" i="22"/>
  <c r="E34" i="22"/>
  <c r="C34" i="22"/>
  <c r="E26" i="22"/>
  <c r="C26" i="22"/>
  <c r="C25" i="21"/>
  <c r="E25" i="21"/>
  <c r="I23" i="5"/>
  <c r="I15" i="5"/>
  <c r="I7" i="5"/>
  <c r="E37" i="24"/>
  <c r="E29" i="24"/>
  <c r="E4" i="23"/>
  <c r="C4" i="23"/>
  <c r="C9" i="24"/>
  <c r="D9" i="24"/>
  <c r="E9" i="24"/>
  <c r="C8" i="24"/>
  <c r="D8" i="24"/>
  <c r="E8" i="24"/>
  <c r="C7" i="24"/>
  <c r="D7" i="24"/>
  <c r="E7" i="24"/>
  <c r="C6" i="24"/>
  <c r="D6" i="24"/>
  <c r="E6" i="24"/>
  <c r="C5" i="24"/>
  <c r="D5" i="24"/>
  <c r="E5" i="24"/>
  <c r="D64" i="17"/>
  <c r="D58" i="17"/>
  <c r="D52" i="17"/>
  <c r="C58" i="17"/>
  <c r="D4" i="23"/>
  <c r="C64" i="17"/>
  <c r="C52" i="17"/>
  <c r="C5" i="5"/>
  <c r="D37" i="24"/>
  <c r="D29" i="24"/>
  <c r="G39" i="25"/>
  <c r="L35" i="25" s="1"/>
  <c r="H39" i="25"/>
  <c r="M37" i="25" s="1"/>
  <c r="I39" i="25"/>
  <c r="N33" i="25" s="1"/>
  <c r="P37" i="25"/>
  <c r="Q37" i="25"/>
  <c r="P36" i="25"/>
  <c r="Q36" i="25"/>
  <c r="L36" i="25"/>
  <c r="M36" i="25"/>
  <c r="P35" i="25"/>
  <c r="Q35" i="25"/>
  <c r="P34" i="25"/>
  <c r="Q34" i="25"/>
  <c r="L34" i="25"/>
  <c r="M34" i="25"/>
  <c r="P33" i="25"/>
  <c r="Q33" i="25"/>
  <c r="G11" i="25"/>
  <c r="L8" i="25" s="1"/>
  <c r="H11" i="25"/>
  <c r="M8" i="25" s="1"/>
  <c r="I11" i="25"/>
  <c r="N8" i="25" s="1"/>
  <c r="P9" i="25"/>
  <c r="Q9" i="25"/>
  <c r="L9" i="25"/>
  <c r="P8" i="25"/>
  <c r="Q8" i="25"/>
  <c r="P7" i="25"/>
  <c r="Q7" i="25"/>
  <c r="G28" i="1"/>
  <c r="H28" i="1"/>
  <c r="I28" i="1"/>
  <c r="G27" i="1"/>
  <c r="H27" i="1"/>
  <c r="I27" i="1"/>
  <c r="G26" i="1"/>
  <c r="H26" i="1"/>
  <c r="I26" i="1"/>
  <c r="G23" i="1"/>
  <c r="L11" i="1" s="1"/>
  <c r="H23" i="1"/>
  <c r="M14" i="1" s="1"/>
  <c r="I23" i="1"/>
  <c r="N7" i="1" s="1"/>
  <c r="G22" i="1"/>
  <c r="L13" i="1" s="1"/>
  <c r="H22" i="1"/>
  <c r="M13" i="1" s="1"/>
  <c r="I22" i="1"/>
  <c r="N13" i="1" s="1"/>
  <c r="P14" i="1"/>
  <c r="Q14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P6" i="1"/>
  <c r="Q6" i="1"/>
  <c r="P5" i="1"/>
  <c r="Q5" i="1"/>
  <c r="P4" i="1"/>
  <c r="Q4" i="1"/>
  <c r="D38" i="22"/>
  <c r="D34" i="22"/>
  <c r="D26" i="22"/>
  <c r="D5" i="5"/>
  <c r="E5" i="5"/>
  <c r="D53" i="22"/>
  <c r="D45" i="22"/>
  <c r="L37" i="25" l="1"/>
  <c r="M33" i="25"/>
  <c r="M35" i="25"/>
  <c r="L33" i="25"/>
  <c r="N35" i="25"/>
  <c r="N37" i="25"/>
  <c r="N34" i="25"/>
  <c r="N36" i="25"/>
  <c r="M7" i="25"/>
  <c r="M9" i="25"/>
  <c r="L7" i="25"/>
  <c r="N9" i="25"/>
  <c r="N7" i="25"/>
  <c r="L10" i="1"/>
  <c r="L4" i="1"/>
  <c r="M4" i="1"/>
  <c r="M7" i="1"/>
  <c r="M10" i="1"/>
  <c r="L7" i="1"/>
  <c r="N5" i="1"/>
  <c r="N14" i="1"/>
  <c r="M5" i="1"/>
  <c r="M11" i="1"/>
  <c r="L14" i="1"/>
  <c r="N8" i="1"/>
  <c r="N11" i="1"/>
  <c r="M8" i="1"/>
  <c r="L5" i="1"/>
  <c r="L8" i="1"/>
  <c r="N4" i="1"/>
  <c r="N10" i="1"/>
  <c r="D25" i="21"/>
  <c r="E75" i="20"/>
  <c r="C73" i="20"/>
  <c r="E71" i="20"/>
  <c r="D71" i="20"/>
  <c r="E70" i="20"/>
  <c r="D70" i="20"/>
  <c r="E68" i="20"/>
  <c r="D64" i="20"/>
  <c r="D63" i="20"/>
  <c r="E72" i="20" s="1"/>
  <c r="C63" i="20"/>
  <c r="D75" i="20" s="1"/>
  <c r="B63" i="20"/>
  <c r="C70" i="20" s="1"/>
  <c r="D53" i="20"/>
  <c r="C53" i="20"/>
  <c r="C64" i="20" s="1"/>
  <c r="B53" i="20"/>
  <c r="B64" i="20" s="1"/>
  <c r="C20" i="20"/>
  <c r="G19" i="20" s="1"/>
  <c r="D20" i="20"/>
  <c r="H20" i="20" s="1"/>
  <c r="E20" i="20"/>
  <c r="I20" i="20" s="1"/>
  <c r="O19" i="20"/>
  <c r="P19" i="20"/>
  <c r="O18" i="20"/>
  <c r="P18" i="20"/>
  <c r="G18" i="20"/>
  <c r="O17" i="20"/>
  <c r="G17" i="20"/>
  <c r="O16" i="20"/>
  <c r="P16" i="20"/>
  <c r="O15" i="20"/>
  <c r="P15" i="20"/>
  <c r="G15" i="20"/>
  <c r="O14" i="20"/>
  <c r="P14" i="20"/>
  <c r="G14" i="20"/>
  <c r="O13" i="20"/>
  <c r="P13" i="20"/>
  <c r="G13" i="20"/>
  <c r="O12" i="20"/>
  <c r="P12" i="20"/>
  <c r="G12" i="20"/>
  <c r="C10" i="20"/>
  <c r="D10" i="20"/>
  <c r="D21" i="20" s="1"/>
  <c r="E10" i="20"/>
  <c r="I6" i="20" s="1"/>
  <c r="O9" i="20"/>
  <c r="P9" i="20"/>
  <c r="H9" i="20"/>
  <c r="O8" i="20"/>
  <c r="P8" i="20"/>
  <c r="H8" i="20"/>
  <c r="I8" i="20"/>
  <c r="O7" i="20"/>
  <c r="P7" i="20"/>
  <c r="H7" i="20"/>
  <c r="O6" i="20"/>
  <c r="P6" i="20"/>
  <c r="G6" i="20"/>
  <c r="H6" i="20"/>
  <c r="O5" i="20"/>
  <c r="P5" i="20"/>
  <c r="H5" i="20"/>
  <c r="O4" i="20"/>
  <c r="P4" i="20"/>
  <c r="H4" i="20"/>
  <c r="I4" i="20"/>
  <c r="C22" i="19"/>
  <c r="D22" i="19"/>
  <c r="E22" i="19"/>
  <c r="R21" i="19"/>
  <c r="S21" i="19"/>
  <c r="R20" i="19"/>
  <c r="S20" i="19"/>
  <c r="R19" i="19"/>
  <c r="S19" i="19"/>
  <c r="R18" i="19"/>
  <c r="S18" i="19"/>
  <c r="R17" i="19"/>
  <c r="S17" i="19"/>
  <c r="R16" i="19"/>
  <c r="S16" i="19"/>
  <c r="R15" i="19"/>
  <c r="S15" i="19"/>
  <c r="C12" i="19"/>
  <c r="D12" i="19"/>
  <c r="E12" i="19"/>
  <c r="R11" i="19"/>
  <c r="S11" i="19"/>
  <c r="R10" i="19"/>
  <c r="S10" i="19"/>
  <c r="R7" i="19"/>
  <c r="S7" i="19"/>
  <c r="C7" i="19"/>
  <c r="D7" i="19"/>
  <c r="E7" i="19"/>
  <c r="R6" i="19"/>
  <c r="S6" i="19"/>
  <c r="J6" i="19"/>
  <c r="R5" i="19"/>
  <c r="S5" i="19"/>
  <c r="E36" i="18"/>
  <c r="D36" i="18"/>
  <c r="C36" i="18"/>
  <c r="J9" i="18" s="1"/>
  <c r="J35" i="18"/>
  <c r="J34" i="18"/>
  <c r="I34" i="18"/>
  <c r="H34" i="18"/>
  <c r="E26" i="18"/>
  <c r="E37" i="18" s="1"/>
  <c r="E39" i="18" s="1"/>
  <c r="D26" i="18"/>
  <c r="D37" i="18" s="1"/>
  <c r="D39" i="18" s="1"/>
  <c r="C26" i="18"/>
  <c r="C37" i="18" s="1"/>
  <c r="C39" i="18" s="1"/>
  <c r="J24" i="18"/>
  <c r="I24" i="18"/>
  <c r="I35" i="18" s="1"/>
  <c r="H24" i="18"/>
  <c r="H35" i="18" s="1"/>
  <c r="E21" i="18"/>
  <c r="H6" i="18" s="1"/>
  <c r="D21" i="18"/>
  <c r="C21" i="18"/>
  <c r="H9" i="18"/>
  <c r="I9" i="18"/>
  <c r="H23" i="5"/>
  <c r="H15" i="5"/>
  <c r="H7" i="5"/>
  <c r="J20" i="5"/>
  <c r="J12" i="5"/>
  <c r="J4" i="5"/>
  <c r="I20" i="5"/>
  <c r="I12" i="5"/>
  <c r="I4" i="5"/>
  <c r="H20" i="5"/>
  <c r="H12" i="5"/>
  <c r="H4" i="5"/>
  <c r="E53" i="21" l="1"/>
  <c r="E57" i="21" s="1"/>
  <c r="E16" i="23"/>
  <c r="D76" i="17"/>
  <c r="D70" i="17"/>
  <c r="J8" i="19"/>
  <c r="D53" i="21"/>
  <c r="D57" i="21" s="1"/>
  <c r="E12" i="23"/>
  <c r="D10" i="17"/>
  <c r="D16" i="23"/>
  <c r="J7" i="19"/>
  <c r="I5" i="19"/>
  <c r="C53" i="21"/>
  <c r="C57" i="21" s="1"/>
  <c r="D12" i="23"/>
  <c r="C10" i="17"/>
  <c r="C16" i="23"/>
  <c r="B76" i="17"/>
  <c r="B70" i="17"/>
  <c r="E13" i="21"/>
  <c r="E48" i="21"/>
  <c r="E17" i="21"/>
  <c r="D13" i="21"/>
  <c r="D48" i="21"/>
  <c r="D17" i="21"/>
  <c r="I11" i="19"/>
  <c r="C13" i="21"/>
  <c r="C48" i="21"/>
  <c r="C17" i="21"/>
  <c r="K19" i="19"/>
  <c r="E41" i="24"/>
  <c r="E45" i="24" s="1"/>
  <c r="E17" i="22"/>
  <c r="E13" i="22"/>
  <c r="E9" i="22"/>
  <c r="E5" i="22"/>
  <c r="D46" i="17"/>
  <c r="D40" i="17"/>
  <c r="D34" i="17"/>
  <c r="J19" i="19"/>
  <c r="D41" i="24"/>
  <c r="D45" i="24" s="1"/>
  <c r="I19" i="19"/>
  <c r="C17" i="22"/>
  <c r="C13" i="22"/>
  <c r="C9" i="22"/>
  <c r="C5" i="22"/>
  <c r="B46" i="17"/>
  <c r="B40" i="17"/>
  <c r="B34" i="17"/>
  <c r="G16" i="20"/>
  <c r="G8" i="20"/>
  <c r="C21" i="20"/>
  <c r="K9" i="20" s="1"/>
  <c r="I5" i="20"/>
  <c r="I7" i="20"/>
  <c r="I9" i="20"/>
  <c r="I18" i="20"/>
  <c r="G5" i="20"/>
  <c r="G7" i="20"/>
  <c r="G4" i="20"/>
  <c r="G20" i="20"/>
  <c r="I19" i="20"/>
  <c r="J5" i="19"/>
  <c r="I6" i="19"/>
  <c r="I18" i="19"/>
  <c r="I21" i="19"/>
  <c r="K16" i="19"/>
  <c r="I16" i="19"/>
  <c r="C76" i="17"/>
  <c r="C70" i="17"/>
  <c r="J16" i="19"/>
  <c r="E23" i="19"/>
  <c r="I8" i="19"/>
  <c r="R12" i="19"/>
  <c r="S22" i="19"/>
  <c r="J15" i="19"/>
  <c r="D17" i="22"/>
  <c r="C34" i="17"/>
  <c r="C46" i="17"/>
  <c r="D9" i="22"/>
  <c r="D5" i="22"/>
  <c r="D13" i="22"/>
  <c r="C40" i="17"/>
  <c r="J18" i="19"/>
  <c r="I20" i="19"/>
  <c r="J10" i="19"/>
  <c r="J12" i="19"/>
  <c r="K17" i="19"/>
  <c r="K15" i="19"/>
  <c r="I17" i="19"/>
  <c r="J11" i="19"/>
  <c r="I15" i="19"/>
  <c r="J20" i="19"/>
  <c r="K10" i="19"/>
  <c r="K12" i="19"/>
  <c r="I10" i="19"/>
  <c r="I12" i="19"/>
  <c r="J17" i="19"/>
  <c r="K11" i="19"/>
  <c r="K20" i="19"/>
  <c r="K18" i="19"/>
  <c r="L19" i="20"/>
  <c r="L18" i="20"/>
  <c r="D32" i="20"/>
  <c r="L15" i="20"/>
  <c r="L13" i="20"/>
  <c r="L9" i="20"/>
  <c r="L8" i="20"/>
  <c r="L7" i="20"/>
  <c r="L6" i="20"/>
  <c r="L5" i="20"/>
  <c r="L4" i="20"/>
  <c r="D31" i="20"/>
  <c r="L17" i="20"/>
  <c r="L14" i="20"/>
  <c r="L10" i="20"/>
  <c r="D25" i="20"/>
  <c r="D26" i="20" s="1"/>
  <c r="L16" i="20"/>
  <c r="L12" i="20"/>
  <c r="K16" i="20"/>
  <c r="C68" i="20"/>
  <c r="D73" i="20"/>
  <c r="P10" i="20"/>
  <c r="L20" i="20"/>
  <c r="D68" i="20"/>
  <c r="C71" i="20"/>
  <c r="E73" i="20"/>
  <c r="I13" i="20"/>
  <c r="I15" i="20"/>
  <c r="I17" i="20"/>
  <c r="H19" i="20"/>
  <c r="P20" i="20"/>
  <c r="H10" i="20"/>
  <c r="H12" i="20"/>
  <c r="H13" i="20"/>
  <c r="H14" i="20"/>
  <c r="H15" i="20"/>
  <c r="H16" i="20"/>
  <c r="H17" i="20"/>
  <c r="O20" i="20"/>
  <c r="E33" i="20"/>
  <c r="D69" i="20"/>
  <c r="C72" i="20"/>
  <c r="E74" i="20"/>
  <c r="C74" i="20"/>
  <c r="I12" i="20"/>
  <c r="I14" i="20"/>
  <c r="I16" i="20"/>
  <c r="H18" i="20"/>
  <c r="D74" i="20"/>
  <c r="K7" i="20"/>
  <c r="G10" i="20"/>
  <c r="E21" i="20"/>
  <c r="D33" i="20"/>
  <c r="E69" i="20"/>
  <c r="D72" i="20"/>
  <c r="C75" i="20"/>
  <c r="G9" i="20"/>
  <c r="O10" i="20"/>
  <c r="I10" i="20"/>
  <c r="C69" i="20"/>
  <c r="K5" i="19"/>
  <c r="R22" i="19"/>
  <c r="S8" i="19"/>
  <c r="K22" i="19"/>
  <c r="J21" i="19"/>
  <c r="K6" i="19"/>
  <c r="D23" i="19"/>
  <c r="K7" i="19"/>
  <c r="K8" i="19"/>
  <c r="I22" i="19"/>
  <c r="C23" i="19"/>
  <c r="K21" i="19"/>
  <c r="J22" i="19"/>
  <c r="S12" i="19"/>
  <c r="R8" i="19"/>
  <c r="I7" i="19"/>
  <c r="J6" i="18"/>
  <c r="I6" i="18"/>
  <c r="C20" i="23" l="1"/>
  <c r="B82" i="17"/>
  <c r="C44" i="21"/>
  <c r="C30" i="22"/>
  <c r="C9" i="21"/>
  <c r="C5" i="21"/>
  <c r="C69" i="21"/>
  <c r="C61" i="21"/>
  <c r="C65" i="21"/>
  <c r="D20" i="23"/>
  <c r="C82" i="17"/>
  <c r="D44" i="21"/>
  <c r="D9" i="21"/>
  <c r="D5" i="21"/>
  <c r="D69" i="21"/>
  <c r="D61" i="21"/>
  <c r="D65" i="21"/>
  <c r="E47" i="19"/>
  <c r="E20" i="23"/>
  <c r="D82" i="17"/>
  <c r="E44" i="21"/>
  <c r="E30" i="22"/>
  <c r="E9" i="21"/>
  <c r="E5" i="21"/>
  <c r="E69" i="21"/>
  <c r="E61" i="21"/>
  <c r="E65" i="21"/>
  <c r="K5" i="20"/>
  <c r="K4" i="20"/>
  <c r="K18" i="20"/>
  <c r="K13" i="20"/>
  <c r="K15" i="20"/>
  <c r="K14" i="20"/>
  <c r="K12" i="20"/>
  <c r="K6" i="20"/>
  <c r="C32" i="20"/>
  <c r="K20" i="20"/>
  <c r="K10" i="20"/>
  <c r="K19" i="20"/>
  <c r="C31" i="20"/>
  <c r="D27" i="20"/>
  <c r="K8" i="20"/>
  <c r="K17" i="20"/>
  <c r="M10" i="20"/>
  <c r="D49" i="22"/>
  <c r="E25" i="19"/>
  <c r="E35" i="19" s="1"/>
  <c r="D47" i="19"/>
  <c r="D30" i="22"/>
  <c r="E39" i="19"/>
  <c r="O22" i="19"/>
  <c r="E43" i="19"/>
  <c r="E33" i="19"/>
  <c r="M17" i="20"/>
  <c r="M16" i="20"/>
  <c r="M15" i="20"/>
  <c r="M14" i="20"/>
  <c r="M13" i="20"/>
  <c r="M12" i="20"/>
  <c r="M4" i="20"/>
  <c r="M19" i="20"/>
  <c r="M18" i="20"/>
  <c r="M8" i="20"/>
  <c r="M5" i="20"/>
  <c r="E27" i="20"/>
  <c r="M9" i="20"/>
  <c r="M7" i="20"/>
  <c r="M6" i="20"/>
  <c r="E25" i="20"/>
  <c r="E26" i="20" s="1"/>
  <c r="M20" i="20"/>
  <c r="E32" i="20"/>
  <c r="E31" i="20"/>
  <c r="C25" i="19"/>
  <c r="C47" i="19"/>
  <c r="D25" i="19"/>
  <c r="D35" i="19" s="1"/>
  <c r="O11" i="19"/>
  <c r="O7" i="19"/>
  <c r="O6" i="19"/>
  <c r="O5" i="19"/>
  <c r="O8" i="19"/>
  <c r="O21" i="19"/>
  <c r="O20" i="19"/>
  <c r="O19" i="19"/>
  <c r="O18" i="19"/>
  <c r="O17" i="19"/>
  <c r="O16" i="19"/>
  <c r="O15" i="19"/>
  <c r="E37" i="19"/>
  <c r="E30" i="19"/>
  <c r="E41" i="19"/>
  <c r="O10" i="19"/>
  <c r="O12" i="19"/>
  <c r="M6" i="19" l="1"/>
  <c r="M5" i="19"/>
  <c r="C37" i="19"/>
  <c r="M7" i="19"/>
  <c r="M21" i="19"/>
  <c r="M20" i="19"/>
  <c r="M19" i="19"/>
  <c r="M18" i="19"/>
  <c r="M17" i="19"/>
  <c r="M16" i="19"/>
  <c r="M15" i="19"/>
  <c r="C41" i="19"/>
  <c r="M11" i="19"/>
  <c r="M10" i="19"/>
  <c r="M8" i="19"/>
  <c r="M22" i="19"/>
  <c r="C33" i="19"/>
  <c r="M12" i="19"/>
  <c r="C30" i="19"/>
  <c r="C39" i="19"/>
  <c r="C43" i="19"/>
  <c r="C35" i="19"/>
  <c r="N21" i="19"/>
  <c r="N19" i="19"/>
  <c r="N17" i="19"/>
  <c r="N15" i="19"/>
  <c r="N6" i="19"/>
  <c r="N5" i="19"/>
  <c r="N20" i="19"/>
  <c r="N18" i="19"/>
  <c r="N16" i="19"/>
  <c r="D41" i="19"/>
  <c r="N11" i="19"/>
  <c r="N7" i="19"/>
  <c r="D43" i="19"/>
  <c r="N12" i="19"/>
  <c r="N8" i="19"/>
  <c r="D30" i="19"/>
  <c r="N10" i="19"/>
  <c r="D37" i="19"/>
  <c r="D33" i="19"/>
  <c r="N22" i="19"/>
  <c r="D39" i="19"/>
</calcChain>
</file>

<file path=xl/sharedStrings.xml><?xml version="1.0" encoding="utf-8"?>
<sst xmlns="http://schemas.openxmlformats.org/spreadsheetml/2006/main" count="603" uniqueCount="382">
  <si>
    <t>Asseco Business Solutions</t>
  </si>
  <si>
    <t>Spis treści</t>
  </si>
  <si>
    <t>1. Przepływy pieniężne</t>
  </si>
  <si>
    <t>2. Aktywa</t>
  </si>
  <si>
    <t>3. Pasywa</t>
  </si>
  <si>
    <t>3.1 Analiza kapitało-majątkowa</t>
  </si>
  <si>
    <t>4. Rachunek zysku i strat</t>
  </si>
  <si>
    <t>4.1 RZiS wykresy</t>
  </si>
  <si>
    <t>5. Analiza wskaźników finansowych</t>
  </si>
  <si>
    <t>6. Analiza wskaźnikowa</t>
  </si>
  <si>
    <t>6.1 Analiza zadłużenia</t>
  </si>
  <si>
    <t>6.2 Analiza płynności</t>
  </si>
  <si>
    <t>6.3 Analiza obrotowości</t>
  </si>
  <si>
    <t>6.4 Analiza rentowności</t>
  </si>
  <si>
    <t>Autorzy</t>
  </si>
  <si>
    <t>Kacper Prorok</t>
  </si>
  <si>
    <t>Jan Pryl</t>
  </si>
  <si>
    <t>Szymon Popkiewicz</t>
  </si>
  <si>
    <t>Linki do sprawozdań</t>
  </si>
  <si>
    <t>Sprawozdanie finansowe za rok 2021:</t>
  </si>
  <si>
    <t>Sprawozdanie finansowe za rok 2022:</t>
  </si>
  <si>
    <t>Przepływy pieniężne</t>
  </si>
  <si>
    <t>Okres zakończony 
31/12/2020 w tys. PLN</t>
  </si>
  <si>
    <t>Okres zakończony 
31/12/2021 w tys. PLN</t>
  </si>
  <si>
    <t>Okres zakończony 
31/12/2022 w tys. PLN</t>
  </si>
  <si>
    <t>Przepływy pieniężne z działalności operacyjnej</t>
  </si>
  <si>
    <t>Działalność 
operacyjna</t>
  </si>
  <si>
    <t>Działalność 
inwestycyjna</t>
  </si>
  <si>
    <t>Działalność 
finansowa</t>
  </si>
  <si>
    <t>Wariant przepływu</t>
  </si>
  <si>
    <t>Zysk brutto</t>
  </si>
  <si>
    <t>IV</t>
  </si>
  <si>
    <t xml:space="preserve">Zysk(strata) netto </t>
  </si>
  <si>
    <t>+</t>
  </si>
  <si>
    <t>-</t>
  </si>
  <si>
    <t>Korekty o pozycje:</t>
  </si>
  <si>
    <t>Wynik fanansowy netto</t>
  </si>
  <si>
    <t>Przepływy pieniężne netto z działalności operacyjnej</t>
  </si>
  <si>
    <t>Wariant sytuacji</t>
  </si>
  <si>
    <t>Amortyzacja</t>
  </si>
  <si>
    <t>I</t>
  </si>
  <si>
    <t>Zmiany stanu kapitału pracującego</t>
  </si>
  <si>
    <t xml:space="preserve">(Przychody)/koszty z tytułu odsetek od instrumentów finansowych </t>
  </si>
  <si>
    <t>(Przychody)/koszty z tytułu odsetek od leasingu</t>
  </si>
  <si>
    <t>(Zyski)/straty z różnic kursowych</t>
  </si>
  <si>
    <t>Pozostałe (przychody)/koszty finansowe</t>
  </si>
  <si>
    <t>II</t>
  </si>
  <si>
    <t>(Zyski)/straty z działalności inwestycyjnej i finansowej</t>
  </si>
  <si>
    <t>Pozostałe korekty</t>
  </si>
  <si>
    <t>Środki pieniężne wygenerowane z działalności operacyjnej</t>
  </si>
  <si>
    <t>Podatek dochodowy zapłacony</t>
  </si>
  <si>
    <t>Środki pieniężne netto z działalności operacyjnej</t>
  </si>
  <si>
    <t>Przepływy pieniężne z działalności inwestycyjnej</t>
  </si>
  <si>
    <t>I. Wpływy</t>
  </si>
  <si>
    <t>Wpływy ze sprzedaży aktywów trwałych i wartości niematerialnych</t>
  </si>
  <si>
    <t xml:space="preserve">
Lokaty bankowe</t>
  </si>
  <si>
    <t>Pozostałe wpływy</t>
  </si>
  <si>
    <t>II. Wydatki</t>
  </si>
  <si>
    <t>Nabycie aktywów trwałych oraz wartości niematerialnych</t>
  </si>
  <si>
    <t>Wydatki z tytułu prowadzonych projektów rozwojowych</t>
  </si>
  <si>
    <t xml:space="preserve">Lokaty bankowe </t>
  </si>
  <si>
    <t>Pozostałe wydatk</t>
  </si>
  <si>
    <t>Środki pieniężne netto wykorzystane w działalności inwestycyjnej</t>
  </si>
  <si>
    <t>Przepływy pieniężne z działalności finansowej</t>
  </si>
  <si>
    <t>Wpływy z tytułu zaciągnięcia kredytów i pożyczek</t>
  </si>
  <si>
    <t>Dywidendy wypłacone</t>
  </si>
  <si>
    <t>Wydatki z tytułu spłaty kredytów i pożyczek</t>
  </si>
  <si>
    <t>Spłata zobowiązań z tytułu leasingu</t>
  </si>
  <si>
    <t>Zapłacone odsetki</t>
  </si>
  <si>
    <t>Środki pieniężne netto z działalności finansowej</t>
  </si>
  <si>
    <t>Zmiana netto stanu środków pieniężnych i ich ekwiwalentów</t>
  </si>
  <si>
    <t>Środki pieniężne i ich ekwiwalenty na dzień 1 stycznia</t>
  </si>
  <si>
    <t>Środki pieniężne i ich ekwiwalenty na dzień 31 grudnia</t>
  </si>
  <si>
    <t>1 Wskaźnik pokrycia aktywów stałych kapitałem własnym</t>
  </si>
  <si>
    <t>kapitał własny/aktywa stałe</t>
  </si>
  <si>
    <t>KAPITAŁ STAŁY</t>
  </si>
  <si>
    <t>Złota reguła bilansowa</t>
  </si>
  <si>
    <t>mniejsze niż 1-&gt;źle</t>
  </si>
  <si>
    <t>NIE SPEŁNIONA</t>
  </si>
  <si>
    <t>(KAPITAŁ PODSTAWOWY+KAPITAŁ OBCY DŁUGOTERMINOWY)</t>
  </si>
  <si>
    <t>2 Wskaźnik pokrycia aktywów trwałych kapitałem stałym</t>
  </si>
  <si>
    <t>kapitał stały/aktywa stałe</t>
  </si>
  <si>
    <t xml:space="preserve">Srebrna reguła bilansowa
bilansowa </t>
  </si>
  <si>
    <t>większe niż 1-&gt;dobrze</t>
  </si>
  <si>
    <t>SPEŁNIONA</t>
  </si>
  <si>
    <t xml:space="preserve">3 Wskaźnik pokrycia aktywów </t>
  </si>
  <si>
    <t>obrotowych zobowiązaniami krótkoterminowymi</t>
  </si>
  <si>
    <t>Zobowiązania krótkoterminowe/aktywa obrotowe
obrotowe</t>
  </si>
  <si>
    <t>Wskaźnik pokrycia aktywów stałych kapitałem własnym</t>
  </si>
  <si>
    <t>złota reguła bilansowania w stosunku do majątku obrotowego</t>
  </si>
  <si>
    <t>Wskaźnik pokrycia aktywów trwałych kapitałem stałym</t>
  </si>
  <si>
    <t>Wskaźnik pokrycia aktywów obrotowych zobowiązaniami krótkoterminowymi</t>
  </si>
  <si>
    <t>PASYWA</t>
  </si>
  <si>
    <t>Stan na 31/12/2022 PLN'000</t>
  </si>
  <si>
    <t>Stan na 31/12/2021 PLN'000</t>
  </si>
  <si>
    <t>Stan na 31/12/2020 PLN'000</t>
  </si>
  <si>
    <t>AKTYWA</t>
  </si>
  <si>
    <t>Stan na 31/12/2022 w tys. PLN</t>
  </si>
  <si>
    <t>Stan na 31/12/2021 w tys. PLN</t>
  </si>
  <si>
    <t>Stan na 31/12/2020 w tys. PLN</t>
  </si>
  <si>
    <t>Kapitał własny</t>
  </si>
  <si>
    <t xml:space="preserve">Aktywa trwałe
</t>
  </si>
  <si>
    <t>Kapitał podstawowy</t>
  </si>
  <si>
    <t>Wartości niematerialne</t>
  </si>
  <si>
    <t>Nadwyżka ze sprzedaży akcji powyżej ich wartości nominalnej</t>
  </si>
  <si>
    <t>Aktywa z tytułu prawa do użytkowania</t>
  </si>
  <si>
    <t>Zyski zatrzymane</t>
  </si>
  <si>
    <t>Rzeczowe aktywa trwałe</t>
  </si>
  <si>
    <t>Razem kapitał własny</t>
  </si>
  <si>
    <t>Aktywa z tytułu umów z klientami i należności długoterminowe</t>
  </si>
  <si>
    <t>Aktywa z tytułu podatku odroczonego</t>
  </si>
  <si>
    <t>Zobowiązania długoterminowe</t>
  </si>
  <si>
    <t>Inne rozliczenia międzyokresowe</t>
  </si>
  <si>
    <t>Zobowiązania z tytułu leasingu</t>
  </si>
  <si>
    <t>Aktywa trwałe razem</t>
  </si>
  <si>
    <t>Rezerwy</t>
  </si>
  <si>
    <t xml:space="preserve">Aktywa obrotowe
</t>
  </si>
  <si>
    <t>Zobowiązania długoterminowe razem</t>
  </si>
  <si>
    <t>Zapasy</t>
  </si>
  <si>
    <t>Należności z tytułu dostaw i usług oraz pozostałe należności</t>
  </si>
  <si>
    <t xml:space="preserve">Zobowiązania krótkoterminowe
</t>
  </si>
  <si>
    <t>Aktywa z tytułu umów z klientami</t>
  </si>
  <si>
    <t>Pozostałe należności</t>
  </si>
  <si>
    <t>Zobowiązania z tytułu dostaw i usług</t>
  </si>
  <si>
    <t>Rozliczenia międzyokresowe</t>
  </si>
  <si>
    <t>Zobowiązania z tytułu umów z klientami</t>
  </si>
  <si>
    <t>Lokaty o terminie wymagalności powyżej 3 miesięcy</t>
  </si>
  <si>
    <t>Zobowiązania z tytułu podatku dochodowego od osób prawnych</t>
  </si>
  <si>
    <t>Środki pieniężne i depozyty krótkoterminowe</t>
  </si>
  <si>
    <t xml:space="preserve">Pozostałe aktywa </t>
  </si>
  <si>
    <t>Zobowiązania budżetowe i pozostałe zobowiązania</t>
  </si>
  <si>
    <t>Aktywa obrotowe razem</t>
  </si>
  <si>
    <t>Rozliczenie międzyokresowe</t>
  </si>
  <si>
    <t>Aktywa razem</t>
  </si>
  <si>
    <t>Zobowiązania krótkoterminowe razem</t>
  </si>
  <si>
    <t>Zobowiązania razem</t>
  </si>
  <si>
    <t>Pasywa razem</t>
  </si>
  <si>
    <t>Stan na 31/12/2021 w tys.PLN</t>
  </si>
  <si>
    <t>Struktura pasywów wdł. Grup</t>
  </si>
  <si>
    <t>Struktura pasywów w stosunku do pasywów razem</t>
  </si>
  <si>
    <t>Wskaźniki tempa zmian (w stosunku do roku wcześniej)</t>
  </si>
  <si>
    <t>KAPITAŁ WŁASNY</t>
  </si>
  <si>
    <t>ZOBOWIĄZANIA DŁUGOTERMINOWE</t>
  </si>
  <si>
    <t>ZOBOWIĄZANIA KRÓTKOTERMINOWE</t>
  </si>
  <si>
    <t>1.WSKAŹNIK UDZIAŁU KAPITAŁÓW WŁASNYCH</t>
  </si>
  <si>
    <t>kapitał własny/pasywa ogółem</t>
  </si>
  <si>
    <t>2. WSKAŹNIK UDZIAŁU KAPITAŁÓW OBYCH</t>
  </si>
  <si>
    <t>kapitały obce/pasywa ogółem</t>
  </si>
  <si>
    <t>3.Stopień obciążenia
przedsiębiorstwa
zobowiązaniami</t>
  </si>
  <si>
    <t>rezerwy i zobowiązania/pasywa ogółem</t>
  </si>
  <si>
    <t>4.Udział zobowiązań
długoterminowych w pasywach
ogółem</t>
  </si>
  <si>
    <t>5.Udział zobowiązań
krótkoterminowych w
pasywach ogółem</t>
  </si>
  <si>
    <t>6.Udział rozliczeń
międzyokresowych w
pasywach ogółem</t>
  </si>
  <si>
    <t>Stopień wyposazenia przedsiębiorstwa w kapitał stały</t>
  </si>
  <si>
    <t>7.Wskaźnik struktury kapitału</t>
  </si>
  <si>
    <t>Złota reguła finansowa:</t>
  </si>
  <si>
    <t xml:space="preserve">w każdym roku wskaźnik jest co najmniej </t>
  </si>
  <si>
    <t>3 razy wyższy od '1', więc są to dobre wyniki</t>
  </si>
  <si>
    <t>STRYKTURA AKTYWÓW WDŁ. GRUP</t>
  </si>
  <si>
    <t>STRUKTURA AKTYWÓW W STOSUNKU AKTYWÓW RAZEM</t>
  </si>
  <si>
    <t>WSKAŹNIKI TEMPA ZMIAN (w stosunku do roku wcześniej)</t>
  </si>
  <si>
    <t>AKTYWA TRWAŁE</t>
  </si>
  <si>
    <t>AKTYWA OBROTOWE</t>
  </si>
  <si>
    <t>ANALIZA POZIOMA</t>
  </si>
  <si>
    <t>1.Zmiana stanu absolutna:(stan aktywów koniec-stan aktywów początku</t>
  </si>
  <si>
    <t>2.Tempo zmian(zmiana względna):(ustalona zmiana/stan aktywów początek)</t>
  </si>
  <si>
    <t>3.dynamika(stan aktywów koniec/stan aktywów początek)</t>
  </si>
  <si>
    <t>ANALIZA PIONOWA</t>
  </si>
  <si>
    <t xml:space="preserve">1.WSKAŻNIK UDZIAŁU AKTYWÓW TRWAŁYCH </t>
  </si>
  <si>
    <t>2.WSKAŹNIK UDZIAŁU AKTYWÓW OBROTOWYCH</t>
  </si>
  <si>
    <t>3.WSKAŹNIK UNIERUCHOMIENIA MAJĄTKU</t>
  </si>
  <si>
    <t>Wysoka wartość wskaźnika, wskazuje na to, że struktura majątkowa przedsiębiorstwa
 jest sztywna i trudniejsza do ewentualnych korekt i zmian</t>
  </si>
  <si>
    <t>Rachunek zysków i strat</t>
  </si>
  <si>
    <t>STRUKTURA</t>
  </si>
  <si>
    <t>Dynamika</t>
  </si>
  <si>
    <t>Przychody operacyjne</t>
  </si>
  <si>
    <t>Koszt własny sprzedaży</t>
  </si>
  <si>
    <t>Zysk (strata) brutto na sprzedaży</t>
  </si>
  <si>
    <t>Koszty sprzedaży</t>
  </si>
  <si>
    <t>Koszty ogólnego zarządu</t>
  </si>
  <si>
    <t>zysk netto ze sprzedazy</t>
  </si>
  <si>
    <t>Pozostałe przychody operacyjne</t>
  </si>
  <si>
    <t>Pozostałe koszty operacyjne</t>
  </si>
  <si>
    <t>Zysk (strata) na działalności operacyjnej</t>
  </si>
  <si>
    <t>Przychody finansowe</t>
  </si>
  <si>
    <t>Koszty finansowe</t>
  </si>
  <si>
    <t>Zysk (strata) brutto</t>
  </si>
  <si>
    <t>Podatek dochodowy</t>
  </si>
  <si>
    <t>Zysk (strata) netto</t>
  </si>
  <si>
    <t>W TYS. PLN</t>
  </si>
  <si>
    <t>Przychody</t>
  </si>
  <si>
    <t>Koszta</t>
  </si>
  <si>
    <t>Udziału kosztów do przychodów</t>
  </si>
  <si>
    <t>Sprzedaż/usługi</t>
  </si>
  <si>
    <t>Dział. Operac</t>
  </si>
  <si>
    <t>Finansowe</t>
  </si>
  <si>
    <t>STRUKTURA PRZYCHODÓW</t>
  </si>
  <si>
    <t>DYNAMIKA</t>
  </si>
  <si>
    <t>STRUKTURA KOSZTÓW</t>
  </si>
  <si>
    <t>Koszty</t>
  </si>
  <si>
    <t>1.Rentowność operacyjna aktywów</t>
  </si>
  <si>
    <t>wynik z działalności operacyjnej × 100/średnioroczny stan aktywów ogółem</t>
  </si>
  <si>
    <t>Rok</t>
  </si>
  <si>
    <t>nasz:</t>
  </si>
  <si>
    <t>średni:</t>
  </si>
  <si>
    <t>19,35%</t>
  </si>
  <si>
    <t>Poziom tego wskaźnika wyznacza maksymalny dopuszczalny poziom oprocentowania zobowiązań przedsiębiorstwa, przy którym możliwe jest osiągnięcie pozytywnego efektu dźwigni finansowej. W 2021 nasz wskaźnik wyszedł troszkę większy niż średnia dla branży.</t>
  </si>
  <si>
    <t>2. Rentowność kapitału własnego</t>
  </si>
  <si>
    <t>wynik netto × 100/średnioroczny stan kapitału (funduszu) własnego</t>
  </si>
  <si>
    <t>31,32%</t>
  </si>
  <si>
    <t>Efektywność wykorzystania kapitałów własnych w przedsiębiorstwie. Jest on na dobrym poziomie ok. 24% w naszej firmie wskaźnik wyszedł niższy niż średnia w branży, co może świadczyć że inne firmy w branży bardziej efektywnie wykorzystują kapitał własny lub korzystają w większym stopniu z kapitałów obcych.</t>
  </si>
  <si>
    <t>3.Rentowność netto</t>
  </si>
  <si>
    <t>wynik netto × 100/przychody ogółem</t>
  </si>
  <si>
    <t>9,56%</t>
  </si>
  <si>
    <t>Informuje o relacji wyniku i przychodów. Jest na dobrym poziomie ok. 26%, w 2021 roku wskaźnik jest dużo wyższy niż średnia w sektorze.</t>
  </si>
  <si>
    <t>4. Rentowność sprzedaży</t>
  </si>
  <si>
    <t>wynik ze sprzedaży × 100/przychody netto ze sprzedaży produktów, towarów i materiałów</t>
  </si>
  <si>
    <t>9,09%</t>
  </si>
  <si>
    <t>Nasz wskaźnik informuje nas o wysokiej efektywności sprzedaży, czyli zysku % na sprzedaży - wyszedł ponad 4 razy większy niż średnia w sektorze.</t>
  </si>
  <si>
    <t>5. Rentowność ekonomiczna sprzedaży</t>
  </si>
  <si>
    <t>(wynik z działalności operacyjnej + amortyzacja) × 100/przychody ze sprzedaży produktów, towarów i materiałów + pozostałe przychody operacyjne</t>
  </si>
  <si>
    <t>12,69%</t>
  </si>
  <si>
    <t>Wysoka rentowność ekonomiczna sprzedaży ok. 40% - ponad 3-krotnie wyższa niż średnia w sektorze.</t>
  </si>
  <si>
    <t>6. Płynność finansowa I stopnia</t>
  </si>
  <si>
    <t>aktywa obrotowe ogółem (bez należności z tytułu dostaw i usług o okresie spłaty powyżej 12 mies.)/zobowiązania krótkoterminowe (bez zobowiązań z tytułu dostaw i usług o okresie wymagalności powyżej 12 mies.)</t>
  </si>
  <si>
    <t xml:space="preserve">Średnia wartość dla sektora IT wyszła 4,02, co może oznaczać że cały sektor jest nadpłynny. Nasz wskaźnik zawiera się w przedziale 1,2 - 2,0. </t>
  </si>
  <si>
    <t>7. Płynność finansowa II stopnia</t>
  </si>
  <si>
    <t>aktywa obrotowe ogółem (bez należności z tytułu dostaw i usług o okresie spłaty powyżej 12 mies.) – zapasy – krótkoterminowe rozliczenia międzyokresowe/zobowiązania krótkoterminowe (bez zobowiązań z tytułu dostaw i usług o okresie wymagalności powyżej 12 mies.)</t>
  </si>
  <si>
    <t>Nasze przedsiębiorstwo jest w stanie aktywami obrotowymi pokryć ok. 1.6 raza zobowiązania krótkoterminowe</t>
  </si>
  <si>
    <t>Wskaźnik wyszedł dwa razy mniejszy niż średnia sektora, co jest niekorzystnym wynikiem.</t>
  </si>
  <si>
    <t>8.Płynność finansowa III stopnia</t>
  </si>
  <si>
    <t>inwestycje krótkoterminowe/zobowiązania krótkoterminowe (bez zobowiązań z tytułu dostaw i usług o okresie wymagalności powyżej 12 mies.)</t>
  </si>
  <si>
    <t>Relacja inwestycji krótkoterminowych do zobowiązań krótkoterminowych, wynik niższy niż średnia w sektorze</t>
  </si>
  <si>
    <t>9.Spływ należności</t>
  </si>
  <si>
    <t>średnioroczny stan ogółu należności z tytułu dostaw i usług × 365/przychody ze sprzedaży produktów, towarów i materiałów</t>
  </si>
  <si>
    <t>Informuje ile firma czeka na spłatę należności, wynik podobny jak w sektorze</t>
  </si>
  <si>
    <t>10.Spłata zobowiązań</t>
  </si>
  <si>
    <t>średnioroczny stan ogółu zobowiązań z tytułu dostaw i usług × 365/przychody ze sprzedaży produktów, towarów i materiałów</t>
  </si>
  <si>
    <t>Informuje po jakim czasie firma spłaca swoje zobowiązania krótkoterminowe, wynik dużo niższy niż średnia sektora</t>
  </si>
  <si>
    <t>11.Szybkość obrotu zapasów</t>
  </si>
  <si>
    <t>średnioroczny stan zapasów × 365/przychody ze sprzedaży produktów, towarów i materiałów</t>
  </si>
  <si>
    <r>
      <t xml:space="preserve">Nasza firma posiada bardzo małe ilości zapasów, przez co nasz wskaźnik wyszedł ponad </t>
    </r>
    <r>
      <rPr>
        <b/>
        <sz val="11"/>
        <color theme="1"/>
        <rFont val="Calibri"/>
        <family val="2"/>
        <charset val="238"/>
        <scheme val="minor"/>
      </rPr>
      <t>30 razy mniejszy</t>
    </r>
    <r>
      <rPr>
        <sz val="11"/>
        <color theme="1"/>
        <rFont val="Calibri"/>
        <family val="2"/>
        <scheme val="minor"/>
      </rPr>
      <t xml:space="preserve"> niż średnia sektora</t>
    </r>
  </si>
  <si>
    <t>12.Pokrycie  aktywów  trwałych  kapitałem  własnym  i  rezerwami  długoterminowymi</t>
  </si>
  <si>
    <t>kapitał (fundusz) własny + rezerwy długoterminowe /aktywa trwałe + należności z tytułu dostaw i usług o okresie spłaty powyżej 12 mies.</t>
  </si>
  <si>
    <t xml:space="preserve">Nasza firma posiada bardzo duży udział aktywów trwałych w aktywach ogółem, przez co wskaźnik wychodzi mniej niż 1, podczas gdy średnia sektora wyniosła 11,43. </t>
  </si>
  <si>
    <t>13.Trwałość struktury finansowania</t>
  </si>
  <si>
    <t>kapitał (fundusz) własny + rezerwy długoterminowe + zobowiązania długoterminowe (łącznie z zobowiązaniami z tytułu dostaw i usług powyżej 12 mies.)/aktywa ogółem</t>
  </si>
  <si>
    <t>Wynik naszej firmy wyszedł wyższy niż średnia sektora - co oznacza, że mamy wyższy stopień bezpieczeństwa finansowego</t>
  </si>
  <si>
    <t>14.Ogólne zadłużenie</t>
  </si>
  <si>
    <t>zobowiązania i rezerwy na zobowiązania × 100/aktywa ogółem</t>
  </si>
  <si>
    <t>Ogólnie podaje się, że wskaźnik powinien wyjść w okolicach 57-67. Nasz wskaźnik wyszedł sporo niższy, również niż średnia sektora, co może świadczyć że nasza firma nie wykorzystuje w pełni możliwości finansowania się kapitałem obcym.</t>
  </si>
  <si>
    <t>ANALIZA WYPŁACALNOŚCI(ZADŁUŻENIA):</t>
  </si>
  <si>
    <t>Statyczne:</t>
  </si>
  <si>
    <t>Wskaźnik ogólnego zadłużenia</t>
  </si>
  <si>
    <t>Zobowiązania razem/aktywa ogółem</t>
  </si>
  <si>
    <t>Wskaźnik ten określa w jaki stopniu majątek przedsiębiorstwa jest finansowany kapitałami obcymi, oczekiwana wartość jest w przedziale (0,57;0,67), firma nie wykorzystuje w pełni możliwości finansowania kapitałem obcym.</t>
  </si>
  <si>
    <t>Wskaźnik zadłużenia kapitału własnego</t>
  </si>
  <si>
    <t>Zobowiązania razem / kapitał własny</t>
  </si>
  <si>
    <t>Niski wynik - korzystna sytuacja. Oznacza, że mamy niski stopień udziału kapitałów obcych w stosunku do posiadanych kapitałów własnych</t>
  </si>
  <si>
    <t>Wskaźnik zadłużenia długoterminowego</t>
  </si>
  <si>
    <t>Zobowiązania długoterminowe / aktywa ogółem</t>
  </si>
  <si>
    <t>Niski wynik - może świadczyć o tym, że firma nie wykorzystuje w pełni możliwości zwiększenia wydajności, poprzez fundusze obce</t>
  </si>
  <si>
    <t>Wskaźnik poziomu zadłużenia środków trwałych</t>
  </si>
  <si>
    <t>rzeczowe składniki majątku trwałego / zobowiązania długoterminowe</t>
  </si>
  <si>
    <t>Ile razy wartość netto środków trwałych wystarcza na pokrycie zaciągniętych zobowiązań</t>
  </si>
  <si>
    <t>Wskaźnik pokrycia zobowiązań odsetkowych</t>
  </si>
  <si>
    <t>(zysk brutto + zapłacone odsetki) /zapłacone odsetki</t>
  </si>
  <si>
    <t>Bardzo wysoki poziom pokrycia zob. odsetkowych wynikający z wysokiej rentowności oraz niskich odsetek wynikających z niskiego kapitału obcego.</t>
  </si>
  <si>
    <t>Wskaźnik wiarygodności kredytowej</t>
  </si>
  <si>
    <t>(zysk brutto +zapłacone odsetki)/(Wydatki z tytułu spłat kredytów i pożyczek + spłata zob. z tytułu leasingu +  zapłacone odsetki)</t>
  </si>
  <si>
    <t>Ile razy wypracowany zysk brutto powiększony o odsetki pokrywa roczną wartość naszych zobowiązań. Według Banku Światowego wartość powinna oscylować około 2.5. W naszym przypadku wartości wyszły całkiem spore.</t>
  </si>
  <si>
    <t>Wskaźnik pokrycia obsługi kredytu z cash flow</t>
  </si>
  <si>
    <t>(zysk netto + amortyzacja) / (wydatki z tytułu spłat kredytów i pożyczek+spłata zob. z tytułu leasingu + odsetki)</t>
  </si>
  <si>
    <t>Informuje o skali pokrycia wartości zaciągniętego długu z nadwyżki finansowej. Wartości &gt;1,5 są optymalne. Nasze wyniki wyszły znacznie większe, co możemy uznać za pozytowne zjawisko</t>
  </si>
  <si>
    <t>Dynamiczne:</t>
  </si>
  <si>
    <t>Wskaźnik pokrycia obsługi długu z gotówki operacyjnej</t>
  </si>
  <si>
    <t>Środki pieniężne netto z działalności operacyjnej / (wydatki z tytułu spłaty kredytów i pożyczek + spłata zob. z tytułu leasingu + zapłacone odsetki)</t>
  </si>
  <si>
    <t>Informuje o stopniu zabezpieczenia spłaty rat kapitałowych wraz z naliczonymi odsetkami przez wypracowany stan przepływów pieniężnych z działalności operacyjnej. Nasze wyniki wyszły wysokie, czyli firma posiada spore bezpieczeństwo obsługi zadłużenia z wypracowanych środków pieniężnych</t>
  </si>
  <si>
    <t>Wskaźnik pokrycia odsetek z gotówki operacyjnej</t>
  </si>
  <si>
    <t>Środki pieniężne netto z działalności operacyjnej / zapłacone odsetki</t>
  </si>
  <si>
    <t>Nasza gotówka operacyjna jest w stanie około. 80 krotnie pokryć odsetki. W 2020 tylko 60 krotnie.</t>
  </si>
  <si>
    <t>Wskaźnik pokrycia zobowiązań ogółem z gotówki operacyjnej</t>
  </si>
  <si>
    <t>Środki pieniężne netto z działalności operacyjnej / zobowiązania ogółem</t>
  </si>
  <si>
    <t>Nasze wskaźniki wyszły powyżej 1 w roku 2020 i 2022, czyli nasza firma jest w stanie spłacić całość zobowiązań z przepływów pieniężnych operacyjnych, natomiast w 2021 wynosi prawie 1 więc firma jest w stanie spłacić 88% zobowiązań z przepływów z dzial. operacyjnej.</t>
  </si>
  <si>
    <r>
      <t>Wskaźnik pokrycia zobowiązań długoterminowych z gotówki operacyjnej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</si>
  <si>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t>Środki pieniężne netto z działalności operacyjnej / zobowiązania długoterminowe</t>
  </si>
  <si>
    <t>Wysoki stopień pokrycia zobowiązań długoterminowych środkami z działalności operacyjnej.</t>
  </si>
  <si>
    <t>Wskaźnik pokrycia aktywów kapitałami własnymi</t>
  </si>
  <si>
    <t>kapitał własny / aktywa ogółem</t>
  </si>
  <si>
    <t>Wskaźnik utrzymuje się na stabilnym poziomie. Wartość wskaźnika jest niższa niż 1, oznacza to, że cześć majątku jest finansowana przez kapitał obcy.</t>
  </si>
  <si>
    <t>Mnożnik kapitału obcego</t>
  </si>
  <si>
    <t xml:space="preserve">aktywa ogółem/kapitał własny </t>
  </si>
  <si>
    <t>Wskaźnik struktury zobowiązań długoterminowych</t>
  </si>
  <si>
    <t>zobowiązania długoterminowe / zobowiązania ogółem</t>
  </si>
  <si>
    <t>Razem ze wskaźnikiem struktury zobowiązań krótkoterminowych ukazuje udział w łącznych zobowiązaniach. Wyraźna różnica między 2020,2022 a 2021.</t>
  </si>
  <si>
    <t>Wskaźnik struktury zobowiązań krótkoterminowych</t>
  </si>
  <si>
    <t>zobowiązania krótkoterminowe / zobowiązania ogółem</t>
  </si>
  <si>
    <t>Ostatecznie firma wykazuje tendencję do zwiększania roztępu między zobowiązaniami krótko i długoterminowymi. W 2020 różnica między zob. krótkoterminowymi a zob. długoterminowymi wynosiła ok. 13%, a w 2022 ta różnica wyniosła już ok. 21 %.</t>
  </si>
  <si>
    <t>Wskaźnik niezależności finansowej</t>
  </si>
  <si>
    <t>kapitał własny / kapitał obcy ogółem</t>
  </si>
  <si>
    <t>Odwrotność wskaźnika zadłużenia kapitału własnego.</t>
  </si>
  <si>
    <t>ANALIZA PŁYNNOŚCI:</t>
  </si>
  <si>
    <t>Wskaźnik bieżącej płynności</t>
  </si>
  <si>
    <t>aktywa bieżące/pasywa bieżące</t>
  </si>
  <si>
    <t>Wskaźnik informuje ile razy aktywami bieżącymi można pokryć pasywa bieżące, wskaźnik ten mieści się w przedziale (1,2;2) więc jest to wynik korzystny</t>
  </si>
  <si>
    <t>Wskaźnik szybkiej płynności finansowej</t>
  </si>
  <si>
    <t>(aktywa bieżące - zapasy) / pasywa bieżące</t>
  </si>
  <si>
    <t>Informuje ile razy aktywami łatwo zbywalnymi można pokryć pasywa bieżące, nasz wskaźnik jest powyżej 1 więc niema zagrożenia zdolności płatniczej jednostki</t>
  </si>
  <si>
    <t>Wskaźnik natychmiastowej płynności finansowej</t>
  </si>
  <si>
    <t>inwestycje krótkoterminowe / zob. krotkoterminowe</t>
  </si>
  <si>
    <t>Informuje on jaką część zobowiązań firmy można spłacić w formie gotówki lub inwestycji krótkoterminowych</t>
  </si>
  <si>
    <t>Wskaźnik płynności gotówkowej</t>
  </si>
  <si>
    <t>środki pieniężne/zob.krótkoterminowe</t>
  </si>
  <si>
    <t>Informuje on jaką część zobowiązań firmy można spłacić w formie środków pieniężnych</t>
  </si>
  <si>
    <t>Wskaźniki wystarczalności gotówkowej</t>
  </si>
  <si>
    <t>Wskaźnik ogólny wystarczalności gotówki</t>
  </si>
  <si>
    <t>Przepływy pieniężne netto z działalności operacyjnej/(spłata zob. + wydatki na inwestycje + wypłata dywidend)</t>
  </si>
  <si>
    <t>Wskaźnik informuje jaka kwota środków pieniężnych z działalności operacyjnej przypada na złotówkę niezbędnych wydatków, pożądany wynik to &gt;1, naszej firmie udało się go osiągnąc dopiero w 2020 roku</t>
  </si>
  <si>
    <t>Wskaźnik spłaty zobowiązań</t>
  </si>
  <si>
    <t>Przepływy pieniężne netto z działalności operacyjnej/zobowiązania ogółem</t>
  </si>
  <si>
    <t>Wskaźnik informuje jaka kwota środków pieniężnych z działalności operacyjnej przypada na złotówkę zobowiązań, korzystny wynik firma osiągneła w roku 2020 i 2020</t>
  </si>
  <si>
    <t>Wskaźnik pokrycia wydatków inwestycyjnych</t>
  </si>
  <si>
    <t>Przepływy pieniężne netto z działalności operacyjnej/wydatki inwestycyjne</t>
  </si>
  <si>
    <t>Wskaźnik informuje jaka kwota środków pieniężnych z działalności operacyjnej przypada na złotówkę wydatków inwestycyjnych, w roku 2021 wskaźnik się wyraźnie zwiększył co jest spowodowane tym że nasze koszty inwestycyjne zmalały</t>
  </si>
  <si>
    <t>Wskaźnik pokrycia dywidend</t>
  </si>
  <si>
    <t>Przepływy pieniężne netto z działalności operacyjnej/wydatki na dywidendy</t>
  </si>
  <si>
    <t>Wskaźnik informuje jaka kwota środków pieniężnych z działalności operacyjnej przypada na złotówkę wypłat dywidend</t>
  </si>
  <si>
    <t>Wskaźniki wydajności gotówkowej</t>
  </si>
  <si>
    <t>Wskaźnik wydajności gotówkowej sprzedaży</t>
  </si>
  <si>
    <t>Przepływy pieniężne netto z działalności operacyjnej/przychody ze sprzedaży</t>
  </si>
  <si>
    <t>Informuje on ile gotówki zostało wygenerowane w stosunku do przychodów</t>
  </si>
  <si>
    <t>Wskaźnik wydajności gotówkowej aktywów</t>
  </si>
  <si>
    <t>Przepływy pieniężne netto z działalności operacyjnej/przeciętny stan aktywów</t>
  </si>
  <si>
    <t>Informuje on ile gotówki zostało wygenerowane w stosunku do aktywów</t>
  </si>
  <si>
    <t>Wskaźnik wydajności gotówkowej zysku</t>
  </si>
  <si>
    <t>Przepływy pieniężne netto z działalności operacyjnej/zysk netto</t>
  </si>
  <si>
    <t>Informuje on ile gotówki zostało wygenerowane w stosunku do zysku</t>
  </si>
  <si>
    <t>ANALIZA RENTOWNOŚCI:</t>
  </si>
  <si>
    <t>Wskaźnik rentowności sprzedaży</t>
  </si>
  <si>
    <t>zysk netto/ przychody ze sprzedaży</t>
  </si>
  <si>
    <t>Informuje o wielkości zysku netto przypadającej na jednostkę sprzedanych produktów. Im wyższa wartość wskaźnika tym wyższa efektywność wykorzystanych nakładów. Widzimy lekki spadek.</t>
  </si>
  <si>
    <t>Wskaźnik rentowności majątku</t>
  </si>
  <si>
    <t>zysk netto/przeciętne aktywa całkowite</t>
  </si>
  <si>
    <t>Wskaźnik informuje o stopniu efektywności wykorzystania majątku przez przedsiębiorstwo. Widzimy lekki wzrost.</t>
  </si>
  <si>
    <t>Wskaźnik rentowności kapitału własnego</t>
  </si>
  <si>
    <t>zysk netto/ przeciętny kapitał własny</t>
  </si>
  <si>
    <t>Informuje, ile procent zysku netto przynosi jedna złotówka kapitału własnego. Lekki wzrost.</t>
  </si>
  <si>
    <t>Gotówkowa rentowność kapitału własnego</t>
  </si>
  <si>
    <t>Dodatnie przepływy pieniężne z działalności operacyjnej /kapitał własny</t>
  </si>
  <si>
    <t>Pokazuje on ile gotówki firma generuje przy wykorzystaniu kapitału własnego.</t>
  </si>
  <si>
    <t>Gotówkowa rentowność kapitału obcego</t>
  </si>
  <si>
    <t>Dodatnie przepływy pieniężne z działalności operacyjnej /kapitał obcy</t>
  </si>
  <si>
    <t>Pokazuje on ile gotówki firma generuje przy wykorzystaniu kapitału obcego.</t>
  </si>
  <si>
    <t>ANALIZA OBROTOWOŚCI:</t>
  </si>
  <si>
    <t>Wskaźnik obciążenia przychodów ze sprzedaży kosztami</t>
  </si>
  <si>
    <t>koszty/przychód ze sprzedaży</t>
  </si>
  <si>
    <t>Wskaźnik rotacji aktywów</t>
  </si>
  <si>
    <t>Przychody ze sprzedaży /przeciętne aktywa ogółem</t>
  </si>
  <si>
    <t>Każda złotówka zaangażowana w aktywa przynosi firmie kolejno: 0,69;0,73 przychodów ze sprzedaży</t>
  </si>
  <si>
    <t>Wskaźnik rotacji aktywów trwałych</t>
  </si>
  <si>
    <t>Przychody ze sprzedaży / przeciętne aktywa trwałe</t>
  </si>
  <si>
    <t>Każda złotówka zaangażowana w aktywa trwałe przynosi firmie kolejno: 0,86;0,91 przychodów ze sprzedaży.</t>
  </si>
  <si>
    <t>Wskaźnik rotacji aktywów obrotowych</t>
  </si>
  <si>
    <t>Przychody ze sprzedaży / przeciętne aktywa obrotowe</t>
  </si>
  <si>
    <t>Każda złotówka zaangażowana w aktywa trwałe przynosi firmie kolejno: 3,39;3,51 zł przychodów ze sprzedaży.</t>
  </si>
  <si>
    <t>Wskaźnik rotacji zapasów</t>
  </si>
  <si>
    <t>Przychody ze sprzedaży / średni stan zapasów</t>
  </si>
  <si>
    <t>Jako że jest to firma informatyczna, to nasze zapasy są bardzo małe - sprzedaż jest w niewielkim stopniu związana z poziomem zapasów.</t>
  </si>
  <si>
    <t>Wskaźnik rotacji zapasów w dniach</t>
  </si>
  <si>
    <t>średni stan zapasów/Przychody ze sprzedaży x 365</t>
  </si>
  <si>
    <t>Wskaźnik rotacji należności</t>
  </si>
  <si>
    <t>Przychody ze sprzedaży/ średni stan należności</t>
  </si>
  <si>
    <t>Ile razy w ciągu badanego roku firma odtwarza stan swoich należności.</t>
  </si>
  <si>
    <t>Wskaźnik rotacji należności w dniach</t>
  </si>
  <si>
    <t>średni stan należności / przychody ze sprzedaży * 365</t>
  </si>
  <si>
    <t xml:space="preserve">Gotówka jest zamrożona w należnościach przez ok 51 dni. </t>
  </si>
  <si>
    <t>Wskaźnik rotacji zobowiązań</t>
  </si>
  <si>
    <t>Przychody ze sprzedaży/ średni stan zobowiązań krótkoterminowych</t>
  </si>
  <si>
    <t>Szybkość obrotu zobowiązaniami krótkoterminowymi.</t>
  </si>
  <si>
    <t>Wskaźnik rotacji zobowiązań w dniach</t>
  </si>
  <si>
    <t>średni stan zobowiązań krótkoterminowych / przychody ze sprzedaży * 365</t>
  </si>
  <si>
    <t>Firma potrzebuje tyle dni na spłacenie zobowiązań krótkoterminowych.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</si>
</sst>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0.000%"/>
    <numFmt numFmtId="166" formatCode="#,##0;[Red]\(#,##0\)"/>
    <numFmt numFmtId="167" formatCode="#,##0.00;[Red]\(#,##0.00\)"/>
    <numFmt numFmtId="168" formatCode="0.0%"/>
    <numFmt numFmtId="169" formatCode="0.0000000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6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  <charset val="238"/>
    </font>
    <font>
      <sz val="10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theme="1"/>
      <name val="Times New Roman"/>
      <family val="1"/>
      <charset val="238"/>
    </font>
    <font>
      <sz val="6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  <charset val="238"/>
    </font>
    <font>
      <sz val="10"/>
      <color theme="0"/>
      <name val="Calibri"/>
      <family val="2"/>
      <charset val="238"/>
      <scheme val="minor"/>
    </font>
    <font>
      <sz val="12"/>
      <color theme="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0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scheme val="minor"/>
    </font>
    <font>
      <sz val="12"/>
      <color rgb="FF000000"/>
      <name val="-Apple-System"/>
      <charset val="1"/>
    </font>
    <font>
      <b/>
      <i/>
      <sz val="10"/>
      <color rgb="FF00000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0" applyNumberFormat="0" applyFill="0" applyBorder="0" applyAlignment="0" applyProtection="0"/>
  </cellStyleXfs>
  <cellXfs count="327">
    <xf numFmtId="0" fontId="0" fillId="0" borderId="0" xfId="0"/>
    <xf numFmtId="0" fontId="3" fillId="0" borderId="0" xfId="0" applyFont="1"/>
    <xf numFmtId="0" fontId="12" fillId="2" borderId="1" xfId="0" applyFont="1" applyFill="1" applyBorder="1" applyAlignment="1">
      <alignment horizontal="center" vertical="top" wrapText="1"/>
    </xf>
    <xf numFmtId="0" fontId="12" fillId="2" borderId="10" xfId="0" applyFont="1" applyFill="1" applyBorder="1" applyAlignment="1">
      <alignment vertical="top" wrapText="1"/>
    </xf>
    <xf numFmtId="0" fontId="12" fillId="3" borderId="6" xfId="0" applyFont="1" applyFill="1" applyBorder="1" applyAlignment="1">
      <alignment vertical="top" wrapText="1"/>
    </xf>
    <xf numFmtId="0" fontId="13" fillId="3" borderId="11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11" xfId="0" applyFont="1" applyBorder="1" applyAlignment="1">
      <alignment horizontal="right" vertical="center" wrapText="1"/>
    </xf>
    <xf numFmtId="0" fontId="14" fillId="0" borderId="6" xfId="0" applyFont="1" applyBorder="1" applyAlignment="1">
      <alignment vertical="top" wrapText="1"/>
    </xf>
    <xf numFmtId="0" fontId="14" fillId="0" borderId="11" xfId="0" applyFont="1" applyBorder="1" applyAlignment="1">
      <alignment horizontal="right" vertical="top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top" wrapText="1"/>
    </xf>
    <xf numFmtId="0" fontId="12" fillId="3" borderId="11" xfId="0" applyFont="1" applyFill="1" applyBorder="1" applyAlignment="1">
      <alignment horizontal="right" vertical="top" wrapText="1"/>
    </xf>
    <xf numFmtId="0" fontId="12" fillId="3" borderId="11" xfId="0" applyFont="1" applyFill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3" xfId="0" applyFont="1" applyBorder="1" applyAlignment="1">
      <alignment vertical="top" wrapText="1"/>
    </xf>
    <xf numFmtId="0" fontId="0" fillId="0" borderId="12" xfId="0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vertical="center" wrapText="1"/>
    </xf>
    <xf numFmtId="0" fontId="14" fillId="0" borderId="11" xfId="0" applyFont="1" applyBorder="1" applyAlignment="1">
      <alignment horizontal="right" wrapText="1"/>
    </xf>
    <xf numFmtId="0" fontId="13" fillId="3" borderId="6" xfId="0" applyFont="1" applyFill="1" applyBorder="1" applyAlignment="1">
      <alignment wrapText="1"/>
    </xf>
    <xf numFmtId="10" fontId="0" fillId="0" borderId="0" xfId="2" applyNumberFormat="1" applyFont="1"/>
    <xf numFmtId="165" fontId="0" fillId="0" borderId="0" xfId="2" applyNumberFormat="1" applyFont="1"/>
    <xf numFmtId="0" fontId="19" fillId="0" borderId="0" xfId="0" applyFont="1"/>
    <xf numFmtId="0" fontId="0" fillId="5" borderId="0" xfId="0" applyFill="1"/>
    <xf numFmtId="165" fontId="0" fillId="6" borderId="0" xfId="2" applyNumberFormat="1" applyFont="1" applyFill="1"/>
    <xf numFmtId="0" fontId="20" fillId="6" borderId="0" xfId="0" applyFont="1" applyFill="1"/>
    <xf numFmtId="165" fontId="0" fillId="0" borderId="12" xfId="2" applyNumberFormat="1" applyFont="1" applyBorder="1"/>
    <xf numFmtId="165" fontId="0" fillId="0" borderId="15" xfId="2" applyNumberFormat="1" applyFont="1" applyBorder="1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8" borderId="0" xfId="0" applyFill="1"/>
    <xf numFmtId="0" fontId="22" fillId="0" borderId="0" xfId="0" applyFont="1"/>
    <xf numFmtId="0" fontId="0" fillId="0" borderId="0" xfId="0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/>
    <xf numFmtId="10" fontId="0" fillId="0" borderId="0" xfId="2" applyNumberFormat="1" applyFont="1" applyAlignment="1"/>
    <xf numFmtId="0" fontId="0" fillId="9" borderId="0" xfId="2" applyNumberFormat="1" applyFont="1" applyFill="1" applyAlignment="1"/>
    <xf numFmtId="0" fontId="0" fillId="12" borderId="0" xfId="0" applyFill="1"/>
    <xf numFmtId="0" fontId="24" fillId="0" borderId="0" xfId="0" applyFont="1"/>
    <xf numFmtId="0" fontId="25" fillId="0" borderId="0" xfId="0" applyFont="1"/>
    <xf numFmtId="1" fontId="9" fillId="0" borderId="12" xfId="1" applyNumberFormat="1" applyFont="1" applyBorder="1" applyAlignment="1">
      <alignment vertical="center" wrapText="1"/>
    </xf>
    <xf numFmtId="1" fontId="10" fillId="0" borderId="12" xfId="1" applyNumberFormat="1" applyFont="1" applyBorder="1"/>
    <xf numFmtId="1" fontId="11" fillId="0" borderId="12" xfId="0" applyNumberFormat="1" applyFont="1" applyBorder="1"/>
    <xf numFmtId="1" fontId="4" fillId="0" borderId="12" xfId="1" applyNumberFormat="1" applyFont="1" applyBorder="1"/>
    <xf numFmtId="1" fontId="4" fillId="0" borderId="12" xfId="0" applyNumberFormat="1" applyFont="1" applyBorder="1"/>
    <xf numFmtId="1" fontId="7" fillId="0" borderId="12" xfId="1" applyNumberFormat="1" applyFont="1" applyBorder="1"/>
    <xf numFmtId="1" fontId="8" fillId="0" borderId="12" xfId="0" applyNumberFormat="1" applyFont="1" applyBorder="1"/>
    <xf numFmtId="1" fontId="10" fillId="0" borderId="12" xfId="0" applyNumberFormat="1" applyFont="1" applyBorder="1"/>
    <xf numFmtId="0" fontId="4" fillId="0" borderId="12" xfId="1" applyNumberFormat="1" applyFont="1" applyBorder="1"/>
    <xf numFmtId="0" fontId="4" fillId="0" borderId="12" xfId="0" applyFont="1" applyBorder="1"/>
    <xf numFmtId="166" fontId="0" fillId="0" borderId="0" xfId="0" applyNumberFormat="1"/>
    <xf numFmtId="0" fontId="26" fillId="3" borderId="12" xfId="0" applyFont="1" applyFill="1" applyBorder="1" applyAlignment="1">
      <alignment horizontal="center" vertical="center" wrapText="1"/>
    </xf>
    <xf numFmtId="166" fontId="15" fillId="2" borderId="12" xfId="0" applyNumberFormat="1" applyFont="1" applyFill="1" applyBorder="1" applyAlignment="1">
      <alignment horizontal="center" vertical="center" wrapText="1"/>
    </xf>
    <xf numFmtId="166" fontId="12" fillId="3" borderId="12" xfId="0" applyNumberFormat="1" applyFont="1" applyFill="1" applyBorder="1" applyAlignment="1">
      <alignment wrapText="1"/>
    </xf>
    <xf numFmtId="166" fontId="13" fillId="3" borderId="12" xfId="0" applyNumberFormat="1" applyFont="1" applyFill="1" applyBorder="1" applyAlignment="1">
      <alignment vertical="top" wrapText="1"/>
    </xf>
    <xf numFmtId="166" fontId="14" fillId="0" borderId="12" xfId="0" applyNumberFormat="1" applyFont="1" applyBorder="1" applyAlignment="1">
      <alignment vertical="top" wrapText="1"/>
    </xf>
    <xf numFmtId="166" fontId="12" fillId="3" borderId="12" xfId="0" applyNumberFormat="1" applyFont="1" applyFill="1" applyBorder="1" applyAlignment="1">
      <alignment vertical="top" wrapText="1"/>
    </xf>
    <xf numFmtId="166" fontId="13" fillId="0" borderId="12" xfId="0" applyNumberFormat="1" applyFont="1" applyBorder="1" applyAlignment="1">
      <alignment vertical="top" wrapText="1"/>
    </xf>
    <xf numFmtId="166" fontId="17" fillId="3" borderId="12" xfId="0" applyNumberFormat="1" applyFont="1" applyFill="1" applyBorder="1" applyAlignment="1">
      <alignment horizontal="center" vertical="center" wrapText="1"/>
    </xf>
    <xf numFmtId="166" fontId="17" fillId="0" borderId="12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166" fontId="18" fillId="3" borderId="12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16" fillId="2" borderId="12" xfId="0" applyNumberFormat="1" applyFont="1" applyFill="1" applyBorder="1" applyAlignment="1">
      <alignment horizontal="center" vertical="center" wrapText="1"/>
    </xf>
    <xf numFmtId="166" fontId="13" fillId="3" borderId="12" xfId="0" applyNumberFormat="1" applyFont="1" applyFill="1" applyBorder="1" applyAlignment="1">
      <alignment horizontal="center" vertical="center" wrapText="1"/>
    </xf>
    <xf numFmtId="166" fontId="13" fillId="0" borderId="12" xfId="0" applyNumberFormat="1" applyFont="1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6" fontId="26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167" fontId="0" fillId="0" borderId="12" xfId="0" applyNumberFormat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0" fontId="28" fillId="0" borderId="0" xfId="0" applyFont="1"/>
    <xf numFmtId="2" fontId="0" fillId="0" borderId="0" xfId="2" applyNumberFormat="1" applyFont="1" applyAlignment="1">
      <alignment vertical="center"/>
    </xf>
    <xf numFmtId="0" fontId="20" fillId="0" borderId="0" xfId="0" applyFont="1"/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right" wrapText="1"/>
    </xf>
    <xf numFmtId="0" fontId="31" fillId="0" borderId="0" xfId="0" applyFont="1" applyAlignment="1">
      <alignment horizontal="right" vertical="center" wrapText="1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center" wrapText="1"/>
    </xf>
    <xf numFmtId="0" fontId="29" fillId="0" borderId="0" xfId="0" applyFont="1" applyAlignment="1">
      <alignment horizontal="right" vertical="top" wrapText="1"/>
    </xf>
    <xf numFmtId="0" fontId="30" fillId="0" borderId="0" xfId="0" applyFont="1" applyAlignment="1">
      <alignment vertical="top" wrapText="1"/>
    </xf>
    <xf numFmtId="0" fontId="13" fillId="3" borderId="25" xfId="0" applyFont="1" applyFill="1" applyBorder="1" applyAlignment="1">
      <alignment vertical="center" wrapText="1"/>
    </xf>
    <xf numFmtId="0" fontId="13" fillId="3" borderId="26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168" fontId="14" fillId="0" borderId="25" xfId="2" applyNumberFormat="1" applyFont="1" applyBorder="1" applyAlignment="1">
      <alignment horizontal="right" vertical="center" wrapText="1"/>
    </xf>
    <xf numFmtId="168" fontId="14" fillId="0" borderId="27" xfId="2" applyNumberFormat="1" applyFont="1" applyBorder="1" applyAlignment="1">
      <alignment horizontal="right" vertical="center" wrapText="1"/>
    </xf>
    <xf numFmtId="0" fontId="14" fillId="0" borderId="28" xfId="0" applyFont="1" applyBorder="1" applyAlignment="1">
      <alignment wrapText="1"/>
    </xf>
    <xf numFmtId="168" fontId="14" fillId="0" borderId="7" xfId="2" applyNumberFormat="1" applyFont="1" applyBorder="1" applyAlignment="1">
      <alignment horizontal="right" vertical="center" wrapText="1"/>
    </xf>
    <xf numFmtId="168" fontId="14" fillId="0" borderId="29" xfId="2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wrapText="1"/>
    </xf>
    <xf numFmtId="168" fontId="14" fillId="0" borderId="0" xfId="2" applyNumberFormat="1" applyFont="1" applyFill="1" applyBorder="1" applyAlignment="1">
      <alignment horizontal="right" vertical="center" wrapText="1"/>
    </xf>
    <xf numFmtId="0" fontId="14" fillId="0" borderId="30" xfId="0" applyFont="1" applyBorder="1" applyAlignment="1">
      <alignment vertical="top" wrapText="1"/>
    </xf>
    <xf numFmtId="0" fontId="14" fillId="0" borderId="12" xfId="0" applyFont="1" applyBorder="1" applyAlignment="1">
      <alignment vertical="top" wrapText="1"/>
    </xf>
    <xf numFmtId="168" fontId="14" fillId="0" borderId="7" xfId="2" applyNumberFormat="1" applyFont="1" applyFill="1" applyBorder="1" applyAlignment="1">
      <alignment horizontal="right" vertical="center" wrapText="1"/>
    </xf>
    <xf numFmtId="168" fontId="14" fillId="0" borderId="25" xfId="2" applyNumberFormat="1" applyFont="1" applyFill="1" applyBorder="1" applyAlignment="1">
      <alignment horizontal="right" vertical="center" wrapText="1"/>
    </xf>
    <xf numFmtId="168" fontId="14" fillId="6" borderId="25" xfId="2" applyNumberFormat="1" applyFont="1" applyFill="1" applyBorder="1" applyAlignment="1">
      <alignment horizontal="right" vertical="center" wrapText="1"/>
    </xf>
    <xf numFmtId="168" fontId="14" fillId="6" borderId="27" xfId="2" applyNumberFormat="1" applyFont="1" applyFill="1" applyBorder="1" applyAlignment="1">
      <alignment horizontal="right" vertical="center" wrapText="1"/>
    </xf>
    <xf numFmtId="0" fontId="12" fillId="6" borderId="31" xfId="0" applyFont="1" applyFill="1" applyBorder="1" applyAlignment="1">
      <alignment vertical="top" wrapText="1"/>
    </xf>
    <xf numFmtId="168" fontId="32" fillId="6" borderId="7" xfId="2" applyNumberFormat="1" applyFont="1" applyFill="1" applyBorder="1" applyAlignment="1">
      <alignment horizontal="right" vertical="center" wrapText="1"/>
    </xf>
    <xf numFmtId="168" fontId="32" fillId="6" borderId="25" xfId="2" applyNumberFormat="1" applyFont="1" applyFill="1" applyBorder="1" applyAlignment="1">
      <alignment horizontal="right" vertical="center" wrapText="1"/>
    </xf>
    <xf numFmtId="0" fontId="12" fillId="6" borderId="12" xfId="0" applyFont="1" applyFill="1" applyBorder="1" applyAlignment="1">
      <alignment vertical="top" wrapText="1"/>
    </xf>
    <xf numFmtId="10" fontId="14" fillId="0" borderId="25" xfId="2" applyNumberFormat="1" applyFont="1" applyBorder="1" applyAlignment="1">
      <alignment horizontal="right" vertical="center" wrapText="1"/>
    </xf>
    <xf numFmtId="10" fontId="14" fillId="0" borderId="29" xfId="2" applyNumberFormat="1" applyFont="1" applyBorder="1" applyAlignment="1">
      <alignment horizontal="right" vertical="center" wrapText="1"/>
    </xf>
    <xf numFmtId="10" fontId="14" fillId="0" borderId="7" xfId="2" applyNumberFormat="1" applyFont="1" applyBorder="1" applyAlignment="1">
      <alignment horizontal="right" vertical="center" wrapText="1"/>
    </xf>
    <xf numFmtId="10" fontId="14" fillId="0" borderId="0" xfId="2" applyNumberFormat="1" applyFont="1" applyFill="1" applyBorder="1" applyAlignment="1">
      <alignment horizontal="right" vertical="center" wrapText="1"/>
    </xf>
    <xf numFmtId="10" fontId="14" fillId="6" borderId="25" xfId="2" applyNumberFormat="1" applyFont="1" applyFill="1" applyBorder="1" applyAlignment="1">
      <alignment horizontal="right" vertical="center" wrapText="1"/>
    </xf>
    <xf numFmtId="10" fontId="14" fillId="6" borderId="29" xfId="2" applyNumberFormat="1" applyFont="1" applyFill="1" applyBorder="1" applyAlignment="1">
      <alignment horizontal="right" vertical="center" wrapText="1"/>
    </xf>
    <xf numFmtId="10" fontId="32" fillId="6" borderId="7" xfId="2" applyNumberFormat="1" applyFont="1" applyFill="1" applyBorder="1" applyAlignment="1">
      <alignment horizontal="right" vertical="center" wrapText="1"/>
    </xf>
    <xf numFmtId="10" fontId="32" fillId="6" borderId="25" xfId="2" applyNumberFormat="1" applyFont="1" applyFill="1" applyBorder="1" applyAlignment="1">
      <alignment horizontal="right" vertical="center" wrapText="1"/>
    </xf>
    <xf numFmtId="0" fontId="13" fillId="3" borderId="25" xfId="0" applyFont="1" applyFill="1" applyBorder="1" applyAlignment="1">
      <alignment wrapText="1"/>
    </xf>
    <xf numFmtId="0" fontId="13" fillId="3" borderId="26" xfId="0" applyFont="1" applyFill="1" applyBorder="1" applyAlignment="1">
      <alignment wrapText="1"/>
    </xf>
    <xf numFmtId="0" fontId="13" fillId="3" borderId="27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2" fillId="6" borderId="6" xfId="0" applyFont="1" applyFill="1" applyBorder="1" applyAlignment="1">
      <alignment vertical="top" wrapText="1"/>
    </xf>
    <xf numFmtId="0" fontId="12" fillId="3" borderId="25" xfId="0" applyFont="1" applyFill="1" applyBorder="1" applyAlignment="1">
      <alignment horizontal="right" vertical="center" wrapText="1"/>
    </xf>
    <xf numFmtId="0" fontId="12" fillId="3" borderId="26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3" borderId="32" xfId="0" applyFont="1" applyFill="1" applyBorder="1" applyAlignment="1">
      <alignment horizontal="right" vertical="center" wrapText="1"/>
    </xf>
    <xf numFmtId="0" fontId="12" fillId="3" borderId="33" xfId="0" applyFont="1" applyFill="1" applyBorder="1" applyAlignment="1">
      <alignment horizontal="right" vertical="center" wrapText="1"/>
    </xf>
    <xf numFmtId="0" fontId="12" fillId="3" borderId="34" xfId="0" applyFont="1" applyFill="1" applyBorder="1" applyAlignment="1">
      <alignment horizontal="right"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2" applyFont="1"/>
    <xf numFmtId="10" fontId="0" fillId="0" borderId="0" xfId="2" applyNumberFormat="1" applyFont="1" applyFill="1"/>
    <xf numFmtId="0" fontId="0" fillId="9" borderId="0" xfId="2" applyNumberFormat="1" applyFont="1" applyFill="1"/>
    <xf numFmtId="0" fontId="0" fillId="0" borderId="38" xfId="0" applyBorder="1"/>
    <xf numFmtId="0" fontId="0" fillId="0" borderId="39" xfId="0" applyBorder="1"/>
    <xf numFmtId="165" fontId="0" fillId="0" borderId="38" xfId="2" applyNumberFormat="1" applyFont="1" applyBorder="1"/>
    <xf numFmtId="165" fontId="0" fillId="0" borderId="14" xfId="2" applyNumberFormat="1" applyFont="1" applyBorder="1"/>
    <xf numFmtId="0" fontId="14" fillId="0" borderId="30" xfId="0" applyFont="1" applyBorder="1" applyAlignment="1">
      <alignment wrapText="1"/>
    </xf>
    <xf numFmtId="0" fontId="14" fillId="0" borderId="42" xfId="0" applyFont="1" applyBorder="1" applyAlignment="1">
      <alignment vertical="top" wrapText="1"/>
    </xf>
    <xf numFmtId="165" fontId="0" fillId="0" borderId="45" xfId="2" applyNumberFormat="1" applyFont="1" applyBorder="1"/>
    <xf numFmtId="0" fontId="0" fillId="0" borderId="30" xfId="0" applyBorder="1"/>
    <xf numFmtId="165" fontId="0" fillId="0" borderId="38" xfId="2" applyNumberFormat="1" applyFont="1" applyBorder="1" applyAlignment="1">
      <alignment horizontal="center" vertical="center"/>
    </xf>
    <xf numFmtId="165" fontId="28" fillId="0" borderId="0" xfId="0" applyNumberFormat="1" applyFont="1"/>
    <xf numFmtId="165" fontId="0" fillId="0" borderId="0" xfId="0" applyNumberFormat="1"/>
    <xf numFmtId="9" fontId="28" fillId="0" borderId="0" xfId="2" applyFont="1" applyFill="1" applyBorder="1"/>
    <xf numFmtId="169" fontId="0" fillId="0" borderId="0" xfId="0" applyNumberFormat="1"/>
    <xf numFmtId="0" fontId="35" fillId="0" borderId="0" xfId="0" applyFont="1"/>
    <xf numFmtId="0" fontId="36" fillId="0" borderId="0" xfId="0" applyFont="1"/>
    <xf numFmtId="0" fontId="4" fillId="0" borderId="0" xfId="0" applyFont="1"/>
    <xf numFmtId="0" fontId="37" fillId="0" borderId="0" xfId="0" applyFont="1"/>
    <xf numFmtId="0" fontId="37" fillId="0" borderId="0" xfId="0" applyFont="1" applyAlignment="1">
      <alignment horizontal="left" vertical="center"/>
    </xf>
    <xf numFmtId="0" fontId="38" fillId="0" borderId="0" xfId="0" applyFont="1"/>
    <xf numFmtId="0" fontId="13" fillId="0" borderId="0" xfId="0" applyFont="1"/>
    <xf numFmtId="0" fontId="21" fillId="0" borderId="0" xfId="0" applyFont="1"/>
    <xf numFmtId="0" fontId="0" fillId="16" borderId="0" xfId="0" applyFill="1"/>
    <xf numFmtId="0" fontId="0" fillId="16" borderId="44" xfId="0" applyFill="1" applyBorder="1"/>
    <xf numFmtId="165" fontId="0" fillId="7" borderId="43" xfId="2" applyNumberFormat="1" applyFont="1" applyFill="1" applyBorder="1"/>
    <xf numFmtId="0" fontId="12" fillId="7" borderId="6" xfId="0" applyFont="1" applyFill="1" applyBorder="1" applyAlignment="1">
      <alignment vertical="top" wrapText="1"/>
    </xf>
    <xf numFmtId="165" fontId="34" fillId="7" borderId="38" xfId="2" applyNumberFormat="1" applyFont="1" applyFill="1" applyBorder="1"/>
    <xf numFmtId="165" fontId="0" fillId="7" borderId="46" xfId="2" applyNumberFormat="1" applyFont="1" applyFill="1" applyBorder="1"/>
    <xf numFmtId="165" fontId="0" fillId="7" borderId="47" xfId="2" applyNumberFormat="1" applyFont="1" applyFill="1" applyBorder="1"/>
    <xf numFmtId="165" fontId="0" fillId="7" borderId="48" xfId="2" applyNumberFormat="1" applyFont="1" applyFill="1" applyBorder="1"/>
    <xf numFmtId="0" fontId="0" fillId="8" borderId="0" xfId="0" applyFill="1" applyAlignment="1">
      <alignment vertical="center"/>
    </xf>
    <xf numFmtId="0" fontId="41" fillId="0" borderId="0" xfId="0" applyFont="1"/>
    <xf numFmtId="168" fontId="0" fillId="0" borderId="0" xfId="0" applyNumberFormat="1"/>
    <xf numFmtId="0" fontId="39" fillId="0" borderId="0" xfId="0" applyFont="1" applyAlignment="1">
      <alignment horizontal="center"/>
    </xf>
    <xf numFmtId="167" fontId="0" fillId="17" borderId="12" xfId="0" applyNumberFormat="1" applyFill="1" applyBorder="1" applyAlignment="1">
      <alignment wrapText="1"/>
    </xf>
    <xf numFmtId="0" fontId="0" fillId="9" borderId="12" xfId="0" applyFill="1" applyBorder="1"/>
    <xf numFmtId="10" fontId="0" fillId="0" borderId="12" xfId="0" applyNumberFormat="1" applyBorder="1"/>
    <xf numFmtId="10" fontId="0" fillId="0" borderId="0" xfId="0" applyNumberFormat="1"/>
    <xf numFmtId="1" fontId="0" fillId="0" borderId="12" xfId="0" applyNumberFormat="1" applyBorder="1"/>
    <xf numFmtId="1" fontId="0" fillId="0" borderId="17" xfId="0" applyNumberFormat="1" applyBorder="1"/>
    <xf numFmtId="0" fontId="1" fillId="0" borderId="0" xfId="0" applyFont="1"/>
    <xf numFmtId="0" fontId="0" fillId="9" borderId="18" xfId="0" applyFill="1" applyBorder="1"/>
    <xf numFmtId="2" fontId="4" fillId="0" borderId="0" xfId="0" applyNumberFormat="1" applyFont="1"/>
    <xf numFmtId="167" fontId="0" fillId="17" borderId="12" xfId="0" quotePrefix="1" applyNumberFormat="1" applyFill="1" applyBorder="1" applyAlignment="1">
      <alignment wrapText="1"/>
    </xf>
    <xf numFmtId="10" fontId="0" fillId="17" borderId="12" xfId="0" applyNumberFormat="1" applyFill="1" applyBorder="1" applyAlignment="1">
      <alignment wrapText="1"/>
    </xf>
    <xf numFmtId="10" fontId="4" fillId="0" borderId="0" xfId="0" applyNumberFormat="1" applyFont="1"/>
    <xf numFmtId="0" fontId="43" fillId="0" borderId="0" xfId="0" applyFont="1"/>
    <xf numFmtId="0" fontId="43" fillId="18" borderId="0" xfId="0" applyFont="1" applyFill="1"/>
    <xf numFmtId="0" fontId="44" fillId="0" borderId="0" xfId="3" applyFont="1"/>
    <xf numFmtId="0" fontId="44" fillId="0" borderId="0" xfId="3" applyFont="1" applyFill="1" applyBorder="1" applyAlignment="1"/>
    <xf numFmtId="0" fontId="44" fillId="0" borderId="0" xfId="3" applyFont="1" applyFill="1" applyBorder="1" applyAlignment="1">
      <alignment vertical="center"/>
    </xf>
    <xf numFmtId="0" fontId="43" fillId="0" borderId="59" xfId="0" applyFont="1" applyBorder="1"/>
    <xf numFmtId="0" fontId="44" fillId="0" borderId="59" xfId="3" applyFont="1" applyFill="1" applyBorder="1" applyAlignment="1"/>
    <xf numFmtId="0" fontId="49" fillId="0" borderId="0" xfId="0" applyFont="1"/>
    <xf numFmtId="0" fontId="0" fillId="9" borderId="0" xfId="0" applyFill="1" applyAlignment="1">
      <alignment horizontal="center" wrapText="1"/>
    </xf>
    <xf numFmtId="0" fontId="13" fillId="3" borderId="7" xfId="0" applyFont="1" applyFill="1" applyBorder="1" applyAlignment="1">
      <alignment vertical="center" wrapText="1"/>
    </xf>
    <xf numFmtId="168" fontId="14" fillId="0" borderId="62" xfId="2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63" xfId="0" applyFont="1" applyFill="1" applyBorder="1" applyAlignment="1">
      <alignment vertical="center" wrapText="1"/>
    </xf>
    <xf numFmtId="168" fontId="14" fillId="0" borderId="63" xfId="2" applyNumberFormat="1" applyFont="1" applyBorder="1" applyAlignment="1">
      <alignment horizontal="right" vertical="center" wrapText="1"/>
    </xf>
    <xf numFmtId="168" fontId="14" fillId="6" borderId="1" xfId="2" applyNumberFormat="1" applyFont="1" applyFill="1" applyBorder="1" applyAlignment="1">
      <alignment horizontal="right" vertical="center" wrapText="1"/>
    </xf>
    <xf numFmtId="168" fontId="14" fillId="6" borderId="7" xfId="2" applyNumberFormat="1" applyFont="1" applyFill="1" applyBorder="1" applyAlignment="1">
      <alignment horizontal="right" vertical="center" wrapText="1"/>
    </xf>
    <xf numFmtId="0" fontId="14" fillId="0" borderId="1" xfId="0" applyFont="1" applyBorder="1" applyAlignment="1">
      <alignment vertical="top" wrapText="1"/>
    </xf>
    <xf numFmtId="0" fontId="14" fillId="0" borderId="65" xfId="0" applyFont="1" applyBorder="1" applyAlignment="1">
      <alignment wrapText="1"/>
    </xf>
    <xf numFmtId="0" fontId="14" fillId="0" borderId="44" xfId="0" applyFont="1" applyBorder="1" applyAlignment="1">
      <alignment vertical="top" wrapText="1"/>
    </xf>
    <xf numFmtId="0" fontId="0" fillId="0" borderId="44" xfId="0" applyBorder="1"/>
    <xf numFmtId="0" fontId="0" fillId="0" borderId="1" xfId="0" applyBorder="1"/>
    <xf numFmtId="0" fontId="0" fillId="15" borderId="60" xfId="0" applyFill="1" applyBorder="1"/>
    <xf numFmtId="168" fontId="0" fillId="0" borderId="60" xfId="2" applyNumberFormat="1" applyFont="1" applyBorder="1"/>
    <xf numFmtId="1" fontId="0" fillId="0" borderId="60" xfId="0" applyNumberFormat="1" applyBorder="1"/>
    <xf numFmtId="165" fontId="0" fillId="7" borderId="67" xfId="2" applyNumberFormat="1" applyFont="1" applyFill="1" applyBorder="1"/>
    <xf numFmtId="165" fontId="0" fillId="0" borderId="8" xfId="2" applyNumberFormat="1" applyFont="1" applyBorder="1"/>
    <xf numFmtId="165" fontId="0" fillId="7" borderId="69" xfId="2" applyNumberFormat="1" applyFont="1" applyFill="1" applyBorder="1"/>
    <xf numFmtId="165" fontId="0" fillId="0" borderId="2" xfId="2" applyNumberFormat="1" applyFont="1" applyBorder="1"/>
    <xf numFmtId="165" fontId="0" fillId="0" borderId="4" xfId="2" applyNumberFormat="1" applyFont="1" applyBorder="1"/>
    <xf numFmtId="165" fontId="0" fillId="7" borderId="70" xfId="2" applyNumberFormat="1" applyFont="1" applyFill="1" applyBorder="1"/>
    <xf numFmtId="0" fontId="12" fillId="7" borderId="13" xfId="0" applyFont="1" applyFill="1" applyBorder="1" applyAlignment="1">
      <alignment vertical="top" wrapText="1"/>
    </xf>
    <xf numFmtId="0" fontId="0" fillId="0" borderId="71" xfId="0" applyBorder="1"/>
    <xf numFmtId="10" fontId="0" fillId="0" borderId="1" xfId="2" applyNumberFormat="1" applyFont="1" applyBorder="1"/>
    <xf numFmtId="0" fontId="14" fillId="0" borderId="4" xfId="0" applyFont="1" applyBorder="1" applyAlignment="1">
      <alignment wrapText="1"/>
    </xf>
    <xf numFmtId="0" fontId="0" fillId="16" borderId="8" xfId="0" applyFill="1" applyBorder="1"/>
    <xf numFmtId="0" fontId="0" fillId="0" borderId="2" xfId="0" applyBorder="1"/>
    <xf numFmtId="0" fontId="0" fillId="0" borderId="63" xfId="0" applyBorder="1"/>
    <xf numFmtId="0" fontId="0" fillId="0" borderId="68" xfId="0" applyBorder="1"/>
    <xf numFmtId="10" fontId="0" fillId="0" borderId="13" xfId="2" applyNumberFormat="1" applyFont="1" applyBorder="1"/>
    <xf numFmtId="10" fontId="0" fillId="0" borderId="63" xfId="2" applyNumberFormat="1" applyFont="1" applyBorder="1"/>
    <xf numFmtId="10" fontId="0" fillId="0" borderId="71" xfId="2" applyNumberFormat="1" applyFont="1" applyBorder="1"/>
    <xf numFmtId="10" fontId="0" fillId="0" borderId="72" xfId="2" applyNumberFormat="1" applyFont="1" applyBorder="1"/>
    <xf numFmtId="10" fontId="0" fillId="0" borderId="73" xfId="2" applyNumberFormat="1" applyFont="1" applyBorder="1"/>
    <xf numFmtId="0" fontId="14" fillId="0" borderId="4" xfId="0" applyFont="1" applyBorder="1" applyAlignment="1">
      <alignment vertical="top" wrapText="1"/>
    </xf>
    <xf numFmtId="0" fontId="0" fillId="16" borderId="66" xfId="0" applyFill="1" applyBorder="1"/>
    <xf numFmtId="10" fontId="33" fillId="7" borderId="67" xfId="2" applyNumberFormat="1" applyFont="1" applyFill="1" applyBorder="1"/>
    <xf numFmtId="10" fontId="33" fillId="7" borderId="69" xfId="2" applyNumberFormat="1" applyFont="1" applyFill="1" applyBorder="1"/>
    <xf numFmtId="10" fontId="33" fillId="7" borderId="74" xfId="2" applyNumberFormat="1" applyFont="1" applyFill="1" applyBorder="1"/>
    <xf numFmtId="0" fontId="14" fillId="0" borderId="35" xfId="0" applyFont="1" applyBorder="1" applyAlignment="1">
      <alignment wrapText="1"/>
    </xf>
    <xf numFmtId="0" fontId="14" fillId="0" borderId="40" xfId="0" applyFont="1" applyBorder="1" applyAlignment="1">
      <alignment vertical="top" wrapText="1"/>
    </xf>
    <xf numFmtId="10" fontId="0" fillId="0" borderId="8" xfId="2" applyNumberFormat="1" applyFont="1" applyBorder="1"/>
    <xf numFmtId="10" fontId="0" fillId="0" borderId="75" xfId="2" applyNumberFormat="1" applyFont="1" applyBorder="1"/>
    <xf numFmtId="10" fontId="0" fillId="0" borderId="2" xfId="2" applyNumberFormat="1" applyFont="1" applyBorder="1"/>
    <xf numFmtId="10" fontId="0" fillId="0" borderId="76" xfId="2" applyNumberFormat="1" applyFont="1" applyBorder="1"/>
    <xf numFmtId="0" fontId="0" fillId="0" borderId="40" xfId="0" applyBorder="1"/>
    <xf numFmtId="10" fontId="0" fillId="0" borderId="19" xfId="2" applyNumberFormat="1" applyFont="1" applyBorder="1"/>
    <xf numFmtId="10" fontId="0" fillId="0" borderId="3" xfId="2" applyNumberFormat="1" applyFont="1" applyBorder="1"/>
    <xf numFmtId="10" fontId="33" fillId="7" borderId="77" xfId="2" applyNumberFormat="1" applyFont="1" applyFill="1" applyBorder="1"/>
    <xf numFmtId="0" fontId="14" fillId="0" borderId="78" xfId="0" applyFont="1" applyBorder="1" applyAlignment="1">
      <alignment vertical="top" wrapText="1"/>
    </xf>
    <xf numFmtId="10" fontId="33" fillId="7" borderId="1" xfId="2" applyNumberFormat="1" applyFont="1" applyFill="1" applyBorder="1"/>
    <xf numFmtId="0" fontId="12" fillId="7" borderId="79" xfId="0" applyFont="1" applyFill="1" applyBorder="1" applyAlignment="1">
      <alignment vertical="top" wrapText="1"/>
    </xf>
    <xf numFmtId="10" fontId="33" fillId="7" borderId="80" xfId="2" applyNumberFormat="1" applyFont="1" applyFill="1" applyBorder="1"/>
    <xf numFmtId="168" fontId="51" fillId="0" borderId="0" xfId="2" applyNumberFormat="1" applyFont="1"/>
    <xf numFmtId="0" fontId="39" fillId="0" borderId="0" xfId="0" applyFont="1" applyAlignment="1">
      <alignment horizontal="center" vertical="center"/>
    </xf>
    <xf numFmtId="0" fontId="44" fillId="0" borderId="0" xfId="3" applyFont="1" applyAlignment="1">
      <alignment horizontal="center"/>
    </xf>
    <xf numFmtId="0" fontId="48" fillId="18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44" fillId="0" borderId="0" xfId="3" applyFont="1" applyAlignment="1">
      <alignment horizontal="left" vertical="center"/>
    </xf>
    <xf numFmtId="0" fontId="44" fillId="0" borderId="0" xfId="3" applyFont="1" applyAlignment="1">
      <alignment horizontal="center" vertical="center"/>
    </xf>
    <xf numFmtId="0" fontId="43" fillId="0" borderId="0" xfId="0" applyFont="1" applyAlignment="1">
      <alignment horizontal="left"/>
    </xf>
    <xf numFmtId="0" fontId="42" fillId="0" borderId="0" xfId="3" applyAlignment="1">
      <alignment horizontal="center"/>
    </xf>
    <xf numFmtId="0" fontId="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6" fillId="19" borderId="0" xfId="0" applyFont="1" applyFill="1" applyAlignment="1">
      <alignment horizontal="center"/>
    </xf>
    <xf numFmtId="0" fontId="47" fillId="19" borderId="0" xfId="0" applyFont="1" applyFill="1" applyAlignment="1">
      <alignment horizontal="center"/>
    </xf>
    <xf numFmtId="166" fontId="12" fillId="3" borderId="14" xfId="0" applyNumberFormat="1" applyFont="1" applyFill="1" applyBorder="1" applyAlignment="1">
      <alignment horizontal="center" vertical="center" wrapText="1"/>
    </xf>
    <xf numFmtId="166" fontId="12" fillId="3" borderId="16" xfId="0" applyNumberFormat="1" applyFont="1" applyFill="1" applyBorder="1" applyAlignment="1">
      <alignment horizontal="center" vertical="center" wrapText="1"/>
    </xf>
    <xf numFmtId="166" fontId="12" fillId="3" borderId="17" xfId="0" applyNumberFormat="1" applyFont="1" applyFill="1" applyBorder="1" applyAlignment="1">
      <alignment horizontal="center" vertical="center" wrapText="1"/>
    </xf>
    <xf numFmtId="166" fontId="12" fillId="4" borderId="12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23" fillId="0" borderId="0" xfId="0" applyFont="1" applyAlignment="1">
      <alignment horizontal="center" wrapText="1"/>
    </xf>
    <xf numFmtId="0" fontId="0" fillId="9" borderId="0" xfId="0" applyFill="1" applyAlignment="1">
      <alignment horizontal="center" vertical="center"/>
    </xf>
    <xf numFmtId="0" fontId="13" fillId="3" borderId="6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0" fillId="16" borderId="40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4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72" xfId="0" applyFill="1" applyBorder="1" applyAlignment="1">
      <alignment horizont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6" borderId="51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66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50" fillId="20" borderId="0" xfId="0" applyFont="1" applyFill="1" applyAlignment="1">
      <alignment horizontal="center" wrapText="1"/>
    </xf>
    <xf numFmtId="0" fontId="0" fillId="9" borderId="1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top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20" fillId="0" borderId="18" xfId="3" applyFont="1" applyBorder="1" applyAlignment="1">
      <alignment horizontal="center" wrapText="1"/>
    </xf>
    <xf numFmtId="0" fontId="20" fillId="0" borderId="0" xfId="3" applyFont="1" applyAlignment="1">
      <alignment horizontal="center" wrapText="1"/>
    </xf>
    <xf numFmtId="0" fontId="27" fillId="0" borderId="19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4" fillId="13" borderId="19" xfId="0" applyFont="1" applyFill="1" applyBorder="1" applyAlignment="1">
      <alignment horizontal="center" wrapText="1"/>
    </xf>
    <xf numFmtId="0" fontId="4" fillId="13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7" fillId="1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45" fillId="1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Hiperłącze" xfId="3" builtinId="8"/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kapitało-majątkowa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'analiza kapit.-majątk.'!$O$10:$O$12</c:f>
              <c:strCache>
                <c:ptCount val="3"/>
                <c:pt idx="0">
                  <c:v>Wskaźnik pokrycia aktywów stałych kapitałem własnym</c:v>
                </c:pt>
                <c:pt idx="1">
                  <c:v>Wskaźnik pokrycia aktywów trwałych kapitałem stałym</c:v>
                </c:pt>
                <c:pt idx="2">
                  <c:v>Wskaźnik pokrycia aktywów obrotowych zobowiązaniami krótkoterminowymi</c:v>
                </c:pt>
              </c:strCache>
            </c:strRef>
          </c:cat>
          <c:val>
            <c:numRef>
              <c:f>'analiza kapit.-majątk.'!$Q$6:$Q$8</c:f>
              <c:numCache>
                <c:formatCode>General</c:formatCode>
                <c:ptCount val="3"/>
                <c:pt idx="0">
                  <c:v>0.95160994404183108</c:v>
                </c:pt>
                <c:pt idx="1">
                  <c:v>1.08627648839556</c:v>
                </c:pt>
                <c:pt idx="2">
                  <c:v>0.67142669985588888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0B1-9EB8-F3D0216F6667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'analiza kapit.-majątk.'!$O$10:$O$12</c:f>
              <c:strCache>
                <c:ptCount val="3"/>
                <c:pt idx="0">
                  <c:v>Wskaźnik pokrycia aktywów stałych kapitałem własnym</c:v>
                </c:pt>
                <c:pt idx="1">
                  <c:v>Wskaźnik pokrycia aktywów trwałych kapitałem stałym</c:v>
                </c:pt>
                <c:pt idx="2">
                  <c:v>Wskaźnik pokrycia aktywów obrotowych zobowiązaniami krótkoterminowymi</c:v>
                </c:pt>
              </c:strCache>
            </c:strRef>
          </c:cat>
          <c:val>
            <c:numRef>
              <c:f>'analiza kapit.-majątk.'!$R$6:$R$8</c:f>
              <c:numCache>
                <c:formatCode>General</c:formatCode>
                <c:ptCount val="3"/>
                <c:pt idx="0">
                  <c:v>0.9467383998295017</c:v>
                </c:pt>
                <c:pt idx="1">
                  <c:v>1.100151371910401</c:v>
                </c:pt>
                <c:pt idx="2">
                  <c:v>0.59263828226586202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3-40B1-9EB8-F3D0216F6667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'analiza kapit.-majątk.'!$O$10:$O$12</c:f>
              <c:strCache>
                <c:ptCount val="3"/>
                <c:pt idx="0">
                  <c:v>Wskaźnik pokrycia aktywów stałych kapitałem własnym</c:v>
                </c:pt>
                <c:pt idx="1">
                  <c:v>Wskaźnik pokrycia aktywów trwałych kapitałem stałym</c:v>
                </c:pt>
                <c:pt idx="2">
                  <c:v>Wskaźnik pokrycia aktywów obrotowych zobowiązaniami krótkoterminowymi</c:v>
                </c:pt>
              </c:strCache>
            </c:strRef>
          </c:cat>
          <c:val>
            <c:numRef>
              <c:f>'analiza kapit.-majątk.'!$S$6:$S$8</c:f>
              <c:numCache>
                <c:formatCode>General</c:formatCode>
                <c:ptCount val="3"/>
                <c:pt idx="0">
                  <c:v>0.96712583001061669</c:v>
                </c:pt>
                <c:pt idx="1">
                  <c:v>1.0880673689164868</c:v>
                </c:pt>
                <c:pt idx="2">
                  <c:v>0.6803121936066322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3-40B1-9EB8-F3D0216F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478732240"/>
        <c:axId val="1662831088"/>
      </c:barChart>
      <c:catAx>
        <c:axId val="14787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31088"/>
        <c:crosses val="autoZero"/>
        <c:auto val="1"/>
        <c:lblAlgn val="ctr"/>
        <c:lblOffset val="100"/>
        <c:noMultiLvlLbl val="0"/>
      </c:catAx>
      <c:valAx>
        <c:axId val="1662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7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Roczny rozkład kosztów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'RZiS wykresy'!$B$33:$F$33</c:f>
              <c:strCache>
                <c:ptCount val="5"/>
                <c:pt idx="0">
                  <c:v>Koszt własny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'RZiS wykresy'!$G$32:$I$32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wykresy'!$G$33:$I$33</c:f>
              <c:numCache>
                <c:formatCode>0</c:formatCode>
                <c:ptCount val="3"/>
                <c:pt idx="0">
                  <c:v>156938</c:v>
                </c:pt>
                <c:pt idx="1">
                  <c:v>174897</c:v>
                </c:pt>
                <c:pt idx="2">
                  <c:v>198867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4-4F5F-B718-798D33E6A0BD}"/>
            </c:ext>
          </c:extLst>
        </c:ser>
        <c:ser>
          <c:idx val="1"/>
          <c:order val="1"/>
          <c:tx>
            <c:strRef>
              <c:f>'RZiS wykresy'!$B$34:$F$34</c:f>
              <c:strCache>
                <c:ptCount val="5"/>
                <c:pt idx="0">
                  <c:v>Koszty sprzedaży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'RZiS wykresy'!$G$32:$I$32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wykresy'!$G$34:$I$34</c:f>
              <c:numCache>
                <c:formatCode>0</c:formatCode>
                <c:ptCount val="3"/>
                <c:pt idx="0">
                  <c:v>12557</c:v>
                </c:pt>
                <c:pt idx="1">
                  <c:v>18027</c:v>
                </c:pt>
                <c:pt idx="2">
                  <c:v>17563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4-4F5F-B718-798D33E6A0BD}"/>
            </c:ext>
          </c:extLst>
        </c:ser>
        <c:ser>
          <c:idx val="2"/>
          <c:order val="2"/>
          <c:tx>
            <c:strRef>
              <c:f>'RZiS wykresy'!$B$35:$F$35</c:f>
              <c:strCache>
                <c:ptCount val="5"/>
                <c:pt idx="0">
                  <c:v>Koszty ogólnego zarządu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'RZiS wykresy'!$G$32:$I$32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wykresy'!$G$35:$I$35</c:f>
              <c:numCache>
                <c:formatCode>0</c:formatCode>
                <c:ptCount val="3"/>
                <c:pt idx="0">
                  <c:v>20432</c:v>
                </c:pt>
                <c:pt idx="1">
                  <c:v>20454</c:v>
                </c:pt>
                <c:pt idx="2">
                  <c:v>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4-4F5F-B718-798D33E6A0BD}"/>
            </c:ext>
          </c:extLst>
        </c:ser>
        <c:ser>
          <c:idx val="3"/>
          <c:order val="3"/>
          <c:tx>
            <c:strRef>
              <c:f>'RZiS wykresy'!$B$36:$F$36</c:f>
              <c:strCache>
                <c:ptCount val="5"/>
                <c:pt idx="0">
                  <c:v>Pozostałe koszty operacyjne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'RZiS wykresy'!$G$32:$I$32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wykresy'!$G$36:$I$36</c:f>
              <c:numCache>
                <c:formatCode>0</c:formatCode>
                <c:ptCount val="3"/>
                <c:pt idx="0">
                  <c:v>947</c:v>
                </c:pt>
                <c:pt idx="1">
                  <c:v>168</c:v>
                </c:pt>
                <c:pt idx="2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E4-4F5F-B718-798D33E6A0BD}"/>
            </c:ext>
          </c:extLst>
        </c:ser>
        <c:ser>
          <c:idx val="4"/>
          <c:order val="4"/>
          <c:tx>
            <c:strRef>
              <c:f>'RZiS wykresy'!$B$37:$F$37</c:f>
              <c:strCache>
                <c:ptCount val="5"/>
                <c:pt idx="0">
                  <c:v>Koszty finansowe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'RZiS wykresy'!$G$32:$I$32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wykresy'!$G$37:$I$37</c:f>
              <c:numCache>
                <c:formatCode>0</c:formatCode>
                <c:ptCount val="3"/>
                <c:pt idx="0">
                  <c:v>3131</c:v>
                </c:pt>
                <c:pt idx="1">
                  <c:v>1209</c:v>
                </c:pt>
                <c:pt idx="2">
                  <c:v>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4-4F5F-B718-798D33E6A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540880"/>
        <c:axId val="1642697344"/>
      </c:barChart>
      <c:catAx>
        <c:axId val="16365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97344"/>
        <c:crosses val="autoZero"/>
        <c:auto val="1"/>
        <c:lblAlgn val="ctr"/>
        <c:lblOffset val="100"/>
        <c:noMultiLvlLbl val="0"/>
      </c:catAx>
      <c:valAx>
        <c:axId val="1642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Zysk zatrzymany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pasywa!$C$6:$E$6</c:f>
              <c:numCache>
                <c:formatCode>General</c:formatCode>
                <c:ptCount val="3"/>
                <c:pt idx="0">
                  <c:v>102318</c:v>
                </c:pt>
                <c:pt idx="1">
                  <c:v>116859</c:v>
                </c:pt>
                <c:pt idx="2">
                  <c:v>132014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2-4C59-AD09-B341D92F6E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81117184"/>
        <c:axId val="1494349008"/>
      </c:barChart>
      <c:catAx>
        <c:axId val="14811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49008"/>
        <c:crosses val="autoZero"/>
        <c:auto val="1"/>
        <c:lblAlgn val="ctr"/>
        <c:lblOffset val="100"/>
        <c:noMultiLvlLbl val="0"/>
      </c:catAx>
      <c:valAx>
        <c:axId val="1494349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11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Struktura zobowiązań krótkoterminowych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pasywa!$L$15:$L$21</c:f>
              <c:strCache>
                <c:ptCount val="7"/>
                <c:pt idx="0">
                  <c:v>Zobowiązania z tytułu leasingu</c:v>
                </c:pt>
                <c:pt idx="1">
                  <c:v>Zobowiązania z tytułu dostaw i usług</c:v>
                </c:pt>
                <c:pt idx="2">
                  <c:v>Zobowiązania z tytułu umów z klientami</c:v>
                </c:pt>
                <c:pt idx="3">
                  <c:v>Zobowiązania z tytułu podatku dochodowego od osób prawnych</c:v>
                </c:pt>
                <c:pt idx="4">
                  <c:v>Rezerwy</c:v>
                </c:pt>
                <c:pt idx="5">
                  <c:v>Zobowiązania budżetowe i pozostałe zobowiązania</c:v>
                </c:pt>
                <c:pt idx="6">
                  <c:v>Rozliczenie międzyokresowe</c:v>
                </c:pt>
              </c:strCache>
            </c:strRef>
          </c:cat>
          <c:val>
            <c:numRef>
              <c:f>pasywa!$K$15:$K$21</c:f>
              <c:numCache>
                <c:formatCode>0.00%</c:formatCode>
                <c:ptCount val="7"/>
                <c:pt idx="0">
                  <c:v>0.12110272399081064</c:v>
                </c:pt>
                <c:pt idx="1">
                  <c:v>0.10557783136656156</c:v>
                </c:pt>
                <c:pt idx="2">
                  <c:v>0.23972260669796377</c:v>
                </c:pt>
                <c:pt idx="3">
                  <c:v>6.2884376649876575E-2</c:v>
                </c:pt>
                <c:pt idx="4">
                  <c:v>1.1986130334898188E-3</c:v>
                </c:pt>
                <c:pt idx="5">
                  <c:v>0.26537863329575778</c:v>
                </c:pt>
                <c:pt idx="6">
                  <c:v>0.20413521496553988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C-40D0-B4F1-432E48CE9CB5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pasywa!$L$15:$L$21</c:f>
              <c:strCache>
                <c:ptCount val="7"/>
                <c:pt idx="0">
                  <c:v>Zobowiązania z tytułu leasingu</c:v>
                </c:pt>
                <c:pt idx="1">
                  <c:v>Zobowiązania z tytułu dostaw i usług</c:v>
                </c:pt>
                <c:pt idx="2">
                  <c:v>Zobowiązania z tytułu umów z klientami</c:v>
                </c:pt>
                <c:pt idx="3">
                  <c:v>Zobowiązania z tytułu podatku dochodowego od osób prawnych</c:v>
                </c:pt>
                <c:pt idx="4">
                  <c:v>Rezerwy</c:v>
                </c:pt>
                <c:pt idx="5">
                  <c:v>Zobowiązania budżetowe i pozostałe zobowiązania</c:v>
                </c:pt>
                <c:pt idx="6">
                  <c:v>Rozliczenie międzyokresowe</c:v>
                </c:pt>
              </c:strCache>
            </c:strRef>
          </c:cat>
          <c:val>
            <c:numRef>
              <c:f>pasywa!$J$15:$J$21</c:f>
              <c:numCache>
                <c:formatCode>0.00%</c:formatCode>
                <c:ptCount val="7"/>
                <c:pt idx="0">
                  <c:v>0.20151898734177215</c:v>
                </c:pt>
                <c:pt idx="1">
                  <c:v>0.10734177215189873</c:v>
                </c:pt>
                <c:pt idx="2">
                  <c:v>0.28819503047351147</c:v>
                </c:pt>
                <c:pt idx="3">
                  <c:v>1.3052039381153305E-2</c:v>
                </c:pt>
                <c:pt idx="4">
                  <c:v>1.1064228785747773E-3</c:v>
                </c:pt>
                <c:pt idx="5">
                  <c:v>0.23891233005157056</c:v>
                </c:pt>
                <c:pt idx="6">
                  <c:v>0.14987341772151899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C-40D0-B4F1-432E48CE9CB5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pasywa!$L$15:$L$21</c:f>
              <c:strCache>
                <c:ptCount val="7"/>
                <c:pt idx="0">
                  <c:v>Zobowiązania z tytułu leasingu</c:v>
                </c:pt>
                <c:pt idx="1">
                  <c:v>Zobowiązania z tytułu dostaw i usług</c:v>
                </c:pt>
                <c:pt idx="2">
                  <c:v>Zobowiązania z tytułu umów z klientami</c:v>
                </c:pt>
                <c:pt idx="3">
                  <c:v>Zobowiązania z tytułu podatku dochodowego od osób prawnych</c:v>
                </c:pt>
                <c:pt idx="4">
                  <c:v>Rezerwy</c:v>
                </c:pt>
                <c:pt idx="5">
                  <c:v>Zobowiązania budżetowe i pozostałe zobowiązania</c:v>
                </c:pt>
                <c:pt idx="6">
                  <c:v>Rozliczenie międzyokresowe</c:v>
                </c:pt>
              </c:strCache>
            </c:strRef>
          </c:cat>
          <c:val>
            <c:numRef>
              <c:f>pasywa!$I$15:$I$21</c:f>
              <c:numCache>
                <c:formatCode>0.00%</c:formatCode>
                <c:ptCount val="7"/>
                <c:pt idx="0">
                  <c:v>0.13682926829268294</c:v>
                </c:pt>
                <c:pt idx="1">
                  <c:v>0.10526829268292683</c:v>
                </c:pt>
                <c:pt idx="2">
                  <c:v>0.23182113821138212</c:v>
                </c:pt>
                <c:pt idx="3">
                  <c:v>5.5479674796747966E-2</c:v>
                </c:pt>
                <c:pt idx="4">
                  <c:v>6.7967479674796751E-3</c:v>
                </c:pt>
                <c:pt idx="5">
                  <c:v>0.24082926829268292</c:v>
                </c:pt>
                <c:pt idx="6">
                  <c:v>0.22297560975609756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C-40D0-B4F1-432E48CE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473158448"/>
        <c:axId val="1494320736"/>
      </c:barChart>
      <c:catAx>
        <c:axId val="14731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0736"/>
        <c:crosses val="autoZero"/>
        <c:auto val="1"/>
        <c:lblAlgn val="ctr"/>
        <c:lblOffset val="100"/>
        <c:noMultiLvlLbl val="0"/>
      </c:catAx>
      <c:valAx>
        <c:axId val="1494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pasywów ogółem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pasywa!$L$8</c:f>
              <c:strCache>
                <c:ptCount val="1"/>
                <c:pt idx="0">
                  <c:v>Razem kapitał własny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pasywa!$M$8:$O$8</c:f>
              <c:numCache>
                <c:formatCode>0.0%</c:formatCode>
                <c:ptCount val="3"/>
                <c:pt idx="0">
                  <c:v>0.75370321596265455</c:v>
                </c:pt>
                <c:pt idx="1">
                  <c:v>0.75991139670808061</c:v>
                </c:pt>
                <c:pt idx="2">
                  <c:v>0.75824502991902787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F-42A0-B279-CFB4EDE48306}"/>
            </c:ext>
          </c:extLst>
        </c:ser>
        <c:ser>
          <c:idx val="1"/>
          <c:order val="1"/>
          <c:tx>
            <c:strRef>
              <c:f>pasywa!$L$12</c:f>
              <c:strCache>
                <c:ptCount val="1"/>
                <c:pt idx="0">
                  <c:v>Zobowiązania długoterminowe razem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pasywa!$M$12:$O$12</c:f>
              <c:numCache>
                <c:formatCode>0.00%</c:formatCode>
                <c:ptCount val="3"/>
                <c:pt idx="0">
                  <c:v>0.10665988538421717</c:v>
                </c:pt>
                <c:pt idx="1">
                  <c:v>0.12313883741076617</c:v>
                </c:pt>
                <c:pt idx="2">
                  <c:v>9.4820464866632842E-2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F-42A0-B279-CFB4EDE48306}"/>
            </c:ext>
          </c:extLst>
        </c:ser>
        <c:ser>
          <c:idx val="2"/>
          <c:order val="2"/>
          <c:tx>
            <c:strRef>
              <c:f>pasywa!$L$22</c:f>
              <c:strCache>
                <c:ptCount val="1"/>
                <c:pt idx="0">
                  <c:v>Zobowiązania krótkoterminowe razem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pasywa!$M$22:$O$22</c:f>
              <c:numCache>
                <c:formatCode>0.00%</c:formatCode>
                <c:ptCount val="3"/>
                <c:pt idx="0">
                  <c:v>0.13963689865312831</c:v>
                </c:pt>
                <c:pt idx="1">
                  <c:v>0.11694976588115316</c:v>
                </c:pt>
                <c:pt idx="2">
                  <c:v>0.14693450521433932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F-42A0-B279-CFB4EDE4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97664"/>
        <c:axId val="345596528"/>
      </c:barChart>
      <c:catAx>
        <c:axId val="4637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6528"/>
        <c:crosses val="autoZero"/>
        <c:auto val="1"/>
        <c:lblAlgn val="ctr"/>
        <c:lblOffset val="100"/>
        <c:noMultiLvlLbl val="0"/>
      </c:catAx>
      <c:valAx>
        <c:axId val="3455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 aktwyów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Aktywa trwałe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47625" cap="rnd">
                <a:solidFill>
                  <a:schemeClr val="accent5">
                    <a:lumMod val="75000"/>
                    <a:alpha val="7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aktywa!$B$53:$D$53</c:f>
              <c:numCache>
                <c:formatCode>General</c:formatCode>
                <c:ptCount val="3"/>
                <c:pt idx="0">
                  <c:v>348832</c:v>
                </c:pt>
                <c:pt idx="1">
                  <c:v>365986</c:v>
                </c:pt>
                <c:pt idx="2">
                  <c:v>373941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8-4A00-B0D8-96A187158026}"/>
            </c:ext>
          </c:extLst>
        </c:ser>
        <c:ser>
          <c:idx val="1"/>
          <c:order val="1"/>
          <c:tx>
            <c:v>Aktywa obrotowe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38100" cap="rnd">
                <a:solidFill>
                  <a:srgbClr val="FFC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aktywa!$B$63:$D$63</c:f>
              <c:numCache>
                <c:formatCode>General</c:formatCode>
                <c:ptCount val="3"/>
                <c:pt idx="0">
                  <c:v>91596</c:v>
                </c:pt>
                <c:pt idx="1">
                  <c:v>89979</c:v>
                </c:pt>
                <c:pt idx="2">
                  <c:v>103013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8-4A00-B0D8-96A187158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165168"/>
        <c:axId val="1385790336"/>
      </c:barChart>
      <c:catAx>
        <c:axId val="14731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0336"/>
        <c:crosses val="autoZero"/>
        <c:auto val="1"/>
        <c:lblAlgn val="ctr"/>
        <c:lblOffset val="100"/>
        <c:noMultiLvlLbl val="0"/>
      </c:catAx>
      <c:valAx>
        <c:axId val="1385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 tys.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</a:t>
            </a:r>
            <a:r>
              <a:rPr lang="pl-PL" baseline="0"/>
              <a:t> największe aktywa trwałe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Wartości niematerialne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aktywa!$B$47:$D$47</c:f>
              <c:numCache>
                <c:formatCode>General</c:formatCode>
                <c:ptCount val="3"/>
                <c:pt idx="0">
                  <c:v>277095</c:v>
                </c:pt>
                <c:pt idx="1">
                  <c:v>280162</c:v>
                </c:pt>
                <c:pt idx="2">
                  <c:v>285661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8-465C-99A8-458D10ABD2AB}"/>
            </c:ext>
          </c:extLst>
        </c:ser>
        <c:ser>
          <c:idx val="1"/>
          <c:order val="1"/>
          <c:tx>
            <c:v>Aktywa z tytułu prawa do użytkowania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aktywa!$B$48:$D$48</c:f>
              <c:numCache>
                <c:formatCode>General</c:formatCode>
                <c:ptCount val="3"/>
                <c:pt idx="0">
                  <c:v>46852</c:v>
                </c:pt>
                <c:pt idx="1">
                  <c:v>60637</c:v>
                </c:pt>
                <c:pt idx="2">
                  <c:v>47339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8-465C-99A8-458D10ABD2AB}"/>
            </c:ext>
          </c:extLst>
        </c:ser>
        <c:ser>
          <c:idx val="2"/>
          <c:order val="2"/>
          <c:tx>
            <c:v>Rzeczowe aktywa trwałe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aktywa!$B$49:$D$49</c:f>
              <c:numCache>
                <c:formatCode>General</c:formatCode>
                <c:ptCount val="3"/>
                <c:pt idx="0">
                  <c:v>21100</c:v>
                </c:pt>
                <c:pt idx="1">
                  <c:v>22287</c:v>
                </c:pt>
                <c:pt idx="2">
                  <c:v>37097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8-465C-99A8-458D10ABD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141920"/>
        <c:axId val="1386935344"/>
      </c:lineChart>
      <c:catAx>
        <c:axId val="13191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35344"/>
        <c:crosses val="autoZero"/>
        <c:auto val="1"/>
        <c:lblAlgn val="ctr"/>
        <c:lblOffset val="100"/>
        <c:noMultiLvlLbl val="0"/>
      </c:catAx>
      <c:valAx>
        <c:axId val="13869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 w całości aktywów obrotowych dwóch największych składników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aktywa!$B$69</c:f>
              <c:strCache>
                <c:ptCount val="1"/>
                <c:pt idx="0">
                  <c:v>Należności z tytułu dostaw i usług oraz pozostałe należności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aktywa!$C$69:$E$69</c:f>
              <c:numCache>
                <c:formatCode>0%</c:formatCode>
                <c:ptCount val="3"/>
                <c:pt idx="0">
                  <c:v>0.43739901305733875</c:v>
                </c:pt>
                <c:pt idx="1">
                  <c:v>0.49493770768734929</c:v>
                </c:pt>
                <c:pt idx="2">
                  <c:v>0.49989807111723761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0-43CA-A42A-2A4D9CC2C1CA}"/>
            </c:ext>
          </c:extLst>
        </c:ser>
        <c:ser>
          <c:idx val="1"/>
          <c:order val="1"/>
          <c:tx>
            <c:strRef>
              <c:f>aktywa!$B$74</c:f>
              <c:strCache>
                <c:ptCount val="1"/>
                <c:pt idx="0">
                  <c:v>Środki pieniężne i depozyty krótkoterminowe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03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60-43CA-A42A-2A4D9CC2C1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9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aktywa!$C$74:$E$74</c:f>
              <c:numCache>
                <c:formatCode>0%</c:formatCode>
                <c:ptCount val="3"/>
                <c:pt idx="0">
                  <c:v>7.2208393379623564E-2</c:v>
                </c:pt>
                <c:pt idx="1">
                  <c:v>0.47602218295380033</c:v>
                </c:pt>
                <c:pt idx="2">
                  <c:v>0.46869812547930845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0-43CA-A42A-2A4D9CC2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128704"/>
        <c:axId val="1476630288"/>
      </c:barChart>
      <c:catAx>
        <c:axId val="14811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0288"/>
        <c:crosses val="autoZero"/>
        <c:auto val="1"/>
        <c:lblAlgn val="ctr"/>
        <c:lblOffset val="100"/>
        <c:noMultiLvlLbl val="0"/>
      </c:catAx>
      <c:valAx>
        <c:axId val="14766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Wskaźniki</a:t>
            </a:r>
            <a:r>
              <a:rPr lang="pl-PL" baseline="0"/>
              <a:t> unieruchomienia majątku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numLit>
          </c:cat>
          <c:val>
            <c:numRef>
              <c:f>aktywa!$C$38:$E$38</c:f>
              <c:numCache>
                <c:formatCode>0.000%</c:formatCode>
                <c:ptCount val="3"/>
                <c:pt idx="0">
                  <c:v>3.808375911611861</c:v>
                </c:pt>
                <c:pt idx="1">
                  <c:v>4.0674601851543137</c:v>
                </c:pt>
                <c:pt idx="2">
                  <c:v>3.6300369856231738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4-4EC5-BBCE-902F9B348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09074256"/>
        <c:axId val="1669574256"/>
      </c:barChart>
      <c:catAx>
        <c:axId val="13090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574256"/>
        <c:crosses val="autoZero"/>
        <c:auto val="1"/>
        <c:lblAlgn val="ctr"/>
        <c:lblOffset val="100"/>
        <c:noMultiLvlLbl val="0"/>
      </c:catAx>
      <c:valAx>
        <c:axId val="1669574256"/>
        <c:scaling>
          <c:orientation val="minMax"/>
        </c:scaling>
        <c:delete val="1"/>
        <c:axPos val="l"/>
        <c:numFmt formatCode="0.000%" sourceLinked="1"/>
        <c:majorTickMark val="none"/>
        <c:minorTickMark val="none"/>
        <c:tickLblPos val="nextTo"/>
        <c:crossAx val="13090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Roczny rozkład przychodów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'RZiS wykresy'!$B$7:$F$7</c:f>
              <c:strCache>
                <c:ptCount val="5"/>
                <c:pt idx="0">
                  <c:v>Przychody operacyjne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'RZiS wykresy'!$G$6:$I$6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wykresy'!$G$7:$I$7</c:f>
              <c:numCache>
                <c:formatCode>0</c:formatCode>
                <c:ptCount val="3"/>
                <c:pt idx="0">
                  <c:v>282116</c:v>
                </c:pt>
                <c:pt idx="1">
                  <c:v>307432</c:v>
                </c:pt>
                <c:pt idx="2">
                  <c:v>338515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F-4B12-B3AB-8377B798A518}"/>
            </c:ext>
          </c:extLst>
        </c:ser>
        <c:ser>
          <c:idx val="1"/>
          <c:order val="1"/>
          <c:tx>
            <c:strRef>
              <c:f>'RZiS wykresy'!$B$8:$F$8</c:f>
              <c:strCache>
                <c:ptCount val="5"/>
                <c:pt idx="0">
                  <c:v>Pozostałe przychody operacyjne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'RZiS wykresy'!$G$6:$I$6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wykresy'!$G$8:$I$8</c:f>
              <c:numCache>
                <c:formatCode>0</c:formatCode>
                <c:ptCount val="3"/>
                <c:pt idx="0">
                  <c:v>1298</c:v>
                </c:pt>
                <c:pt idx="1">
                  <c:v>697</c:v>
                </c:pt>
                <c:pt idx="2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F-4B12-B3AB-8377B798A518}"/>
            </c:ext>
          </c:extLst>
        </c:ser>
        <c:ser>
          <c:idx val="2"/>
          <c:order val="2"/>
          <c:tx>
            <c:strRef>
              <c:f>'RZiS wykresy'!$B$9:$F$9</c:f>
              <c:strCache>
                <c:ptCount val="5"/>
                <c:pt idx="0">
                  <c:v>Przychody finansowe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'RZiS wykresy'!$G$6:$I$6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'RZiS wykresy'!$G$9:$I$9</c:f>
              <c:numCache>
                <c:formatCode>0</c:formatCode>
                <c:ptCount val="3"/>
                <c:pt idx="0">
                  <c:v>196</c:v>
                </c:pt>
                <c:pt idx="1">
                  <c:v>251</c:v>
                </c:pt>
                <c:pt idx="2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1F-4B12-B3AB-8377B798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549520"/>
        <c:axId val="1638662512"/>
      </c:barChart>
      <c:catAx>
        <c:axId val="16365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62512"/>
        <c:crosses val="autoZero"/>
        <c:auto val="1"/>
        <c:lblAlgn val="ctr"/>
        <c:lblOffset val="100"/>
        <c:noMultiLvlLbl val="0"/>
      </c:catAx>
      <c:valAx>
        <c:axId val="1638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5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0</xdr:rowOff>
    </xdr:from>
    <xdr:to>
      <xdr:col>7</xdr:col>
      <xdr:colOff>95250</xdr:colOff>
      <xdr:row>14</xdr:row>
      <xdr:rowOff>123825</xdr:rowOff>
    </xdr:to>
    <xdr:sp macro="" textlink="">
      <xdr:nvSpPr>
        <xdr:cNvPr id="23" name="Pole tekstowe 2">
          <a:extLst>
            <a:ext uri="{FF2B5EF4-FFF2-40B4-BE49-F238E27FC236}">
              <a16:creationId xmlns:a16="http://schemas.microsoft.com/office/drawing/2014/main" id="{48FE5671-2405-6802-0EBD-BD36321C1F4D}"/>
            </a:ext>
            <a:ext uri="{147F2762-F138-4A5C-976F-8EAC2B608ADB}">
              <a16:predDERef xmlns:a16="http://schemas.microsoft.com/office/drawing/2014/main" pred="{24CAF555-BBC2-1382-BD26-8A0695866F18}"/>
            </a:ext>
          </a:extLst>
        </xdr:cNvPr>
        <xdr:cNvSpPr txBox="1"/>
      </xdr:nvSpPr>
      <xdr:spPr>
        <a:xfrm>
          <a:off x="609600" y="723900"/>
          <a:ext cx="479107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Asseco Business Solutions S.A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 jest częścią międzynarodowej Grupy Asseco Poland S.A., jednego z wiodących dostawców oprogramowania własnego na rynku europejskim. Grupa stanowi federację firm zaangażowanych w rozwijanie technologii informatycznych i jest obecna w ponad 50 krajach świata, m.in. w większości państw europejskich, a także w USA, Kanadzie, Izraelu czy Japonii.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Spółka jest zapisana w Polskiej Klasyfikacji Działaności jako: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"Działaność związana z oprogramowaniem"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(PKD 62.01.Z).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628650</xdr:colOff>
      <xdr:row>14</xdr:row>
      <xdr:rowOff>152400</xdr:rowOff>
    </xdr:from>
    <xdr:to>
      <xdr:col>7</xdr:col>
      <xdr:colOff>76200</xdr:colOff>
      <xdr:row>23</xdr:row>
      <xdr:rowOff>76200</xdr:rowOff>
    </xdr:to>
    <xdr:sp macro="" textlink="">
      <xdr:nvSpPr>
        <xdr:cNvPr id="33" name="Pole tekstowe 3">
          <a:extLst>
            <a:ext uri="{FF2B5EF4-FFF2-40B4-BE49-F238E27FC236}">
              <a16:creationId xmlns:a16="http://schemas.microsoft.com/office/drawing/2014/main" id="{3747D32A-B739-0034-3C0C-62FEE3ED24EE}"/>
            </a:ext>
            <a:ext uri="{147F2762-F138-4A5C-976F-8EAC2B608ADB}">
              <a16:predDERef xmlns:a16="http://schemas.microsoft.com/office/drawing/2014/main" pred="{48FE5671-2405-6802-0EBD-BD36321C1F4D}"/>
            </a:ext>
          </a:extLst>
        </xdr:cNvPr>
        <xdr:cNvSpPr txBox="1"/>
      </xdr:nvSpPr>
      <xdr:spPr>
        <a:xfrm>
          <a:off x="628650" y="3429000"/>
          <a:ext cx="4752975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Podstawowe informacje o Spółce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Nazwa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Asseco Business Solutions S.A.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Siedziba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ul. Konrada Wallenroda 4c, 20-607 Lublin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KRS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0000028257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Regon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017293003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NIP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522-26-12-717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Podstawowy przedmiot działalności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>
              <a:latin typeface="+mn-lt"/>
              <a:ea typeface="+mn-lt"/>
              <a:cs typeface="+mn-lt"/>
            </a:rPr>
            <a:t>Informatyka</a:t>
          </a:r>
        </a:p>
      </xdr:txBody>
    </xdr:sp>
    <xdr:clientData/>
  </xdr:twoCellAnchor>
  <xdr:twoCellAnchor>
    <xdr:from>
      <xdr:col>13</xdr:col>
      <xdr:colOff>257175</xdr:colOff>
      <xdr:row>18</xdr:row>
      <xdr:rowOff>152400</xdr:rowOff>
    </xdr:from>
    <xdr:to>
      <xdr:col>16</xdr:col>
      <xdr:colOff>381000</xdr:colOff>
      <xdr:row>22</xdr:row>
      <xdr:rowOff>9525</xdr:rowOff>
    </xdr:to>
    <xdr:sp macro="" textlink="">
      <xdr:nvSpPr>
        <xdr:cNvPr id="40" name="Pole tekstowe 4">
          <a:extLst>
            <a:ext uri="{FF2B5EF4-FFF2-40B4-BE49-F238E27FC236}">
              <a16:creationId xmlns:a16="http://schemas.microsoft.com/office/drawing/2014/main" id="{A5193FEF-D638-12E2-D785-0336A3AD421D}"/>
            </a:ext>
            <a:ext uri="{147F2762-F138-4A5C-976F-8EAC2B608ADB}">
              <a16:predDERef xmlns:a16="http://schemas.microsoft.com/office/drawing/2014/main" pred="{3747D32A-B739-0034-3C0C-62FEE3ED24EE}"/>
            </a:ext>
          </a:extLst>
        </xdr:cNvPr>
        <xdr:cNvSpPr txBox="1"/>
      </xdr:nvSpPr>
      <xdr:spPr>
        <a:xfrm>
          <a:off x="10096500" y="4191000"/>
          <a:ext cx="1952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Sprawozdanie za rok 2020 można znaleźć w sprawozdaniu finansowym za rok 2021.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25</xdr:row>
      <xdr:rowOff>175260</xdr:rowOff>
    </xdr:from>
    <xdr:to>
      <xdr:col>10</xdr:col>
      <xdr:colOff>1143000</xdr:colOff>
      <xdr:row>32</xdr:row>
      <xdr:rowOff>30480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5C0ABEB2-FFC0-9598-BF3C-DD0D69FCEEA3}"/>
            </a:ext>
          </a:extLst>
        </xdr:cNvPr>
        <xdr:cNvSpPr txBox="1"/>
      </xdr:nvSpPr>
      <xdr:spPr>
        <a:xfrm>
          <a:off x="8983980" y="7825740"/>
          <a:ext cx="45872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/>
            <a:t>Przepływy</a:t>
          </a:r>
          <a:r>
            <a:rPr lang="pl-PL" sz="1200" baseline="0"/>
            <a:t> z d</a:t>
          </a:r>
          <a:r>
            <a:rPr lang="pl-PL" sz="1200"/>
            <a:t>ziałalności operacyjnej we wszystkich latach są dodatnia</a:t>
          </a:r>
          <a:r>
            <a:rPr lang="pl-PL" sz="1200" baseline="0"/>
            <a:t> co świadczy o dobrym funkcjonowaniu firmy. Pozostałych działalności nie możemy interpretować w taki sam sposób ponieważ ujemna wartość przepływu z działalności inwestycyjnej może znaczyć o dużym inwestowaniu firmy w danym roku (np. w 2020 inwestycje w lokaty) natomiast ujemna wartość przepływów z działalności finansowej wynika z tego że firma wypłaca dywidendy właścicielom.</a:t>
          </a:r>
        </a:p>
        <a:p>
          <a:r>
            <a:rPr lang="pl-PL" sz="1200" baseline="0"/>
            <a:t>Wynik finansowy netto jest również dodatni we wszystkich latach co świadczy o dobrej sytuacji firmy.</a:t>
          </a:r>
        </a:p>
        <a:p>
          <a:endParaRPr lang="pl-PL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10477</xdr:rowOff>
    </xdr:from>
    <xdr:to>
      <xdr:col>9</xdr:col>
      <xdr:colOff>257175</xdr:colOff>
      <xdr:row>18</xdr:row>
      <xdr:rowOff>334327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F9F04C-5706-4EBE-BCFA-554C4A342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38100</xdr:rowOff>
    </xdr:from>
    <xdr:to>
      <xdr:col>15</xdr:col>
      <xdr:colOff>464820</xdr:colOff>
      <xdr:row>12</xdr:row>
      <xdr:rowOff>99060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B924A99C-9AE8-B0B0-E2BA-9541B065045F}"/>
            </a:ext>
          </a:extLst>
        </xdr:cNvPr>
        <xdr:cNvSpPr txBox="1"/>
      </xdr:nvSpPr>
      <xdr:spPr>
        <a:xfrm>
          <a:off x="6880860" y="220980"/>
          <a:ext cx="2865120" cy="2072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/>
            <a:t>Złota reguła bilansowa nie jest spełniona ponieważ kapitał własny nie pokrywa całości aktywów trwałych, za to jest spełniona srebrna reguła bilansowa - nasz kapitał własny plus kapitał obcy długoterminowy pokrywają aktywa trwałe. 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Jest to spowodowane dużym udziałem aktywów stałych w aktywach ogółem.</a:t>
          </a:r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0.07167</cdr:x>
      <cdr:y>0.26548</cdr:y>
    </cdr:from>
    <cdr:to>
      <cdr:x>0.87583</cdr:x>
      <cdr:y>0.26548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AD49445E-5CC0-AC8D-74BF-AF5D30814143}"/>
            </a:ext>
          </a:extLst>
        </cdr:cNvPr>
        <cdr:cNvCxnSpPr/>
      </cdr:nvCxnSpPr>
      <cdr:spPr>
        <a:xfrm xmlns:a="http://schemas.openxmlformats.org/drawingml/2006/main">
          <a:off x="327660" y="726758"/>
          <a:ext cx="367665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0.87917</cdr:x>
      <cdr:y>0.12283</cdr:y>
    </cdr:from>
    <cdr:to>
      <cdr:x>1</cdr:x>
      <cdr:y>0.1785</cdr:y>
    </cdr:to>
    <cdr:sp macro="" textlink="">
      <cdr:nvSpPr>
        <cdr:cNvPr id="7" name="pole tekstowe 6">
          <a:extLst xmlns:a="http://schemas.openxmlformats.org/drawingml/2006/main">
            <a:ext uri="{FF2B5EF4-FFF2-40B4-BE49-F238E27FC236}">
              <a16:creationId xmlns:a16="http://schemas.microsoft.com/office/drawing/2014/main" id="{15B0E2E3-2123-A7E9-0BC0-298F987612BB}"/>
            </a:ext>
          </a:extLst>
        </cdr:cNvPr>
        <cdr:cNvSpPr txBox="1"/>
      </cdr:nvSpPr>
      <cdr:spPr>
        <a:xfrm xmlns:a="http://schemas.openxmlformats.org/drawingml/2006/main">
          <a:off x="4023360" y="336233"/>
          <a:ext cx="55245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452076</xdr:colOff>
      <xdr:row>37</xdr:row>
      <xdr:rowOff>330411</xdr:rowOff>
    </xdr:from>
    <xdr:to>
      <xdr:col>10</xdr:col>
      <xdr:colOff>792735</xdr:colOff>
      <xdr:row>49</xdr:row>
      <xdr:rowOff>161362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6BA554-7BC5-40C9-BF93-256A1D22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255493</xdr:colOff>
      <xdr:row>31</xdr:row>
      <xdr:rowOff>143434</xdr:rowOff>
    </xdr:from>
    <xdr:to>
      <xdr:col>20</xdr:col>
      <xdr:colOff>26894</xdr:colOff>
      <xdr:row>51</xdr:row>
      <xdr:rowOff>134469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6587D7D-0598-4077-97A2-C8D9560B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486864</xdr:colOff>
      <xdr:row>25</xdr:row>
      <xdr:rowOff>108041</xdr:rowOff>
    </xdr:from>
    <xdr:to>
      <xdr:col>11</xdr:col>
      <xdr:colOff>158387</xdr:colOff>
      <xdr:row>36</xdr:row>
      <xdr:rowOff>166007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8F7D1D2-BA06-F5B4-99C0-8FDAED97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423182</xdr:colOff>
      <xdr:row>50</xdr:row>
      <xdr:rowOff>174172</xdr:rowOff>
    </xdr:from>
    <xdr:to>
      <xdr:col>11</xdr:col>
      <xdr:colOff>161925</xdr:colOff>
      <xdr:row>64</xdr:row>
      <xdr:rowOff>43542</xdr:rowOff>
    </xdr:to>
    <xdr:sp macro="" textlink="">
      <xdr:nvSpPr>
        <xdr:cNvPr id="7" name="pole tekstowe 3">
          <a:extLst>
            <a:ext uri="{FF2B5EF4-FFF2-40B4-BE49-F238E27FC236}">
              <a16:creationId xmlns:a16="http://schemas.microsoft.com/office/drawing/2014/main" id="{9EA62199-7580-7336-1611-291E6AF7E089}"/>
            </a:ext>
            <a:ext uri="{147F2762-F138-4A5C-976F-8EAC2B608ADB}">
              <a16:predDERef xmlns:a16="http://schemas.microsoft.com/office/drawing/2014/main" pred="{08F7D1D2-BA06-F5B4-99C0-8FDAED97916E}"/>
            </a:ext>
          </a:extLst>
        </xdr:cNvPr>
        <xdr:cNvSpPr txBox="1"/>
      </xdr:nvSpPr>
      <xdr:spPr>
        <a:xfrm>
          <a:off x="10052957" y="12232822"/>
          <a:ext cx="5729968" cy="24315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strukturze pasywów w naszej firmie największą role odgrywa kapitał własny,</a:t>
          </a:r>
          <a:r>
            <a:rPr lang="pl-PL" sz="1100" baseline="0"/>
            <a:t> gdyż jest to około 75% całości pasywów. Dodatkowo widzimy stały wzrost kapitału własnego o 4,4 % rok do roku. Również zyski zatrzymane wykazują wzrostową tendencję (ok.14 % wzrostu rok do roku), co oznacza że firma może znowu inwestować z powrotem w swoje przedsiębiorstwo. Zobowiązana długoterminowe w roku 2022 spadły o 19,45% , ale wzrosły za to zobowiązania krótkoterminowe o ok. 33%. Spowodowane jest to znaczym spadkiem zobowiązań z tytułu leasingu w 2022 roku ( o ok. 10000000 zł), przez co stan zbliżył się bardzo do roku 2020. Zobowiązania krótkoreminowe również wykazują podobną tendencję - roki 2020 i 2022 są dosyć podobne do siebie, a w roku 2021 widzimy spore spadki niektórych elementów np.: spadek o prawie 41 % rozliczeń międzyokresowych, spadek o 80 % zobowiązań z tytułu podatku dochodowego od osób prawnych. Wskaźnik struktury kapitału w każdym z badanych roków oscylował wokół wartości 3, czyli firma spełnia złotą regułę finansowania, co jest pozytywnym zjawiskiem - mamy niskie zadłużenie. </a:t>
          </a:r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46</xdr:row>
      <xdr:rowOff>80683</xdr:rowOff>
    </xdr:from>
    <xdr:to>
      <xdr:col>10</xdr:col>
      <xdr:colOff>555811</xdr:colOff>
      <xdr:row>59</xdr:row>
      <xdr:rowOff>161365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E38C08-2C3A-4212-B948-04A53F7C2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61</xdr:row>
      <xdr:rowOff>17928</xdr:rowOff>
    </xdr:from>
    <xdr:to>
      <xdr:col>10</xdr:col>
      <xdr:colOff>519953</xdr:colOff>
      <xdr:row>76</xdr:row>
      <xdr:rowOff>8963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0E6370-5D21-4063-B887-120A5E0D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78</xdr:row>
      <xdr:rowOff>116541</xdr:rowOff>
    </xdr:from>
    <xdr:to>
      <xdr:col>10</xdr:col>
      <xdr:colOff>600635</xdr:colOff>
      <xdr:row>93</xdr:row>
      <xdr:rowOff>170329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B1F77A-6131-4160-A860-60B9AE85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289561</xdr:colOff>
      <xdr:row>30</xdr:row>
      <xdr:rowOff>23531</xdr:rowOff>
    </xdr:from>
    <xdr:to>
      <xdr:col>9</xdr:col>
      <xdr:colOff>2786567</xdr:colOff>
      <xdr:row>44</xdr:row>
      <xdr:rowOff>133349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BE6B5F3-33C1-4A38-A3B4-3EB82D6F6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174172</xdr:colOff>
      <xdr:row>23</xdr:row>
      <xdr:rowOff>119743</xdr:rowOff>
    </xdr:from>
    <xdr:to>
      <xdr:col>14</xdr:col>
      <xdr:colOff>609600</xdr:colOff>
      <xdr:row>37</xdr:row>
      <xdr:rowOff>32657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5BCB8403-7880-83FD-FD52-3BD14B75DF45}"/>
            </a:ext>
            <a:ext uri="{147F2762-F138-4A5C-976F-8EAC2B608ADB}">
              <a16:predDERef xmlns:a16="http://schemas.microsoft.com/office/drawing/2014/main" pred="{4BE6B5F3-33C1-4A38-A3B4-3EB82D6F669B}"/>
            </a:ext>
          </a:extLst>
        </xdr:cNvPr>
        <xdr:cNvSpPr txBox="1"/>
      </xdr:nvSpPr>
      <xdr:spPr>
        <a:xfrm>
          <a:off x="18070286" y="6085114"/>
          <a:ext cx="5192485" cy="2612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>
              <a:solidFill>
                <a:schemeClr val="dk1"/>
              </a:solidFill>
              <a:latin typeface="+mn-lt"/>
              <a:ea typeface="+mn-lt"/>
              <a:cs typeface="+mn-lt"/>
            </a:rPr>
            <a:t>Analiza stanu aktywów przedsiębiorstwa na koniec lat 2020, 2021 i 2022 wykazuje systematyczny wzrost. Aktywa trwałe, obejmujące wartości niematerialne, aktywa z tytułu prawa do użytkowania oraz rzeczowe aktywa trwałe, zwiększyły się z 348,832 tys. PLN na koniec 2020 roku do 373,941 tys. PLN na koniec 2022 roku. Należy zauważyć znaczny udział wspomnianych wartości niematerialnych, na poziomie ponad 75%. Warto również zauważyć wzost w aktywach obrotowych (głównie w należnościach i środkach pieniężnych i depozytach krótkoterminowych), które łącznie wzrosły z 91</a:t>
          </a:r>
          <a:r>
            <a:rPr lang="en-US" sz="12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200">
              <a:solidFill>
                <a:schemeClr val="dk1"/>
              </a:solidFill>
              <a:latin typeface="+mn-lt"/>
              <a:ea typeface="+mn-lt"/>
              <a:cs typeface="+mn-lt"/>
            </a:rPr>
            <a:t>596 tys. PLN na koniec 2020 roku do 103</a:t>
          </a:r>
          <a:r>
            <a:rPr lang="en-US" sz="12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200">
              <a:solidFill>
                <a:schemeClr val="dk1"/>
              </a:solidFill>
              <a:latin typeface="+mn-lt"/>
              <a:ea typeface="+mn-lt"/>
              <a:cs typeface="+mn-lt"/>
            </a:rPr>
            <a:t>013 tys. PLN na koniec 2022 roku. Ogólna suma aktywów również rosła, osiągając 476,954 tys. PLN na koniec 2022 roku. To sugeruje pozytywną dynamikę finansową przedsiębiorstwa i jego zdolność do zarządzania zarówno aktywami trwałymi, jak i obrotowymi w badanym okresie.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11</xdr:row>
      <xdr:rowOff>15240</xdr:rowOff>
    </xdr:from>
    <xdr:to>
      <xdr:col>14</xdr:col>
      <xdr:colOff>480060</xdr:colOff>
      <xdr:row>29</xdr:row>
      <xdr:rowOff>45720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C141AFD9-ACD4-5B2F-A306-6E19D7E1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39</xdr:row>
      <xdr:rowOff>175260</xdr:rowOff>
    </xdr:from>
    <xdr:to>
      <xdr:col>13</xdr:col>
      <xdr:colOff>312420</xdr:colOff>
      <xdr:row>54</xdr:row>
      <xdr:rowOff>175260</xdr:rowOff>
    </xdr:to>
    <xdr:graphicFrame macro="">
      <xdr:nvGraphicFramePr>
        <xdr:cNvPr id="6" name="Wykres 4">
          <a:extLst>
            <a:ext uri="{FF2B5EF4-FFF2-40B4-BE49-F238E27FC236}">
              <a16:creationId xmlns:a16="http://schemas.microsoft.com/office/drawing/2014/main" id="{1782FFDD-41B0-B091-688E-23F27E45435C}"/>
            </a:ext>
            <a:ext uri="{147F2762-F138-4A5C-976F-8EAC2B608ADB}">
              <a16:predDERef xmlns:a16="http://schemas.microsoft.com/office/drawing/2014/main" pred="{C141AFD9-ACD4-5B2F-A306-6E19D7E1E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487680</xdr:colOff>
      <xdr:row>11</xdr:row>
      <xdr:rowOff>22860</xdr:rowOff>
    </xdr:from>
    <xdr:to>
      <xdr:col>22</xdr:col>
      <xdr:colOff>541020</xdr:colOff>
      <xdr:row>24</xdr:row>
      <xdr:rowOff>137160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4CA650B-9009-8259-C57F-7F8296132A4C}"/>
            </a:ext>
          </a:extLst>
        </xdr:cNvPr>
        <xdr:cNvSpPr txBox="1"/>
      </xdr:nvSpPr>
      <xdr:spPr>
        <a:xfrm>
          <a:off x="10241280" y="2080260"/>
          <a:ext cx="3710940" cy="2491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/>
            <a:t>Zdecydowanie największy udział w przychodach mają przychody ze sprzedaży. We wszystkich trzech latach osiągały one powyżej 99% udziału w strukturze przychodów. Oznacza to, iż firma skupia się w sporym stopniu na swojej głównej działalności. W strukturze kosztów znaczną część stanowią koszty własne sprzedaży  (Jest to naturalne w związku z dominacją przychodów ze sprzedaży w obszarze przychodów). Zarówno w kosztach jak i przychodach widzimy tendencję wzrostową.Udziały kosztów finansowych ciężko jakkolwiek interpretować, gdyż zarówno w strukturach przychodów i kosztów nie przekraczają 2% całego przepływu.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oney2.wpcdn.pl/gielda/gpw/raporty/2023/03/20230301_175015_0677020525_Sprawozdanie_finansowe_ABS_2022.xhtml" TargetMode="External"/><Relationship Id="rId1" Type="http://schemas.openxmlformats.org/officeDocument/2006/relationships/hyperlink" Target="https://money2.wpcdn.pl/gielda/gpw/raporty/2022/03/20220301_190022_1606225267_Sprawozdanie_finansowe_ABS_2021.x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F5FB-CA2C-4A58-A075-D24BC49499A8}">
  <sheetPr>
    <tabColor rgb="FFFF0000"/>
  </sheetPr>
  <dimension ref="A1:N36"/>
  <sheetViews>
    <sheetView topLeftCell="A6" workbookViewId="0">
      <selection activeCell="O16" sqref="O16"/>
    </sheetView>
  </sheetViews>
  <sheetFormatPr defaultRowHeight="15"/>
  <cols>
    <col min="1" max="1" width="13.7109375" customWidth="1"/>
    <col min="2" max="2" width="12.85546875" customWidth="1"/>
    <col min="3" max="3" width="12.7109375" customWidth="1"/>
    <col min="4" max="4" width="12.85546875" customWidth="1"/>
    <col min="12" max="12" width="22.28515625" customWidth="1"/>
  </cols>
  <sheetData>
    <row r="1" spans="1:14" ht="18.75" customHeight="1">
      <c r="A1" s="246" t="s">
        <v>0</v>
      </c>
      <c r="B1" s="246"/>
      <c r="C1" s="246"/>
      <c r="D1" s="246"/>
      <c r="E1" s="246"/>
      <c r="F1" s="246"/>
      <c r="G1" s="246"/>
      <c r="H1" s="246"/>
      <c r="J1" s="184"/>
      <c r="K1" s="248" t="s">
        <v>1</v>
      </c>
      <c r="L1" s="248"/>
      <c r="M1" s="248"/>
      <c r="N1" s="184"/>
    </row>
    <row r="2" spans="1:14" ht="18.75" customHeight="1">
      <c r="A2" s="246"/>
      <c r="B2" s="246"/>
      <c r="C2" s="246"/>
      <c r="D2" s="246"/>
      <c r="E2" s="246"/>
      <c r="F2" s="246"/>
      <c r="G2" s="246"/>
      <c r="H2" s="246"/>
      <c r="J2" s="185"/>
      <c r="K2" s="249" t="s">
        <v>2</v>
      </c>
      <c r="L2" s="249"/>
      <c r="M2" s="249"/>
      <c r="N2" s="183"/>
    </row>
    <row r="3" spans="1:14" ht="18.75" customHeight="1">
      <c r="J3" s="185"/>
      <c r="K3" s="250" t="s">
        <v>3</v>
      </c>
      <c r="L3" s="250"/>
      <c r="M3" s="250"/>
      <c r="N3" s="183"/>
    </row>
    <row r="4" spans="1:14" ht="18.75" customHeight="1">
      <c r="J4" s="183"/>
      <c r="K4" s="249" t="s">
        <v>4</v>
      </c>
      <c r="L4" s="249"/>
      <c r="M4" s="249"/>
      <c r="N4" s="183"/>
    </row>
    <row r="5" spans="1:14" ht="18.75" customHeight="1">
      <c r="J5" s="183"/>
      <c r="K5" s="251" t="s">
        <v>5</v>
      </c>
      <c r="L5" s="251"/>
      <c r="M5" s="251"/>
      <c r="N5" s="183"/>
    </row>
    <row r="6" spans="1:14" ht="18.75" customHeight="1">
      <c r="J6" s="183"/>
      <c r="K6" s="249" t="s">
        <v>6</v>
      </c>
      <c r="L6" s="249"/>
      <c r="M6" s="249"/>
      <c r="N6" s="183"/>
    </row>
    <row r="7" spans="1:14" ht="18.75" customHeight="1">
      <c r="J7" s="183"/>
      <c r="K7" s="247" t="s">
        <v>7</v>
      </c>
      <c r="L7" s="247"/>
      <c r="M7" s="247"/>
      <c r="N7" s="183"/>
    </row>
    <row r="8" spans="1:14" ht="18.75" customHeight="1">
      <c r="J8" s="183"/>
      <c r="K8" s="249" t="s">
        <v>8</v>
      </c>
      <c r="L8" s="249"/>
      <c r="M8" s="249"/>
      <c r="N8" s="183"/>
    </row>
    <row r="9" spans="1:14" ht="18.75" customHeight="1">
      <c r="J9" s="183"/>
      <c r="K9" s="252" t="s">
        <v>9</v>
      </c>
      <c r="L9" s="252"/>
      <c r="M9" s="252"/>
      <c r="N9" s="183"/>
    </row>
    <row r="10" spans="1:14" ht="18.75" customHeight="1">
      <c r="J10" s="183"/>
      <c r="K10" s="247" t="s">
        <v>10</v>
      </c>
      <c r="L10" s="247"/>
      <c r="M10" s="247"/>
      <c r="N10" s="183"/>
    </row>
    <row r="11" spans="1:14" ht="18.75" customHeight="1">
      <c r="J11" s="183"/>
      <c r="K11" s="247" t="s">
        <v>11</v>
      </c>
      <c r="L11" s="247"/>
      <c r="M11" s="247"/>
      <c r="N11" s="183"/>
    </row>
    <row r="12" spans="1:14" ht="18.75" customHeight="1">
      <c r="J12" s="183"/>
      <c r="K12" s="247" t="s">
        <v>12</v>
      </c>
      <c r="L12" s="247"/>
      <c r="M12" s="247"/>
      <c r="N12" s="183"/>
    </row>
    <row r="13" spans="1:14" ht="18.75" customHeight="1">
      <c r="J13" s="183"/>
      <c r="K13" s="247" t="s">
        <v>13</v>
      </c>
      <c r="L13" s="247"/>
      <c r="M13" s="247"/>
      <c r="N13" s="183"/>
    </row>
    <row r="14" spans="1:14" ht="15.75">
      <c r="J14" s="256" t="s">
        <v>14</v>
      </c>
      <c r="K14" s="256"/>
      <c r="L14" s="256"/>
      <c r="M14" s="256"/>
      <c r="N14" s="256"/>
    </row>
    <row r="15" spans="1:14">
      <c r="L15" s="190" t="s">
        <v>15</v>
      </c>
    </row>
    <row r="16" spans="1:14">
      <c r="L16" t="s">
        <v>16</v>
      </c>
    </row>
    <row r="17" spans="1:14">
      <c r="L17" t="s">
        <v>17</v>
      </c>
    </row>
    <row r="18" spans="1:14">
      <c r="J18" s="257" t="s">
        <v>18</v>
      </c>
      <c r="K18" s="257"/>
      <c r="L18" s="257"/>
      <c r="M18" s="257"/>
      <c r="N18" s="257"/>
    </row>
    <row r="19" spans="1:14" ht="18.75">
      <c r="K19" s="254"/>
      <c r="L19" s="254"/>
      <c r="M19" s="254"/>
    </row>
    <row r="20" spans="1:14" ht="18.75">
      <c r="A20" s="183"/>
      <c r="B20" s="183"/>
      <c r="C20" s="183"/>
      <c r="D20" s="183"/>
      <c r="E20" s="183"/>
      <c r="F20" s="183"/>
      <c r="K20" s="253" t="s">
        <v>19</v>
      </c>
      <c r="L20" s="253"/>
      <c r="M20" s="253"/>
    </row>
    <row r="21" spans="1:14" ht="18.75">
      <c r="A21" s="186"/>
      <c r="B21" s="186"/>
      <c r="C21" s="186"/>
      <c r="D21" s="186"/>
      <c r="E21" s="183"/>
      <c r="F21" s="183"/>
      <c r="K21" s="253" t="s">
        <v>20</v>
      </c>
      <c r="L21" s="253"/>
      <c r="M21" s="253"/>
    </row>
    <row r="22" spans="1:14" ht="18.75">
      <c r="A22" s="186"/>
      <c r="B22" s="187"/>
      <c r="C22" s="187"/>
      <c r="D22" s="187"/>
      <c r="E22" s="183"/>
      <c r="F22" s="183"/>
      <c r="K22" s="255"/>
      <c r="L22" s="255"/>
      <c r="M22" s="255"/>
    </row>
    <row r="23" spans="1:14" ht="18.75">
      <c r="A23" s="183"/>
      <c r="B23" s="186"/>
      <c r="C23" s="186"/>
      <c r="D23" s="186"/>
      <c r="E23" s="183"/>
      <c r="F23" s="183"/>
    </row>
    <row r="24" spans="1:14" ht="18.75">
      <c r="A24" s="183"/>
      <c r="B24" s="187"/>
      <c r="C24" s="187"/>
      <c r="D24" s="187"/>
      <c r="E24" s="183"/>
      <c r="F24" s="183"/>
    </row>
    <row r="25" spans="1:14" ht="18.75">
      <c r="B25" s="186"/>
      <c r="C25" s="186"/>
      <c r="D25" s="186"/>
      <c r="E25" s="183"/>
      <c r="F25" s="183"/>
    </row>
    <row r="26" spans="1:14" ht="18.75">
      <c r="B26" s="186"/>
      <c r="C26" s="186"/>
      <c r="D26" s="186"/>
      <c r="E26" s="183"/>
      <c r="F26" s="183"/>
    </row>
    <row r="27" spans="1:14" ht="18.75">
      <c r="A27" s="183"/>
      <c r="B27" s="186"/>
      <c r="C27" s="186"/>
      <c r="D27" s="186"/>
      <c r="E27" s="183"/>
      <c r="F27" s="183"/>
    </row>
    <row r="28" spans="1:14" ht="18.75">
      <c r="A28" s="183"/>
      <c r="B28" s="183"/>
      <c r="C28" s="183"/>
      <c r="D28" s="183"/>
      <c r="E28" s="183"/>
      <c r="F28" s="183"/>
    </row>
    <row r="29" spans="1:14" ht="18.75">
      <c r="A29" s="183"/>
      <c r="B29" s="186"/>
      <c r="C29" s="186"/>
      <c r="D29" s="186"/>
      <c r="E29" s="183"/>
      <c r="F29" s="183"/>
    </row>
    <row r="30" spans="1:14" ht="18.75">
      <c r="A30" s="183"/>
      <c r="B30" s="186"/>
      <c r="C30" s="186"/>
      <c r="D30" s="186"/>
      <c r="E30" s="183"/>
      <c r="F30" s="183"/>
    </row>
    <row r="31" spans="1:14" ht="18.75">
      <c r="A31" s="183"/>
      <c r="B31" s="186"/>
      <c r="C31" s="186"/>
      <c r="D31" s="186"/>
      <c r="E31" s="183"/>
      <c r="F31" s="183"/>
    </row>
    <row r="32" spans="1:14" ht="18.75">
      <c r="A32" s="188"/>
      <c r="B32" s="189"/>
      <c r="C32" s="189"/>
      <c r="D32" s="189"/>
      <c r="E32" s="188"/>
      <c r="F32" s="183"/>
    </row>
    <row r="33" spans="1:6" ht="18.75">
      <c r="A33" s="183"/>
      <c r="B33" s="183"/>
      <c r="C33" s="183"/>
      <c r="D33" s="183"/>
      <c r="E33" s="183"/>
      <c r="F33" s="183"/>
    </row>
    <row r="34" spans="1:6" ht="18.75">
      <c r="A34" s="183"/>
      <c r="B34" s="183"/>
      <c r="C34" s="183"/>
      <c r="D34" s="183"/>
      <c r="E34" s="183"/>
      <c r="F34" s="183"/>
    </row>
    <row r="35" spans="1:6" ht="18.75">
      <c r="A35" s="183"/>
      <c r="B35" s="183"/>
      <c r="C35" s="183"/>
      <c r="D35" s="183"/>
      <c r="E35" s="183"/>
      <c r="F35" s="183"/>
    </row>
    <row r="36" spans="1:6" ht="18.75">
      <c r="A36" s="183"/>
      <c r="B36" s="183"/>
      <c r="C36" s="183"/>
      <c r="D36" s="183"/>
      <c r="E36" s="183"/>
      <c r="F36" s="183"/>
    </row>
  </sheetData>
  <mergeCells count="20">
    <mergeCell ref="K21:M21"/>
    <mergeCell ref="K20:M20"/>
    <mergeCell ref="K19:M19"/>
    <mergeCell ref="K22:M22"/>
    <mergeCell ref="K12:M12"/>
    <mergeCell ref="K13:M13"/>
    <mergeCell ref="J14:N14"/>
    <mergeCell ref="J18:N18"/>
    <mergeCell ref="A1:H2"/>
    <mergeCell ref="K11:M11"/>
    <mergeCell ref="K1:M1"/>
    <mergeCell ref="K2:M2"/>
    <mergeCell ref="K3:M3"/>
    <mergeCell ref="K4:M4"/>
    <mergeCell ref="K5:M5"/>
    <mergeCell ref="K6:M6"/>
    <mergeCell ref="K7:M7"/>
    <mergeCell ref="K8:M8"/>
    <mergeCell ref="K9:M9"/>
    <mergeCell ref="K10:M10"/>
  </mergeCells>
  <hyperlinks>
    <hyperlink ref="K2:M2" location="'przepływy pieniężne'!A1" display="1. Przepływy pieniężne" xr:uid="{37C16E1D-3BED-4743-80B8-87C1107E2C5B}"/>
    <hyperlink ref="K3:M3" location="aktywa!A1" display="2. Aktywa" xr:uid="{BC480535-24CE-4242-B1FB-CDB8FA4A9376}"/>
    <hyperlink ref="K4:M4" location="pasywa!A1" display="3. Pasywa" xr:uid="{F4C24EA8-FE59-45C6-B1E1-09FADEEDB853}"/>
    <hyperlink ref="K6:M6" location="'rachunek zyskow i strat'!A1" display="4. Rachunek zysku i strat" xr:uid="{3D730D9B-7A67-4865-AFAE-FBE0718D6012}"/>
    <hyperlink ref="K7:M7" location="'RZiS wykresy'!A1" display="4.1 Wykresy RZIS" xr:uid="{45139DBC-BCF8-4A46-8C72-95322E8C9D65}"/>
    <hyperlink ref="K5:M5" location="'analiza kapit.-majątk.'!A1" display="3.1 Analiza kapitało-majątkowa" xr:uid="{D7731559-50DB-4CD6-AD29-16D8967394F4}"/>
    <hyperlink ref="K8:M8" location="'Wskaźniki finansowe'!A1" display="5. Analiza wskaźników finansowych" xr:uid="{814F587F-55EB-4FF2-BE39-0EECBEBE67CA}"/>
    <hyperlink ref="K10:M10" location="zadłużenie!A1" display="6.1 Analiza zadłużenia" xr:uid="{AEBFBDB6-96B2-460F-93AD-730AC2FC5B23}"/>
    <hyperlink ref="K11:M11" location="Płynność!A1" display="6.2 Analiza płynności" xr:uid="{E552C39E-7512-482A-BC3F-745300DCEE22}"/>
    <hyperlink ref="K12:M12" location="Obrotowość!A1" display="6.3 Analiza obrotowości" xr:uid="{4F227C71-F6B5-4E09-96B5-7E33A2EDC4F2}"/>
    <hyperlink ref="K13:M13" location="Rentowność!A1" display="6.4 Analiza rentowności" xr:uid="{8F421CC9-D7B8-4D6E-AA14-527DF09FF067}"/>
    <hyperlink ref="K20" r:id="rId1" xr:uid="{64BC834A-079E-45E9-A230-7C4DA553DF42}"/>
    <hyperlink ref="K21:M21" r:id="rId2" display="Sprawozdanie finansowe za rok 2022:" xr:uid="{40E863B0-DECF-465C-B550-857569CC6A43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4C6E-36A3-44A6-8CEA-7C95EF00C6FE}">
  <dimension ref="C1:G59"/>
  <sheetViews>
    <sheetView zoomScale="80" zoomScaleNormal="80" workbookViewId="0">
      <selection activeCell="C27" sqref="C27:F27"/>
    </sheetView>
  </sheetViews>
  <sheetFormatPr defaultRowHeight="14.45"/>
  <cols>
    <col min="3" max="3" width="17.140625" customWidth="1"/>
    <col min="4" max="4" width="20.140625" customWidth="1"/>
    <col min="5" max="5" width="20.5703125" customWidth="1"/>
    <col min="6" max="6" width="15.7109375" customWidth="1"/>
    <col min="7" max="7" width="61.28515625" customWidth="1"/>
    <col min="9" max="9" width="24" customWidth="1"/>
    <col min="10" max="10" width="33.85546875" customWidth="1"/>
    <col min="11" max="11" width="15" customWidth="1"/>
    <col min="12" max="12" width="15.7109375" customWidth="1"/>
    <col min="13" max="13" width="15.140625" customWidth="1"/>
  </cols>
  <sheetData>
    <row r="1" spans="3:7" ht="21">
      <c r="C1" s="322" t="s">
        <v>301</v>
      </c>
      <c r="D1" s="322"/>
      <c r="E1" s="322"/>
      <c r="F1" s="322"/>
    </row>
    <row r="2" spans="3:7" ht="18">
      <c r="C2" s="321" t="s">
        <v>252</v>
      </c>
      <c r="D2" s="321"/>
      <c r="E2" s="321"/>
      <c r="F2" s="321"/>
    </row>
    <row r="3" spans="3:7" ht="15.6">
      <c r="C3" s="323" t="s">
        <v>302</v>
      </c>
      <c r="D3" s="323"/>
      <c r="E3" s="323"/>
      <c r="F3" s="323"/>
      <c r="G3" s="151" t="s">
        <v>303</v>
      </c>
    </row>
    <row r="4" spans="3:7">
      <c r="C4" s="177">
        <v>2020</v>
      </c>
      <c r="D4" s="177">
        <v>2021</v>
      </c>
      <c r="E4" s="177">
        <v>2022</v>
      </c>
    </row>
    <row r="5" spans="3:7">
      <c r="C5" s="182">
        <f>aktywa!C20/pasywa!C22</f>
        <v>1.4893658536585366</v>
      </c>
      <c r="D5" s="182">
        <f>aktywa!D20/pasywa!D22</f>
        <v>1.6873699015471166</v>
      </c>
      <c r="E5" s="182">
        <f>aktywa!E20/pasywa!E22</f>
        <v>1.4699133859391276</v>
      </c>
    </row>
    <row r="6" spans="3:7" ht="30" customHeight="1">
      <c r="C6" s="324" t="s">
        <v>304</v>
      </c>
      <c r="D6" s="324"/>
      <c r="E6" s="324"/>
      <c r="F6" s="324"/>
    </row>
    <row r="7" spans="3:7" ht="15.6">
      <c r="C7" s="323" t="s">
        <v>305</v>
      </c>
      <c r="D7" s="323"/>
      <c r="E7" s="323"/>
      <c r="F7" s="323"/>
      <c r="G7" s="151" t="s">
        <v>306</v>
      </c>
    </row>
    <row r="8" spans="3:7">
      <c r="C8" s="177">
        <v>2020</v>
      </c>
      <c r="D8" s="177">
        <v>2021</v>
      </c>
      <c r="E8" s="177">
        <v>2022</v>
      </c>
    </row>
    <row r="9" spans="3:7">
      <c r="C9" s="182">
        <f>(aktywa!C20-aktywa!C12)/pasywa!C22</f>
        <v>1.4823414634146341</v>
      </c>
      <c r="D9" s="182">
        <f>(aktywa!D20-aktywa!D12)/pasywa!D22</f>
        <v>1.6796999531176746</v>
      </c>
      <c r="E9" s="182">
        <f>(aktywa!E20-aktywa!E12)/pasywa!E22</f>
        <v>1.4637776287438822</v>
      </c>
    </row>
    <row r="10" spans="3:7" ht="30" customHeight="1">
      <c r="C10" s="324" t="s">
        <v>307</v>
      </c>
      <c r="D10" s="324"/>
      <c r="E10" s="324"/>
      <c r="F10" s="324"/>
    </row>
    <row r="11" spans="3:7" ht="15.6">
      <c r="C11" s="323" t="s">
        <v>308</v>
      </c>
      <c r="D11" s="323"/>
      <c r="E11" s="323"/>
      <c r="F11" s="323"/>
      <c r="G11" s="151" t="s">
        <v>309</v>
      </c>
    </row>
    <row r="12" spans="3:7">
      <c r="C12" s="177">
        <v>2020</v>
      </c>
      <c r="D12" s="177">
        <v>2021</v>
      </c>
      <c r="E12" s="177">
        <v>2022</v>
      </c>
    </row>
    <row r="13" spans="3:7">
      <c r="C13" s="182">
        <f>(aktywa!C17+aktywa!C18)/pasywa!C22</f>
        <v>0.75795121951219513</v>
      </c>
      <c r="D13" s="182">
        <f>(aktywa!D17+aktywa!D18)/pasywa!D22</f>
        <v>0.8032255039849977</v>
      </c>
      <c r="E13" s="182">
        <f>(aktywa!E17+aktywa!E18)/pasywa!E22</f>
        <v>0.68894564860661234</v>
      </c>
    </row>
    <row r="14" spans="3:7" ht="30" customHeight="1">
      <c r="C14" s="324" t="s">
        <v>310</v>
      </c>
      <c r="D14" s="324"/>
      <c r="E14" s="324"/>
      <c r="F14" s="324"/>
    </row>
    <row r="15" spans="3:7" ht="15.6">
      <c r="C15" s="323" t="s">
        <v>311</v>
      </c>
      <c r="D15" s="323"/>
      <c r="E15" s="323"/>
      <c r="F15" s="323"/>
      <c r="G15" s="151" t="s">
        <v>312</v>
      </c>
    </row>
    <row r="16" spans="3:7">
      <c r="C16" s="177">
        <v>2020</v>
      </c>
      <c r="D16" s="177">
        <v>2021</v>
      </c>
      <c r="E16" s="177">
        <v>2022</v>
      </c>
    </row>
    <row r="17" spans="3:7">
      <c r="C17" s="182">
        <f>aktywa!C18/pasywa!C22</f>
        <v>0.10754471544715447</v>
      </c>
      <c r="D17" s="182">
        <f>aktywa!D18/pasywa!D22</f>
        <v>0.8032255039849977</v>
      </c>
      <c r="E17" s="182">
        <f>aktywa!E18/pasywa!E22</f>
        <v>0.68894564860661234</v>
      </c>
    </row>
    <row r="18" spans="3:7" ht="30" customHeight="1">
      <c r="C18" s="324" t="s">
        <v>313</v>
      </c>
      <c r="D18" s="324"/>
      <c r="E18" s="324"/>
      <c r="F18" s="324"/>
    </row>
    <row r="19" spans="3:7">
      <c r="D19" s="153"/>
      <c r="E19" s="153"/>
      <c r="G19" s="154"/>
    </row>
    <row r="20" spans="3:7" ht="31.9" customHeight="1">
      <c r="C20" s="321" t="s">
        <v>274</v>
      </c>
      <c r="D20" s="321"/>
      <c r="E20" s="321"/>
      <c r="F20" s="321"/>
      <c r="G20" s="154"/>
    </row>
    <row r="21" spans="3:7" ht="16.899999999999999" customHeight="1">
      <c r="C21" s="156"/>
      <c r="D21" s="153"/>
      <c r="E21" s="153"/>
      <c r="F21" s="153"/>
      <c r="G21" s="153"/>
    </row>
    <row r="22" spans="3:7" ht="18">
      <c r="C22" s="321" t="s">
        <v>314</v>
      </c>
      <c r="D22" s="321"/>
      <c r="E22" s="321"/>
      <c r="F22" s="321"/>
    </row>
    <row r="23" spans="3:7" ht="16.899999999999999" customHeight="1">
      <c r="C23" s="156"/>
      <c r="D23" s="153"/>
      <c r="E23" s="153"/>
      <c r="F23" s="153"/>
      <c r="G23" s="153"/>
    </row>
    <row r="24" spans="3:7" ht="15.6">
      <c r="C24" s="323" t="s">
        <v>315</v>
      </c>
      <c r="D24" s="323"/>
      <c r="E24" s="323"/>
      <c r="F24" s="323"/>
      <c r="G24" s="151" t="s">
        <v>316</v>
      </c>
    </row>
    <row r="25" spans="3:7">
      <c r="C25" s="177">
        <v>2020</v>
      </c>
      <c r="D25" s="177">
        <v>2021</v>
      </c>
      <c r="E25" s="177">
        <v>2022</v>
      </c>
    </row>
    <row r="26" spans="3:7">
      <c r="C26" s="182">
        <f>'przepływy pieniężne'!C18/(-SUM('przepływy pieniężne'!C28:C31)-SUM('przepływy pieniężne'!C39:C42))</f>
        <v>0.75848705523279158</v>
      </c>
      <c r="D26" s="182">
        <f>'przepływy pieniężne'!D18/(-SUM('przepływy pieniężne'!D28:D31)-SUM('przepływy pieniężne'!D39:D42))</f>
        <v>0.95177311960542543</v>
      </c>
      <c r="E26" s="182">
        <f>'przepływy pieniężne'!E18/(-SUM('przepływy pieniężne'!E28:E31)-SUM('przepływy pieniężne'!E39:E42))</f>
        <v>1.0426105497055003</v>
      </c>
    </row>
    <row r="27" spans="3:7" ht="43.5" customHeight="1">
      <c r="C27" s="324" t="s">
        <v>317</v>
      </c>
      <c r="D27" s="324"/>
      <c r="E27" s="324"/>
      <c r="F27" s="324"/>
    </row>
    <row r="28" spans="3:7" ht="15.6">
      <c r="C28" s="323" t="s">
        <v>318</v>
      </c>
      <c r="D28" s="323"/>
      <c r="E28" s="323"/>
      <c r="F28" s="323"/>
      <c r="G28" s="151" t="s">
        <v>319</v>
      </c>
    </row>
    <row r="29" spans="3:7">
      <c r="C29" s="177">
        <v>2020</v>
      </c>
      <c r="D29" s="177">
        <v>2021</v>
      </c>
      <c r="E29" s="177">
        <v>2022</v>
      </c>
    </row>
    <row r="30" spans="3:7">
      <c r="C30" s="182">
        <f>'przepływy pieniężne'!C18/pasywa!C23</f>
        <v>1.0446642575316198</v>
      </c>
      <c r="D30" s="182">
        <f>'przepływy pieniężne'!D18/pasywa!D23</f>
        <v>0.88137605963168664</v>
      </c>
      <c r="E30" s="182">
        <f>'przepływy pieniężne'!E18/pasywa!E23</f>
        <v>1.1068548037396146</v>
      </c>
    </row>
    <row r="31" spans="3:7" ht="45.75" customHeight="1">
      <c r="C31" s="324" t="s">
        <v>320</v>
      </c>
      <c r="D31" s="324"/>
      <c r="E31" s="324"/>
      <c r="F31" s="324"/>
    </row>
    <row r="32" spans="3:7" ht="15.6">
      <c r="C32" s="323" t="s">
        <v>321</v>
      </c>
      <c r="D32" s="323"/>
      <c r="E32" s="323"/>
      <c r="F32" s="323"/>
      <c r="G32" s="151" t="s">
        <v>322</v>
      </c>
    </row>
    <row r="33" spans="3:7">
      <c r="C33" s="177">
        <v>2020</v>
      </c>
      <c r="D33" s="177">
        <v>2021</v>
      </c>
      <c r="E33" s="177">
        <v>2022</v>
      </c>
    </row>
    <row r="34" spans="3:7">
      <c r="C34" s="182">
        <f>'przepływy pieniężne'!C18/(-SUM('przepływy pieniężne'!C28:C31))</f>
        <v>1.5579125366034727</v>
      </c>
      <c r="D34" s="182">
        <f>'przepływy pieniężne'!D18/(-SUM('przepływy pieniężne'!D28:D31))</f>
        <v>4.2310998070513941</v>
      </c>
      <c r="E34" s="182">
        <f>'przepływy pieniężne'!E18/(-SUM('przepływy pieniężne'!E28:E31))</f>
        <v>3.6115057019157306</v>
      </c>
    </row>
    <row r="35" spans="3:7" ht="45" customHeight="1">
      <c r="C35" s="324" t="s">
        <v>323</v>
      </c>
      <c r="D35" s="324"/>
      <c r="E35" s="324"/>
      <c r="F35" s="324"/>
    </row>
    <row r="36" spans="3:7" ht="15.6">
      <c r="C36" s="323" t="s">
        <v>324</v>
      </c>
      <c r="D36" s="323"/>
      <c r="E36" s="323"/>
      <c r="F36" s="323"/>
      <c r="G36" s="151" t="s">
        <v>325</v>
      </c>
    </row>
    <row r="37" spans="3:7">
      <c r="C37" s="177">
        <v>2020</v>
      </c>
      <c r="D37" s="177">
        <v>2021</v>
      </c>
      <c r="E37" s="177">
        <v>2022</v>
      </c>
    </row>
    <row r="38" spans="3:7">
      <c r="C38" s="182">
        <f>'przepływy pieniężne'!C18/(-'przepływy pieniężne'!C39)</f>
        <v>1.8838794407593968</v>
      </c>
      <c r="D38" s="182">
        <f>'przepływy pieniężne'!D18/(-'przepływy pieniężne'!D39)</f>
        <v>1.4436231970794182</v>
      </c>
      <c r="E38" s="182">
        <f>'przepływy pieniężne'!E18/(-'przepływy pieniężne'!E39)</f>
        <v>1.8014453681877849</v>
      </c>
    </row>
    <row r="39" spans="3:7" ht="30" customHeight="1">
      <c r="C39" s="324" t="s">
        <v>326</v>
      </c>
      <c r="D39" s="324"/>
      <c r="E39" s="324"/>
      <c r="F39" s="324"/>
    </row>
    <row r="41" spans="3:7" ht="18">
      <c r="C41" s="321" t="s">
        <v>327</v>
      </c>
      <c r="D41" s="321"/>
      <c r="E41" s="321"/>
      <c r="F41" s="321"/>
    </row>
    <row r="43" spans="3:7" ht="15.6">
      <c r="C43" s="323" t="s">
        <v>328</v>
      </c>
      <c r="D43" s="323"/>
      <c r="E43" s="323"/>
      <c r="F43" s="323"/>
      <c r="G43" s="151" t="s">
        <v>329</v>
      </c>
    </row>
    <row r="44" spans="3:7">
      <c r="C44" s="177">
        <v>2020</v>
      </c>
      <c r="D44" s="177">
        <v>2021</v>
      </c>
      <c r="E44" s="177">
        <v>2022</v>
      </c>
    </row>
    <row r="45" spans="3:7">
      <c r="C45" s="182">
        <f>'przepływy pieniężne'!C18/'rachunek zyskow i strat'!G4</f>
        <v>0.4016822867189383</v>
      </c>
      <c r="D45" s="182">
        <f>'przepływy pieniężne'!D18/'rachunek zyskow i strat'!H4</f>
        <v>0.31384501288089722</v>
      </c>
      <c r="E45" s="182">
        <f>'przepływy pieniężne'!E18/'rachunek zyskow i strat'!I4</f>
        <v>0.37702022066968965</v>
      </c>
    </row>
    <row r="46" spans="3:7" ht="30" customHeight="1">
      <c r="C46" s="324" t="s">
        <v>330</v>
      </c>
      <c r="D46" s="324"/>
      <c r="E46" s="324"/>
      <c r="F46" s="324"/>
    </row>
    <row r="47" spans="3:7" ht="15.6">
      <c r="C47" s="323" t="s">
        <v>331</v>
      </c>
      <c r="D47" s="323"/>
      <c r="E47" s="323"/>
      <c r="F47" s="323"/>
      <c r="G47" s="151" t="s">
        <v>332</v>
      </c>
    </row>
    <row r="48" spans="3:7">
      <c r="C48" s="177">
        <v>2020</v>
      </c>
      <c r="D48" s="177">
        <v>2021</v>
      </c>
      <c r="E48" s="177">
        <v>2022</v>
      </c>
    </row>
    <row r="49" spans="3:7">
      <c r="C49" s="182">
        <f>'przepływy pieniężne'!C18/((aktywa!$E$21+aktywa!$D$21+aktywa!$C$21)/3)</f>
        <v>0.24754341036897448</v>
      </c>
      <c r="D49" s="182">
        <f>'przepływy pieniężne'!D18/((aktywa!$E$21+aktywa!$D$21+aktywa!$C$21)/3)</f>
        <v>0.21076829089807603</v>
      </c>
      <c r="E49" s="182">
        <f>'przepływy pieniężne'!E18/((aktywa!$E$21+aktywa!$D$21+aktywa!$C$21)/3)</f>
        <v>0.27879407025318437</v>
      </c>
    </row>
    <row r="50" spans="3:7" ht="30" customHeight="1">
      <c r="C50" s="324" t="s">
        <v>333</v>
      </c>
      <c r="D50" s="324"/>
      <c r="E50" s="324"/>
      <c r="F50" s="324"/>
    </row>
    <row r="51" spans="3:7" ht="15.6">
      <c r="C51" s="323" t="s">
        <v>334</v>
      </c>
      <c r="D51" s="323"/>
      <c r="E51" s="323"/>
      <c r="F51" s="323"/>
      <c r="G51" s="151" t="s">
        <v>335</v>
      </c>
    </row>
    <row r="52" spans="3:7">
      <c r="C52" s="177">
        <v>2020</v>
      </c>
      <c r="D52" s="177">
        <v>2021</v>
      </c>
      <c r="E52" s="177">
        <v>2022</v>
      </c>
    </row>
    <row r="53" spans="3:7">
      <c r="C53" s="182">
        <f>'przepływy pieniężne'!C18/'rachunek zyskow i strat'!G17</f>
        <v>1.48314268512944</v>
      </c>
      <c r="D53" s="182">
        <f>'przepływy pieniężne'!D18/'rachunek zyskow i strat'!H17</f>
        <v>1.1963842872730879</v>
      </c>
      <c r="E53" s="182">
        <f>'przepływy pieniężne'!E18/'rachunek zyskow i strat'!I17</f>
        <v>1.4964589733367728</v>
      </c>
    </row>
    <row r="54" spans="3:7" ht="30" customHeight="1">
      <c r="C54" s="324" t="s">
        <v>336</v>
      </c>
      <c r="D54" s="324"/>
      <c r="E54" s="324"/>
      <c r="F54" s="324"/>
    </row>
    <row r="55" spans="3:7">
      <c r="C55" s="153"/>
      <c r="D55" s="153"/>
      <c r="E55" s="153"/>
      <c r="F55" s="152"/>
    </row>
    <row r="56" spans="3:7">
      <c r="C56" s="157"/>
      <c r="D56" s="153"/>
      <c r="E56" s="153"/>
      <c r="F56" s="152"/>
    </row>
    <row r="57" spans="3:7">
      <c r="C57" s="157"/>
      <c r="D57" s="153"/>
      <c r="E57" s="153"/>
      <c r="F57" s="152"/>
    </row>
    <row r="58" spans="3:7">
      <c r="C58" s="157"/>
      <c r="D58" s="153"/>
      <c r="E58" s="153"/>
      <c r="F58" s="152"/>
    </row>
    <row r="59" spans="3:7">
      <c r="C59" s="157"/>
      <c r="D59" s="153"/>
      <c r="E59" s="153"/>
      <c r="F59" s="152"/>
    </row>
  </sheetData>
  <mergeCells count="27">
    <mergeCell ref="C54:F54"/>
    <mergeCell ref="C31:F31"/>
    <mergeCell ref="C35:F35"/>
    <mergeCell ref="C39:F39"/>
    <mergeCell ref="C46:F46"/>
    <mergeCell ref="C50:F50"/>
    <mergeCell ref="C43:F43"/>
    <mergeCell ref="C47:F47"/>
    <mergeCell ref="C51:F51"/>
    <mergeCell ref="C41:F41"/>
    <mergeCell ref="C32:F32"/>
    <mergeCell ref="C36:F36"/>
    <mergeCell ref="C28:F28"/>
    <mergeCell ref="C22:F22"/>
    <mergeCell ref="C20:F20"/>
    <mergeCell ref="C1:F1"/>
    <mergeCell ref="C2:F2"/>
    <mergeCell ref="C3:F3"/>
    <mergeCell ref="C7:F7"/>
    <mergeCell ref="C11:F11"/>
    <mergeCell ref="C6:F6"/>
    <mergeCell ref="C10:F10"/>
    <mergeCell ref="C14:F14"/>
    <mergeCell ref="C18:F18"/>
    <mergeCell ref="C27:F27"/>
    <mergeCell ref="C15:F15"/>
    <mergeCell ref="C24:F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D16B-8FD8-41B7-9AA8-514A8E0CA9F5}">
  <dimension ref="C1:G34"/>
  <sheetViews>
    <sheetView zoomScaleNormal="100" workbookViewId="0">
      <selection activeCell="G9" sqref="G9"/>
    </sheetView>
  </sheetViews>
  <sheetFormatPr defaultRowHeight="14.45"/>
  <cols>
    <col min="3" max="3" width="17.140625" customWidth="1"/>
    <col min="4" max="4" width="20.140625" customWidth="1"/>
    <col min="5" max="5" width="20.5703125" customWidth="1"/>
    <col min="6" max="6" width="15.7109375" customWidth="1"/>
    <col min="7" max="7" width="61.28515625" customWidth="1"/>
    <col min="9" max="9" width="24" customWidth="1"/>
    <col min="10" max="10" width="33.85546875" customWidth="1"/>
    <col min="11" max="11" width="15" customWidth="1"/>
    <col min="12" max="12" width="15.7109375" customWidth="1"/>
    <col min="13" max="13" width="15.140625" customWidth="1"/>
  </cols>
  <sheetData>
    <row r="1" spans="3:7" ht="21">
      <c r="C1" s="322" t="s">
        <v>337</v>
      </c>
      <c r="D1" s="322"/>
      <c r="E1" s="322"/>
      <c r="F1" s="322"/>
    </row>
    <row r="2" spans="3:7" ht="15.6">
      <c r="C2" s="323" t="s">
        <v>338</v>
      </c>
      <c r="D2" s="323"/>
      <c r="E2" s="323"/>
      <c r="F2" s="323"/>
      <c r="G2" s="151" t="s">
        <v>339</v>
      </c>
    </row>
    <row r="3" spans="3:7">
      <c r="C3" s="177">
        <v>2020</v>
      </c>
      <c r="D3" s="177">
        <v>2021</v>
      </c>
      <c r="E3" s="177">
        <v>2022</v>
      </c>
    </row>
    <row r="4" spans="3:7">
      <c r="C4" s="182">
        <f>'rachunek zyskow i strat'!G17/'rachunek zyskow i strat'!G4</f>
        <v>0.27083185639949525</v>
      </c>
      <c r="D4" s="182">
        <f>'rachunek zyskow i strat'!H17/'rachunek zyskow i strat'!H4</f>
        <v>0.26232792942829636</v>
      </c>
      <c r="E4" s="182">
        <f>'rachunek zyskow i strat'!I17/'rachunek zyskow i strat'!I4</f>
        <v>0.2519415683204585</v>
      </c>
    </row>
    <row r="5" spans="3:7" ht="45" customHeight="1">
      <c r="C5" s="324" t="s">
        <v>340</v>
      </c>
      <c r="D5" s="324"/>
      <c r="E5" s="324"/>
      <c r="F5" s="324"/>
    </row>
    <row r="6" spans="3:7" ht="15.6">
      <c r="C6" s="323" t="s">
        <v>341</v>
      </c>
      <c r="D6" s="323"/>
      <c r="E6" s="323"/>
      <c r="F6" s="323"/>
      <c r="G6" s="151" t="s">
        <v>342</v>
      </c>
    </row>
    <row r="7" spans="3:7">
      <c r="C7" s="177">
        <v>2020</v>
      </c>
      <c r="D7" s="177">
        <v>2021</v>
      </c>
      <c r="E7" s="177">
        <v>2022</v>
      </c>
    </row>
    <row r="8" spans="3:7" ht="15">
      <c r="C8" s="182"/>
      <c r="D8" s="182">
        <f>'rachunek zyskow i strat'!H17/AVERAGE(aktywa!C21,aktywa!D21)</f>
        <v>0.17993893303495231</v>
      </c>
      <c r="E8" s="182">
        <f>'rachunek zyskow i strat'!I17/AVERAGE(aktywa!D21,aktywa!E21)</f>
        <v>0.18283688080101274</v>
      </c>
      <c r="F8" s="182"/>
    </row>
    <row r="9" spans="3:7" ht="30" customHeight="1">
      <c r="C9" s="324" t="s">
        <v>343</v>
      </c>
      <c r="D9" s="324"/>
      <c r="E9" s="324"/>
      <c r="F9" s="324"/>
    </row>
    <row r="10" spans="3:7" ht="15.6">
      <c r="C10" s="323" t="s">
        <v>344</v>
      </c>
      <c r="D10" s="323"/>
      <c r="E10" s="323"/>
      <c r="F10" s="323"/>
      <c r="G10" s="151" t="s">
        <v>345</v>
      </c>
    </row>
    <row r="11" spans="3:7">
      <c r="C11" s="177">
        <v>2020</v>
      </c>
      <c r="D11" s="177">
        <v>2021</v>
      </c>
      <c r="E11" s="177">
        <v>2022</v>
      </c>
    </row>
    <row r="12" spans="3:7">
      <c r="C12" s="182"/>
      <c r="D12" s="182">
        <f>'rachunek zyskow i strat'!H17/AVERAGE(pasywa!C7,pasywa!D7)</f>
        <v>0.23774366381946951</v>
      </c>
      <c r="E12" s="182">
        <f>'rachunek zyskow i strat'!I17/AVERAGE(pasywa!D7,pasywa!E7)</f>
        <v>0.24087293349770739</v>
      </c>
    </row>
    <row r="13" spans="3:7" ht="30" customHeight="1">
      <c r="C13" s="324" t="s">
        <v>346</v>
      </c>
      <c r="D13" s="324"/>
      <c r="E13" s="324"/>
      <c r="F13" s="324"/>
    </row>
    <row r="14" spans="3:7" ht="15.6">
      <c r="C14" s="323" t="s">
        <v>347</v>
      </c>
      <c r="D14" s="323"/>
      <c r="E14" s="323"/>
      <c r="F14" s="323"/>
      <c r="G14" s="151" t="s">
        <v>348</v>
      </c>
    </row>
    <row r="15" spans="3:7">
      <c r="C15" s="177">
        <v>2020</v>
      </c>
      <c r="D15" s="177">
        <v>2021</v>
      </c>
      <c r="E15" s="177">
        <v>2022</v>
      </c>
    </row>
    <row r="16" spans="3:7">
      <c r="C16" s="182">
        <f>'przepływy pieniężne'!C18/(pasywa!C7)</f>
        <v>0.34137766906058709</v>
      </c>
      <c r="D16" s="182">
        <f>'przepływy pieniężne'!D18/(pasywa!D7)</f>
        <v>0.2784645000043291</v>
      </c>
      <c r="E16" s="182">
        <f>'przepływy pieniężne'!E18/(pasywa!E7)</f>
        <v>0.35290392868203335</v>
      </c>
    </row>
    <row r="17" spans="3:7" ht="30" customHeight="1">
      <c r="C17" s="326" t="s">
        <v>349</v>
      </c>
      <c r="D17" s="326"/>
      <c r="E17" s="326"/>
      <c r="F17" s="326"/>
    </row>
    <row r="18" spans="3:7" ht="15.6">
      <c r="C18" s="323" t="s">
        <v>350</v>
      </c>
      <c r="D18" s="323"/>
      <c r="E18" s="323"/>
      <c r="F18" s="323"/>
      <c r="G18" s="151" t="s">
        <v>351</v>
      </c>
    </row>
    <row r="19" spans="3:7">
      <c r="C19" s="177">
        <v>2020</v>
      </c>
      <c r="D19" s="177">
        <v>2021</v>
      </c>
      <c r="E19" s="177">
        <v>2022</v>
      </c>
    </row>
    <row r="20" spans="3:7">
      <c r="C20" s="182">
        <f>'przepływy pieniężne'!C18/pasywa!C23</f>
        <v>1.0446642575316198</v>
      </c>
      <c r="D20" s="182">
        <f>'przepływy pieniężne'!D18/pasywa!D23</f>
        <v>0.88137605963168664</v>
      </c>
      <c r="E20" s="182">
        <f>'przepływy pieniężne'!E18/pasywa!E23</f>
        <v>1.1068548037396146</v>
      </c>
    </row>
    <row r="21" spans="3:7" ht="30" customHeight="1">
      <c r="C21" s="326" t="s">
        <v>352</v>
      </c>
      <c r="D21" s="326"/>
      <c r="E21" s="326"/>
      <c r="F21" s="326"/>
    </row>
    <row r="28" spans="3:7">
      <c r="C28" s="153"/>
      <c r="D28" s="153"/>
      <c r="E28" s="153"/>
    </row>
    <row r="29" spans="3:7">
      <c r="C29" s="153"/>
      <c r="D29" s="153"/>
      <c r="E29" s="153"/>
      <c r="F29" s="152"/>
    </row>
    <row r="30" spans="3:7">
      <c r="C30" s="153"/>
      <c r="D30" s="153"/>
      <c r="E30" s="153"/>
      <c r="F30" s="152"/>
    </row>
    <row r="31" spans="3:7">
      <c r="C31" s="157"/>
      <c r="D31" s="153"/>
      <c r="E31" s="153"/>
      <c r="F31" s="152"/>
    </row>
    <row r="33" ht="24" customHeight="1"/>
    <row r="34" ht="25.9" customHeight="1"/>
  </sheetData>
  <mergeCells count="11">
    <mergeCell ref="C21:F21"/>
    <mergeCell ref="C14:F14"/>
    <mergeCell ref="C18:F18"/>
    <mergeCell ref="C1:F1"/>
    <mergeCell ref="C2:F2"/>
    <mergeCell ref="C6:F6"/>
    <mergeCell ref="C10:F10"/>
    <mergeCell ref="C5:F5"/>
    <mergeCell ref="C9:F9"/>
    <mergeCell ref="C13:F13"/>
    <mergeCell ref="C17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0219-5D29-4765-ACEF-8151F1B8B96D}">
  <dimension ref="B1:K46"/>
  <sheetViews>
    <sheetView workbookViewId="0">
      <selection activeCell="D10" sqref="D10"/>
    </sheetView>
  </sheetViews>
  <sheetFormatPr defaultRowHeight="14.45"/>
  <cols>
    <col min="2" max="2" width="22.42578125" bestFit="1" customWidth="1"/>
    <col min="3" max="3" width="17.140625" customWidth="1"/>
    <col min="4" max="4" width="20.140625" customWidth="1"/>
    <col min="5" max="5" width="20.5703125" customWidth="1"/>
    <col min="6" max="6" width="15.7109375" customWidth="1"/>
    <col min="7" max="7" width="61.28515625" customWidth="1"/>
    <col min="9" max="9" width="8.85546875" customWidth="1"/>
    <col min="10" max="10" width="11.7109375" customWidth="1"/>
    <col min="11" max="11" width="15" customWidth="1"/>
    <col min="12" max="12" width="15.7109375" customWidth="1"/>
    <col min="13" max="13" width="15.140625" customWidth="1"/>
  </cols>
  <sheetData>
    <row r="1" spans="2:11" ht="21">
      <c r="C1" s="322" t="s">
        <v>353</v>
      </c>
      <c r="D1" s="322"/>
      <c r="E1" s="322"/>
      <c r="F1" s="322"/>
    </row>
    <row r="2" spans="2:11" ht="21">
      <c r="C2" s="170"/>
      <c r="D2" s="170"/>
      <c r="E2" s="170"/>
      <c r="F2" s="170"/>
    </row>
    <row r="3" spans="2:11" ht="15.6">
      <c r="C3" s="323" t="s">
        <v>354</v>
      </c>
      <c r="D3" s="323"/>
      <c r="E3" s="323"/>
      <c r="F3" s="323"/>
      <c r="G3" s="151" t="s">
        <v>355</v>
      </c>
    </row>
    <row r="4" spans="2:11">
      <c r="C4" s="177">
        <v>2020</v>
      </c>
      <c r="D4" s="177">
        <v>2021</v>
      </c>
      <c r="E4" s="177">
        <v>2022</v>
      </c>
    </row>
    <row r="5" spans="2:11" ht="15" customHeight="1">
      <c r="B5" s="151" t="s">
        <v>176</v>
      </c>
      <c r="C5" s="245">
        <f>'rachunek zyskow i strat'!I5/'rachunek zyskow i strat'!I4</f>
        <v>0.58746879754220638</v>
      </c>
      <c r="D5" s="245">
        <f>'rachunek zyskow i strat'!H5/'rachunek zyskow i strat'!H4</f>
        <v>0.5688965364698535</v>
      </c>
      <c r="E5" s="245">
        <f>'rachunek zyskow i strat'!G5/'rachunek zyskow i strat'!G4</f>
        <v>0.55628890243729534</v>
      </c>
      <c r="K5" s="151"/>
    </row>
    <row r="6" spans="2:11" ht="15" customHeight="1">
      <c r="B6" s="151" t="s">
        <v>178</v>
      </c>
      <c r="C6" s="245">
        <f>'rachunek zyskow i strat'!I7/'rachunek zyskow i strat'!I4</f>
        <v>5.1882486743571189E-2</v>
      </c>
      <c r="D6" s="245">
        <f>'rachunek zyskow i strat'!H7/'rachunek zyskow i strat'!H4</f>
        <v>5.8637357204194746E-2</v>
      </c>
      <c r="E6" s="245">
        <f>'rachunek zyskow i strat'!G7/'rachunek zyskow i strat'!G4</f>
        <v>4.4510059691758003E-2</v>
      </c>
      <c r="K6" s="151"/>
    </row>
    <row r="7" spans="2:11" ht="15" customHeight="1">
      <c r="B7" s="151" t="s">
        <v>179</v>
      </c>
      <c r="C7" s="245">
        <f>'rachunek zyskow i strat'!I8/'rachunek zyskow i strat'!I4</f>
        <v>6.5075402862502393E-2</v>
      </c>
      <c r="D7" s="245">
        <f>'rachunek zyskow i strat'!H8/'rachunek zyskow i strat'!H4</f>
        <v>6.6531785890863671E-2</v>
      </c>
      <c r="E7" s="245">
        <f>'rachunek zyskow i strat'!G8/'rachunek zyskow i strat'!G4</f>
        <v>7.2424109231663578E-2</v>
      </c>
      <c r="K7" s="151"/>
    </row>
    <row r="8" spans="2:11" ht="15" customHeight="1">
      <c r="B8" s="151" t="s">
        <v>182</v>
      </c>
      <c r="C8" s="245">
        <f>'rachunek zyskow i strat'!I11/'rachunek zyskow i strat'!I4</f>
        <v>2.8772727944108827E-3</v>
      </c>
      <c r="D8" s="245">
        <f>'rachunek zyskow i strat'!H11/'rachunek zyskow i strat'!H4</f>
        <v>5.4646230711181661E-4</v>
      </c>
      <c r="E8" s="245">
        <f>'rachunek zyskow i strat'!G11/'rachunek zyskow i strat'!G4</f>
        <v>3.3567752272115016E-3</v>
      </c>
      <c r="K8" s="151"/>
    </row>
    <row r="9" spans="2:11" ht="12.6" customHeight="1">
      <c r="B9" s="151" t="s">
        <v>185</v>
      </c>
      <c r="C9" s="245">
        <f>'rachunek zyskow i strat'!I14/'rachunek zyskow i strat'!I4</f>
        <v>6.0056422905927359E-3</v>
      </c>
      <c r="D9" s="245">
        <f>'rachunek zyskow i strat'!H14/'rachunek zyskow i strat'!H4</f>
        <v>3.9325769601082517E-3</v>
      </c>
      <c r="E9" s="245">
        <f>'rachunek zyskow i strat'!G14/'rachunek zyskow i strat'!G4</f>
        <v>1.1098271632945314E-2</v>
      </c>
      <c r="K9" s="151"/>
    </row>
    <row r="10" spans="2:11" ht="12.6" customHeight="1">
      <c r="C10" s="169"/>
      <c r="D10" s="169"/>
      <c r="G10" s="155"/>
    </row>
    <row r="11" spans="2:11" ht="15.6">
      <c r="C11" s="323" t="s">
        <v>356</v>
      </c>
      <c r="D11" s="323"/>
      <c r="E11" s="323"/>
      <c r="F11" s="323"/>
      <c r="G11" s="151" t="s">
        <v>357</v>
      </c>
    </row>
    <row r="12" spans="2:11">
      <c r="C12" s="177">
        <v>2020</v>
      </c>
      <c r="D12" s="177">
        <v>2021</v>
      </c>
      <c r="E12" s="177">
        <v>2022</v>
      </c>
    </row>
    <row r="13" spans="2:11">
      <c r="C13" s="179"/>
      <c r="D13" s="179">
        <f>'rachunek zyskow i strat'!H4/AVERAGE(aktywa!C21,aktywa!D21)</f>
        <v>0.68593128237279855</v>
      </c>
      <c r="E13" s="179">
        <f>'rachunek zyskow i strat'!I4/AVERAGE(aktywa!D21,aktywa!E21)</f>
        <v>0.72571144976144764</v>
      </c>
    </row>
    <row r="14" spans="2:11" ht="30" customHeight="1">
      <c r="C14" s="324" t="s">
        <v>358</v>
      </c>
      <c r="D14" s="324"/>
      <c r="E14" s="324"/>
      <c r="F14" s="324"/>
    </row>
    <row r="15" spans="2:11" ht="15.6">
      <c r="C15" s="323" t="s">
        <v>359</v>
      </c>
      <c r="D15" s="323"/>
      <c r="E15" s="323"/>
      <c r="F15" s="323"/>
      <c r="G15" s="151" t="s">
        <v>360</v>
      </c>
    </row>
    <row r="16" spans="2:11">
      <c r="C16" s="177">
        <v>2020</v>
      </c>
      <c r="D16" s="177">
        <v>2021</v>
      </c>
      <c r="E16" s="177">
        <v>2022</v>
      </c>
    </row>
    <row r="17" spans="3:7">
      <c r="C17" s="179"/>
      <c r="D17" s="179">
        <f>'rachunek zyskow i strat'!H4/AVERAGE(aktywa!C10,aktywa!D10)</f>
        <v>0.86016860235752313</v>
      </c>
      <c r="E17" s="179">
        <f>'rachunek zyskow i strat'!I4/AVERAGE(aktywa!D10,aktywa!E10)</f>
        <v>0.91499566849162151</v>
      </c>
    </row>
    <row r="18" spans="3:7" ht="30" customHeight="1">
      <c r="C18" s="324" t="s">
        <v>361</v>
      </c>
      <c r="D18" s="324"/>
      <c r="E18" s="324"/>
      <c r="F18" s="324"/>
    </row>
    <row r="19" spans="3:7" ht="15.6">
      <c r="C19" s="323" t="s">
        <v>362</v>
      </c>
      <c r="D19" s="323"/>
      <c r="E19" s="323"/>
      <c r="F19" s="323"/>
      <c r="G19" s="151" t="s">
        <v>363</v>
      </c>
    </row>
    <row r="20" spans="3:7">
      <c r="C20" s="177">
        <v>2020</v>
      </c>
      <c r="D20" s="177">
        <v>2021</v>
      </c>
      <c r="E20" s="177">
        <v>2022</v>
      </c>
    </row>
    <row r="21" spans="3:7">
      <c r="C21" s="179"/>
      <c r="D21" s="179">
        <f>'rachunek zyskow i strat'!H4/AVERAGE(aktywa!C20,aktywa!D20)</f>
        <v>3.3862811510395154</v>
      </c>
      <c r="E21" s="179">
        <f>'rachunek zyskow i strat'!I4/AVERAGE(aktywa!D20,aktywa!E20)</f>
        <v>3.5080728734869839</v>
      </c>
    </row>
    <row r="22" spans="3:7" ht="30" customHeight="1">
      <c r="C22" s="324" t="s">
        <v>364</v>
      </c>
      <c r="D22" s="324"/>
      <c r="E22" s="324"/>
      <c r="F22" s="324"/>
    </row>
    <row r="23" spans="3:7" ht="15.6">
      <c r="C23" s="323" t="s">
        <v>365</v>
      </c>
      <c r="D23" s="323"/>
      <c r="E23" s="323"/>
      <c r="F23" s="323"/>
      <c r="G23" s="151" t="s">
        <v>366</v>
      </c>
    </row>
    <row r="24" spans="3:7">
      <c r="C24" s="177">
        <v>2020</v>
      </c>
      <c r="D24" s="177">
        <v>2021</v>
      </c>
      <c r="E24" s="177">
        <v>2022</v>
      </c>
    </row>
    <row r="25" spans="3:7">
      <c r="C25" s="179"/>
      <c r="D25" s="179">
        <f>'rachunek zyskow i strat'!H4/((aktywa!C12+aktywa!D12)/2)</f>
        <v>731.11058263971461</v>
      </c>
      <c r="E25" s="179">
        <f>'rachunek zyskow i strat'!I4/((aktywa!D12+aktywa!E12)/2)</f>
        <v>806.94874851013105</v>
      </c>
    </row>
    <row r="26" spans="3:7" ht="30" customHeight="1">
      <c r="C26" s="324" t="s">
        <v>367</v>
      </c>
      <c r="D26" s="324"/>
      <c r="E26" s="324"/>
      <c r="F26" s="324"/>
    </row>
    <row r="27" spans="3:7" ht="15.6">
      <c r="C27" s="323" t="s">
        <v>368</v>
      </c>
      <c r="D27" s="323"/>
      <c r="E27" s="323"/>
      <c r="F27" s="323"/>
      <c r="G27" s="151" t="s">
        <v>369</v>
      </c>
    </row>
    <row r="28" spans="3:7">
      <c r="C28" s="177">
        <v>2020</v>
      </c>
      <c r="D28" s="177">
        <v>2021</v>
      </c>
      <c r="E28" s="177">
        <v>2022</v>
      </c>
    </row>
    <row r="29" spans="3:7">
      <c r="C29" s="179"/>
      <c r="D29" s="179">
        <f t="shared" ref="D29:E29" si="0">365/D25</f>
        <v>0.49924048244815117</v>
      </c>
      <c r="E29" s="179">
        <f t="shared" si="0"/>
        <v>0.45232116745195933</v>
      </c>
    </row>
    <row r="30" spans="3:7" ht="30" customHeight="1">
      <c r="C30" s="324"/>
      <c r="D30" s="324"/>
      <c r="E30" s="324"/>
      <c r="F30" s="324"/>
    </row>
    <row r="31" spans="3:7" ht="15.6">
      <c r="C31" s="323" t="s">
        <v>370</v>
      </c>
      <c r="D31" s="323"/>
      <c r="E31" s="323"/>
      <c r="F31" s="323"/>
      <c r="G31" s="151" t="s">
        <v>371</v>
      </c>
    </row>
    <row r="32" spans="3:7">
      <c r="C32" s="177">
        <v>2020</v>
      </c>
      <c r="D32" s="177">
        <v>2021</v>
      </c>
      <c r="E32" s="177">
        <v>2022</v>
      </c>
    </row>
    <row r="33" spans="3:7">
      <c r="C33" s="179"/>
      <c r="D33" s="179">
        <f>'rachunek zyskow i strat'!H4/AVERAGE((aktywa!D13+aktywa!D15),(aktywa!C13+aktywa!C15))</f>
        <v>7.2298665412428713</v>
      </c>
      <c r="E33" s="179">
        <f>'rachunek zyskow i strat'!I4/AVERAGE((aktywa!E13+aktywa!E15),(aktywa!D13+aktywa!D15))</f>
        <v>7.0360516716377584</v>
      </c>
    </row>
    <row r="34" spans="3:7" ht="30" customHeight="1">
      <c r="C34" s="324" t="s">
        <v>372</v>
      </c>
      <c r="D34" s="324"/>
      <c r="E34" s="324"/>
      <c r="F34" s="324"/>
    </row>
    <row r="35" spans="3:7" ht="15.6">
      <c r="C35" s="323" t="s">
        <v>373</v>
      </c>
      <c r="D35" s="323"/>
      <c r="E35" s="323"/>
      <c r="F35" s="323"/>
      <c r="G35" s="151" t="s">
        <v>374</v>
      </c>
    </row>
    <row r="36" spans="3:7">
      <c r="C36" s="177">
        <v>2020</v>
      </c>
      <c r="D36" s="177">
        <v>2021</v>
      </c>
      <c r="E36" s="177">
        <v>2022</v>
      </c>
    </row>
    <row r="37" spans="3:7">
      <c r="C37" s="179"/>
      <c r="D37" s="179">
        <f>365/D33</f>
        <v>50.485025956959589</v>
      </c>
      <c r="E37" s="179">
        <f>365/E33</f>
        <v>51.875684977032037</v>
      </c>
    </row>
    <row r="38" spans="3:7" ht="30" customHeight="1">
      <c r="C38" s="324" t="s">
        <v>375</v>
      </c>
      <c r="D38" s="324"/>
      <c r="E38" s="324"/>
      <c r="F38" s="324"/>
    </row>
    <row r="39" spans="3:7" ht="15.6">
      <c r="C39" s="323" t="s">
        <v>376</v>
      </c>
      <c r="D39" s="323"/>
      <c r="E39" s="323"/>
      <c r="F39" s="323"/>
      <c r="G39" s="151" t="s">
        <v>377</v>
      </c>
    </row>
    <row r="40" spans="3:7">
      <c r="C40" s="177">
        <v>2020</v>
      </c>
      <c r="D40" s="177">
        <v>2021</v>
      </c>
      <c r="E40" s="177">
        <v>2022</v>
      </c>
    </row>
    <row r="41" spans="3:7">
      <c r="C41" s="179"/>
      <c r="D41" s="179">
        <f>'rachunek zyskow i strat'!H4/AVERAGE(pasywa!D22,pasywa!C22)</f>
        <v>5.354792074896582</v>
      </c>
      <c r="E41" s="179">
        <f>'rachunek zyskow i strat'!I4/AVERAGE(pasywa!E22,pasywa!D22)</f>
        <v>5.4862000226893342</v>
      </c>
    </row>
    <row r="42" spans="3:7" ht="30" customHeight="1">
      <c r="C42" s="324" t="s">
        <v>378</v>
      </c>
      <c r="D42" s="324"/>
      <c r="E42" s="324"/>
      <c r="F42" s="324"/>
    </row>
    <row r="43" spans="3:7" ht="15.6">
      <c r="C43" s="323" t="s">
        <v>379</v>
      </c>
      <c r="D43" s="323"/>
      <c r="E43" s="323"/>
      <c r="F43" s="323"/>
      <c r="G43" s="151" t="s">
        <v>380</v>
      </c>
    </row>
    <row r="44" spans="3:7">
      <c r="C44" s="177">
        <v>2020</v>
      </c>
      <c r="D44" s="177">
        <v>2021</v>
      </c>
      <c r="E44" s="177">
        <v>2022</v>
      </c>
    </row>
    <row r="45" spans="3:7">
      <c r="C45" s="179"/>
      <c r="D45" s="179">
        <f t="shared" ref="D45:E45" si="1">365/D41</f>
        <v>68.163244229618257</v>
      </c>
      <c r="E45" s="179">
        <f t="shared" si="1"/>
        <v>66.530567330842061</v>
      </c>
    </row>
    <row r="46" spans="3:7" ht="30" customHeight="1">
      <c r="C46" s="324" t="s">
        <v>381</v>
      </c>
      <c r="D46" s="324"/>
      <c r="E46" s="324"/>
      <c r="F46" s="324"/>
    </row>
  </sheetData>
  <mergeCells count="20">
    <mergeCell ref="C46:F46"/>
    <mergeCell ref="C22:F22"/>
    <mergeCell ref="C26:F26"/>
    <mergeCell ref="C30:F30"/>
    <mergeCell ref="C34:F34"/>
    <mergeCell ref="C38:F38"/>
    <mergeCell ref="C43:F43"/>
    <mergeCell ref="C23:F23"/>
    <mergeCell ref="C27:F27"/>
    <mergeCell ref="C31:F31"/>
    <mergeCell ref="C35:F35"/>
    <mergeCell ref="C39:F39"/>
    <mergeCell ref="C42:F42"/>
    <mergeCell ref="C1:F1"/>
    <mergeCell ref="C3:F3"/>
    <mergeCell ref="C11:F11"/>
    <mergeCell ref="C15:F15"/>
    <mergeCell ref="C19:F19"/>
    <mergeCell ref="C14:F14"/>
    <mergeCell ref="C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9709-CFF4-41E0-B016-27C0E4445451}">
  <sheetPr codeName="Arkusz3"/>
  <dimension ref="B2:M46"/>
  <sheetViews>
    <sheetView workbookViewId="0">
      <selection activeCell="F8" sqref="F8"/>
    </sheetView>
  </sheetViews>
  <sheetFormatPr defaultColWidth="8.85546875" defaultRowHeight="14.45"/>
  <cols>
    <col min="1" max="1" width="8.85546875" style="53"/>
    <col min="2" max="2" width="31.85546875" style="53" customWidth="1"/>
    <col min="3" max="3" width="23.28515625" style="65" customWidth="1"/>
    <col min="4" max="4" width="20.28515625" style="65" customWidth="1"/>
    <col min="5" max="5" width="23.140625" style="65" customWidth="1"/>
    <col min="6" max="6" width="8.85546875" style="53"/>
    <col min="7" max="7" width="14.5703125" style="53" customWidth="1"/>
    <col min="8" max="8" width="16.7109375" style="65" customWidth="1"/>
    <col min="9" max="9" width="21.140625" style="65" customWidth="1"/>
    <col min="10" max="11" width="16.7109375" style="65" customWidth="1"/>
    <col min="12" max="16384" width="8.85546875" style="53"/>
  </cols>
  <sheetData>
    <row r="2" spans="2:13" ht="26.45">
      <c r="B2" s="55" t="s">
        <v>21</v>
      </c>
      <c r="C2" s="66" t="s">
        <v>22</v>
      </c>
      <c r="D2" s="66" t="s">
        <v>23</v>
      </c>
      <c r="E2" s="66" t="s">
        <v>24</v>
      </c>
      <c r="H2" s="264">
        <v>2020</v>
      </c>
      <c r="I2" s="264"/>
      <c r="J2" s="264"/>
      <c r="K2" s="264"/>
    </row>
    <row r="3" spans="2:13" ht="26.45">
      <c r="B3" s="261" t="s">
        <v>25</v>
      </c>
      <c r="C3" s="261"/>
      <c r="D3" s="261"/>
      <c r="E3" s="261"/>
      <c r="H3" s="54" t="s">
        <v>26</v>
      </c>
      <c r="I3" s="54" t="s">
        <v>27</v>
      </c>
      <c r="J3" s="54" t="s">
        <v>28</v>
      </c>
      <c r="K3" s="70" t="s">
        <v>29</v>
      </c>
    </row>
    <row r="4" spans="2:13" ht="15.6">
      <c r="B4" s="56" t="s">
        <v>30</v>
      </c>
      <c r="C4" s="61">
        <v>89605</v>
      </c>
      <c r="D4" s="61">
        <v>93625</v>
      </c>
      <c r="E4" s="61">
        <v>99416</v>
      </c>
      <c r="H4" s="72">
        <f>C18</f>
        <v>113321</v>
      </c>
      <c r="I4" s="72">
        <f>C32</f>
        <v>-48178</v>
      </c>
      <c r="J4" s="72">
        <f>C43</f>
        <v>-74479</v>
      </c>
      <c r="K4" s="71" t="s">
        <v>31</v>
      </c>
    </row>
    <row r="5" spans="2:13">
      <c r="B5" s="57" t="s">
        <v>32</v>
      </c>
      <c r="C5" s="67">
        <f>'rachunek zyskow i strat'!G17</f>
        <v>76406</v>
      </c>
      <c r="D5" s="67">
        <f>'rachunek zyskow i strat'!H17</f>
        <v>80648</v>
      </c>
      <c r="E5" s="67">
        <f>'rachunek zyskow i strat'!I17</f>
        <v>85286</v>
      </c>
      <c r="H5" s="69" t="s">
        <v>33</v>
      </c>
      <c r="I5" s="69" t="s">
        <v>34</v>
      </c>
      <c r="J5" s="69" t="s">
        <v>34</v>
      </c>
      <c r="K5" s="71" t="s">
        <v>31</v>
      </c>
    </row>
    <row r="6" spans="2:13" ht="26.45" customHeight="1">
      <c r="B6" s="58" t="s">
        <v>35</v>
      </c>
      <c r="C6" s="62">
        <v>36325</v>
      </c>
      <c r="D6" s="62">
        <v>17863</v>
      </c>
      <c r="E6" s="62">
        <v>39343</v>
      </c>
      <c r="G6"/>
      <c r="H6" s="54" t="s">
        <v>36</v>
      </c>
      <c r="I6" s="54" t="s">
        <v>37</v>
      </c>
      <c r="J6" s="265" t="s">
        <v>38</v>
      </c>
      <c r="K6" s="266"/>
    </row>
    <row r="7" spans="2:13" ht="15.6">
      <c r="B7" s="58" t="s">
        <v>39</v>
      </c>
      <c r="C7" s="63">
        <v>25288</v>
      </c>
      <c r="D7" s="63">
        <v>27485</v>
      </c>
      <c r="E7" s="63">
        <v>30031</v>
      </c>
      <c r="G7"/>
      <c r="H7" s="72">
        <f>C5</f>
        <v>76406</v>
      </c>
      <c r="I7" s="72">
        <f>H4</f>
        <v>113321</v>
      </c>
      <c r="J7" s="262" t="s">
        <v>40</v>
      </c>
      <c r="K7" s="263"/>
    </row>
    <row r="8" spans="2:13" ht="15.6">
      <c r="B8" s="58" t="s">
        <v>41</v>
      </c>
      <c r="C8" s="63">
        <v>8190</v>
      </c>
      <c r="D8" s="63">
        <v>-10367</v>
      </c>
      <c r="E8" s="63">
        <v>7898</v>
      </c>
      <c r="G8"/>
      <c r="H8" s="69" t="s">
        <v>33</v>
      </c>
      <c r="I8" s="69" t="s">
        <v>33</v>
      </c>
      <c r="J8" s="262" t="s">
        <v>40</v>
      </c>
      <c r="K8" s="263"/>
      <c r="M8"/>
    </row>
    <row r="9" spans="2:13" ht="33" customHeight="1">
      <c r="B9" s="58" t="s">
        <v>42</v>
      </c>
      <c r="C9" s="63">
        <v>-202</v>
      </c>
      <c r="D9" s="63">
        <v>0</v>
      </c>
      <c r="E9" s="63">
        <v>0</v>
      </c>
      <c r="G9"/>
      <c r="M9"/>
    </row>
    <row r="10" spans="2:13" ht="31.15">
      <c r="B10" s="58" t="s">
        <v>43</v>
      </c>
      <c r="C10" s="63">
        <v>1815</v>
      </c>
      <c r="D10" s="63">
        <v>1141</v>
      </c>
      <c r="E10" s="63">
        <v>1649</v>
      </c>
      <c r="G10"/>
      <c r="H10" s="264">
        <v>2021</v>
      </c>
      <c r="I10" s="264"/>
      <c r="J10" s="264"/>
      <c r="K10" s="264"/>
      <c r="M10"/>
    </row>
    <row r="11" spans="2:13" ht="26.45">
      <c r="B11" s="58" t="s">
        <v>44</v>
      </c>
      <c r="C11" s="63">
        <v>1209</v>
      </c>
      <c r="D11" s="63">
        <v>-193</v>
      </c>
      <c r="E11" s="63">
        <v>332</v>
      </c>
      <c r="H11" s="54" t="s">
        <v>26</v>
      </c>
      <c r="I11" s="54" t="s">
        <v>27</v>
      </c>
      <c r="J11" s="54" t="s">
        <v>28</v>
      </c>
      <c r="K11" s="70" t="s">
        <v>29</v>
      </c>
      <c r="L11"/>
    </row>
    <row r="12" spans="2:13" ht="31.15">
      <c r="B12" s="58" t="s">
        <v>45</v>
      </c>
      <c r="C12" s="63">
        <v>525</v>
      </c>
      <c r="D12" s="63">
        <v>-12</v>
      </c>
      <c r="E12" s="63">
        <v>0</v>
      </c>
      <c r="H12" s="72">
        <f>D18</f>
        <v>96486</v>
      </c>
      <c r="I12" s="72">
        <f>D32</f>
        <v>17369</v>
      </c>
      <c r="J12" s="72">
        <f>D43</f>
        <v>-77637</v>
      </c>
      <c r="K12" s="71" t="s">
        <v>46</v>
      </c>
      <c r="L12"/>
    </row>
    <row r="13" spans="2:13" ht="31.15">
      <c r="B13" s="58" t="s">
        <v>47</v>
      </c>
      <c r="C13" s="63">
        <v>-503</v>
      </c>
      <c r="D13" s="63">
        <v>-192</v>
      </c>
      <c r="E13" s="63">
        <v>-565</v>
      </c>
      <c r="G13"/>
      <c r="H13" s="69" t="s">
        <v>33</v>
      </c>
      <c r="I13" s="69" t="s">
        <v>33</v>
      </c>
      <c r="J13" s="69" t="s">
        <v>34</v>
      </c>
      <c r="K13" s="71" t="s">
        <v>46</v>
      </c>
      <c r="L13"/>
      <c r="M13"/>
    </row>
    <row r="14" spans="2:13" ht="26.45" customHeight="1">
      <c r="B14" s="58" t="s">
        <v>48</v>
      </c>
      <c r="C14" s="63">
        <v>3</v>
      </c>
      <c r="D14" s="63">
        <v>1</v>
      </c>
      <c r="E14" s="63">
        <v>-2</v>
      </c>
      <c r="H14" s="54" t="s">
        <v>36</v>
      </c>
      <c r="I14" s="54" t="s">
        <v>37</v>
      </c>
      <c r="J14" s="265" t="s">
        <v>38</v>
      </c>
      <c r="K14" s="266"/>
      <c r="L14"/>
    </row>
    <row r="15" spans="2:13">
      <c r="B15" s="57"/>
      <c r="C15" s="67"/>
      <c r="D15" s="67"/>
      <c r="E15" s="67"/>
      <c r="H15" s="72">
        <f>D5</f>
        <v>80648</v>
      </c>
      <c r="I15" s="72">
        <f>H12</f>
        <v>96486</v>
      </c>
      <c r="J15" s="262" t="s">
        <v>40</v>
      </c>
      <c r="K15" s="263"/>
      <c r="L15"/>
    </row>
    <row r="16" spans="2:13" ht="31.15">
      <c r="B16" s="59" t="s">
        <v>49</v>
      </c>
      <c r="C16" s="61">
        <v>125930</v>
      </c>
      <c r="D16" s="61">
        <v>111488</v>
      </c>
      <c r="E16" s="61">
        <v>138759</v>
      </c>
      <c r="G16"/>
      <c r="H16" s="69" t="s">
        <v>33</v>
      </c>
      <c r="I16" s="69" t="s">
        <v>33</v>
      </c>
      <c r="J16" s="262" t="s">
        <v>40</v>
      </c>
      <c r="K16" s="263"/>
      <c r="L16"/>
      <c r="M16"/>
    </row>
    <row r="17" spans="2:13" ht="15.6">
      <c r="B17" s="58" t="s">
        <v>50</v>
      </c>
      <c r="C17" s="63">
        <v>-12609</v>
      </c>
      <c r="D17" s="63">
        <v>-15002</v>
      </c>
      <c r="E17" s="63">
        <v>-11132</v>
      </c>
      <c r="G17"/>
      <c r="H17" s="35"/>
      <c r="I17" s="35"/>
      <c r="J17" s="35"/>
      <c r="K17" s="35"/>
      <c r="L17"/>
      <c r="M17"/>
    </row>
    <row r="18" spans="2:13" ht="31.15">
      <c r="B18" s="59" t="s">
        <v>51</v>
      </c>
      <c r="C18" s="61">
        <v>113321</v>
      </c>
      <c r="D18" s="61">
        <v>96486</v>
      </c>
      <c r="E18" s="61">
        <v>127627</v>
      </c>
      <c r="G18"/>
      <c r="H18" s="264">
        <v>2022</v>
      </c>
      <c r="I18" s="264"/>
      <c r="J18" s="264"/>
      <c r="K18" s="264"/>
      <c r="L18"/>
    </row>
    <row r="19" spans="2:13" ht="26.45">
      <c r="B19" s="60"/>
      <c r="C19" s="68"/>
      <c r="D19" s="68"/>
      <c r="E19" s="68"/>
      <c r="G19"/>
      <c r="H19" s="54" t="s">
        <v>26</v>
      </c>
      <c r="I19" s="54" t="s">
        <v>27</v>
      </c>
      <c r="J19" s="54" t="s">
        <v>28</v>
      </c>
      <c r="K19" s="70" t="s">
        <v>29</v>
      </c>
      <c r="L19"/>
    </row>
    <row r="20" spans="2:13" ht="15.6" customHeight="1">
      <c r="B20" s="258" t="s">
        <v>52</v>
      </c>
      <c r="C20" s="259"/>
      <c r="D20" s="259"/>
      <c r="E20" s="260"/>
      <c r="G20"/>
      <c r="H20" s="72">
        <f>E18</f>
        <v>127627</v>
      </c>
      <c r="I20" s="72">
        <f>E32</f>
        <v>-35105</v>
      </c>
      <c r="J20" s="72">
        <f>E43</f>
        <v>-87072</v>
      </c>
      <c r="K20" s="71" t="s">
        <v>31</v>
      </c>
      <c r="L20"/>
    </row>
    <row r="21" spans="2:13">
      <c r="B21" s="57"/>
      <c r="C21" s="67"/>
      <c r="D21" s="67"/>
      <c r="E21" s="67"/>
      <c r="G21"/>
      <c r="H21" s="69" t="s">
        <v>33</v>
      </c>
      <c r="I21" s="69" t="s">
        <v>34</v>
      </c>
      <c r="J21" s="69" t="s">
        <v>34</v>
      </c>
      <c r="K21" s="71" t="s">
        <v>31</v>
      </c>
      <c r="L21"/>
    </row>
    <row r="22" spans="2:13" ht="25.9" customHeight="1">
      <c r="B22" s="59" t="s">
        <v>53</v>
      </c>
      <c r="C22" s="61"/>
      <c r="D22" s="61"/>
      <c r="E22" s="61"/>
      <c r="G22"/>
      <c r="H22" s="54" t="s">
        <v>36</v>
      </c>
      <c r="I22" s="54" t="s">
        <v>37</v>
      </c>
      <c r="J22" s="265" t="s">
        <v>38</v>
      </c>
      <c r="K22" s="266"/>
      <c r="L22"/>
    </row>
    <row r="23" spans="2:13" ht="46.9">
      <c r="B23" s="58" t="s">
        <v>54</v>
      </c>
      <c r="C23" s="62">
        <v>356</v>
      </c>
      <c r="D23" s="62">
        <v>161</v>
      </c>
      <c r="E23" s="63">
        <v>234</v>
      </c>
      <c r="G23"/>
      <c r="H23" s="72">
        <f>E5</f>
        <v>85286</v>
      </c>
      <c r="I23" s="72">
        <f>H20</f>
        <v>127627</v>
      </c>
      <c r="J23" s="262" t="s">
        <v>40</v>
      </c>
      <c r="K23" s="263"/>
      <c r="L23"/>
    </row>
    <row r="24" spans="2:13" ht="31.15">
      <c r="B24" s="58" t="s">
        <v>55</v>
      </c>
      <c r="C24" s="63">
        <v>24000</v>
      </c>
      <c r="D24" s="63">
        <v>40000</v>
      </c>
      <c r="E24" s="63">
        <v>0</v>
      </c>
      <c r="G24"/>
      <c r="H24" s="69" t="s">
        <v>33</v>
      </c>
      <c r="I24" s="69" t="s">
        <v>33</v>
      </c>
      <c r="J24" s="262" t="s">
        <v>40</v>
      </c>
      <c r="K24" s="263"/>
      <c r="L24"/>
    </row>
    <row r="25" spans="2:13" ht="15.6">
      <c r="B25" s="58" t="s">
        <v>56</v>
      </c>
      <c r="C25" s="63">
        <v>205</v>
      </c>
      <c r="D25" s="63">
        <v>12</v>
      </c>
      <c r="E25" s="63">
        <v>0</v>
      </c>
      <c r="L25"/>
    </row>
    <row r="26" spans="2:13">
      <c r="B26" s="57"/>
      <c r="C26" s="67"/>
      <c r="D26" s="67"/>
      <c r="E26" s="67"/>
      <c r="L26"/>
    </row>
    <row r="27" spans="2:13" ht="15.6">
      <c r="B27" s="59" t="s">
        <v>57</v>
      </c>
      <c r="C27" s="61"/>
      <c r="D27" s="61"/>
      <c r="E27" s="61"/>
    </row>
    <row r="28" spans="2:13" ht="31.15">
      <c r="B28" s="58" t="s">
        <v>58</v>
      </c>
      <c r="C28" s="63">
        <v>-8753</v>
      </c>
      <c r="D28" s="63">
        <v>-6897</v>
      </c>
      <c r="E28" s="63">
        <v>-15183</v>
      </c>
    </row>
    <row r="29" spans="2:13" ht="31.15">
      <c r="B29" s="58" t="s">
        <v>59</v>
      </c>
      <c r="C29" s="63">
        <v>-13737</v>
      </c>
      <c r="D29" s="63">
        <v>-15907</v>
      </c>
      <c r="E29" s="63">
        <v>-20156</v>
      </c>
    </row>
    <row r="30" spans="2:13" ht="15.6">
      <c r="B30" s="58" t="s">
        <v>60</v>
      </c>
      <c r="C30" s="69">
        <v>-50000</v>
      </c>
      <c r="D30" s="69">
        <v>0</v>
      </c>
      <c r="E30" s="69">
        <v>0</v>
      </c>
    </row>
    <row r="31" spans="2:13" ht="15.6">
      <c r="B31" s="58" t="s">
        <v>61</v>
      </c>
      <c r="C31" s="63">
        <v>-249</v>
      </c>
      <c r="D31" s="63">
        <v>0</v>
      </c>
      <c r="E31" s="63">
        <v>0</v>
      </c>
    </row>
    <row r="32" spans="2:13" ht="46.9">
      <c r="B32" s="59" t="s">
        <v>62</v>
      </c>
      <c r="C32" s="61">
        <v>-48178</v>
      </c>
      <c r="D32" s="61">
        <v>17369</v>
      </c>
      <c r="E32" s="61">
        <v>-35105</v>
      </c>
    </row>
    <row r="33" spans="2:5">
      <c r="B33" s="60"/>
      <c r="C33" s="68"/>
      <c r="D33" s="68"/>
      <c r="E33" s="68"/>
    </row>
    <row r="34" spans="2:5" ht="15.6" customHeight="1">
      <c r="B34" s="258" t="s">
        <v>63</v>
      </c>
      <c r="C34" s="259"/>
      <c r="D34" s="259"/>
      <c r="E34" s="260"/>
    </row>
    <row r="35" spans="2:5">
      <c r="B35" s="57"/>
      <c r="C35" s="67"/>
      <c r="D35" s="67"/>
      <c r="E35" s="67"/>
    </row>
    <row r="36" spans="2:5" ht="15.6">
      <c r="B36" s="59" t="s">
        <v>53</v>
      </c>
      <c r="C36" s="61"/>
      <c r="D36" s="61"/>
      <c r="E36" s="61"/>
    </row>
    <row r="37" spans="2:5" ht="31.15">
      <c r="B37" s="58" t="s">
        <v>64</v>
      </c>
      <c r="C37" s="63">
        <v>2186</v>
      </c>
      <c r="D37" s="63">
        <v>934</v>
      </c>
      <c r="E37" s="63">
        <v>0</v>
      </c>
    </row>
    <row r="38" spans="2:5" ht="15.6">
      <c r="B38" s="59" t="s">
        <v>57</v>
      </c>
      <c r="C38" s="61"/>
      <c r="D38" s="61"/>
      <c r="E38" s="61"/>
    </row>
    <row r="39" spans="2:5" ht="15.6">
      <c r="B39" s="58" t="s">
        <v>65</v>
      </c>
      <c r="C39" s="63">
        <v>-60153</v>
      </c>
      <c r="D39" s="63">
        <v>-66836</v>
      </c>
      <c r="E39" s="63">
        <v>-70847</v>
      </c>
    </row>
    <row r="40" spans="2:5" ht="31.15">
      <c r="B40" s="58" t="s">
        <v>66</v>
      </c>
      <c r="C40" s="63">
        <v>-2186</v>
      </c>
      <c r="D40" s="63">
        <v>-934</v>
      </c>
      <c r="E40" s="63">
        <v>0</v>
      </c>
    </row>
    <row r="41" spans="2:5" ht="31.15">
      <c r="B41" s="58" t="s">
        <v>67</v>
      </c>
      <c r="C41" s="63">
        <v>-12508</v>
      </c>
      <c r="D41" s="63">
        <v>-9660</v>
      </c>
      <c r="E41" s="63">
        <v>-14576</v>
      </c>
    </row>
    <row r="42" spans="2:5" ht="15.6">
      <c r="B42" s="58" t="s">
        <v>68</v>
      </c>
      <c r="C42" s="63">
        <v>-1818</v>
      </c>
      <c r="D42" s="63">
        <v>-1141</v>
      </c>
      <c r="E42" s="63">
        <v>-1649</v>
      </c>
    </row>
    <row r="43" spans="2:5" ht="31.15">
      <c r="B43" s="59" t="s">
        <v>69</v>
      </c>
      <c r="C43" s="61">
        <v>-74479</v>
      </c>
      <c r="D43" s="61">
        <v>-77637</v>
      </c>
      <c r="E43" s="61">
        <v>-87072</v>
      </c>
    </row>
    <row r="44" spans="2:5" ht="31.15">
      <c r="B44" s="59" t="s">
        <v>70</v>
      </c>
      <c r="C44" s="64">
        <v>-9336</v>
      </c>
      <c r="D44" s="64">
        <v>36218</v>
      </c>
      <c r="E44" s="64">
        <v>5450</v>
      </c>
    </row>
    <row r="45" spans="2:5" ht="31.15">
      <c r="B45" s="59" t="s">
        <v>71</v>
      </c>
      <c r="C45" s="64">
        <v>15950</v>
      </c>
      <c r="D45" s="64">
        <v>6614</v>
      </c>
      <c r="E45" s="64">
        <v>42832</v>
      </c>
    </row>
    <row r="46" spans="2:5" ht="46.9">
      <c r="B46" s="59" t="s">
        <v>72</v>
      </c>
      <c r="C46" s="61">
        <v>6614</v>
      </c>
      <c r="D46" s="61">
        <v>42832</v>
      </c>
      <c r="E46" s="61">
        <v>48282</v>
      </c>
    </row>
  </sheetData>
  <mergeCells count="15">
    <mergeCell ref="B34:E34"/>
    <mergeCell ref="B3:E3"/>
    <mergeCell ref="B20:E20"/>
    <mergeCell ref="J8:K8"/>
    <mergeCell ref="H2:K2"/>
    <mergeCell ref="J6:K6"/>
    <mergeCell ref="H10:K10"/>
    <mergeCell ref="J15:K15"/>
    <mergeCell ref="J14:K14"/>
    <mergeCell ref="J7:K7"/>
    <mergeCell ref="J16:K16"/>
    <mergeCell ref="H18:K18"/>
    <mergeCell ref="J22:K22"/>
    <mergeCell ref="J23:K23"/>
    <mergeCell ref="J24:K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93A2-CE5E-47CF-A128-BD878B0C0C86}">
  <dimension ref="A2:U41"/>
  <sheetViews>
    <sheetView topLeftCell="A16" zoomScaleNormal="100" workbookViewId="0">
      <selection activeCell="L19" sqref="L19"/>
    </sheetView>
  </sheetViews>
  <sheetFormatPr defaultRowHeight="14.45"/>
  <cols>
    <col min="2" max="2" width="8.85546875" customWidth="1"/>
    <col min="6" max="8" width="8.85546875" customWidth="1"/>
    <col min="9" max="9" width="10.85546875" customWidth="1"/>
  </cols>
  <sheetData>
    <row r="2" spans="1:21">
      <c r="B2" s="37" t="s">
        <v>73</v>
      </c>
      <c r="C2" s="37"/>
      <c r="D2" s="37"/>
      <c r="E2" s="37"/>
      <c r="F2" s="37"/>
      <c r="G2" s="37"/>
      <c r="H2" s="37">
        <v>2020</v>
      </c>
      <c r="I2" s="37">
        <v>2021</v>
      </c>
      <c r="J2" s="37">
        <v>2022</v>
      </c>
      <c r="K2" s="34"/>
      <c r="M2" s="34"/>
      <c r="N2" s="34"/>
    </row>
    <row r="3" spans="1:21">
      <c r="B3" s="268" t="s">
        <v>74</v>
      </c>
      <c r="C3" s="268"/>
      <c r="D3" s="268"/>
      <c r="E3" s="268"/>
      <c r="F3" s="268"/>
      <c r="G3" s="268"/>
      <c r="H3" s="76">
        <v>0.95160994404183108</v>
      </c>
      <c r="I3" s="76">
        <v>0.9467383998295017</v>
      </c>
      <c r="J3" s="76">
        <v>0.96712583001061669</v>
      </c>
      <c r="K3" s="34"/>
      <c r="M3" s="34"/>
      <c r="N3" s="34"/>
      <c r="P3" s="77" t="s">
        <v>75</v>
      </c>
      <c r="Q3" s="77"/>
      <c r="R3" s="77"/>
      <c r="S3" s="77"/>
      <c r="T3" s="77"/>
      <c r="U3" s="77"/>
    </row>
    <row r="4" spans="1:21">
      <c r="B4" s="267" t="s">
        <v>76</v>
      </c>
      <c r="C4" s="267"/>
      <c r="D4" s="267"/>
      <c r="E4" s="267"/>
      <c r="F4" s="267"/>
      <c r="G4" s="267"/>
      <c r="H4" t="s">
        <v>77</v>
      </c>
      <c r="J4" s="25" t="s">
        <v>78</v>
      </c>
      <c r="M4" s="34"/>
      <c r="N4" s="34"/>
      <c r="P4" s="269" t="s">
        <v>79</v>
      </c>
      <c r="Q4" s="269"/>
      <c r="R4" s="269"/>
      <c r="S4" s="269"/>
      <c r="T4" s="269"/>
      <c r="U4" s="269"/>
    </row>
    <row r="5" spans="1:21">
      <c r="B5" s="37" t="s">
        <v>80</v>
      </c>
      <c r="C5" s="37"/>
      <c r="D5" s="37"/>
      <c r="E5" s="37"/>
      <c r="F5" s="37"/>
      <c r="G5" s="37"/>
      <c r="H5" s="37">
        <v>2020</v>
      </c>
      <c r="I5" s="37">
        <v>2021</v>
      </c>
      <c r="J5" s="37">
        <v>2022</v>
      </c>
      <c r="K5" s="34"/>
      <c r="M5" s="34"/>
      <c r="N5" s="34"/>
      <c r="P5" s="77"/>
      <c r="Q5" s="77"/>
      <c r="R5" s="77"/>
      <c r="S5" s="77"/>
      <c r="T5" s="77"/>
      <c r="U5" s="77"/>
    </row>
    <row r="6" spans="1:21">
      <c r="B6" s="268" t="s">
        <v>81</v>
      </c>
      <c r="C6" s="268"/>
      <c r="D6" s="268"/>
      <c r="E6" s="268"/>
      <c r="F6" s="268"/>
      <c r="H6" s="76">
        <f>(E21+E26)/J24</f>
        <v>1.08627648839556</v>
      </c>
      <c r="I6" s="76">
        <f>(D21+D26)/I24</f>
        <v>1.100151371910401</v>
      </c>
      <c r="J6" s="76">
        <f>(C21+C26)/H24</f>
        <v>1.0880673689164868</v>
      </c>
      <c r="K6" s="34"/>
      <c r="M6" s="34"/>
      <c r="N6" s="34"/>
      <c r="P6" s="77"/>
      <c r="Q6" s="77">
        <v>0.95160994404183108</v>
      </c>
      <c r="R6" s="77">
        <v>0.9467383998295017</v>
      </c>
      <c r="S6" s="77">
        <v>0.96712583001061669</v>
      </c>
      <c r="T6" s="77"/>
      <c r="U6" s="77"/>
    </row>
    <row r="7" spans="1:21">
      <c r="B7" s="270" t="s">
        <v>82</v>
      </c>
      <c r="C7" s="271"/>
      <c r="D7" s="271"/>
      <c r="E7" s="271"/>
      <c r="F7" s="271"/>
      <c r="G7" s="271"/>
      <c r="H7" t="s">
        <v>83</v>
      </c>
      <c r="J7" s="168" t="s">
        <v>84</v>
      </c>
      <c r="P7" s="77"/>
      <c r="Q7" s="77">
        <v>1.08627648839556</v>
      </c>
      <c r="R7" s="77">
        <v>1.100151371910401</v>
      </c>
      <c r="S7" s="77">
        <v>1.0880673689164868</v>
      </c>
      <c r="T7" s="77"/>
      <c r="U7" s="77"/>
    </row>
    <row r="8" spans="1:21">
      <c r="B8" s="36" t="s">
        <v>85</v>
      </c>
      <c r="C8" s="36"/>
      <c r="D8" s="36"/>
      <c r="E8" s="36"/>
      <c r="F8" s="36"/>
      <c r="G8" s="36"/>
      <c r="H8" s="37">
        <v>2020</v>
      </c>
      <c r="I8" s="36">
        <v>2021</v>
      </c>
      <c r="J8" s="36">
        <v>2022</v>
      </c>
      <c r="P8" s="77"/>
      <c r="Q8" s="77">
        <v>0.67142669985588888</v>
      </c>
      <c r="R8" s="77">
        <v>0.59263828226586202</v>
      </c>
      <c r="S8" s="77">
        <v>0.6803121936066322</v>
      </c>
      <c r="T8" s="77"/>
      <c r="U8" s="77"/>
    </row>
    <row r="9" spans="1:21">
      <c r="B9" s="36" t="s">
        <v>86</v>
      </c>
      <c r="C9" s="36"/>
      <c r="D9" s="36"/>
      <c r="E9" s="36"/>
      <c r="F9" s="36"/>
      <c r="G9" s="36"/>
      <c r="H9" s="78">
        <f>E36/J34</f>
        <v>0.67142669985588888</v>
      </c>
      <c r="I9" s="78">
        <f t="shared" ref="I9" si="0">D36/I34</f>
        <v>0.59263828226586202</v>
      </c>
      <c r="J9" s="78">
        <f>C36/H34</f>
        <v>0.6803121936066322</v>
      </c>
    </row>
    <row r="10" spans="1:21">
      <c r="B10" s="272" t="s">
        <v>87</v>
      </c>
      <c r="C10" s="268"/>
      <c r="D10" s="268"/>
      <c r="E10" s="268"/>
      <c r="F10" s="268"/>
      <c r="O10" s="77" t="s">
        <v>88</v>
      </c>
    </row>
    <row r="11" spans="1:21">
      <c r="B11" s="267" t="s">
        <v>89</v>
      </c>
      <c r="C11" s="267"/>
      <c r="D11" s="267"/>
      <c r="E11" s="267"/>
      <c r="F11" s="267"/>
      <c r="G11" s="267"/>
      <c r="H11" s="25"/>
      <c r="O11" s="77" t="s">
        <v>90</v>
      </c>
    </row>
    <row r="12" spans="1:21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7" t="s">
        <v>91</v>
      </c>
      <c r="P12" s="79"/>
      <c r="Q12" s="25"/>
    </row>
    <row r="15" spans="1:2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21" ht="78">
      <c r="A16" s="77"/>
      <c r="B16" s="80" t="s">
        <v>92</v>
      </c>
      <c r="C16" s="80" t="s">
        <v>93</v>
      </c>
      <c r="D16" s="80" t="s">
        <v>94</v>
      </c>
      <c r="E16" s="80" t="s">
        <v>95</v>
      </c>
      <c r="F16" s="77"/>
      <c r="G16" s="81" t="s">
        <v>96</v>
      </c>
      <c r="H16" s="82" t="s">
        <v>97</v>
      </c>
      <c r="I16" s="82" t="s">
        <v>98</v>
      </c>
      <c r="J16" s="82" t="s">
        <v>99</v>
      </c>
      <c r="K16" s="77"/>
    </row>
    <row r="17" spans="1:11" ht="46.9">
      <c r="A17" s="77"/>
      <c r="B17" s="83" t="s">
        <v>100</v>
      </c>
      <c r="C17" s="84"/>
      <c r="D17" s="84"/>
      <c r="E17" s="84"/>
      <c r="F17" s="77"/>
      <c r="G17" s="82" t="s">
        <v>101</v>
      </c>
      <c r="H17" s="84"/>
      <c r="I17" s="85"/>
      <c r="J17" s="85"/>
      <c r="K17" s="77"/>
    </row>
    <row r="18" spans="1:11" ht="62.45">
      <c r="A18" s="77"/>
      <c r="B18" s="86" t="s">
        <v>102</v>
      </c>
      <c r="C18" s="87">
        <v>167091</v>
      </c>
      <c r="D18" s="88">
        <v>167091</v>
      </c>
      <c r="E18" s="88">
        <v>167091</v>
      </c>
      <c r="F18" s="77"/>
      <c r="G18" s="86" t="s">
        <v>103</v>
      </c>
      <c r="H18" s="88">
        <v>285661</v>
      </c>
      <c r="I18" s="88">
        <v>280162</v>
      </c>
      <c r="J18" s="88">
        <v>277095</v>
      </c>
      <c r="K18" s="77"/>
    </row>
    <row r="19" spans="1:11" ht="140.44999999999999">
      <c r="A19" s="77"/>
      <c r="B19" s="89" t="s">
        <v>104</v>
      </c>
      <c r="C19" s="88">
        <v>62543</v>
      </c>
      <c r="D19" s="88">
        <v>62543</v>
      </c>
      <c r="E19" s="88">
        <v>62543</v>
      </c>
      <c r="F19" s="77"/>
      <c r="G19" s="86" t="s">
        <v>105</v>
      </c>
      <c r="H19" s="88">
        <v>47339</v>
      </c>
      <c r="I19" s="88">
        <v>60637</v>
      </c>
      <c r="J19" s="88">
        <v>46852</v>
      </c>
      <c r="K19" s="77"/>
    </row>
    <row r="20" spans="1:11" ht="62.45">
      <c r="A20" s="77"/>
      <c r="B20" s="89" t="s">
        <v>106</v>
      </c>
      <c r="C20" s="88">
        <v>132014</v>
      </c>
      <c r="D20" s="90">
        <v>116859</v>
      </c>
      <c r="E20" s="90">
        <v>102318</v>
      </c>
      <c r="F20" s="77"/>
      <c r="G20" s="89" t="s">
        <v>107</v>
      </c>
      <c r="H20" s="88">
        <v>37097</v>
      </c>
      <c r="I20" s="90">
        <v>22287</v>
      </c>
      <c r="J20" s="90">
        <v>21100</v>
      </c>
      <c r="K20" s="77"/>
    </row>
    <row r="21" spans="1:11" ht="140.44999999999999">
      <c r="A21" s="77"/>
      <c r="B21" s="82" t="s">
        <v>108</v>
      </c>
      <c r="C21" s="91">
        <f>SUM(C18:C20)</f>
        <v>361648</v>
      </c>
      <c r="D21" s="91">
        <f>SUM(D18:D20)</f>
        <v>346493</v>
      </c>
      <c r="E21" s="91">
        <f>SUM(E18:E20)</f>
        <v>331952</v>
      </c>
      <c r="F21" s="77"/>
      <c r="G21" s="89" t="s">
        <v>109</v>
      </c>
      <c r="H21" s="88">
        <v>499</v>
      </c>
      <c r="I21" s="90">
        <v>223</v>
      </c>
      <c r="J21" s="90">
        <v>178</v>
      </c>
      <c r="K21" s="77"/>
    </row>
    <row r="22" spans="1:11" ht="78">
      <c r="A22" s="77"/>
      <c r="B22" s="85"/>
      <c r="C22" s="85"/>
      <c r="D22" s="85"/>
      <c r="E22" s="85"/>
      <c r="F22" s="77"/>
      <c r="G22" s="89" t="s">
        <v>110</v>
      </c>
      <c r="H22" s="88">
        <v>3229</v>
      </c>
      <c r="I22" s="90">
        <v>2647</v>
      </c>
      <c r="J22" s="90">
        <v>3588</v>
      </c>
      <c r="K22" s="77"/>
    </row>
    <row r="23" spans="1:11" ht="78">
      <c r="A23" s="77"/>
      <c r="B23" s="82" t="s">
        <v>111</v>
      </c>
      <c r="C23" s="84"/>
      <c r="D23" s="85"/>
      <c r="E23" s="85"/>
      <c r="F23" s="77"/>
      <c r="G23" s="89" t="s">
        <v>112</v>
      </c>
      <c r="H23" s="88">
        <v>116</v>
      </c>
      <c r="I23" s="90">
        <v>30</v>
      </c>
      <c r="J23" s="90">
        <v>19</v>
      </c>
      <c r="K23" s="77"/>
    </row>
    <row r="24" spans="1:11" ht="62.45">
      <c r="A24" s="77"/>
      <c r="B24" s="89" t="s">
        <v>113</v>
      </c>
      <c r="C24" s="88">
        <v>43265</v>
      </c>
      <c r="D24" s="90">
        <v>53599</v>
      </c>
      <c r="E24" s="90">
        <v>43727</v>
      </c>
      <c r="F24" s="77"/>
      <c r="G24" s="82" t="s">
        <v>114</v>
      </c>
      <c r="H24" s="92">
        <f>SUM(H18:H23)</f>
        <v>373941</v>
      </c>
      <c r="I24" s="92">
        <f>SUM(I18:I23)</f>
        <v>365986</v>
      </c>
      <c r="J24" s="92">
        <f>SUM(J18:J23)</f>
        <v>348832</v>
      </c>
      <c r="K24" s="77"/>
    </row>
    <row r="25" spans="1:11" ht="62.45">
      <c r="A25" s="77"/>
      <c r="B25" s="89" t="s">
        <v>115</v>
      </c>
      <c r="C25" s="88">
        <v>1960</v>
      </c>
      <c r="D25" s="90">
        <v>2548</v>
      </c>
      <c r="E25" s="90">
        <v>3249</v>
      </c>
      <c r="F25" s="77"/>
      <c r="G25" s="82" t="s">
        <v>116</v>
      </c>
      <c r="H25" s="84"/>
      <c r="I25" s="85"/>
      <c r="J25" s="85"/>
      <c r="K25" s="77"/>
    </row>
    <row r="26" spans="1:11" ht="78">
      <c r="A26" s="77"/>
      <c r="B26" s="82" t="s">
        <v>117</v>
      </c>
      <c r="C26" s="91">
        <f>SUM(C24:C25)</f>
        <v>45225</v>
      </c>
      <c r="D26" s="91">
        <f>SUM(D24:D25)</f>
        <v>56147</v>
      </c>
      <c r="E26" s="91">
        <f>SUM(E24:E25)</f>
        <v>46976</v>
      </c>
      <c r="F26" s="77"/>
      <c r="G26" s="86" t="s">
        <v>118</v>
      </c>
      <c r="H26" s="88">
        <v>430</v>
      </c>
      <c r="I26" s="88">
        <v>409</v>
      </c>
      <c r="J26" s="88">
        <v>432</v>
      </c>
      <c r="K26" s="77"/>
    </row>
    <row r="27" spans="1:11" ht="156">
      <c r="A27" s="77"/>
      <c r="B27" s="85"/>
      <c r="C27" s="85"/>
      <c r="D27" s="85"/>
      <c r="E27" s="85"/>
      <c r="F27" s="77"/>
      <c r="G27" s="89" t="s">
        <v>119</v>
      </c>
      <c r="H27" s="88">
        <v>51496</v>
      </c>
      <c r="I27" s="90">
        <v>44534</v>
      </c>
      <c r="J27" s="90">
        <v>40064</v>
      </c>
      <c r="K27" s="77"/>
    </row>
    <row r="28" spans="1:11" ht="93.6">
      <c r="A28" s="77"/>
      <c r="B28" s="82" t="s">
        <v>120</v>
      </c>
      <c r="C28" s="84"/>
      <c r="D28" s="84"/>
      <c r="E28" s="84"/>
      <c r="F28" s="77"/>
      <c r="G28" s="89" t="s">
        <v>121</v>
      </c>
      <c r="H28" s="88">
        <v>1052</v>
      </c>
      <c r="I28" s="90">
        <v>804</v>
      </c>
      <c r="J28" s="90">
        <v>1052</v>
      </c>
      <c r="K28" s="77"/>
    </row>
    <row r="29" spans="1:11" ht="62.45">
      <c r="A29" s="77"/>
      <c r="B29" s="89" t="s">
        <v>113</v>
      </c>
      <c r="C29" s="88">
        <v>8487</v>
      </c>
      <c r="D29" s="90">
        <v>10746</v>
      </c>
      <c r="E29" s="90">
        <v>8415</v>
      </c>
      <c r="F29" s="77"/>
      <c r="G29" s="89" t="s">
        <v>122</v>
      </c>
      <c r="H29" s="88">
        <v>107</v>
      </c>
      <c r="I29" s="90">
        <v>86</v>
      </c>
      <c r="J29" s="90">
        <v>361</v>
      </c>
      <c r="K29" s="77"/>
    </row>
    <row r="30" spans="1:11" ht="78">
      <c r="A30" s="77"/>
      <c r="B30" s="89" t="s">
        <v>123</v>
      </c>
      <c r="C30" s="88">
        <v>7399</v>
      </c>
      <c r="D30" s="90">
        <v>5724</v>
      </c>
      <c r="E30" s="90">
        <v>6474</v>
      </c>
      <c r="F30" s="77"/>
      <c r="G30" s="89" t="s">
        <v>124</v>
      </c>
      <c r="H30" s="88">
        <v>1621</v>
      </c>
      <c r="I30" s="90">
        <v>1242</v>
      </c>
      <c r="J30" s="90">
        <v>2868</v>
      </c>
      <c r="K30" s="77"/>
    </row>
    <row r="31" spans="1:11" ht="93.6">
      <c r="A31" s="77"/>
      <c r="B31" s="89" t="s">
        <v>125</v>
      </c>
      <c r="C31" s="88">
        <v>16800</v>
      </c>
      <c r="D31" s="90">
        <v>15368</v>
      </c>
      <c r="E31" s="90">
        <v>14257</v>
      </c>
      <c r="F31" s="77"/>
      <c r="G31" s="77" t="s">
        <v>126</v>
      </c>
      <c r="H31" s="88">
        <v>0</v>
      </c>
      <c r="I31" s="90">
        <v>0</v>
      </c>
      <c r="J31" s="90">
        <v>40000</v>
      </c>
      <c r="K31" s="77"/>
    </row>
    <row r="32" spans="1:11" ht="140.44999999999999">
      <c r="A32" s="77"/>
      <c r="B32" s="89" t="s">
        <v>127</v>
      </c>
      <c r="C32" s="88">
        <v>4407</v>
      </c>
      <c r="D32" s="90">
        <v>696</v>
      </c>
      <c r="E32" s="90">
        <v>3412</v>
      </c>
      <c r="F32" s="77"/>
      <c r="G32" s="89" t="s">
        <v>128</v>
      </c>
      <c r="H32" s="88">
        <v>48282</v>
      </c>
      <c r="I32" s="90">
        <v>42832</v>
      </c>
      <c r="J32" s="90">
        <v>6614</v>
      </c>
      <c r="K32" s="77"/>
    </row>
    <row r="33" spans="1:11" ht="31.15">
      <c r="A33" s="77"/>
      <c r="B33" s="89" t="s">
        <v>115</v>
      </c>
      <c r="C33" s="88">
        <v>84</v>
      </c>
      <c r="D33" s="90">
        <v>59</v>
      </c>
      <c r="E33" s="90">
        <v>418</v>
      </c>
      <c r="F33" s="77"/>
      <c r="G33" s="89" t="s">
        <v>129</v>
      </c>
      <c r="H33" s="84">
        <v>25</v>
      </c>
      <c r="I33" s="93">
        <v>72</v>
      </c>
      <c r="J33" s="93">
        <v>205</v>
      </c>
      <c r="K33" s="77"/>
    </row>
    <row r="34" spans="1:11" ht="124.9">
      <c r="A34" s="77"/>
      <c r="B34" s="89" t="s">
        <v>130</v>
      </c>
      <c r="C34" s="88">
        <v>18598</v>
      </c>
      <c r="D34" s="90">
        <v>12740</v>
      </c>
      <c r="E34" s="90">
        <v>14811</v>
      </c>
      <c r="F34" s="77"/>
      <c r="G34" s="82" t="s">
        <v>131</v>
      </c>
      <c r="H34" s="91">
        <f>SUM(H26:H33)</f>
        <v>103013</v>
      </c>
      <c r="I34" s="91">
        <f>SUM(I26:I33)</f>
        <v>89979</v>
      </c>
      <c r="J34" s="91">
        <f>SUM(J26:J33)</f>
        <v>91596</v>
      </c>
      <c r="K34" s="77"/>
    </row>
    <row r="35" spans="1:11" ht="62.45">
      <c r="A35" s="77"/>
      <c r="B35" s="89" t="s">
        <v>132</v>
      </c>
      <c r="C35" s="88">
        <v>14306</v>
      </c>
      <c r="D35" s="90">
        <v>7992</v>
      </c>
      <c r="E35" s="90">
        <v>13713</v>
      </c>
      <c r="F35" s="77"/>
      <c r="G35" s="82" t="s">
        <v>133</v>
      </c>
      <c r="H35" s="91">
        <f>SUM(H24,H34)</f>
        <v>476954</v>
      </c>
      <c r="I35" s="91">
        <f>SUM(I24,I34)</f>
        <v>455965</v>
      </c>
      <c r="J35" s="91">
        <f>SUM(J24,J34)</f>
        <v>440428</v>
      </c>
      <c r="K35" s="77"/>
    </row>
    <row r="36" spans="1:11" ht="93.6">
      <c r="A36" s="77"/>
      <c r="B36" s="82" t="s">
        <v>134</v>
      </c>
      <c r="C36" s="91">
        <f>SUM(C29:C35)</f>
        <v>70081</v>
      </c>
      <c r="D36" s="91">
        <f>SUM(D29:D35)</f>
        <v>53325</v>
      </c>
      <c r="E36" s="91">
        <f>SUM(E29:E35)</f>
        <v>61500</v>
      </c>
      <c r="F36" s="77"/>
      <c r="G36" s="77"/>
      <c r="H36" s="77"/>
      <c r="I36" s="77"/>
      <c r="J36" s="77"/>
      <c r="K36" s="77"/>
    </row>
    <row r="37" spans="1:11" ht="46.9">
      <c r="A37" s="77"/>
      <c r="B37" s="82" t="s">
        <v>135</v>
      </c>
      <c r="C37" s="91">
        <f>SUM(C26,C36)</f>
        <v>115306</v>
      </c>
      <c r="D37" s="91">
        <f>SUM(D26,D36)</f>
        <v>109472</v>
      </c>
      <c r="E37" s="91">
        <f>SUM(E26,E36)</f>
        <v>108476</v>
      </c>
      <c r="F37" s="77"/>
      <c r="G37" s="77"/>
      <c r="H37" s="77"/>
      <c r="I37" s="77"/>
      <c r="J37" s="77"/>
      <c r="K37" s="77"/>
    </row>
    <row r="38" spans="1:11">
      <c r="A38" s="77"/>
      <c r="B38" s="85"/>
      <c r="C38" s="85"/>
      <c r="D38" s="85"/>
      <c r="E38" s="85"/>
      <c r="F38" s="77"/>
      <c r="G38" s="77"/>
      <c r="H38" s="77"/>
      <c r="I38" s="77"/>
      <c r="J38" s="77"/>
      <c r="K38" s="77"/>
    </row>
    <row r="39" spans="1:11" ht="31.15">
      <c r="A39" s="77"/>
      <c r="B39" s="82" t="s">
        <v>136</v>
      </c>
      <c r="C39" s="91">
        <f>SUM(C37,C21)</f>
        <v>476954</v>
      </c>
      <c r="D39" s="91">
        <f>SUM(D37,D21)</f>
        <v>455965</v>
      </c>
      <c r="E39" s="91">
        <f>SUM(E37,E21)</f>
        <v>440428</v>
      </c>
      <c r="F39" s="77"/>
      <c r="G39" s="77"/>
      <c r="H39" s="77"/>
      <c r="I39" s="77"/>
      <c r="J39" s="77"/>
      <c r="K39" s="77"/>
    </row>
    <row r="40" spans="1:1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1:1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</row>
  </sheetData>
  <mergeCells count="7">
    <mergeCell ref="B11:G11"/>
    <mergeCell ref="B3:G3"/>
    <mergeCell ref="B4:G4"/>
    <mergeCell ref="P4:U4"/>
    <mergeCell ref="B6:F6"/>
    <mergeCell ref="B7:G7"/>
    <mergeCell ref="B10:F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B40B-F0DA-4F42-98E2-D161B2DDB7AD}">
  <dimension ref="B1:X57"/>
  <sheetViews>
    <sheetView topLeftCell="D14" zoomScale="70" zoomScaleNormal="70" workbookViewId="0">
      <selection activeCell="Q10" sqref="Q10"/>
    </sheetView>
  </sheetViews>
  <sheetFormatPr defaultRowHeight="14.45"/>
  <cols>
    <col min="2" max="2" width="81.85546875" customWidth="1"/>
    <col min="3" max="3" width="17.7109375" customWidth="1"/>
    <col min="4" max="4" width="18.28515625" customWidth="1"/>
    <col min="5" max="5" width="17.42578125" customWidth="1"/>
    <col min="8" max="8" width="13.85546875" customWidth="1"/>
    <col min="9" max="9" width="16.85546875" customWidth="1"/>
    <col min="10" max="10" width="22.140625" customWidth="1"/>
    <col min="11" max="11" width="18.7109375" customWidth="1"/>
    <col min="12" max="12" width="41.28515625" customWidth="1"/>
    <col min="13" max="13" width="13.5703125" customWidth="1"/>
    <col min="14" max="14" width="13.28515625" customWidth="1"/>
    <col min="15" max="15" width="13.5703125" customWidth="1"/>
    <col min="18" max="18" width="15.42578125" customWidth="1"/>
    <col min="19" max="19" width="14.28515625" customWidth="1"/>
    <col min="20" max="20" width="8.85546875" hidden="1" customWidth="1"/>
    <col min="21" max="21" width="35.7109375" customWidth="1"/>
  </cols>
  <sheetData>
    <row r="1" spans="2:24" ht="15" thickBot="1"/>
    <row r="2" spans="2:24" ht="47.45" customHeight="1">
      <c r="B2" s="18" t="s">
        <v>92</v>
      </c>
      <c r="C2" s="19" t="s">
        <v>99</v>
      </c>
      <c r="D2" s="19" t="s">
        <v>137</v>
      </c>
      <c r="E2" s="19" t="s">
        <v>97</v>
      </c>
      <c r="I2" s="279" t="s">
        <v>138</v>
      </c>
      <c r="J2" s="280"/>
      <c r="K2" s="281"/>
      <c r="M2" s="279" t="s">
        <v>139</v>
      </c>
      <c r="N2" s="280"/>
      <c r="O2" s="281"/>
      <c r="R2" s="279" t="s">
        <v>140</v>
      </c>
      <c r="S2" s="280"/>
      <c r="T2" s="281"/>
      <c r="V2" s="282"/>
      <c r="W2" s="282"/>
      <c r="X2" s="282"/>
    </row>
    <row r="3" spans="2:24" ht="16.149999999999999" customHeight="1">
      <c r="B3" s="20" t="s">
        <v>100</v>
      </c>
      <c r="C3" s="5"/>
      <c r="D3" s="5"/>
      <c r="E3" s="5"/>
      <c r="I3" s="283" t="s">
        <v>141</v>
      </c>
      <c r="J3" s="275"/>
      <c r="K3" s="276"/>
      <c r="M3" s="283" t="s">
        <v>141</v>
      </c>
      <c r="N3" s="275"/>
      <c r="O3" s="276"/>
      <c r="R3" s="283" t="s">
        <v>141</v>
      </c>
      <c r="S3" s="275"/>
      <c r="T3" s="276"/>
      <c r="V3" s="278"/>
      <c r="W3" s="278"/>
      <c r="X3" s="278"/>
    </row>
    <row r="4" spans="2:24" ht="15.75">
      <c r="B4" s="7" t="s">
        <v>102</v>
      </c>
      <c r="C4" s="8">
        <v>167091</v>
      </c>
      <c r="D4" s="8">
        <v>167091</v>
      </c>
      <c r="E4" s="21">
        <v>167091</v>
      </c>
      <c r="I4" s="195">
        <v>2020</v>
      </c>
      <c r="J4" s="192">
        <v>2021</v>
      </c>
      <c r="K4" s="94">
        <v>2022</v>
      </c>
      <c r="M4" s="194">
        <v>2020</v>
      </c>
      <c r="N4" s="192">
        <v>2021</v>
      </c>
      <c r="O4" s="94">
        <v>2022</v>
      </c>
      <c r="R4" s="194">
        <v>2021</v>
      </c>
      <c r="S4" s="192">
        <v>2022</v>
      </c>
      <c r="T4" s="95"/>
      <c r="W4" s="96"/>
      <c r="X4" s="96"/>
    </row>
    <row r="5" spans="2:24" ht="15.75">
      <c r="B5" s="9" t="s">
        <v>104</v>
      </c>
      <c r="C5" s="8">
        <v>62543</v>
      </c>
      <c r="D5" s="8">
        <v>62543</v>
      </c>
      <c r="E5" s="8">
        <v>62543</v>
      </c>
      <c r="I5" s="196">
        <f>C4/$C$7</f>
        <v>0.50335891936183541</v>
      </c>
      <c r="J5" s="100">
        <f>D4/$D$7</f>
        <v>0.48223485034329699</v>
      </c>
      <c r="K5" s="97">
        <f>E4/$E$7</f>
        <v>0.46202661151174623</v>
      </c>
      <c r="L5" s="200" t="s">
        <v>102</v>
      </c>
      <c r="M5" s="193">
        <f>C4/$C$25</f>
        <v>0.37938323630650184</v>
      </c>
      <c r="N5" s="97">
        <f>D4/$D$25</f>
        <v>0.36645575866568708</v>
      </c>
      <c r="O5" s="100">
        <f>E4/$E$25</f>
        <v>0.35032938186911106</v>
      </c>
      <c r="R5" s="193">
        <f>(D4-C4)/C4</f>
        <v>0</v>
      </c>
      <c r="S5" s="97">
        <f>(E4-D4)/D4</f>
        <v>0</v>
      </c>
      <c r="T5" s="101"/>
      <c r="U5" s="102" t="s">
        <v>102</v>
      </c>
      <c r="W5" s="103"/>
      <c r="X5" s="103"/>
    </row>
    <row r="6" spans="2:24" ht="30.75">
      <c r="B6" s="9" t="s">
        <v>106</v>
      </c>
      <c r="C6" s="10">
        <v>102318</v>
      </c>
      <c r="D6" s="10">
        <v>116859</v>
      </c>
      <c r="E6" s="8">
        <v>132014</v>
      </c>
      <c r="I6" s="196">
        <f>C5/$C$7</f>
        <v>0.18840977008724152</v>
      </c>
      <c r="J6" s="100">
        <f t="shared" ref="J6:J8" si="0">D5/$D$7</f>
        <v>0.18050292502301635</v>
      </c>
      <c r="K6" s="101">
        <f>E5/$E$7</f>
        <v>0.1729388797947175</v>
      </c>
      <c r="L6" s="199" t="s">
        <v>104</v>
      </c>
      <c r="M6" s="100">
        <f>C5/$C$25</f>
        <v>0.14200504963353827</v>
      </c>
      <c r="N6" s="97">
        <f t="shared" ref="N6:N8" si="1">D5/$D$25</f>
        <v>0.13716622986413432</v>
      </c>
      <c r="O6" s="100">
        <f>E5/$E$25</f>
        <v>0.13113004608410875</v>
      </c>
      <c r="R6" s="97">
        <f>(D5-C5)/C5</f>
        <v>0</v>
      </c>
      <c r="S6" s="97">
        <f>(E5-D5)/D5</f>
        <v>0</v>
      </c>
      <c r="T6" s="98"/>
      <c r="U6" s="105" t="s">
        <v>104</v>
      </c>
      <c r="W6" s="103"/>
      <c r="X6" s="103"/>
    </row>
    <row r="7" spans="2:24" ht="15.75">
      <c r="B7" s="4" t="s">
        <v>108</v>
      </c>
      <c r="C7" s="14">
        <f>SUM(C4:C6)</f>
        <v>331952</v>
      </c>
      <c r="D7" s="14">
        <f>SUM(D4:D6)</f>
        <v>346493</v>
      </c>
      <c r="E7" s="14">
        <f>SUM(E4:E6)</f>
        <v>361648</v>
      </c>
      <c r="I7" s="196">
        <f>C6/$C$7</f>
        <v>0.30823131055092301</v>
      </c>
      <c r="J7" s="100">
        <f t="shared" si="0"/>
        <v>0.33726222463368666</v>
      </c>
      <c r="K7" s="97">
        <f>E6/$E$7</f>
        <v>0.36503450869353626</v>
      </c>
      <c r="L7" s="201" t="s">
        <v>106</v>
      </c>
      <c r="M7" s="107">
        <f>C6/$C$25</f>
        <v>0.23231493002261436</v>
      </c>
      <c r="N7" s="107">
        <f t="shared" si="1"/>
        <v>0.25628940817825929</v>
      </c>
      <c r="O7" s="106">
        <f>E6/$E$25</f>
        <v>0.27678560196580804</v>
      </c>
      <c r="R7" s="97">
        <f>(D6-C6)/C6</f>
        <v>0.14211575675834165</v>
      </c>
      <c r="S7" s="97">
        <f>(E6-D6)/D6</f>
        <v>0.12968620303100317</v>
      </c>
      <c r="T7" s="98"/>
      <c r="U7" s="105" t="s">
        <v>106</v>
      </c>
      <c r="W7" s="103"/>
      <c r="X7" s="103"/>
    </row>
    <row r="8" spans="2:24" ht="18.75">
      <c r="B8" s="22"/>
      <c r="C8" s="6"/>
      <c r="D8" s="6"/>
      <c r="E8" s="6"/>
      <c r="I8" s="197">
        <f>C7/$C$7</f>
        <v>1</v>
      </c>
      <c r="J8" s="198">
        <f t="shared" si="0"/>
        <v>1</v>
      </c>
      <c r="K8" s="108">
        <f>E7/$E$7</f>
        <v>1</v>
      </c>
      <c r="L8" s="110" t="s">
        <v>108</v>
      </c>
      <c r="M8" s="112">
        <f>C7/$C$25</f>
        <v>0.75370321596265455</v>
      </c>
      <c r="N8" s="112">
        <f t="shared" si="1"/>
        <v>0.75991139670808061</v>
      </c>
      <c r="O8" s="111">
        <f>E7/$E$25</f>
        <v>0.75824502991902787</v>
      </c>
      <c r="R8" s="112">
        <f>(D7-C7)/C7</f>
        <v>4.3804525955559837E-2</v>
      </c>
      <c r="S8" s="112">
        <f>(E7-D7)/D7</f>
        <v>4.3738257338532094E-2</v>
      </c>
      <c r="T8" s="109"/>
      <c r="U8" s="113" t="s">
        <v>108</v>
      </c>
      <c r="W8" s="103"/>
      <c r="X8" s="103"/>
    </row>
    <row r="9" spans="2:24" ht="16.149999999999999" customHeight="1">
      <c r="B9" s="4" t="s">
        <v>111</v>
      </c>
      <c r="C9" s="6"/>
      <c r="D9" s="6"/>
      <c r="E9" s="5"/>
      <c r="I9" s="274" t="s">
        <v>142</v>
      </c>
      <c r="J9" s="275"/>
      <c r="K9" s="275"/>
      <c r="L9" s="202"/>
      <c r="M9" s="275" t="s">
        <v>142</v>
      </c>
      <c r="N9" s="275"/>
      <c r="O9" s="276"/>
      <c r="R9" s="277" t="s">
        <v>142</v>
      </c>
      <c r="S9" s="275"/>
      <c r="T9" s="275"/>
      <c r="U9" s="17"/>
      <c r="V9" s="278"/>
      <c r="W9" s="278"/>
      <c r="X9" s="278"/>
    </row>
    <row r="10" spans="2:24" ht="15.75">
      <c r="B10" s="9" t="s">
        <v>113</v>
      </c>
      <c r="C10" s="10">
        <v>43727</v>
      </c>
      <c r="D10" s="10">
        <v>53599</v>
      </c>
      <c r="E10" s="8">
        <v>43265</v>
      </c>
      <c r="I10" s="115">
        <f>C10/$C$12</f>
        <v>0.93083702316076289</v>
      </c>
      <c r="J10" s="114">
        <f>D10/$D$12</f>
        <v>0.95461912479740685</v>
      </c>
      <c r="K10" s="115">
        <f>E10/$E$12</f>
        <v>0.95666113875069103</v>
      </c>
      <c r="L10" s="199" t="s">
        <v>113</v>
      </c>
      <c r="M10" s="116">
        <f>C10/$C$25</f>
        <v>9.9282970201712881E-2</v>
      </c>
      <c r="N10" s="114">
        <f>D10/$D$25</f>
        <v>0.11755068919763578</v>
      </c>
      <c r="O10" s="116">
        <f>E10/$E$25</f>
        <v>9.0711053896182864E-2</v>
      </c>
      <c r="R10" s="114">
        <f>(D10-C10)/C10</f>
        <v>0.22576440185697624</v>
      </c>
      <c r="S10" s="114">
        <f>(E10-D10)/D10</f>
        <v>-0.19280210451687532</v>
      </c>
      <c r="T10" s="115"/>
      <c r="U10" s="105" t="s">
        <v>113</v>
      </c>
      <c r="W10" s="117"/>
      <c r="X10" s="117"/>
    </row>
    <row r="11" spans="2:24" ht="15.75">
      <c r="B11" s="9" t="s">
        <v>115</v>
      </c>
      <c r="C11" s="10">
        <v>3249</v>
      </c>
      <c r="D11" s="10">
        <v>2548</v>
      </c>
      <c r="E11" s="8">
        <v>1960</v>
      </c>
      <c r="I11" s="115">
        <f>C11/$C$12</f>
        <v>6.9162976839237056E-2</v>
      </c>
      <c r="J11" s="114">
        <f t="shared" ref="J11:J12" si="2">D11/$D$12</f>
        <v>4.5380875202593193E-2</v>
      </c>
      <c r="K11" s="114">
        <f>E11/$E$12</f>
        <v>4.333886124930901E-2</v>
      </c>
      <c r="L11" s="201" t="s">
        <v>115</v>
      </c>
      <c r="M11" s="114">
        <f>C11/$C$25</f>
        <v>7.3769151825042916E-3</v>
      </c>
      <c r="N11" s="114">
        <f t="shared" ref="N11:N12" si="3">D11/$D$25</f>
        <v>5.5881482131303938E-3</v>
      </c>
      <c r="O11" s="116">
        <f>E11/$E$25</f>
        <v>4.1094109704499808E-3</v>
      </c>
      <c r="R11" s="114">
        <f>(D11-C11)/C11</f>
        <v>-0.21575869498307171</v>
      </c>
      <c r="S11" s="114">
        <f>(E11-D11)/D11</f>
        <v>-0.23076923076923078</v>
      </c>
      <c r="T11" s="115"/>
      <c r="U11" s="105" t="s">
        <v>115</v>
      </c>
      <c r="W11" s="117"/>
      <c r="X11" s="117"/>
    </row>
    <row r="12" spans="2:24" ht="30.75">
      <c r="B12" s="4" t="s">
        <v>117</v>
      </c>
      <c r="C12" s="14">
        <f>SUM(C10:C11)</f>
        <v>46976</v>
      </c>
      <c r="D12" s="14">
        <f>SUM(D10:D11)</f>
        <v>56147</v>
      </c>
      <c r="E12" s="14">
        <f>SUM(E10:E11)</f>
        <v>45225</v>
      </c>
      <c r="I12" s="119">
        <f>C12/$C$12</f>
        <v>1</v>
      </c>
      <c r="J12" s="118">
        <f t="shared" si="2"/>
        <v>1</v>
      </c>
      <c r="K12" s="118">
        <f>E12/$E$12</f>
        <v>1</v>
      </c>
      <c r="L12" s="110" t="s">
        <v>117</v>
      </c>
      <c r="M12" s="121">
        <f>C12/$C$25</f>
        <v>0.10665988538421717</v>
      </c>
      <c r="N12" s="121">
        <f t="shared" si="3"/>
        <v>0.12313883741076617</v>
      </c>
      <c r="O12" s="120">
        <f>E12/$E$25</f>
        <v>9.4820464866632842E-2</v>
      </c>
      <c r="R12" s="121">
        <f>(D12-C12)/C12</f>
        <v>0.19522735013623979</v>
      </c>
      <c r="S12" s="121">
        <f>(E12-D12)/D12</f>
        <v>-0.19452508593513457</v>
      </c>
      <c r="T12" s="119"/>
      <c r="U12" s="113" t="s">
        <v>117</v>
      </c>
      <c r="W12" s="117"/>
      <c r="X12" s="117"/>
    </row>
    <row r="13" spans="2:24" ht="15">
      <c r="B13" s="22"/>
      <c r="C13" s="6"/>
      <c r="D13" s="6"/>
      <c r="E13" s="6"/>
      <c r="I13" s="122"/>
      <c r="J13" s="6"/>
      <c r="K13" s="123"/>
      <c r="M13" s="122"/>
      <c r="N13" s="6"/>
      <c r="O13" s="123"/>
      <c r="R13" s="122"/>
      <c r="S13" s="6"/>
      <c r="T13" s="124"/>
      <c r="U13" s="17"/>
      <c r="V13" s="125"/>
      <c r="W13" s="125"/>
      <c r="X13" s="125"/>
    </row>
    <row r="14" spans="2:24" ht="31.9" customHeight="1">
      <c r="B14" s="4" t="s">
        <v>120</v>
      </c>
      <c r="C14" s="5"/>
      <c r="D14" s="5"/>
      <c r="E14" s="5"/>
      <c r="I14" s="277" t="s">
        <v>143</v>
      </c>
      <c r="J14" s="275"/>
      <c r="K14" s="276"/>
      <c r="M14" s="277" t="s">
        <v>143</v>
      </c>
      <c r="N14" s="275"/>
      <c r="O14" s="276"/>
      <c r="R14" s="277" t="s">
        <v>143</v>
      </c>
      <c r="S14" s="275"/>
      <c r="T14" s="275"/>
      <c r="U14" s="17"/>
      <c r="V14" s="278"/>
      <c r="W14" s="278"/>
      <c r="X14" s="278"/>
    </row>
    <row r="15" spans="2:24" ht="15.75">
      <c r="B15" s="9" t="s">
        <v>113</v>
      </c>
      <c r="C15" s="10">
        <v>8415</v>
      </c>
      <c r="D15" s="10">
        <v>10746</v>
      </c>
      <c r="E15" s="8">
        <v>8487</v>
      </c>
      <c r="I15" s="114">
        <f t="shared" ref="I15:I22" si="4">C15/$C$22</f>
        <v>0.13682926829268294</v>
      </c>
      <c r="J15" s="114">
        <f>D15/$D$22</f>
        <v>0.20151898734177215</v>
      </c>
      <c r="K15" s="115">
        <f t="shared" ref="K15:K22" si="5">E15/$E$22</f>
        <v>0.12110272399081064</v>
      </c>
      <c r="L15" s="199" t="s">
        <v>113</v>
      </c>
      <c r="M15" s="116">
        <f t="shared" ref="M15:M22" si="6">C15/C$25</f>
        <v>1.9106414669367071E-2</v>
      </c>
      <c r="N15" s="114">
        <f t="shared" ref="N15:N22" si="7">D15/D$25</f>
        <v>2.3567598390227321E-2</v>
      </c>
      <c r="O15" s="114">
        <f t="shared" ref="O15:O22" si="8">E15/E$25</f>
        <v>1.7794168829698462E-2</v>
      </c>
      <c r="R15" s="114">
        <f>(D15-C15)/C15</f>
        <v>0.27700534759358286</v>
      </c>
      <c r="S15" s="114">
        <f>(E15-D15)/D15</f>
        <v>-0.2102177554438861</v>
      </c>
      <c r="T15" s="115"/>
      <c r="U15" s="105" t="s">
        <v>113</v>
      </c>
      <c r="W15" s="117"/>
      <c r="X15" s="117"/>
    </row>
    <row r="16" spans="2:24" ht="15.75">
      <c r="B16" s="9" t="s">
        <v>123</v>
      </c>
      <c r="C16" s="10">
        <v>6474</v>
      </c>
      <c r="D16" s="10">
        <v>5724</v>
      </c>
      <c r="E16" s="8">
        <v>7399</v>
      </c>
      <c r="I16" s="114">
        <f t="shared" si="4"/>
        <v>0.10526829268292683</v>
      </c>
      <c r="J16" s="114">
        <f t="shared" ref="J16:J22" si="9">D16/$D$22</f>
        <v>0.10734177215189873</v>
      </c>
      <c r="K16" s="114">
        <f t="shared" si="5"/>
        <v>0.10557783136656156</v>
      </c>
      <c r="L16" s="16" t="s">
        <v>123</v>
      </c>
      <c r="M16" s="114">
        <f t="shared" si="6"/>
        <v>1.4699337916753704E-2</v>
      </c>
      <c r="N16" s="114">
        <f t="shared" si="7"/>
        <v>1.2553595122432643E-2</v>
      </c>
      <c r="O16" s="114">
        <f t="shared" si="8"/>
        <v>1.5513026413448676E-2</v>
      </c>
      <c r="R16" s="114">
        <f>(D16-C16)/C16</f>
        <v>-0.11584800741427248</v>
      </c>
      <c r="S16" s="114">
        <f>(E16-D16)/D16</f>
        <v>0.29262753319357093</v>
      </c>
      <c r="T16" s="115"/>
      <c r="U16" s="105" t="s">
        <v>123</v>
      </c>
      <c r="W16" s="117"/>
      <c r="X16" s="117"/>
    </row>
    <row r="17" spans="2:24" ht="30.75">
      <c r="B17" s="9" t="s">
        <v>125</v>
      </c>
      <c r="C17" s="10">
        <v>14257</v>
      </c>
      <c r="D17" s="10">
        <v>15368</v>
      </c>
      <c r="E17" s="8">
        <v>16800</v>
      </c>
      <c r="I17" s="114">
        <f t="shared" si="4"/>
        <v>0.23182113821138212</v>
      </c>
      <c r="J17" s="114">
        <f t="shared" si="9"/>
        <v>0.28819503047351147</v>
      </c>
      <c r="K17" s="114">
        <f t="shared" si="5"/>
        <v>0.23972260669796377</v>
      </c>
      <c r="L17" s="9" t="s">
        <v>125</v>
      </c>
      <c r="M17" s="114">
        <f t="shared" si="6"/>
        <v>3.2370784782075619E-2</v>
      </c>
      <c r="N17" s="114">
        <f t="shared" si="7"/>
        <v>3.3704341341988971E-2</v>
      </c>
      <c r="O17" s="114">
        <f t="shared" si="8"/>
        <v>3.5223522603856978E-2</v>
      </c>
      <c r="R17" s="114">
        <f>(D17-C17)/C17</f>
        <v>7.7926632531388096E-2</v>
      </c>
      <c r="S17" s="114">
        <f>(E17-D17)/D17</f>
        <v>9.3180635085892763E-2</v>
      </c>
      <c r="T17" s="115"/>
      <c r="U17" s="105" t="s">
        <v>125</v>
      </c>
      <c r="W17" s="117"/>
      <c r="X17" s="117"/>
    </row>
    <row r="18" spans="2:24" ht="30.75">
      <c r="B18" s="9" t="s">
        <v>127</v>
      </c>
      <c r="C18" s="10">
        <v>3412</v>
      </c>
      <c r="D18" s="10">
        <v>696</v>
      </c>
      <c r="E18" s="8">
        <v>4407</v>
      </c>
      <c r="I18" s="114">
        <f t="shared" si="4"/>
        <v>5.5479674796747966E-2</v>
      </c>
      <c r="J18" s="114">
        <f t="shared" si="9"/>
        <v>1.3052039381153305E-2</v>
      </c>
      <c r="K18" s="114">
        <f t="shared" si="5"/>
        <v>6.2884376649876575E-2</v>
      </c>
      <c r="L18" s="9" t="s">
        <v>127</v>
      </c>
      <c r="M18" s="114">
        <f t="shared" si="6"/>
        <v>7.7470097269020134E-3</v>
      </c>
      <c r="N18" s="114">
        <f t="shared" si="7"/>
        <v>1.5264329498974702E-3</v>
      </c>
      <c r="O18" s="114">
        <f t="shared" si="8"/>
        <v>9.2398847687617681E-3</v>
      </c>
      <c r="R18" s="114">
        <f>(D18-C18)/C18</f>
        <v>-0.79601406799531071</v>
      </c>
      <c r="S18" s="114">
        <f>(E18-D18)/D18</f>
        <v>5.3318965517241379</v>
      </c>
      <c r="T18" s="115"/>
      <c r="U18" s="105" t="s">
        <v>127</v>
      </c>
      <c r="W18" s="117"/>
      <c r="X18" s="117"/>
    </row>
    <row r="19" spans="2:24" ht="15.75">
      <c r="B19" s="9" t="s">
        <v>115</v>
      </c>
      <c r="C19" s="10">
        <v>418</v>
      </c>
      <c r="D19" s="10">
        <v>59</v>
      </c>
      <c r="E19" s="8">
        <v>84</v>
      </c>
      <c r="I19" s="114">
        <f t="shared" si="4"/>
        <v>6.7967479674796751E-3</v>
      </c>
      <c r="J19" s="114">
        <f t="shared" si="9"/>
        <v>1.1064228785747773E-3</v>
      </c>
      <c r="K19" s="114">
        <f t="shared" si="5"/>
        <v>1.1986130334898188E-3</v>
      </c>
      <c r="L19" s="9" t="s">
        <v>115</v>
      </c>
      <c r="M19" s="114">
        <f t="shared" si="6"/>
        <v>9.4907680710581521E-4</v>
      </c>
      <c r="N19" s="114">
        <f t="shared" si="7"/>
        <v>1.2939589661487176E-4</v>
      </c>
      <c r="O19" s="114">
        <f t="shared" si="8"/>
        <v>1.7611761301928488E-4</v>
      </c>
      <c r="R19" s="114">
        <f>(D19-C19)/C19</f>
        <v>-0.85885167464114831</v>
      </c>
      <c r="S19" s="114">
        <f>(E19-D19)/D19</f>
        <v>0.42372881355932202</v>
      </c>
      <c r="T19" s="115"/>
      <c r="U19" s="105" t="s">
        <v>115</v>
      </c>
      <c r="W19" s="117"/>
      <c r="X19" s="117"/>
    </row>
    <row r="20" spans="2:24" ht="30.75">
      <c r="B20" s="9" t="s">
        <v>130</v>
      </c>
      <c r="C20" s="10">
        <v>14811</v>
      </c>
      <c r="D20" s="10">
        <v>12740</v>
      </c>
      <c r="E20" s="8">
        <v>18598</v>
      </c>
      <c r="I20" s="114">
        <f t="shared" si="4"/>
        <v>0.24082926829268292</v>
      </c>
      <c r="J20" s="114">
        <f t="shared" si="9"/>
        <v>0.23891233005157056</v>
      </c>
      <c r="K20" s="114">
        <f t="shared" si="5"/>
        <v>0.26537863329575778</v>
      </c>
      <c r="L20" s="9" t="s">
        <v>130</v>
      </c>
      <c r="M20" s="114">
        <f t="shared" si="6"/>
        <v>3.3628652129292419E-2</v>
      </c>
      <c r="N20" s="114">
        <f t="shared" si="7"/>
        <v>2.7940741065651968E-2</v>
      </c>
      <c r="O20" s="114">
        <f t="shared" si="8"/>
        <v>3.8993278177769763E-2</v>
      </c>
      <c r="R20" s="114">
        <f>(D20-C20)/C20</f>
        <v>-0.13982850584025386</v>
      </c>
      <c r="S20" s="114">
        <f>(E20-D20)/D20</f>
        <v>0.45981161695447409</v>
      </c>
      <c r="T20" s="115"/>
      <c r="U20" s="105" t="s">
        <v>130</v>
      </c>
      <c r="W20" s="117"/>
      <c r="X20" s="117"/>
    </row>
    <row r="21" spans="2:24" ht="15.75">
      <c r="B21" s="9" t="s">
        <v>132</v>
      </c>
      <c r="C21" s="10">
        <v>13713</v>
      </c>
      <c r="D21" s="10">
        <v>7992</v>
      </c>
      <c r="E21" s="8">
        <v>14306</v>
      </c>
      <c r="I21" s="114">
        <f t="shared" si="4"/>
        <v>0.22297560975609756</v>
      </c>
      <c r="J21" s="114">
        <f t="shared" si="9"/>
        <v>0.14987341772151899</v>
      </c>
      <c r="K21" s="114">
        <f t="shared" si="5"/>
        <v>0.20413521496553988</v>
      </c>
      <c r="L21" s="9" t="s">
        <v>132</v>
      </c>
      <c r="M21" s="114">
        <f t="shared" si="6"/>
        <v>3.1135622621631685E-2</v>
      </c>
      <c r="N21" s="114">
        <f t="shared" si="7"/>
        <v>1.7527661114339916E-2</v>
      </c>
      <c r="O21" s="114">
        <f t="shared" si="8"/>
        <v>2.9994506807784399E-2</v>
      </c>
      <c r="R21" s="114">
        <f>(D21-C21)/C21</f>
        <v>-0.41719536206519359</v>
      </c>
      <c r="S21" s="114">
        <f>(E21-D21)/D21</f>
        <v>0.79004004004004003</v>
      </c>
      <c r="T21" s="115"/>
      <c r="U21" s="105" t="s">
        <v>132</v>
      </c>
      <c r="W21" s="117"/>
      <c r="X21" s="117"/>
    </row>
    <row r="22" spans="2:24" ht="30.75">
      <c r="B22" s="4" t="s">
        <v>134</v>
      </c>
      <c r="C22" s="14">
        <f>SUM(C15:C21)</f>
        <v>61500</v>
      </c>
      <c r="D22" s="14">
        <f>SUM(D15:D21)</f>
        <v>53325</v>
      </c>
      <c r="E22" s="14">
        <f>SUM(E15:E21)</f>
        <v>70081</v>
      </c>
      <c r="I22" s="118">
        <f t="shared" si="4"/>
        <v>1</v>
      </c>
      <c r="J22" s="118">
        <f t="shared" si="9"/>
        <v>1</v>
      </c>
      <c r="K22" s="118">
        <f t="shared" si="5"/>
        <v>1</v>
      </c>
      <c r="L22" s="126" t="s">
        <v>134</v>
      </c>
      <c r="M22" s="121">
        <f t="shared" si="6"/>
        <v>0.13963689865312831</v>
      </c>
      <c r="N22" s="121">
        <f t="shared" si="7"/>
        <v>0.11694976588115316</v>
      </c>
      <c r="O22" s="121">
        <f t="shared" si="8"/>
        <v>0.14693450521433932</v>
      </c>
      <c r="R22" s="121">
        <f>(D22-C22)/C22</f>
        <v>-0.13292682926829269</v>
      </c>
      <c r="S22" s="121">
        <f>(E22-D22)/D22</f>
        <v>0.31422409751523678</v>
      </c>
      <c r="T22" s="119"/>
      <c r="U22" s="113" t="s">
        <v>134</v>
      </c>
      <c r="W22" s="117"/>
      <c r="X22" s="117"/>
    </row>
    <row r="23" spans="2:24" ht="15.75">
      <c r="B23" s="4" t="s">
        <v>135</v>
      </c>
      <c r="C23" s="14">
        <f>SUM(C12,C22)</f>
        <v>108476</v>
      </c>
      <c r="D23" s="14">
        <f>SUM(D12,D22)</f>
        <v>109472</v>
      </c>
      <c r="E23" s="14">
        <f>SUM(E12,E22)</f>
        <v>115306</v>
      </c>
      <c r="I23" s="127"/>
      <c r="J23" s="14"/>
      <c r="K23" s="128"/>
      <c r="M23" s="127"/>
      <c r="N23" s="14"/>
      <c r="O23" s="128"/>
      <c r="R23" s="127"/>
      <c r="S23" s="14"/>
      <c r="T23" s="128"/>
      <c r="V23" s="129"/>
      <c r="W23" s="129"/>
      <c r="X23" s="129"/>
    </row>
    <row r="24" spans="2:24" ht="15" thickBot="1">
      <c r="B24" s="22"/>
      <c r="C24" s="6"/>
      <c r="D24" s="6"/>
      <c r="E24" s="6"/>
      <c r="I24" s="122"/>
      <c r="J24" s="6"/>
      <c r="K24" s="123"/>
      <c r="M24" s="122"/>
      <c r="N24" s="6"/>
      <c r="O24" s="123"/>
      <c r="R24" s="122"/>
      <c r="S24" s="6"/>
      <c r="T24" s="123"/>
      <c r="V24" s="125"/>
      <c r="W24" s="125"/>
      <c r="X24" s="125"/>
    </row>
    <row r="25" spans="2:24" ht="16.149999999999999" thickBot="1">
      <c r="B25" s="4" t="s">
        <v>136</v>
      </c>
      <c r="C25" s="14">
        <f>SUM(C23,C7)</f>
        <v>440428</v>
      </c>
      <c r="D25" s="14">
        <f>SUM(D23,D7)</f>
        <v>455965</v>
      </c>
      <c r="E25" s="14">
        <f>SUM(E23,E7)</f>
        <v>476954</v>
      </c>
      <c r="I25" s="130"/>
      <c r="J25" s="131"/>
      <c r="K25" s="132"/>
      <c r="M25" s="130"/>
      <c r="N25" s="131"/>
      <c r="O25" s="132"/>
      <c r="R25" s="130"/>
      <c r="S25" s="131"/>
      <c r="T25" s="132"/>
      <c r="V25" s="129"/>
      <c r="W25" s="129"/>
      <c r="X25" s="129"/>
    </row>
    <row r="28" spans="2:24">
      <c r="B28" s="273" t="s">
        <v>144</v>
      </c>
      <c r="C28" s="37"/>
      <c r="D28" s="37"/>
      <c r="E28" s="37"/>
    </row>
    <row r="29" spans="2:24">
      <c r="B29" s="273"/>
      <c r="C29" s="37">
        <v>2020</v>
      </c>
      <c r="D29" s="37">
        <v>2021</v>
      </c>
      <c r="E29" s="37">
        <v>2022</v>
      </c>
    </row>
    <row r="30" spans="2:24">
      <c r="B30" s="35" t="s">
        <v>145</v>
      </c>
      <c r="C30" s="38">
        <f>C7/C25</f>
        <v>0.75370321596265455</v>
      </c>
      <c r="D30" s="38">
        <f>D7/D25</f>
        <v>0.75991139670808061</v>
      </c>
      <c r="E30" s="38">
        <f>E7/E25</f>
        <v>0.75824502991902787</v>
      </c>
    </row>
    <row r="31" spans="2:24">
      <c r="B31" s="273" t="s">
        <v>146</v>
      </c>
      <c r="C31" s="37"/>
      <c r="D31" s="37"/>
      <c r="E31" s="37"/>
    </row>
    <row r="32" spans="2:24">
      <c r="B32" s="273"/>
      <c r="C32" s="39">
        <v>2020</v>
      </c>
      <c r="D32" s="39">
        <v>2021</v>
      </c>
      <c r="E32" s="39">
        <v>2022</v>
      </c>
    </row>
    <row r="33" spans="2:5">
      <c r="B33" s="35" t="s">
        <v>147</v>
      </c>
      <c r="C33" s="38">
        <f>(C12+C22)/C25</f>
        <v>0.24629678403734548</v>
      </c>
      <c r="D33" s="38">
        <f>(D12+D22)/D25</f>
        <v>0.24008860329191933</v>
      </c>
      <c r="E33" s="38">
        <f>(E12+E22)/E25</f>
        <v>0.24175497008097216</v>
      </c>
    </row>
    <row r="34" spans="2:5" ht="43.15">
      <c r="B34" s="133" t="s">
        <v>148</v>
      </c>
      <c r="C34" s="37">
        <v>2020</v>
      </c>
      <c r="D34" s="37">
        <v>2021</v>
      </c>
      <c r="E34" s="37">
        <v>2022</v>
      </c>
    </row>
    <row r="35" spans="2:5">
      <c r="B35" s="134" t="s">
        <v>149</v>
      </c>
      <c r="C35" s="135">
        <f>C23/C25</f>
        <v>0.24629678403734548</v>
      </c>
      <c r="D35" s="135">
        <f t="shared" ref="D35" si="10">D23/D25</f>
        <v>0.24008860329191933</v>
      </c>
      <c r="E35" s="135">
        <f>E23/E25</f>
        <v>0.24175497008097216</v>
      </c>
    </row>
    <row r="36" spans="2:5" ht="45.75">
      <c r="B36" s="191" t="s">
        <v>150</v>
      </c>
      <c r="C36" s="37">
        <v>2020</v>
      </c>
      <c r="D36" s="37">
        <v>2021</v>
      </c>
      <c r="E36" s="37">
        <v>2022</v>
      </c>
    </row>
    <row r="37" spans="2:5">
      <c r="B37" s="31"/>
      <c r="C37" s="136">
        <f>C12/C25</f>
        <v>0.10665988538421717</v>
      </c>
      <c r="D37" s="136">
        <f t="shared" ref="D37" si="11">D12/D25</f>
        <v>0.12313883741076617</v>
      </c>
      <c r="E37" s="136">
        <f>E12/E25</f>
        <v>9.4820464866632842E-2</v>
      </c>
    </row>
    <row r="38" spans="2:5" ht="15">
      <c r="B38" s="37" t="s">
        <v>151</v>
      </c>
      <c r="C38" s="37">
        <v>2020</v>
      </c>
      <c r="D38" s="37">
        <v>2021</v>
      </c>
      <c r="E38" s="37">
        <v>2022</v>
      </c>
    </row>
    <row r="39" spans="2:5">
      <c r="B39" s="31"/>
      <c r="C39" s="23">
        <f>C22/C25</f>
        <v>0.13963689865312831</v>
      </c>
      <c r="D39" s="23">
        <f t="shared" ref="D39" si="12">D22/D25</f>
        <v>0.11694976588115316</v>
      </c>
      <c r="E39" s="23">
        <f>E22/E25</f>
        <v>0.14693450521433932</v>
      </c>
    </row>
    <row r="40" spans="2:5" ht="15">
      <c r="B40" s="37" t="s">
        <v>152</v>
      </c>
      <c r="C40" s="37">
        <v>2020</v>
      </c>
      <c r="D40" s="37">
        <v>2021</v>
      </c>
      <c r="E40" s="37">
        <v>2022</v>
      </c>
    </row>
    <row r="41" spans="2:5">
      <c r="C41" s="23">
        <f>C21/C25</f>
        <v>3.1135622621631685E-2</v>
      </c>
      <c r="D41" s="23">
        <f t="shared" ref="D41" si="13">D21/D25</f>
        <v>1.7527661114339916E-2</v>
      </c>
      <c r="E41" s="23">
        <f>E21/E25</f>
        <v>2.9994506807784399E-2</v>
      </c>
    </row>
    <row r="42" spans="2:5">
      <c r="B42" s="37" t="s">
        <v>153</v>
      </c>
      <c r="C42" s="137">
        <v>2020</v>
      </c>
      <c r="D42" s="137">
        <v>2021</v>
      </c>
      <c r="E42" s="137">
        <v>2022</v>
      </c>
    </row>
    <row r="43" spans="2:5">
      <c r="C43" s="23">
        <f>(C7+C12)/C25</f>
        <v>0.86036310134687166</v>
      </c>
      <c r="D43" s="23">
        <f t="shared" ref="D43" si="14">(D7+D12)/D25</f>
        <v>0.88305023411884687</v>
      </c>
      <c r="E43" s="23">
        <f>(E7+E12)/E25</f>
        <v>0.85306549478566063</v>
      </c>
    </row>
    <row r="44" spans="2:5">
      <c r="C44" s="23"/>
      <c r="D44" s="23"/>
      <c r="E44" s="23"/>
    </row>
    <row r="47" spans="2:5">
      <c r="B47" s="32" t="s">
        <v>154</v>
      </c>
      <c r="C47">
        <f>C7/C23</f>
        <v>3.0601423356318449</v>
      </c>
      <c r="D47">
        <f t="shared" ref="D47" si="15">D7/D23</f>
        <v>3.1651289827535809</v>
      </c>
      <c r="E47">
        <f>E7/E23</f>
        <v>3.1364196138969351</v>
      </c>
    </row>
    <row r="48" spans="2:5">
      <c r="B48" s="33" t="s">
        <v>155</v>
      </c>
      <c r="C48" s="33" t="s">
        <v>156</v>
      </c>
      <c r="D48" s="33"/>
    </row>
    <row r="49" spans="3:5">
      <c r="C49" s="167" t="s">
        <v>157</v>
      </c>
      <c r="D49" s="167"/>
    </row>
    <row r="53" spans="3:5">
      <c r="C53" s="77"/>
      <c r="D53" s="77"/>
      <c r="E53" s="77"/>
    </row>
    <row r="54" spans="3:5" ht="15.6">
      <c r="C54" s="87">
        <v>167091</v>
      </c>
      <c r="D54" s="88">
        <v>167091</v>
      </c>
      <c r="E54" s="88">
        <v>167091</v>
      </c>
    </row>
    <row r="55" spans="3:5" ht="15.6">
      <c r="C55" s="88">
        <v>62543</v>
      </c>
      <c r="D55" s="88">
        <v>62543</v>
      </c>
      <c r="E55" s="88">
        <v>62543</v>
      </c>
    </row>
    <row r="56" spans="3:5" ht="15.6">
      <c r="C56" s="88">
        <v>132014</v>
      </c>
      <c r="D56" s="90">
        <v>116859</v>
      </c>
      <c r="E56" s="90">
        <v>102318</v>
      </c>
    </row>
    <row r="57" spans="3:5">
      <c r="C57" s="77"/>
      <c r="D57" s="77"/>
      <c r="E57" s="77"/>
    </row>
  </sheetData>
  <mergeCells count="18">
    <mergeCell ref="I2:K2"/>
    <mergeCell ref="M2:O2"/>
    <mergeCell ref="R2:T2"/>
    <mergeCell ref="V2:X2"/>
    <mergeCell ref="I3:K3"/>
    <mergeCell ref="M3:O3"/>
    <mergeCell ref="R3:T3"/>
    <mergeCell ref="V3:X3"/>
    <mergeCell ref="V9:X9"/>
    <mergeCell ref="I14:K14"/>
    <mergeCell ref="M14:O14"/>
    <mergeCell ref="R14:T14"/>
    <mergeCell ref="V14:X14"/>
    <mergeCell ref="B28:B29"/>
    <mergeCell ref="B31:B32"/>
    <mergeCell ref="I9:K9"/>
    <mergeCell ref="M9:O9"/>
    <mergeCell ref="R9:T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C6E9C-A110-4539-93C4-4692CA56056C}">
  <dimension ref="B1:R83"/>
  <sheetViews>
    <sheetView topLeftCell="D6" zoomScale="70" zoomScaleNormal="70" workbookViewId="0">
      <selection activeCell="I20" sqref="I20"/>
    </sheetView>
  </sheetViews>
  <sheetFormatPr defaultRowHeight="14.45"/>
  <cols>
    <col min="2" max="2" width="68.28515625" customWidth="1"/>
    <col min="3" max="3" width="27" customWidth="1"/>
    <col min="4" max="4" width="28.140625" customWidth="1"/>
    <col min="5" max="5" width="29.7109375" customWidth="1"/>
    <col min="7" max="7" width="12.140625" customWidth="1"/>
    <col min="8" max="8" width="14" customWidth="1"/>
    <col min="9" max="9" width="16.140625" customWidth="1"/>
    <col min="10" max="10" width="47.85546875" customWidth="1"/>
    <col min="11" max="11" width="20.7109375" customWidth="1"/>
    <col min="12" max="12" width="21.28515625" customWidth="1"/>
    <col min="13" max="13" width="18.28515625" customWidth="1"/>
    <col min="15" max="15" width="29.7109375" customWidth="1"/>
    <col min="16" max="16" width="35.7109375" customWidth="1"/>
    <col min="17" max="17" width="0" hidden="1" customWidth="1"/>
    <col min="18" max="18" width="46.28515625" customWidth="1"/>
  </cols>
  <sheetData>
    <row r="1" spans="2:18" ht="32.450000000000003" customHeight="1">
      <c r="G1" s="290" t="s">
        <v>158</v>
      </c>
      <c r="H1" s="291"/>
      <c r="I1" s="292"/>
      <c r="K1" s="290" t="s">
        <v>159</v>
      </c>
      <c r="L1" s="291"/>
      <c r="M1" s="293"/>
      <c r="O1" s="294" t="s">
        <v>160</v>
      </c>
      <c r="P1" s="295"/>
      <c r="Q1" s="293"/>
    </row>
    <row r="2" spans="2:18" ht="30.75">
      <c r="B2" s="2" t="s">
        <v>96</v>
      </c>
      <c r="C2" s="3" t="s">
        <v>99</v>
      </c>
      <c r="D2" s="3" t="s">
        <v>98</v>
      </c>
      <c r="E2" s="3" t="s">
        <v>97</v>
      </c>
      <c r="G2" s="203">
        <v>2020</v>
      </c>
      <c r="H2" s="214">
        <v>2021</v>
      </c>
      <c r="I2" s="214">
        <v>2022</v>
      </c>
      <c r="K2" s="218">
        <v>2020</v>
      </c>
      <c r="L2" s="219">
        <v>2021</v>
      </c>
      <c r="M2" s="220">
        <v>2022</v>
      </c>
      <c r="O2" s="17">
        <v>2021</v>
      </c>
      <c r="P2" s="138">
        <v>2022</v>
      </c>
      <c r="Q2" s="139">
        <v>2020</v>
      </c>
    </row>
    <row r="3" spans="2:18" ht="30.75">
      <c r="B3" s="4" t="s">
        <v>101</v>
      </c>
      <c r="C3" s="6"/>
      <c r="D3" s="6"/>
      <c r="E3" s="5"/>
      <c r="G3" s="296" t="s">
        <v>161</v>
      </c>
      <c r="H3" s="297"/>
      <c r="I3" s="297"/>
      <c r="J3" s="217"/>
      <c r="K3" s="287" t="s">
        <v>161</v>
      </c>
      <c r="L3" s="288"/>
      <c r="M3" s="289"/>
      <c r="O3" s="284" t="s">
        <v>161</v>
      </c>
      <c r="P3" s="285"/>
      <c r="Q3" s="286"/>
      <c r="R3" s="159"/>
    </row>
    <row r="4" spans="2:18" ht="15.75">
      <c r="B4" s="7" t="s">
        <v>103</v>
      </c>
      <c r="C4" s="8">
        <v>277095</v>
      </c>
      <c r="D4" s="8">
        <v>280162</v>
      </c>
      <c r="E4" s="8">
        <v>285661</v>
      </c>
      <c r="G4" s="210">
        <f t="shared" ref="G4:G10" si="0">C4/$C$10</f>
        <v>0.79435086230621044</v>
      </c>
      <c r="H4" s="208">
        <f>D4/$D$10</f>
        <v>0.76549922674637827</v>
      </c>
      <c r="I4" s="210">
        <f t="shared" ref="I4:I10" si="1">E4/$E$10</f>
        <v>0.76391997668081324</v>
      </c>
      <c r="J4" s="216" t="s">
        <v>103</v>
      </c>
      <c r="K4" s="222">
        <f t="shared" ref="K4:K10" si="2">C4/$C$21</f>
        <v>0.62914937288274131</v>
      </c>
      <c r="L4" s="223">
        <f>D4/$D$21</f>
        <v>0.6144375116511136</v>
      </c>
      <c r="M4" s="224">
        <f t="shared" ref="M4:M10" si="3">E4/$E$21</f>
        <v>0.59892777919883255</v>
      </c>
      <c r="O4" s="140">
        <f t="shared" ref="O4:P10" si="4">(D4-C4)/C4</f>
        <v>1.1068406142297768E-2</v>
      </c>
      <c r="P4" s="140">
        <f t="shared" si="4"/>
        <v>1.9627929555043153E-2</v>
      </c>
      <c r="Q4" s="141"/>
      <c r="R4" s="99" t="s">
        <v>103</v>
      </c>
    </row>
    <row r="5" spans="2:18" ht="15.75">
      <c r="B5" s="7" t="s">
        <v>105</v>
      </c>
      <c r="C5" s="8">
        <v>46852</v>
      </c>
      <c r="D5" s="8">
        <v>60637</v>
      </c>
      <c r="E5" s="8">
        <v>47339</v>
      </c>
      <c r="G5" s="210">
        <f t="shared" si="0"/>
        <v>0.13431107237868087</v>
      </c>
      <c r="H5" s="211">
        <f t="shared" ref="H5:H10" si="5">D5/$D$10</f>
        <v>0.16568120092025379</v>
      </c>
      <c r="I5" s="210">
        <f t="shared" si="1"/>
        <v>0.12659483715345468</v>
      </c>
      <c r="J5" s="216" t="s">
        <v>105</v>
      </c>
      <c r="K5" s="222">
        <f t="shared" si="2"/>
        <v>0.10637834106823363</v>
      </c>
      <c r="L5" s="225">
        <f t="shared" ref="L5:L10" si="6">D5/$D$21</f>
        <v>0.13298608445823693</v>
      </c>
      <c r="M5" s="224">
        <f t="shared" si="3"/>
        <v>9.9252758127618176E-2</v>
      </c>
      <c r="O5" s="140">
        <f t="shared" si="4"/>
        <v>0.29422436608896096</v>
      </c>
      <c r="P5" s="140">
        <f t="shared" si="4"/>
        <v>-0.21930504477464255</v>
      </c>
      <c r="Q5" s="141"/>
      <c r="R5" s="142" t="s">
        <v>105</v>
      </c>
    </row>
    <row r="6" spans="2:18" ht="15.75">
      <c r="B6" s="9" t="s">
        <v>107</v>
      </c>
      <c r="C6" s="10">
        <v>21100</v>
      </c>
      <c r="D6" s="10">
        <v>22287</v>
      </c>
      <c r="E6" s="8">
        <v>37097</v>
      </c>
      <c r="G6" s="210">
        <f t="shared" si="0"/>
        <v>6.048756994771122E-2</v>
      </c>
      <c r="H6" s="211">
        <f t="shared" si="5"/>
        <v>6.0895771969419595E-2</v>
      </c>
      <c r="I6" s="210">
        <f t="shared" si="1"/>
        <v>9.9205489636065583E-2</v>
      </c>
      <c r="J6" s="226" t="s">
        <v>107</v>
      </c>
      <c r="K6" s="222">
        <f t="shared" si="2"/>
        <v>4.7907944090748091E-2</v>
      </c>
      <c r="L6" s="225">
        <f t="shared" si="6"/>
        <v>4.8878751658570287E-2</v>
      </c>
      <c r="M6" s="224">
        <f t="shared" si="3"/>
        <v>7.7778989168766799E-2</v>
      </c>
      <c r="O6" s="140">
        <f t="shared" si="4"/>
        <v>5.625592417061611E-2</v>
      </c>
      <c r="P6" s="140">
        <f t="shared" si="4"/>
        <v>0.66451294476600709</v>
      </c>
      <c r="Q6" s="141"/>
      <c r="R6" s="104" t="s">
        <v>107</v>
      </c>
    </row>
    <row r="7" spans="2:18" ht="30.75">
      <c r="B7" s="9" t="s">
        <v>109</v>
      </c>
      <c r="C7" s="10">
        <v>178</v>
      </c>
      <c r="D7" s="10">
        <v>223</v>
      </c>
      <c r="E7" s="8">
        <v>499</v>
      </c>
      <c r="G7" s="210">
        <f t="shared" si="0"/>
        <v>5.102742867626823E-4</v>
      </c>
      <c r="H7" s="211">
        <f t="shared" si="5"/>
        <v>6.093129245380971E-4</v>
      </c>
      <c r="I7" s="210">
        <f t="shared" si="1"/>
        <v>1.3344351114213204E-3</v>
      </c>
      <c r="J7" s="226" t="s">
        <v>109</v>
      </c>
      <c r="K7" s="222">
        <f t="shared" si="2"/>
        <v>4.0415232455702179E-4</v>
      </c>
      <c r="L7" s="225">
        <f t="shared" si="6"/>
        <v>4.8907262618841363E-4</v>
      </c>
      <c r="M7" s="224">
        <f t="shared" si="3"/>
        <v>1.0462224868645613E-3</v>
      </c>
      <c r="O7" s="140">
        <f t="shared" si="4"/>
        <v>0.25280898876404495</v>
      </c>
      <c r="P7" s="140">
        <f t="shared" si="4"/>
        <v>1.2376681614349776</v>
      </c>
      <c r="Q7" s="141"/>
      <c r="R7" s="104" t="s">
        <v>109</v>
      </c>
    </row>
    <row r="8" spans="2:18" ht="15.75">
      <c r="B8" s="9" t="s">
        <v>110</v>
      </c>
      <c r="C8" s="10">
        <v>3588</v>
      </c>
      <c r="D8" s="10">
        <v>2647</v>
      </c>
      <c r="E8" s="8">
        <v>3229</v>
      </c>
      <c r="G8" s="210">
        <f t="shared" si="0"/>
        <v>1.0285753600587103E-2</v>
      </c>
      <c r="H8" s="211">
        <f t="shared" si="5"/>
        <v>7.2325170908176814E-3</v>
      </c>
      <c r="I8" s="210">
        <f t="shared" si="1"/>
        <v>8.6350520536662197E-3</v>
      </c>
      <c r="J8" s="226" t="s">
        <v>110</v>
      </c>
      <c r="K8" s="222">
        <f t="shared" si="2"/>
        <v>8.1466210141044621E-3</v>
      </c>
      <c r="L8" s="225">
        <f t="shared" si="6"/>
        <v>5.8052701413485687E-3</v>
      </c>
      <c r="M8" s="224">
        <f t="shared" si="3"/>
        <v>6.7700449099913195E-3</v>
      </c>
      <c r="O8" s="140">
        <f t="shared" si="4"/>
        <v>-0.26226309921962093</v>
      </c>
      <c r="P8" s="140">
        <f t="shared" si="4"/>
        <v>0.21987155270117115</v>
      </c>
      <c r="Q8" s="141"/>
      <c r="R8" s="104" t="s">
        <v>110</v>
      </c>
    </row>
    <row r="9" spans="2:18" ht="15.75">
      <c r="B9" s="9" t="s">
        <v>112</v>
      </c>
      <c r="C9" s="10">
        <v>19</v>
      </c>
      <c r="D9" s="10">
        <v>30</v>
      </c>
      <c r="E9" s="8">
        <v>116</v>
      </c>
      <c r="G9" s="208">
        <f t="shared" si="0"/>
        <v>5.4467480047702048E-5</v>
      </c>
      <c r="H9" s="211">
        <f t="shared" si="5"/>
        <v>8.197034859256912E-5</v>
      </c>
      <c r="I9" s="208">
        <f t="shared" si="1"/>
        <v>3.1020936457890416E-4</v>
      </c>
      <c r="J9" s="226" t="s">
        <v>112</v>
      </c>
      <c r="K9" s="215">
        <f t="shared" si="2"/>
        <v>4.3139854868446148E-5</v>
      </c>
      <c r="L9" s="225">
        <f t="shared" si="6"/>
        <v>6.5794523702477164E-5</v>
      </c>
      <c r="M9" s="223">
        <f t="shared" si="3"/>
        <v>2.4321003702663149E-4</v>
      </c>
      <c r="O9" s="140">
        <f t="shared" si="4"/>
        <v>0.57894736842105265</v>
      </c>
      <c r="P9" s="140">
        <f t="shared" si="4"/>
        <v>2.8666666666666667</v>
      </c>
      <c r="Q9" s="141"/>
      <c r="R9" s="143" t="s">
        <v>112</v>
      </c>
    </row>
    <row r="10" spans="2:18" ht="18.75">
      <c r="B10" s="4" t="s">
        <v>114</v>
      </c>
      <c r="C10" s="13">
        <f>SUM(C4:C9)</f>
        <v>348832</v>
      </c>
      <c r="D10" s="13">
        <f>SUM(D4:D9)</f>
        <v>365986</v>
      </c>
      <c r="E10" s="13">
        <f>SUM(E4:E9)</f>
        <v>373941</v>
      </c>
      <c r="G10" s="207">
        <f t="shared" si="0"/>
        <v>1</v>
      </c>
      <c r="H10" s="209">
        <f t="shared" si="5"/>
        <v>1</v>
      </c>
      <c r="I10" s="212">
        <f t="shared" si="1"/>
        <v>1</v>
      </c>
      <c r="J10" s="213" t="s">
        <v>114</v>
      </c>
      <c r="K10" s="228">
        <f t="shared" si="2"/>
        <v>0.79202957123525297</v>
      </c>
      <c r="L10" s="229">
        <f t="shared" si="6"/>
        <v>0.80266248505916027</v>
      </c>
      <c r="M10" s="230">
        <f t="shared" si="3"/>
        <v>0.78401900392910007</v>
      </c>
      <c r="O10" s="163">
        <f t="shared" si="4"/>
        <v>4.9175534354646361E-2</v>
      </c>
      <c r="P10" s="163">
        <f t="shared" si="4"/>
        <v>2.1735804101796243E-2</v>
      </c>
      <c r="Q10" s="161"/>
      <c r="R10" s="162" t="s">
        <v>114</v>
      </c>
    </row>
    <row r="11" spans="2:18" ht="30.75">
      <c r="B11" s="4" t="s">
        <v>116</v>
      </c>
      <c r="C11" s="6"/>
      <c r="D11" s="6"/>
      <c r="E11" s="5"/>
      <c r="G11" s="284" t="s">
        <v>162</v>
      </c>
      <c r="H11" s="285"/>
      <c r="I11" s="286"/>
      <c r="J11" s="227"/>
      <c r="K11" s="287" t="s">
        <v>162</v>
      </c>
      <c r="L11" s="288"/>
      <c r="M11" s="289"/>
      <c r="O11" s="284" t="s">
        <v>162</v>
      </c>
      <c r="P11" s="285"/>
      <c r="Q11" s="286"/>
      <c r="R11" s="160"/>
    </row>
    <row r="12" spans="2:18" ht="15.75">
      <c r="B12" s="7" t="s">
        <v>118</v>
      </c>
      <c r="C12" s="8">
        <v>432</v>
      </c>
      <c r="D12" s="8">
        <v>409</v>
      </c>
      <c r="E12" s="8">
        <v>430</v>
      </c>
      <c r="G12" s="144">
        <f t="shared" ref="G12:G20" si="7">C12/$C$20</f>
        <v>4.7163631599633172E-3</v>
      </c>
      <c r="H12" s="30">
        <f>D12/$D$20</f>
        <v>4.5455050622923128E-3</v>
      </c>
      <c r="I12" s="140">
        <f t="shared" ref="I12:I20" si="8">E12/$E$20</f>
        <v>4.1742304369351444E-3</v>
      </c>
      <c r="J12" s="231" t="s">
        <v>118</v>
      </c>
      <c r="K12" s="235">
        <f t="shared" ref="K12:K20" si="9">C12/$C$21</f>
        <v>9.8086406858782825E-4</v>
      </c>
      <c r="L12" s="233">
        <f>D12/$D$21</f>
        <v>8.9699867314377204E-4</v>
      </c>
      <c r="M12" s="222">
        <f t="shared" ref="M12:M20" si="10">E12/$E$21</f>
        <v>9.0155444759872018E-4</v>
      </c>
      <c r="O12" s="140">
        <f t="shared" ref="O12:P16" si="11">(D12-C12)/C12</f>
        <v>-5.3240740740740741E-2</v>
      </c>
      <c r="P12" s="140">
        <f t="shared" si="11"/>
        <v>5.1344743276283619E-2</v>
      </c>
      <c r="Q12" s="144"/>
      <c r="R12" s="99" t="s">
        <v>118</v>
      </c>
    </row>
    <row r="13" spans="2:18" ht="30.75">
      <c r="B13" s="9" t="s">
        <v>119</v>
      </c>
      <c r="C13" s="10">
        <v>40064</v>
      </c>
      <c r="D13" s="10">
        <v>44534</v>
      </c>
      <c r="E13" s="8">
        <v>51496</v>
      </c>
      <c r="G13" s="141">
        <f t="shared" si="7"/>
        <v>0.43739901305733875</v>
      </c>
      <c r="H13" s="29">
        <f t="shared" ref="H13:H20" si="12">D13/$D$20</f>
        <v>0.49493770768734929</v>
      </c>
      <c r="I13" s="140">
        <f t="shared" si="8"/>
        <v>0.49989807111723761</v>
      </c>
      <c r="J13" s="232" t="s">
        <v>119</v>
      </c>
      <c r="K13" s="235">
        <f t="shared" si="9"/>
        <v>9.0966060286811923E-2</v>
      </c>
      <c r="L13" s="236">
        <f t="shared" ref="L13:L20" si="13">D13/$D$21</f>
        <v>9.7669777285537274E-2</v>
      </c>
      <c r="M13" s="222">
        <f t="shared" si="10"/>
        <v>0.10796848333382254</v>
      </c>
      <c r="O13" s="140">
        <f t="shared" si="11"/>
        <v>0.11157148562300319</v>
      </c>
      <c r="P13" s="140">
        <f t="shared" si="11"/>
        <v>0.15632999505995418</v>
      </c>
      <c r="Q13" s="141"/>
      <c r="R13" s="104" t="s">
        <v>119</v>
      </c>
    </row>
    <row r="14" spans="2:18" ht="15.75">
      <c r="B14" s="9" t="s">
        <v>121</v>
      </c>
      <c r="C14" s="10">
        <v>1052</v>
      </c>
      <c r="D14" s="10">
        <v>804</v>
      </c>
      <c r="E14" s="8">
        <v>1052</v>
      </c>
      <c r="G14" s="141">
        <f t="shared" si="7"/>
        <v>1.1485217695095857E-2</v>
      </c>
      <c r="H14" s="29">
        <f t="shared" si="12"/>
        <v>8.9354182642616617E-3</v>
      </c>
      <c r="I14" s="140">
        <f t="shared" si="8"/>
        <v>1.021230330152505E-2</v>
      </c>
      <c r="J14" s="232" t="s">
        <v>121</v>
      </c>
      <c r="K14" s="215">
        <f t="shared" si="9"/>
        <v>2.3885856485055448E-3</v>
      </c>
      <c r="L14" s="224">
        <f t="shared" si="13"/>
        <v>1.763293235226388E-3</v>
      </c>
      <c r="M14" s="223">
        <f t="shared" si="10"/>
        <v>2.20566343924152E-3</v>
      </c>
      <c r="O14" s="140">
        <f t="shared" si="11"/>
        <v>-0.23574144486692014</v>
      </c>
      <c r="P14" s="140">
        <f t="shared" si="11"/>
        <v>0.30845771144278605</v>
      </c>
      <c r="Q14" s="141"/>
      <c r="R14" s="104" t="s">
        <v>121</v>
      </c>
    </row>
    <row r="15" spans="2:18" ht="15.75">
      <c r="B15" s="9" t="s">
        <v>122</v>
      </c>
      <c r="C15" s="10">
        <v>361</v>
      </c>
      <c r="D15" s="10">
        <v>86</v>
      </c>
      <c r="E15" s="8">
        <v>107</v>
      </c>
      <c r="G15" s="141">
        <f t="shared" si="7"/>
        <v>3.9412201406174938E-3</v>
      </c>
      <c r="H15" s="29">
        <f t="shared" si="12"/>
        <v>9.5577857055535178E-4</v>
      </c>
      <c r="I15" s="140">
        <f t="shared" si="8"/>
        <v>1.0387038529117683E-3</v>
      </c>
      <c r="J15" s="104" t="s">
        <v>122</v>
      </c>
      <c r="K15" s="238">
        <f t="shared" si="9"/>
        <v>8.1965724250047684E-4</v>
      </c>
      <c r="L15" s="222">
        <f t="shared" si="13"/>
        <v>1.8861096794710121E-4</v>
      </c>
      <c r="M15" s="234">
        <f t="shared" si="10"/>
        <v>2.2434029277456526E-4</v>
      </c>
      <c r="O15" s="140">
        <f t="shared" si="11"/>
        <v>-0.76177285318559562</v>
      </c>
      <c r="P15" s="140">
        <f t="shared" si="11"/>
        <v>0.2441860465116279</v>
      </c>
      <c r="Q15" s="141"/>
      <c r="R15" s="104" t="s">
        <v>122</v>
      </c>
    </row>
    <row r="16" spans="2:18" ht="15.75">
      <c r="B16" s="9" t="s">
        <v>124</v>
      </c>
      <c r="C16" s="10">
        <v>2868</v>
      </c>
      <c r="D16" s="10">
        <v>1242</v>
      </c>
      <c r="E16" s="8">
        <v>1621</v>
      </c>
      <c r="G16" s="141">
        <f t="shared" si="7"/>
        <v>3.1311410978645357E-2</v>
      </c>
      <c r="H16" s="29">
        <f t="shared" si="12"/>
        <v>1.3803220751508685E-2</v>
      </c>
      <c r="I16" s="140">
        <f t="shared" si="8"/>
        <v>1.5735877995981088E-2</v>
      </c>
      <c r="J16" s="232" t="s">
        <v>124</v>
      </c>
      <c r="K16" s="215">
        <f t="shared" si="9"/>
        <v>6.5118475664580813E-3</v>
      </c>
      <c r="L16" s="239">
        <f t="shared" si="13"/>
        <v>2.7238932812825548E-3</v>
      </c>
      <c r="M16" s="222">
        <f t="shared" si="10"/>
        <v>3.3986506036221523E-3</v>
      </c>
      <c r="O16" s="140">
        <f t="shared" si="11"/>
        <v>-0.56694560669456062</v>
      </c>
      <c r="P16" s="140">
        <f t="shared" si="11"/>
        <v>0.30515297906602257</v>
      </c>
      <c r="Q16" s="141"/>
      <c r="R16" s="104" t="s">
        <v>124</v>
      </c>
    </row>
    <row r="17" spans="2:18" ht="15.75">
      <c r="B17" s="9" t="s">
        <v>126</v>
      </c>
      <c r="C17" s="10">
        <v>40000</v>
      </c>
      <c r="D17" s="10">
        <v>0</v>
      </c>
      <c r="E17" s="15">
        <v>0</v>
      </c>
      <c r="G17" s="141">
        <f t="shared" si="7"/>
        <v>0.43670029258919602</v>
      </c>
      <c r="H17" s="29">
        <f t="shared" si="12"/>
        <v>0</v>
      </c>
      <c r="I17" s="140">
        <f t="shared" si="8"/>
        <v>0</v>
      </c>
      <c r="J17" s="237" t="s">
        <v>126</v>
      </c>
      <c r="K17" s="221">
        <f t="shared" si="9"/>
        <v>9.0820747091465578E-2</v>
      </c>
      <c r="L17" s="239">
        <f t="shared" si="13"/>
        <v>0</v>
      </c>
      <c r="M17" s="215">
        <f t="shared" si="10"/>
        <v>0</v>
      </c>
      <c r="O17" s="140">
        <f>(D17-C17)/C17</f>
        <v>-1</v>
      </c>
      <c r="P17" s="146" t="s">
        <v>34</v>
      </c>
      <c r="Q17" s="141"/>
      <c r="R17" s="145" t="s">
        <v>126</v>
      </c>
    </row>
    <row r="18" spans="2:18" ht="15.75">
      <c r="B18" s="16" t="s">
        <v>128</v>
      </c>
      <c r="C18" s="10">
        <v>6614</v>
      </c>
      <c r="D18" s="10">
        <v>42832</v>
      </c>
      <c r="E18" s="8">
        <v>48282</v>
      </c>
      <c r="G18" s="141">
        <f t="shared" si="7"/>
        <v>7.2208393379623564E-2</v>
      </c>
      <c r="H18" s="29">
        <f t="shared" si="12"/>
        <v>0.47602218295380033</v>
      </c>
      <c r="I18" s="140">
        <f t="shared" si="8"/>
        <v>0.46869812547930845</v>
      </c>
      <c r="J18" s="104" t="s">
        <v>128</v>
      </c>
      <c r="K18" s="238">
        <f t="shared" si="9"/>
        <v>1.5017210531573833E-2</v>
      </c>
      <c r="L18" s="215">
        <f t="shared" si="13"/>
        <v>9.3937034640816736E-2</v>
      </c>
      <c r="M18" s="234">
        <f t="shared" si="10"/>
        <v>0.10122988799758467</v>
      </c>
      <c r="O18" s="140">
        <f>(D18-C18)/C18</f>
        <v>5.4759600846688841</v>
      </c>
      <c r="P18" s="140">
        <f>(E18-D18)/D18</f>
        <v>0.12724131490474411</v>
      </c>
      <c r="Q18" s="141"/>
      <c r="R18" s="104" t="s">
        <v>128</v>
      </c>
    </row>
    <row r="19" spans="2:18" ht="15">
      <c r="B19" s="9" t="s">
        <v>129</v>
      </c>
      <c r="C19" s="12">
        <v>205</v>
      </c>
      <c r="D19" s="12">
        <v>72</v>
      </c>
      <c r="E19" s="11">
        <v>25</v>
      </c>
      <c r="G19" s="141">
        <f t="shared" si="7"/>
        <v>2.2380889995196299E-3</v>
      </c>
      <c r="H19" s="29">
        <f t="shared" si="12"/>
        <v>8.0018671023238759E-4</v>
      </c>
      <c r="I19" s="140">
        <f t="shared" si="8"/>
        <v>2.4268781610088048E-4</v>
      </c>
      <c r="J19" s="241" t="s">
        <v>129</v>
      </c>
      <c r="K19" s="222">
        <f t="shared" si="9"/>
        <v>4.6545632884376108E-4</v>
      </c>
      <c r="L19" s="225">
        <f t="shared" si="13"/>
        <v>1.579068568859452E-4</v>
      </c>
      <c r="M19" s="223">
        <f t="shared" si="10"/>
        <v>5.2415956255739549E-5</v>
      </c>
      <c r="O19" s="140">
        <f>(D19-C19)/C19</f>
        <v>-0.64878048780487807</v>
      </c>
      <c r="P19" s="140">
        <f>(E19-D19)/D19</f>
        <v>-0.65277777777777779</v>
      </c>
      <c r="Q19" s="141"/>
      <c r="R19" s="143" t="s">
        <v>129</v>
      </c>
    </row>
    <row r="20" spans="2:18" ht="18.75">
      <c r="B20" s="4" t="s">
        <v>131</v>
      </c>
      <c r="C20" s="14">
        <f>SUM(C12:C19)</f>
        <v>91596</v>
      </c>
      <c r="D20" s="14">
        <f>SUM(D12:D19)</f>
        <v>89979</v>
      </c>
      <c r="E20" s="14">
        <f>SUM(E12:E19)</f>
        <v>103013</v>
      </c>
      <c r="G20" s="166">
        <f t="shared" si="7"/>
        <v>1</v>
      </c>
      <c r="H20" s="165">
        <f t="shared" si="12"/>
        <v>1</v>
      </c>
      <c r="I20" s="164">
        <f t="shared" si="8"/>
        <v>1</v>
      </c>
      <c r="J20" s="243" t="s">
        <v>131</v>
      </c>
      <c r="K20" s="242">
        <f t="shared" si="9"/>
        <v>0.20797042876474703</v>
      </c>
      <c r="L20" s="244">
        <f t="shared" si="13"/>
        <v>0.19733751494083976</v>
      </c>
      <c r="M20" s="240">
        <f t="shared" si="10"/>
        <v>0.21598099607089991</v>
      </c>
      <c r="O20" s="163">
        <f>(D20-C20)/C20</f>
        <v>-1.7653609327918249E-2</v>
      </c>
      <c r="P20" s="163">
        <f>(E20-D20)/D20</f>
        <v>0.1448560219606797</v>
      </c>
      <c r="Q20" s="166"/>
      <c r="R20" s="162" t="s">
        <v>131</v>
      </c>
    </row>
    <row r="21" spans="2:18" ht="15.75">
      <c r="B21" s="4" t="s">
        <v>133</v>
      </c>
      <c r="C21" s="14">
        <f>SUM(C10,C20)</f>
        <v>440428</v>
      </c>
      <c r="D21" s="14">
        <f>SUM(D10,D20)</f>
        <v>455965</v>
      </c>
      <c r="E21" s="14">
        <f>SUM(E10,E20)</f>
        <v>476954</v>
      </c>
    </row>
    <row r="24" spans="2:18">
      <c r="B24" s="40" t="s">
        <v>163</v>
      </c>
      <c r="C24" s="40">
        <v>2020</v>
      </c>
      <c r="D24" s="40">
        <v>2021</v>
      </c>
      <c r="E24" s="40">
        <v>2022</v>
      </c>
    </row>
    <row r="25" spans="2:18">
      <c r="B25" s="26" t="s">
        <v>164</v>
      </c>
      <c r="D25">
        <f>D21-C21</f>
        <v>15537</v>
      </c>
      <c r="E25">
        <f>E21-D21</f>
        <v>20989</v>
      </c>
    </row>
    <row r="26" spans="2:18">
      <c r="B26" s="26" t="s">
        <v>165</v>
      </c>
      <c r="D26" s="23">
        <f>D25/C21</f>
        <v>3.5277048689002513E-2</v>
      </c>
      <c r="E26" s="23">
        <f>E25/D21</f>
        <v>4.6032041933043104E-2</v>
      </c>
    </row>
    <row r="27" spans="2:18">
      <c r="B27" s="26" t="s">
        <v>166</v>
      </c>
      <c r="D27" s="23">
        <f>D21/C21</f>
        <v>1.0352770486890026</v>
      </c>
      <c r="E27" s="23">
        <f>E21/D21</f>
        <v>1.0460320419330431</v>
      </c>
    </row>
    <row r="30" spans="2:18">
      <c r="B30" s="40" t="s">
        <v>167</v>
      </c>
      <c r="C30" s="40">
        <v>2020</v>
      </c>
      <c r="D30" s="40">
        <v>2021</v>
      </c>
      <c r="E30" s="40">
        <v>2022</v>
      </c>
    </row>
    <row r="31" spans="2:18">
      <c r="B31" s="26" t="s">
        <v>168</v>
      </c>
      <c r="C31" s="24">
        <f t="shared" ref="C31" si="14">C10/C21</f>
        <v>0.79202957123525297</v>
      </c>
      <c r="D31" s="24">
        <f>D10/D21</f>
        <v>0.80266248505916027</v>
      </c>
      <c r="E31" s="24">
        <f>E10/E21</f>
        <v>0.78401900392910007</v>
      </c>
    </row>
    <row r="32" spans="2:18">
      <c r="B32" s="26" t="s">
        <v>169</v>
      </c>
      <c r="C32" s="24">
        <f>C20/C21</f>
        <v>0.20797042876474703</v>
      </c>
      <c r="D32" s="24">
        <f t="shared" ref="D32" si="15">D20/D21</f>
        <v>0.19733751494083976</v>
      </c>
      <c r="E32" s="24">
        <f>E20/E21</f>
        <v>0.21598099607089991</v>
      </c>
    </row>
    <row r="33" spans="2:5" ht="15">
      <c r="B33" s="28" t="s">
        <v>170</v>
      </c>
      <c r="C33" s="27">
        <f>C10/C20</f>
        <v>3.808375911611861</v>
      </c>
      <c r="D33" s="27">
        <f t="shared" ref="D33" si="16">D10/D20</f>
        <v>4.0674601851543137</v>
      </c>
      <c r="E33" s="27">
        <f>E10/E20</f>
        <v>3.6300369856231738</v>
      </c>
    </row>
    <row r="34" spans="2:5" ht="38.25" customHeight="1">
      <c r="C34" s="298" t="s">
        <v>171</v>
      </c>
      <c r="D34" s="298"/>
      <c r="E34" s="298"/>
    </row>
    <row r="35" spans="2:5" ht="15"/>
    <row r="36" spans="2:5" ht="23.45">
      <c r="B36" s="158"/>
    </row>
    <row r="38" spans="2:5">
      <c r="C38" s="147">
        <v>3.808375911611861</v>
      </c>
      <c r="D38" s="147">
        <v>4.0674601851543137</v>
      </c>
      <c r="E38" s="147">
        <v>3.6300369856231738</v>
      </c>
    </row>
    <row r="39" spans="2:5">
      <c r="E39" s="148"/>
    </row>
    <row r="45" spans="2:5" ht="15.6">
      <c r="B45" s="82">
        <v>2020</v>
      </c>
      <c r="C45" s="82">
        <v>2021</v>
      </c>
      <c r="D45" s="82">
        <v>2022</v>
      </c>
      <c r="E45" s="82"/>
    </row>
    <row r="46" spans="2:5">
      <c r="B46" s="85"/>
      <c r="C46" s="85"/>
      <c r="D46" s="84"/>
      <c r="E46" s="84"/>
    </row>
    <row r="47" spans="2:5" ht="15.6">
      <c r="B47" s="88">
        <v>277095</v>
      </c>
      <c r="C47" s="88">
        <v>280162</v>
      </c>
      <c r="D47" s="88">
        <v>285661</v>
      </c>
      <c r="E47" s="86" t="s">
        <v>103</v>
      </c>
    </row>
    <row r="48" spans="2:5" ht="31.15">
      <c r="B48" s="88">
        <v>46852</v>
      </c>
      <c r="C48" s="88">
        <v>60637</v>
      </c>
      <c r="D48" s="88">
        <v>47339</v>
      </c>
      <c r="E48" s="86" t="s">
        <v>105</v>
      </c>
    </row>
    <row r="49" spans="2:5" ht="15.6">
      <c r="B49" s="90">
        <v>21100</v>
      </c>
      <c r="C49" s="90">
        <v>22287</v>
      </c>
      <c r="D49" s="88">
        <v>37097</v>
      </c>
      <c r="E49" s="89" t="s">
        <v>107</v>
      </c>
    </row>
    <row r="50" spans="2:5" ht="15.6">
      <c r="B50" s="90">
        <v>178</v>
      </c>
      <c r="C50" s="90">
        <v>223</v>
      </c>
      <c r="D50" s="88">
        <v>499</v>
      </c>
      <c r="E50" s="88"/>
    </row>
    <row r="51" spans="2:5" ht="15.6">
      <c r="B51" s="90">
        <v>3588</v>
      </c>
      <c r="C51" s="90">
        <v>2647</v>
      </c>
      <c r="D51" s="88">
        <v>3229</v>
      </c>
      <c r="E51" s="88"/>
    </row>
    <row r="52" spans="2:5" ht="15.6">
      <c r="B52" s="90">
        <v>19</v>
      </c>
      <c r="C52" s="90">
        <v>30</v>
      </c>
      <c r="D52" s="88">
        <v>116</v>
      </c>
      <c r="E52" s="88"/>
    </row>
    <row r="53" spans="2:5" ht="15.6">
      <c r="B53" s="92">
        <f>SUM(B47:B52)</f>
        <v>348832</v>
      </c>
      <c r="C53" s="92">
        <f>SUM(C47:C52)</f>
        <v>365986</v>
      </c>
      <c r="D53" s="92">
        <f>SUM(D47:D52)</f>
        <v>373941</v>
      </c>
      <c r="E53" s="92"/>
    </row>
    <row r="54" spans="2:5">
      <c r="B54" s="85"/>
      <c r="C54" s="85"/>
      <c r="D54" s="84"/>
      <c r="E54" s="84"/>
    </row>
    <row r="55" spans="2:5" ht="15.6">
      <c r="B55" s="88">
        <v>432</v>
      </c>
      <c r="C55" s="88">
        <v>409</v>
      </c>
      <c r="D55" s="88">
        <v>430</v>
      </c>
      <c r="E55" s="88"/>
    </row>
    <row r="56" spans="2:5" ht="15.6">
      <c r="B56" s="90">
        <v>40064</v>
      </c>
      <c r="C56" s="90">
        <v>44534</v>
      </c>
      <c r="D56" s="88">
        <v>51496</v>
      </c>
      <c r="E56" s="88"/>
    </row>
    <row r="57" spans="2:5" ht="15.6">
      <c r="B57" s="90">
        <v>1052</v>
      </c>
      <c r="C57" s="90">
        <v>804</v>
      </c>
      <c r="D57" s="88">
        <v>1052</v>
      </c>
      <c r="E57" s="88"/>
    </row>
    <row r="58" spans="2:5" ht="15.6">
      <c r="B58" s="90">
        <v>361</v>
      </c>
      <c r="C58" s="90">
        <v>86</v>
      </c>
      <c r="D58" s="88">
        <v>107</v>
      </c>
      <c r="E58" s="88"/>
    </row>
    <row r="59" spans="2:5" ht="15.6">
      <c r="B59" s="90">
        <v>2868</v>
      </c>
      <c r="C59" s="90">
        <v>1242</v>
      </c>
      <c r="D59" s="88">
        <v>1621</v>
      </c>
      <c r="E59" s="88"/>
    </row>
    <row r="60" spans="2:5" ht="15.6">
      <c r="B60" s="90">
        <v>40000</v>
      </c>
      <c r="C60" s="90">
        <v>0</v>
      </c>
      <c r="D60" s="88">
        <v>0</v>
      </c>
      <c r="E60" s="88"/>
    </row>
    <row r="61" spans="2:5" ht="15.6">
      <c r="B61" s="90">
        <v>6614</v>
      </c>
      <c r="C61" s="90">
        <v>42832</v>
      </c>
      <c r="D61" s="88">
        <v>48282</v>
      </c>
      <c r="E61" s="88"/>
    </row>
    <row r="62" spans="2:5">
      <c r="B62" s="93">
        <v>205</v>
      </c>
      <c r="C62" s="93">
        <v>72</v>
      </c>
      <c r="D62" s="84">
        <v>25</v>
      </c>
      <c r="E62" s="84"/>
    </row>
    <row r="63" spans="2:5" ht="15.6">
      <c r="B63" s="91">
        <f>SUM(B55:B62)</f>
        <v>91596</v>
      </c>
      <c r="C63" s="91">
        <f>SUM(C55:C62)</f>
        <v>89979</v>
      </c>
      <c r="D63" s="91">
        <f>SUM(D55:D62)</f>
        <v>103013</v>
      </c>
      <c r="E63" s="91"/>
    </row>
    <row r="64" spans="2:5" ht="15.6">
      <c r="B64" s="91">
        <f>SUM(B53,B63)</f>
        <v>440428</v>
      </c>
      <c r="C64" s="91">
        <f>SUM(C53,C63)</f>
        <v>455965</v>
      </c>
      <c r="D64" s="91">
        <f>SUM(D53,D63)</f>
        <v>476954</v>
      </c>
      <c r="E64" s="91"/>
    </row>
    <row r="65" spans="2:5">
      <c r="B65" s="77"/>
      <c r="C65" s="77"/>
      <c r="D65" s="77"/>
      <c r="E65" s="77"/>
    </row>
    <row r="66" spans="2:5">
      <c r="B66" s="77"/>
      <c r="C66" s="77"/>
      <c r="D66" s="77"/>
      <c r="E66" s="77"/>
    </row>
    <row r="67" spans="2:5">
      <c r="B67" s="77"/>
      <c r="C67" s="269" t="s">
        <v>162</v>
      </c>
      <c r="D67" s="269"/>
      <c r="E67" s="269"/>
    </row>
    <row r="68" spans="2:5">
      <c r="B68" s="77"/>
      <c r="C68" s="149">
        <f>B55/$B$63</f>
        <v>4.7163631599633172E-3</v>
      </c>
      <c r="D68" s="149">
        <f>C55/$C$63</f>
        <v>4.5455050622923128E-3</v>
      </c>
      <c r="E68" s="149">
        <f>D55/$D$63</f>
        <v>4.1742304369351444E-3</v>
      </c>
    </row>
    <row r="69" spans="2:5" ht="15.6">
      <c r="B69" s="89" t="s">
        <v>119</v>
      </c>
      <c r="C69" s="149">
        <f t="shared" ref="C69:C75" si="17">B56/$B$63</f>
        <v>0.43739901305733875</v>
      </c>
      <c r="D69" s="149">
        <f t="shared" ref="D69:D75" si="18">C56/$C$63</f>
        <v>0.49493770768734929</v>
      </c>
      <c r="E69" s="149">
        <f t="shared" ref="E69:E75" si="19">D56/$D$63</f>
        <v>0.49989807111723761</v>
      </c>
    </row>
    <row r="70" spans="2:5">
      <c r="B70" s="77"/>
      <c r="C70" s="149">
        <f t="shared" si="17"/>
        <v>1.1485217695095857E-2</v>
      </c>
      <c r="D70" s="149">
        <f t="shared" si="18"/>
        <v>8.9354182642616617E-3</v>
      </c>
      <c r="E70" s="149">
        <f t="shared" si="19"/>
        <v>1.021230330152505E-2</v>
      </c>
    </row>
    <row r="71" spans="2:5">
      <c r="B71" s="77"/>
      <c r="C71" s="149">
        <f t="shared" si="17"/>
        <v>3.9412201406174938E-3</v>
      </c>
      <c r="D71" s="149">
        <f t="shared" si="18"/>
        <v>9.5577857055535178E-4</v>
      </c>
      <c r="E71" s="149">
        <f t="shared" si="19"/>
        <v>1.0387038529117683E-3</v>
      </c>
    </row>
    <row r="72" spans="2:5">
      <c r="B72" s="77"/>
      <c r="C72" s="149">
        <f t="shared" si="17"/>
        <v>3.1311410978645357E-2</v>
      </c>
      <c r="D72" s="149">
        <f t="shared" si="18"/>
        <v>1.3803220751508685E-2</v>
      </c>
      <c r="E72" s="149">
        <f t="shared" si="19"/>
        <v>1.5735877995981088E-2</v>
      </c>
    </row>
    <row r="73" spans="2:5">
      <c r="B73" s="77"/>
      <c r="C73" s="149">
        <f t="shared" si="17"/>
        <v>0.43670029258919602</v>
      </c>
      <c r="D73" s="149">
        <f t="shared" si="18"/>
        <v>0</v>
      </c>
      <c r="E73" s="149">
        <f t="shared" si="19"/>
        <v>0</v>
      </c>
    </row>
    <row r="74" spans="2:5" ht="15.6">
      <c r="B74" s="89" t="s">
        <v>128</v>
      </c>
      <c r="C74" s="149">
        <f t="shared" si="17"/>
        <v>7.2208393379623564E-2</v>
      </c>
      <c r="D74" s="149">
        <f t="shared" si="18"/>
        <v>0.47602218295380033</v>
      </c>
      <c r="E74" s="149">
        <f t="shared" si="19"/>
        <v>0.46869812547930845</v>
      </c>
    </row>
    <row r="75" spans="2:5">
      <c r="B75" s="77"/>
      <c r="C75" s="149">
        <f t="shared" si="17"/>
        <v>2.2380889995196299E-3</v>
      </c>
      <c r="D75" s="149">
        <f t="shared" si="18"/>
        <v>8.0018671023238759E-4</v>
      </c>
      <c r="E75" s="149">
        <f t="shared" si="19"/>
        <v>2.4268781610088048E-4</v>
      </c>
    </row>
    <row r="76" spans="2:5">
      <c r="C76" s="150"/>
      <c r="D76" s="150"/>
      <c r="E76" s="150"/>
    </row>
    <row r="77" spans="2:5">
      <c r="C77" s="150"/>
      <c r="D77" s="150"/>
      <c r="E77" s="150"/>
    </row>
    <row r="78" spans="2:5">
      <c r="C78" s="150"/>
      <c r="D78" s="150"/>
      <c r="E78" s="150"/>
    </row>
    <row r="79" spans="2:5">
      <c r="C79" s="150"/>
      <c r="D79" s="150"/>
      <c r="E79" s="150"/>
    </row>
    <row r="80" spans="2:5">
      <c r="C80" s="150"/>
      <c r="D80" s="150"/>
      <c r="E80" s="150"/>
    </row>
    <row r="81" spans="3:5">
      <c r="C81" s="150"/>
      <c r="D81" s="150"/>
      <c r="E81" s="150"/>
    </row>
    <row r="82" spans="3:5">
      <c r="C82" s="150"/>
    </row>
    <row r="83" spans="3:5">
      <c r="C83" s="150"/>
    </row>
  </sheetData>
  <mergeCells count="11">
    <mergeCell ref="G11:I11"/>
    <mergeCell ref="K11:M11"/>
    <mergeCell ref="O11:Q11"/>
    <mergeCell ref="C67:E67"/>
    <mergeCell ref="G1:I1"/>
    <mergeCell ref="K1:M1"/>
    <mergeCell ref="O1:Q1"/>
    <mergeCell ref="G3:I3"/>
    <mergeCell ref="K3:M3"/>
    <mergeCell ref="O3:Q3"/>
    <mergeCell ref="C34:E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6925-E13D-492E-82E2-DC4656AA3A3E}">
  <sheetPr codeName="Arkusz1"/>
  <dimension ref="B1:Q29"/>
  <sheetViews>
    <sheetView topLeftCell="B5" zoomScale="85" zoomScaleNormal="85" workbookViewId="0">
      <selection activeCell="H12" sqref="H12"/>
    </sheetView>
  </sheetViews>
  <sheetFormatPr defaultRowHeight="14.45"/>
  <cols>
    <col min="2" max="2" width="24.28515625" bestFit="1" customWidth="1"/>
    <col min="6" max="6" width="14.28515625" bestFit="1" customWidth="1"/>
    <col min="8" max="8" width="11.85546875" bestFit="1" customWidth="1"/>
    <col min="9" max="9" width="12.7109375" customWidth="1"/>
  </cols>
  <sheetData>
    <row r="1" spans="2:17" ht="15" thickBot="1"/>
    <row r="2" spans="2:17">
      <c r="B2" s="304" t="s">
        <v>172</v>
      </c>
      <c r="C2" s="305"/>
      <c r="D2" s="305"/>
      <c r="E2" s="305"/>
      <c r="F2" s="305"/>
      <c r="G2" s="299">
        <v>2020</v>
      </c>
      <c r="H2" s="299">
        <v>2021</v>
      </c>
      <c r="I2" s="299">
        <v>2022</v>
      </c>
      <c r="L2" s="255" t="s">
        <v>173</v>
      </c>
      <c r="M2" s="255"/>
      <c r="N2" s="255"/>
      <c r="P2" s="255" t="s">
        <v>174</v>
      </c>
      <c r="Q2" s="255"/>
    </row>
    <row r="3" spans="2:17" ht="15" thickBot="1">
      <c r="B3" s="306"/>
      <c r="C3" s="307"/>
      <c r="D3" s="307"/>
      <c r="E3" s="307"/>
      <c r="F3" s="307"/>
      <c r="G3" s="299"/>
      <c r="H3" s="299"/>
      <c r="I3" s="299"/>
      <c r="L3" s="172">
        <v>2020</v>
      </c>
      <c r="M3" s="172">
        <v>2021</v>
      </c>
      <c r="N3" s="172">
        <v>2022</v>
      </c>
      <c r="P3" s="172">
        <v>2021</v>
      </c>
      <c r="Q3" s="172">
        <v>2022</v>
      </c>
    </row>
    <row r="4" spans="2:17" ht="15" thickBot="1">
      <c r="B4" s="300" t="s">
        <v>175</v>
      </c>
      <c r="C4" s="301"/>
      <c r="D4" s="301"/>
      <c r="E4" s="301"/>
      <c r="F4" s="301"/>
      <c r="G4" s="45">
        <v>282116</v>
      </c>
      <c r="H4" s="44">
        <v>307432</v>
      </c>
      <c r="I4" s="43">
        <v>338515</v>
      </c>
      <c r="L4" s="173">
        <f>G4/G22</f>
        <v>0.99473220267268436</v>
      </c>
      <c r="M4" s="173">
        <f t="shared" ref="M4:M5" si="0">H4/H22</f>
        <v>0.99692587067903238</v>
      </c>
      <c r="N4" s="173">
        <f>I4/I22</f>
        <v>0.99305624820319049</v>
      </c>
      <c r="P4" s="173">
        <f t="shared" ref="P4:P14" si="1">(H4-G4)/G4</f>
        <v>8.9736136908222144E-2</v>
      </c>
      <c r="Q4" s="173">
        <f t="shared" ref="Q4:Q14" si="2">(I4-H4)/H4</f>
        <v>0.10110528507117021</v>
      </c>
    </row>
    <row r="5" spans="2:17" ht="15" thickBot="1">
      <c r="B5" s="300" t="s">
        <v>176</v>
      </c>
      <c r="C5" s="301"/>
      <c r="D5" s="301"/>
      <c r="E5" s="301"/>
      <c r="F5" s="301"/>
      <c r="G5" s="45">
        <v>156938</v>
      </c>
      <c r="H5" s="44">
        <v>174897</v>
      </c>
      <c r="I5" s="44">
        <v>198867</v>
      </c>
      <c r="L5" s="173">
        <f>G5/G23</f>
        <v>0.80893791397128945</v>
      </c>
      <c r="M5" s="173">
        <f t="shared" si="0"/>
        <v>0.81440245861563176</v>
      </c>
      <c r="N5" s="173">
        <f>I5/I23</f>
        <v>0.82358178791216985</v>
      </c>
      <c r="P5" s="173">
        <f t="shared" si="1"/>
        <v>0.11443372542022964</v>
      </c>
      <c r="Q5" s="173">
        <f t="shared" si="2"/>
        <v>0.1370520935178991</v>
      </c>
    </row>
    <row r="6" spans="2:17" ht="15" thickBot="1">
      <c r="B6" s="302" t="s">
        <v>177</v>
      </c>
      <c r="C6" s="303"/>
      <c r="D6" s="303"/>
      <c r="E6" s="303"/>
      <c r="F6" s="303"/>
      <c r="G6" s="47">
        <v>125178</v>
      </c>
      <c r="H6" s="46">
        <v>132535</v>
      </c>
      <c r="I6" s="46">
        <v>139648</v>
      </c>
      <c r="L6" s="173"/>
      <c r="M6" s="173"/>
      <c r="N6" s="173"/>
      <c r="P6" s="173">
        <f t="shared" si="1"/>
        <v>5.8772308233076102E-2</v>
      </c>
      <c r="Q6" s="173">
        <f t="shared" si="2"/>
        <v>5.3668842192628359E-2</v>
      </c>
    </row>
    <row r="7" spans="2:17" ht="15" thickBot="1">
      <c r="B7" s="300" t="s">
        <v>178</v>
      </c>
      <c r="C7" s="301"/>
      <c r="D7" s="301"/>
      <c r="E7" s="301"/>
      <c r="F7" s="301"/>
      <c r="G7" s="45">
        <v>12557</v>
      </c>
      <c r="H7" s="44">
        <v>18027</v>
      </c>
      <c r="I7" s="44">
        <v>17563</v>
      </c>
      <c r="L7" s="173">
        <f>G7/G23</f>
        <v>6.4725135950104373E-2</v>
      </c>
      <c r="M7" s="173">
        <f t="shared" ref="M7" si="3">H7/H23</f>
        <v>8.3942166655025491E-2</v>
      </c>
      <c r="N7" s="173">
        <f>I7/I23</f>
        <v>7.2734877788177221E-2</v>
      </c>
      <c r="P7" s="173">
        <f t="shared" si="1"/>
        <v>0.43561360197499405</v>
      </c>
      <c r="Q7" s="173">
        <f t="shared" si="2"/>
        <v>-2.5739169024241417E-2</v>
      </c>
    </row>
    <row r="8" spans="2:17" ht="15" thickBot="1">
      <c r="B8" s="300" t="s">
        <v>179</v>
      </c>
      <c r="C8" s="301"/>
      <c r="D8" s="301"/>
      <c r="E8" s="301"/>
      <c r="F8" s="301"/>
      <c r="G8" s="45">
        <v>20432</v>
      </c>
      <c r="H8" s="44">
        <v>20454</v>
      </c>
      <c r="I8" s="44">
        <v>22029</v>
      </c>
      <c r="L8" s="173">
        <f>G8/G23</f>
        <v>0.10531687327646194</v>
      </c>
      <c r="M8" s="173">
        <f t="shared" ref="M8" si="4">H8/H23</f>
        <v>9.5243416916951873E-2</v>
      </c>
      <c r="N8" s="173">
        <f>I8/I23</f>
        <v>9.123023531263201E-2</v>
      </c>
      <c r="P8" s="173">
        <f t="shared" si="1"/>
        <v>1.076742364917776E-3</v>
      </c>
      <c r="Q8" s="173">
        <f t="shared" si="2"/>
        <v>7.7002053388090352E-2</v>
      </c>
    </row>
    <row r="9" spans="2:17" ht="16.149999999999999" thickBot="1">
      <c r="B9" s="302" t="s">
        <v>180</v>
      </c>
      <c r="C9" s="303"/>
      <c r="D9" s="303"/>
      <c r="E9" s="303"/>
      <c r="F9" s="303"/>
      <c r="G9" s="49">
        <v>92189</v>
      </c>
      <c r="H9" s="48">
        <v>94054</v>
      </c>
      <c r="I9" s="48">
        <v>100056</v>
      </c>
      <c r="L9" s="173"/>
      <c r="M9" s="173"/>
      <c r="N9" s="173"/>
      <c r="P9" s="173">
        <f t="shared" si="1"/>
        <v>2.0230179305557063E-2</v>
      </c>
      <c r="Q9" s="173">
        <f t="shared" si="2"/>
        <v>6.3814404491037063E-2</v>
      </c>
    </row>
    <row r="10" spans="2:17" ht="15" thickBot="1">
      <c r="B10" s="300" t="s">
        <v>181</v>
      </c>
      <c r="C10" s="301"/>
      <c r="D10" s="301"/>
      <c r="E10" s="301"/>
      <c r="F10" s="301"/>
      <c r="G10" s="45">
        <v>1298</v>
      </c>
      <c r="H10" s="44">
        <v>697</v>
      </c>
      <c r="I10" s="44">
        <v>1686</v>
      </c>
      <c r="L10" s="173">
        <f>G10/G22</f>
        <v>4.5767074503719899E-3</v>
      </c>
      <c r="M10" s="173">
        <f t="shared" ref="M10:M11" si="5">H10/H22</f>
        <v>2.2601984564498347E-3</v>
      </c>
      <c r="N10" s="173">
        <f>I10/I22</f>
        <v>4.9459930415803712E-3</v>
      </c>
      <c r="P10" s="173">
        <f t="shared" si="1"/>
        <v>-0.463020030816641</v>
      </c>
      <c r="Q10" s="173">
        <f t="shared" si="2"/>
        <v>1.4189383070301291</v>
      </c>
    </row>
    <row r="11" spans="2:17" ht="15" thickBot="1">
      <c r="B11" s="300" t="s">
        <v>182</v>
      </c>
      <c r="C11" s="301"/>
      <c r="D11" s="301"/>
      <c r="E11" s="301"/>
      <c r="F11" s="301"/>
      <c r="G11" s="45">
        <v>947</v>
      </c>
      <c r="H11" s="44">
        <v>168</v>
      </c>
      <c r="I11" s="44">
        <v>974</v>
      </c>
      <c r="L11" s="173">
        <f>G11/G23</f>
        <v>4.8813174918172211E-3</v>
      </c>
      <c r="M11" s="173">
        <f t="shared" si="5"/>
        <v>7.8228679192568278E-4</v>
      </c>
      <c r="N11" s="173">
        <f>I11/I23</f>
        <v>4.0336941846885275E-3</v>
      </c>
      <c r="P11" s="173">
        <f t="shared" si="1"/>
        <v>-0.82259767687434004</v>
      </c>
      <c r="Q11" s="173">
        <f t="shared" si="2"/>
        <v>4.7976190476190474</v>
      </c>
    </row>
    <row r="12" spans="2:17" ht="15" thickBot="1">
      <c r="B12" s="302" t="s">
        <v>183</v>
      </c>
      <c r="C12" s="303"/>
      <c r="D12" s="303"/>
      <c r="E12" s="303"/>
      <c r="F12" s="303"/>
      <c r="G12" s="47">
        <v>92540</v>
      </c>
      <c r="H12" s="46">
        <v>94583</v>
      </c>
      <c r="I12" s="46">
        <v>100768</v>
      </c>
      <c r="L12" s="173"/>
      <c r="M12" s="173"/>
      <c r="N12" s="173"/>
      <c r="P12" s="173">
        <f t="shared" si="1"/>
        <v>2.2076939701750595E-2</v>
      </c>
      <c r="Q12" s="173">
        <f t="shared" si="2"/>
        <v>6.5392300942029746E-2</v>
      </c>
    </row>
    <row r="13" spans="2:17" ht="15" thickBot="1">
      <c r="B13" s="300" t="s">
        <v>184</v>
      </c>
      <c r="C13" s="301"/>
      <c r="D13" s="301"/>
      <c r="E13" s="301"/>
      <c r="F13" s="301"/>
      <c r="G13" s="45">
        <v>196</v>
      </c>
      <c r="H13" s="44">
        <v>251</v>
      </c>
      <c r="I13" s="44">
        <v>681</v>
      </c>
      <c r="L13" s="173">
        <f>G13/G22</f>
        <v>6.9108987694369028E-4</v>
      </c>
      <c r="M13" s="173">
        <f t="shared" ref="M13:M14" si="6">H13/H22</f>
        <v>8.1393086451780276E-4</v>
      </c>
      <c r="N13" s="173">
        <f>I13/I22</f>
        <v>1.997758755229082E-3</v>
      </c>
      <c r="P13" s="173">
        <f t="shared" si="1"/>
        <v>0.28061224489795916</v>
      </c>
      <c r="Q13" s="173">
        <f t="shared" si="2"/>
        <v>1.7131474103585658</v>
      </c>
    </row>
    <row r="14" spans="2:17" ht="15" thickBot="1">
      <c r="B14" s="300" t="s">
        <v>185</v>
      </c>
      <c r="C14" s="301"/>
      <c r="D14" s="301"/>
      <c r="E14" s="301"/>
      <c r="F14" s="301"/>
      <c r="G14" s="45">
        <v>3131</v>
      </c>
      <c r="H14" s="44">
        <v>1209</v>
      </c>
      <c r="I14" s="44">
        <v>2033</v>
      </c>
      <c r="L14" s="173">
        <f>G14/G23</f>
        <v>1.6138759310327055E-2</v>
      </c>
      <c r="M14" s="173">
        <f t="shared" si="6"/>
        <v>5.6296710204651809E-3</v>
      </c>
      <c r="N14" s="173">
        <f>I14/I23</f>
        <v>8.4194048023324194E-3</v>
      </c>
      <c r="P14" s="173">
        <f t="shared" si="1"/>
        <v>-0.61386138613861385</v>
      </c>
      <c r="Q14" s="173">
        <f t="shared" si="2"/>
        <v>0.68155500413564929</v>
      </c>
    </row>
    <row r="15" spans="2:17" ht="15" thickBot="1">
      <c r="B15" s="302" t="s">
        <v>186</v>
      </c>
      <c r="C15" s="303"/>
      <c r="D15" s="303"/>
      <c r="E15" s="303"/>
      <c r="F15" s="303"/>
      <c r="G15" s="47">
        <v>89605</v>
      </c>
      <c r="H15" s="46">
        <v>93625</v>
      </c>
      <c r="I15" s="46">
        <v>99416</v>
      </c>
    </row>
    <row r="16" spans="2:17" ht="15" thickBot="1">
      <c r="B16" s="300" t="s">
        <v>187</v>
      </c>
      <c r="C16" s="301"/>
      <c r="D16" s="301"/>
      <c r="E16" s="301"/>
      <c r="F16" s="301"/>
      <c r="G16" s="45">
        <v>13199</v>
      </c>
      <c r="H16" s="50">
        <v>12977</v>
      </c>
      <c r="I16" s="50">
        <v>14130</v>
      </c>
    </row>
    <row r="17" spans="2:9" ht="15" thickBot="1">
      <c r="B17" s="302" t="s">
        <v>188</v>
      </c>
      <c r="C17" s="303"/>
      <c r="D17" s="303"/>
      <c r="E17" s="303"/>
      <c r="F17" s="303"/>
      <c r="G17" s="52">
        <v>76406</v>
      </c>
      <c r="H17" s="51">
        <v>80648</v>
      </c>
      <c r="I17" s="51">
        <v>85286</v>
      </c>
    </row>
    <row r="18" spans="2:9">
      <c r="B18" s="1"/>
      <c r="G18" s="178" t="s">
        <v>189</v>
      </c>
      <c r="H18" s="178"/>
    </row>
    <row r="19" spans="2:9">
      <c r="B19" s="1"/>
    </row>
    <row r="21" spans="2:9" ht="15"/>
    <row r="22" spans="2:9" ht="15">
      <c r="F22" s="204" t="s">
        <v>190</v>
      </c>
      <c r="G22" s="206">
        <f>SUM(G4,G10,G13)</f>
        <v>283610</v>
      </c>
      <c r="H22" s="206">
        <f t="shared" ref="H22" si="7">SUM(H4,H10,H13)</f>
        <v>308380</v>
      </c>
      <c r="I22" s="206">
        <f>SUM(I4,I10,I13)</f>
        <v>340882</v>
      </c>
    </row>
    <row r="23" spans="2:9" ht="15">
      <c r="F23" s="204" t="s">
        <v>191</v>
      </c>
      <c r="G23" s="206">
        <f>SUM(G5,G7,G8,G11,G14)</f>
        <v>194005</v>
      </c>
      <c r="H23" s="206">
        <f t="shared" ref="H23" si="8">SUM(H5,H7,H8,H11,H14)</f>
        <v>214755</v>
      </c>
      <c r="I23" s="206">
        <f>SUM(I5,I7,I8,I11,I14)</f>
        <v>241466</v>
      </c>
    </row>
    <row r="24" spans="2:9" ht="15"/>
    <row r="25" spans="2:9" ht="15">
      <c r="E25" s="153" t="s">
        <v>192</v>
      </c>
    </row>
    <row r="26" spans="2:9" ht="15">
      <c r="F26" s="204" t="s">
        <v>193</v>
      </c>
      <c r="G26" s="205">
        <f>G5/G4</f>
        <v>0.55628890243729534</v>
      </c>
      <c r="H26" s="205">
        <f t="shared" ref="H26" si="9">H5/H4</f>
        <v>0.5688965364698535</v>
      </c>
      <c r="I26" s="205">
        <f>I5/I4</f>
        <v>0.58746879754220638</v>
      </c>
    </row>
    <row r="27" spans="2:9" ht="15">
      <c r="F27" s="204" t="s">
        <v>194</v>
      </c>
      <c r="G27" s="205">
        <f>G11/G10</f>
        <v>0.72958397534668717</v>
      </c>
      <c r="H27" s="205">
        <f t="shared" ref="H27" si="10">H11/H10</f>
        <v>0.24103299856527977</v>
      </c>
      <c r="I27" s="205">
        <f>I11/I10</f>
        <v>0.57769869513641758</v>
      </c>
    </row>
    <row r="28" spans="2:9" ht="15">
      <c r="F28" s="204" t="s">
        <v>195</v>
      </c>
      <c r="G28" s="205">
        <f>G14/G13</f>
        <v>15.974489795918368</v>
      </c>
      <c r="H28" s="205">
        <f t="shared" ref="H28" si="11">H14/H13</f>
        <v>4.8167330677290838</v>
      </c>
      <c r="I28" s="205">
        <f>I14/I13</f>
        <v>2.9853157121879588</v>
      </c>
    </row>
    <row r="29" spans="2:9" ht="15"/>
  </sheetData>
  <mergeCells count="20">
    <mergeCell ref="B8:F8"/>
    <mergeCell ref="B2:F3"/>
    <mergeCell ref="B4:F4"/>
    <mergeCell ref="B5:F5"/>
    <mergeCell ref="B9:F9"/>
    <mergeCell ref="B6:F6"/>
    <mergeCell ref="B7:F7"/>
    <mergeCell ref="B16:F16"/>
    <mergeCell ref="B17:F17"/>
    <mergeCell ref="B10:F10"/>
    <mergeCell ref="B11:F11"/>
    <mergeCell ref="B12:F12"/>
    <mergeCell ref="B13:F13"/>
    <mergeCell ref="B14:F14"/>
    <mergeCell ref="B15:F15"/>
    <mergeCell ref="I2:I3"/>
    <mergeCell ref="H2:H3"/>
    <mergeCell ref="G2:G3"/>
    <mergeCell ref="L2:N2"/>
    <mergeCell ref="P2:Q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4D0C-FB92-4551-B7F1-F5A4748CF547}">
  <dimension ref="B5:Q39"/>
  <sheetViews>
    <sheetView tabSelected="1" workbookViewId="0">
      <selection activeCell="E4" sqref="E4"/>
    </sheetView>
  </sheetViews>
  <sheetFormatPr defaultRowHeight="14.45"/>
  <sheetData>
    <row r="5" spans="2:17">
      <c r="L5" s="312" t="s">
        <v>196</v>
      </c>
      <c r="M5" s="312"/>
      <c r="N5" s="312"/>
      <c r="P5" s="312" t="s">
        <v>197</v>
      </c>
      <c r="Q5" s="312"/>
    </row>
    <row r="6" spans="2:17" ht="15" thickBot="1">
      <c r="G6" s="172">
        <v>2020</v>
      </c>
      <c r="H6" s="172">
        <v>2021</v>
      </c>
      <c r="I6" s="172">
        <v>2022</v>
      </c>
      <c r="L6" s="172">
        <v>2020</v>
      </c>
      <c r="M6" s="172">
        <v>2021</v>
      </c>
      <c r="N6" s="172">
        <v>2022</v>
      </c>
      <c r="P6" s="172">
        <v>2021</v>
      </c>
      <c r="Q6" s="172">
        <v>2022</v>
      </c>
    </row>
    <row r="7" spans="2:17" ht="15" thickBot="1">
      <c r="B7" s="300" t="s">
        <v>175</v>
      </c>
      <c r="C7" s="301"/>
      <c r="D7" s="301"/>
      <c r="E7" s="301"/>
      <c r="F7" s="301"/>
      <c r="G7" s="45">
        <v>282116</v>
      </c>
      <c r="H7" s="44">
        <v>307432</v>
      </c>
      <c r="I7" s="43">
        <v>338515</v>
      </c>
      <c r="L7" s="173">
        <f>G7/G$11</f>
        <v>0.99473220267268436</v>
      </c>
      <c r="M7" s="173">
        <f t="shared" ref="M7:M9" si="0">H7/H$11</f>
        <v>0.99692587067903238</v>
      </c>
      <c r="N7" s="173">
        <f>I7/I$11</f>
        <v>0.99305624820319049</v>
      </c>
      <c r="O7" s="174"/>
      <c r="P7" s="173">
        <f t="shared" ref="P7:Q9" si="1">(H7-G7)/G7</f>
        <v>8.9736136908222144E-2</v>
      </c>
      <c r="Q7" s="173">
        <f t="shared" si="1"/>
        <v>0.10110528507117021</v>
      </c>
    </row>
    <row r="8" spans="2:17" ht="15" thickBot="1">
      <c r="B8" s="300" t="s">
        <v>181</v>
      </c>
      <c r="C8" s="301"/>
      <c r="D8" s="301"/>
      <c r="E8" s="301"/>
      <c r="F8" s="301"/>
      <c r="G8" s="45">
        <v>1298</v>
      </c>
      <c r="H8" s="44">
        <v>697</v>
      </c>
      <c r="I8" s="44">
        <v>1686</v>
      </c>
      <c r="L8" s="173">
        <f>G8/G$11</f>
        <v>4.5767074503719899E-3</v>
      </c>
      <c r="M8" s="173">
        <f t="shared" si="0"/>
        <v>2.2601984564498347E-3</v>
      </c>
      <c r="N8" s="173">
        <f>I8/I$11</f>
        <v>4.9459930415803712E-3</v>
      </c>
      <c r="O8" s="174"/>
      <c r="P8" s="173">
        <f t="shared" si="1"/>
        <v>-0.463020030816641</v>
      </c>
      <c r="Q8" s="173">
        <f t="shared" si="1"/>
        <v>1.4189383070301291</v>
      </c>
    </row>
    <row r="9" spans="2:17" ht="15" thickBot="1">
      <c r="B9" s="300" t="s">
        <v>184</v>
      </c>
      <c r="C9" s="301"/>
      <c r="D9" s="301"/>
      <c r="E9" s="301"/>
      <c r="F9" s="301"/>
      <c r="G9" s="45">
        <v>196</v>
      </c>
      <c r="H9" s="44">
        <v>251</v>
      </c>
      <c r="I9" s="44">
        <v>681</v>
      </c>
      <c r="L9" s="173">
        <f>G9/G$11</f>
        <v>6.9108987694369028E-4</v>
      </c>
      <c r="M9" s="173">
        <f t="shared" si="0"/>
        <v>8.1393086451780276E-4</v>
      </c>
      <c r="N9" s="173">
        <f>I9/I$11</f>
        <v>1.997758755229082E-3</v>
      </c>
      <c r="O9" s="174"/>
      <c r="P9" s="173">
        <f t="shared" si="1"/>
        <v>0.28061224489795916</v>
      </c>
      <c r="Q9" s="173">
        <f t="shared" si="1"/>
        <v>1.7131474103585658</v>
      </c>
    </row>
    <row r="10" spans="2:17" ht="15" thickBot="1"/>
    <row r="11" spans="2:17" ht="15" thickBot="1">
      <c r="D11" s="313" t="s">
        <v>190</v>
      </c>
      <c r="E11" s="314"/>
      <c r="F11" s="314"/>
      <c r="G11" s="175">
        <f>SUM(G7:G9)</f>
        <v>283610</v>
      </c>
      <c r="H11" s="175">
        <f t="shared" ref="H11" si="2">SUM(H7:H9)</f>
        <v>308380</v>
      </c>
      <c r="I11" s="175">
        <f>SUM(I7:I9)</f>
        <v>340882</v>
      </c>
    </row>
    <row r="31" spans="7:17">
      <c r="L31" s="312" t="s">
        <v>198</v>
      </c>
      <c r="M31" s="312"/>
      <c r="N31" s="312"/>
      <c r="P31" s="312" t="s">
        <v>197</v>
      </c>
      <c r="Q31" s="312"/>
    </row>
    <row r="32" spans="7:17" ht="15" thickBot="1">
      <c r="G32" s="172">
        <v>2020</v>
      </c>
      <c r="H32" s="172">
        <v>2021</v>
      </c>
      <c r="I32" s="172">
        <v>2022</v>
      </c>
      <c r="L32" s="172">
        <v>2020</v>
      </c>
      <c r="M32" s="172">
        <v>2021</v>
      </c>
      <c r="N32" s="172">
        <v>2022</v>
      </c>
      <c r="P32" s="172">
        <v>2021</v>
      </c>
      <c r="Q32" s="172">
        <v>2022</v>
      </c>
    </row>
    <row r="33" spans="2:17" ht="15" thickBot="1">
      <c r="B33" s="300" t="s">
        <v>176</v>
      </c>
      <c r="C33" s="301"/>
      <c r="D33" s="301"/>
      <c r="E33" s="301"/>
      <c r="F33" s="301"/>
      <c r="G33" s="45">
        <v>156938</v>
      </c>
      <c r="H33" s="44">
        <v>174897</v>
      </c>
      <c r="I33" s="44">
        <v>198867</v>
      </c>
      <c r="L33" s="173">
        <f>G33/G$39</f>
        <v>0.80893791397128945</v>
      </c>
      <c r="M33" s="173">
        <f t="shared" ref="M33:M37" si="3">H33/H$39</f>
        <v>0.81440245861563176</v>
      </c>
      <c r="N33" s="173">
        <f>I33/I$39</f>
        <v>0.82358178791216985</v>
      </c>
      <c r="O33" s="174"/>
      <c r="P33" s="173">
        <f t="shared" ref="P33:Q37" si="4">(H33-G33)/G33</f>
        <v>0.11443372542022964</v>
      </c>
      <c r="Q33" s="173">
        <f t="shared" si="4"/>
        <v>0.1370520935178991</v>
      </c>
    </row>
    <row r="34" spans="2:17" ht="15" thickBot="1">
      <c r="B34" s="300" t="s">
        <v>178</v>
      </c>
      <c r="C34" s="301"/>
      <c r="D34" s="301"/>
      <c r="E34" s="301"/>
      <c r="F34" s="301"/>
      <c r="G34" s="45">
        <v>12557</v>
      </c>
      <c r="H34" s="44">
        <v>18027</v>
      </c>
      <c r="I34" s="44">
        <v>17563</v>
      </c>
      <c r="L34" s="173">
        <f>G34/G$39</f>
        <v>6.4725135950104373E-2</v>
      </c>
      <c r="M34" s="173">
        <f t="shared" si="3"/>
        <v>8.3942166655025491E-2</v>
      </c>
      <c r="N34" s="173">
        <f>I34/I$39</f>
        <v>7.2734877788177221E-2</v>
      </c>
      <c r="O34" s="174"/>
      <c r="P34" s="173">
        <f t="shared" si="4"/>
        <v>0.43561360197499405</v>
      </c>
      <c r="Q34" s="173">
        <f t="shared" si="4"/>
        <v>-2.5739169024241417E-2</v>
      </c>
    </row>
    <row r="35" spans="2:17" ht="15" thickBot="1">
      <c r="B35" s="300" t="s">
        <v>179</v>
      </c>
      <c r="C35" s="301"/>
      <c r="D35" s="301"/>
      <c r="E35" s="301"/>
      <c r="F35" s="301"/>
      <c r="G35" s="45">
        <v>20432</v>
      </c>
      <c r="H35" s="44">
        <v>20454</v>
      </c>
      <c r="I35" s="44">
        <v>22029</v>
      </c>
      <c r="L35" s="173">
        <f>G35/G$39</f>
        <v>0.10531687327646194</v>
      </c>
      <c r="M35" s="173">
        <f t="shared" si="3"/>
        <v>9.5243416916951873E-2</v>
      </c>
      <c r="N35" s="173">
        <f>I35/I$39</f>
        <v>9.123023531263201E-2</v>
      </c>
      <c r="O35" s="174"/>
      <c r="P35" s="173">
        <f t="shared" si="4"/>
        <v>1.076742364917776E-3</v>
      </c>
      <c r="Q35" s="173">
        <f t="shared" si="4"/>
        <v>7.7002053388090352E-2</v>
      </c>
    </row>
    <row r="36" spans="2:17" ht="15" thickBot="1">
      <c r="B36" s="300" t="s">
        <v>182</v>
      </c>
      <c r="C36" s="301"/>
      <c r="D36" s="301"/>
      <c r="E36" s="301"/>
      <c r="F36" s="308"/>
      <c r="G36" s="45">
        <v>947</v>
      </c>
      <c r="H36" s="44">
        <v>168</v>
      </c>
      <c r="I36" s="44">
        <v>974</v>
      </c>
      <c r="L36" s="173">
        <f>G36/G$39</f>
        <v>4.8813174918172211E-3</v>
      </c>
      <c r="M36" s="173">
        <f t="shared" si="3"/>
        <v>7.8228679192568278E-4</v>
      </c>
      <c r="N36" s="173">
        <f>I36/I$39</f>
        <v>4.0336941846885275E-3</v>
      </c>
      <c r="O36" s="174"/>
      <c r="P36" s="173">
        <f t="shared" si="4"/>
        <v>-0.82259767687434004</v>
      </c>
      <c r="Q36" s="173">
        <f t="shared" si="4"/>
        <v>4.7976190476190474</v>
      </c>
    </row>
    <row r="37" spans="2:17" ht="15" thickBot="1">
      <c r="B37" s="300" t="s">
        <v>185</v>
      </c>
      <c r="C37" s="301"/>
      <c r="D37" s="301"/>
      <c r="E37" s="301"/>
      <c r="F37" s="308"/>
      <c r="G37" s="45">
        <v>3131</v>
      </c>
      <c r="H37" s="44">
        <v>1209</v>
      </c>
      <c r="I37" s="44">
        <v>2033</v>
      </c>
      <c r="L37" s="173">
        <f>G37/G$39</f>
        <v>1.6138759310327055E-2</v>
      </c>
      <c r="M37" s="173">
        <f t="shared" si="3"/>
        <v>5.6296710204651809E-3</v>
      </c>
      <c r="N37" s="173">
        <f>I37/I$39</f>
        <v>8.4194048023324194E-3</v>
      </c>
      <c r="O37" s="174"/>
      <c r="P37" s="173">
        <f t="shared" si="4"/>
        <v>-0.61386138613861385</v>
      </c>
      <c r="Q37" s="173">
        <f t="shared" si="4"/>
        <v>0.68155500413564929</v>
      </c>
    </row>
    <row r="38" spans="2:17" ht="15" thickBot="1"/>
    <row r="39" spans="2:17" ht="15" thickBot="1">
      <c r="D39" s="309" t="s">
        <v>199</v>
      </c>
      <c r="E39" s="310"/>
      <c r="F39" s="311"/>
      <c r="G39" s="175">
        <f>SUM(G33:G37)</f>
        <v>194005</v>
      </c>
      <c r="H39" s="175">
        <f t="shared" ref="H39" si="5">SUM(H33:H37)</f>
        <v>214755</v>
      </c>
      <c r="I39" s="176">
        <f>SUM(I33:I37)</f>
        <v>241466</v>
      </c>
    </row>
  </sheetData>
  <mergeCells count="14">
    <mergeCell ref="D11:F11"/>
    <mergeCell ref="L5:N5"/>
    <mergeCell ref="P5:Q5"/>
    <mergeCell ref="B7:F7"/>
    <mergeCell ref="B8:F8"/>
    <mergeCell ref="B9:F9"/>
    <mergeCell ref="B37:F37"/>
    <mergeCell ref="D39:F39"/>
    <mergeCell ref="L31:N31"/>
    <mergeCell ref="P31:Q31"/>
    <mergeCell ref="B33:F33"/>
    <mergeCell ref="B34:F34"/>
    <mergeCell ref="B35:F35"/>
    <mergeCell ref="B36:F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FA46-E0A6-4222-B071-E7615E0DC358}">
  <sheetPr codeName="Arkusz4"/>
  <dimension ref="A1:I84"/>
  <sheetViews>
    <sheetView topLeftCell="A74" zoomScale="115" zoomScaleNormal="115" workbookViewId="0">
      <selection activeCell="J77" sqref="J77"/>
    </sheetView>
  </sheetViews>
  <sheetFormatPr defaultRowHeight="14.45"/>
  <cols>
    <col min="1" max="5" width="16.28515625" style="31" customWidth="1"/>
    <col min="9" max="9" width="9.140625" customWidth="1"/>
  </cols>
  <sheetData>
    <row r="1" spans="1:9" ht="30" customHeight="1">
      <c r="A1" s="319" t="s">
        <v>200</v>
      </c>
      <c r="B1" s="320"/>
      <c r="C1" s="320"/>
      <c r="D1" s="320"/>
      <c r="E1" s="320"/>
      <c r="F1" s="320"/>
    </row>
    <row r="2" spans="1:9" ht="30" customHeight="1">
      <c r="A2" s="317" t="s">
        <v>201</v>
      </c>
      <c r="B2" s="318"/>
      <c r="C2" s="318"/>
      <c r="D2" s="318"/>
      <c r="E2" s="318"/>
      <c r="F2" s="318"/>
      <c r="I2" s="42"/>
    </row>
    <row r="3" spans="1:9">
      <c r="A3" s="73" t="s">
        <v>202</v>
      </c>
      <c r="B3" s="73">
        <v>2020</v>
      </c>
      <c r="C3" s="73">
        <v>2021</v>
      </c>
      <c r="D3" s="73">
        <v>2022</v>
      </c>
      <c r="E3" s="73"/>
      <c r="F3" s="73">
        <v>2021</v>
      </c>
    </row>
    <row r="4" spans="1:9" s="75" customFormat="1">
      <c r="A4" s="74" t="s">
        <v>203</v>
      </c>
      <c r="B4" s="181"/>
      <c r="C4" s="181">
        <f>('rachunek zyskow i strat'!H12)/((aktywa!C21+aktywa!D21)/2)</f>
        <v>0.21103020661696376</v>
      </c>
      <c r="D4" s="181">
        <f>('rachunek zyskow i strat'!I12)/((aktywa!D21+aktywa!E21)/2)</f>
        <v>0.21602732927510321</v>
      </c>
      <c r="E4" s="74" t="s">
        <v>204</v>
      </c>
      <c r="F4" s="180" t="s">
        <v>205</v>
      </c>
    </row>
    <row r="5" spans="1:9" ht="23.25" customHeight="1">
      <c r="A5" s="315" t="s">
        <v>206</v>
      </c>
      <c r="B5" s="315"/>
      <c r="C5" s="315"/>
      <c r="D5" s="315"/>
      <c r="E5" s="315"/>
      <c r="F5" s="315"/>
    </row>
    <row r="6" spans="1:9" ht="23.25" customHeight="1">
      <c r="A6" s="316"/>
      <c r="B6" s="316"/>
      <c r="C6" s="316"/>
      <c r="D6" s="316"/>
      <c r="E6" s="316"/>
      <c r="F6" s="316"/>
    </row>
    <row r="7" spans="1:9" ht="30" customHeight="1">
      <c r="A7" s="319" t="s">
        <v>207</v>
      </c>
      <c r="B7" s="320"/>
      <c r="C7" s="320"/>
      <c r="D7" s="320"/>
      <c r="E7" s="320"/>
      <c r="F7" s="320"/>
    </row>
    <row r="8" spans="1:9" ht="30" customHeight="1">
      <c r="A8" s="317" t="s">
        <v>208</v>
      </c>
      <c r="B8" s="318"/>
      <c r="C8" s="318"/>
      <c r="D8" s="318"/>
      <c r="E8" s="318"/>
      <c r="F8" s="318"/>
    </row>
    <row r="9" spans="1:9">
      <c r="A9" s="73" t="s">
        <v>202</v>
      </c>
      <c r="B9" s="73">
        <v>2020</v>
      </c>
      <c r="C9" s="73">
        <v>2021</v>
      </c>
      <c r="D9" s="73">
        <v>2022</v>
      </c>
      <c r="E9" s="73"/>
      <c r="F9" s="73">
        <v>2021</v>
      </c>
    </row>
    <row r="10" spans="1:9" s="53" customFormat="1">
      <c r="A10" s="74" t="s">
        <v>203</v>
      </c>
      <c r="B10" s="181"/>
      <c r="C10" s="181">
        <f>'rachunek zyskow i strat'!H17/((pasywa!C7+pasywa!D7)/2)</f>
        <v>0.23774366381946951</v>
      </c>
      <c r="D10" s="181">
        <f>'rachunek zyskow i strat'!I17/((pasywa!D7+pasywa!E7)/2)</f>
        <v>0.24087293349770739</v>
      </c>
      <c r="E10" s="74" t="s">
        <v>204</v>
      </c>
      <c r="F10" s="180" t="s">
        <v>209</v>
      </c>
    </row>
    <row r="11" spans="1:9" ht="23.25" customHeight="1">
      <c r="A11" s="315" t="s">
        <v>210</v>
      </c>
      <c r="B11" s="315"/>
      <c r="C11" s="315"/>
      <c r="D11" s="315"/>
      <c r="E11" s="315"/>
      <c r="F11" s="315"/>
    </row>
    <row r="12" spans="1:9" ht="23.25" customHeight="1">
      <c r="A12" s="316"/>
      <c r="B12" s="316"/>
      <c r="C12" s="316"/>
      <c r="D12" s="316"/>
      <c r="E12" s="316"/>
      <c r="F12" s="316"/>
    </row>
    <row r="13" spans="1:9" ht="30" customHeight="1">
      <c r="A13" s="319" t="s">
        <v>211</v>
      </c>
      <c r="B13" s="320"/>
      <c r="C13" s="320"/>
      <c r="D13" s="320"/>
      <c r="E13" s="320"/>
      <c r="F13" s="320"/>
    </row>
    <row r="14" spans="1:9" ht="30" customHeight="1">
      <c r="A14" s="317" t="s">
        <v>212</v>
      </c>
      <c r="B14" s="318"/>
      <c r="C14" s="318"/>
      <c r="D14" s="318"/>
      <c r="E14" s="318"/>
      <c r="F14" s="318"/>
      <c r="H14" s="42"/>
    </row>
    <row r="15" spans="1:9">
      <c r="A15" s="73" t="s">
        <v>202</v>
      </c>
      <c r="B15" s="73">
        <v>2020</v>
      </c>
      <c r="C15" s="73">
        <v>2021</v>
      </c>
      <c r="D15" s="73">
        <v>2022</v>
      </c>
      <c r="E15" s="73"/>
      <c r="F15" s="73">
        <v>2021</v>
      </c>
    </row>
    <row r="16" spans="1:9" s="53" customFormat="1">
      <c r="A16" s="74" t="s">
        <v>203</v>
      </c>
      <c r="B16" s="181">
        <f>'rachunek zyskow i strat'!G17/('rachunek zyskow i strat'!G10+'rachunek zyskow i strat'!G4+'rachunek zyskow i strat'!G13)</f>
        <v>0.26940516907020201</v>
      </c>
      <c r="C16" s="181">
        <f>'rachunek zyskow i strat'!H17/('rachunek zyskow i strat'!H10+'rachunek zyskow i strat'!H4+'rachunek zyskow i strat'!H13)</f>
        <v>0.2615214994487321</v>
      </c>
      <c r="D16" s="181">
        <f>'rachunek zyskow i strat'!I17/('rachunek zyskow i strat'!I10+'rachunek zyskow i strat'!I4+'rachunek zyskow i strat'!I13)</f>
        <v>0.2501921486027423</v>
      </c>
      <c r="E16" s="74" t="s">
        <v>204</v>
      </c>
      <c r="F16" s="180" t="s">
        <v>213</v>
      </c>
    </row>
    <row r="17" spans="1:8">
      <c r="A17" s="315" t="s">
        <v>214</v>
      </c>
      <c r="B17" s="315"/>
      <c r="C17" s="315"/>
      <c r="D17" s="315"/>
      <c r="E17" s="315"/>
      <c r="F17" s="315"/>
    </row>
    <row r="18" spans="1:8">
      <c r="A18" s="316"/>
      <c r="B18" s="316"/>
      <c r="C18" s="316"/>
      <c r="D18" s="316"/>
      <c r="E18" s="316"/>
      <c r="F18" s="316"/>
      <c r="H18" s="41"/>
    </row>
    <row r="19" spans="1:8" ht="30" customHeight="1">
      <c r="A19" s="319" t="s">
        <v>215</v>
      </c>
      <c r="B19" s="320"/>
      <c r="C19" s="320"/>
      <c r="D19" s="320"/>
      <c r="E19" s="320"/>
      <c r="F19" s="320"/>
    </row>
    <row r="20" spans="1:8" ht="30" customHeight="1">
      <c r="A20" s="317" t="s">
        <v>216</v>
      </c>
      <c r="B20" s="318"/>
      <c r="C20" s="318"/>
      <c r="D20" s="318"/>
      <c r="E20" s="318"/>
      <c r="F20" s="318"/>
    </row>
    <row r="21" spans="1:8">
      <c r="A21" s="73" t="s">
        <v>202</v>
      </c>
      <c r="B21" s="73">
        <v>2020</v>
      </c>
      <c r="C21" s="73">
        <v>2021</v>
      </c>
      <c r="D21" s="73">
        <v>2022</v>
      </c>
      <c r="E21" s="73"/>
      <c r="F21" s="73">
        <v>2021</v>
      </c>
    </row>
    <row r="22" spans="1:8" s="53" customFormat="1">
      <c r="A22" s="74" t="s">
        <v>203</v>
      </c>
      <c r="B22" s="181">
        <f>'rachunek zyskow i strat'!G6/'rachunek zyskow i strat'!G4</f>
        <v>0.44371109756270471</v>
      </c>
      <c r="C22" s="181">
        <f>'rachunek zyskow i strat'!H6/'rachunek zyskow i strat'!H4</f>
        <v>0.4311034635301465</v>
      </c>
      <c r="D22" s="181">
        <f>'rachunek zyskow i strat'!I6/'rachunek zyskow i strat'!I4</f>
        <v>0.41253120245779362</v>
      </c>
      <c r="E22" s="74" t="s">
        <v>204</v>
      </c>
      <c r="F22" s="180" t="s">
        <v>217</v>
      </c>
    </row>
    <row r="23" spans="1:8">
      <c r="A23" s="315" t="s">
        <v>218</v>
      </c>
      <c r="B23" s="315"/>
      <c r="C23" s="315"/>
      <c r="D23" s="315"/>
      <c r="E23" s="315"/>
      <c r="F23" s="315"/>
    </row>
    <row r="24" spans="1:8">
      <c r="A24" s="316"/>
      <c r="B24" s="316"/>
      <c r="C24" s="316"/>
      <c r="D24" s="316"/>
      <c r="E24" s="316"/>
      <c r="F24" s="316"/>
    </row>
    <row r="25" spans="1:8" ht="30" customHeight="1">
      <c r="A25" s="319" t="s">
        <v>219</v>
      </c>
      <c r="B25" s="320"/>
      <c r="C25" s="320"/>
      <c r="D25" s="320"/>
      <c r="E25" s="320"/>
      <c r="F25" s="320"/>
    </row>
    <row r="26" spans="1:8" ht="30" customHeight="1">
      <c r="A26" s="317" t="s">
        <v>220</v>
      </c>
      <c r="B26" s="318"/>
      <c r="C26" s="318"/>
      <c r="D26" s="318"/>
      <c r="E26" s="318"/>
      <c r="F26" s="318"/>
    </row>
    <row r="27" spans="1:8">
      <c r="A27" s="73" t="s">
        <v>202</v>
      </c>
      <c r="B27" s="73">
        <v>2020</v>
      </c>
      <c r="C27" s="73">
        <v>2021</v>
      </c>
      <c r="D27" s="73">
        <v>2022</v>
      </c>
      <c r="E27" s="73"/>
      <c r="F27" s="73">
        <v>2021</v>
      </c>
    </row>
    <row r="28" spans="1:8" s="53" customFormat="1">
      <c r="A28" s="74" t="s">
        <v>203</v>
      </c>
      <c r="B28" s="181">
        <f>('rachunek zyskow i strat'!G12+'przepływy pieniężne'!C7)/('rachunek zyskow i strat'!G4+'rachunek zyskow i strat'!G10)</f>
        <v>0.41574516431792358</v>
      </c>
      <c r="C28" s="181">
        <f>('rachunek zyskow i strat'!H12+'przepływy pieniężne'!D7)/('rachunek zyskow i strat'!H4+'rachunek zyskow i strat'!H10)</f>
        <v>0.39615875169166159</v>
      </c>
      <c r="D28" s="181">
        <f>('rachunek zyskow i strat'!I12+'przepływy pieniężne'!E7)/('rachunek zyskow i strat'!I4+'rachunek zyskow i strat'!I10)</f>
        <v>0.3844756482197289</v>
      </c>
      <c r="E28" s="74" t="s">
        <v>204</v>
      </c>
      <c r="F28" s="180" t="s">
        <v>221</v>
      </c>
    </row>
    <row r="29" spans="1:8">
      <c r="A29" s="315" t="s">
        <v>222</v>
      </c>
      <c r="B29" s="315"/>
      <c r="C29" s="315"/>
      <c r="D29" s="315"/>
      <c r="E29" s="315"/>
      <c r="F29" s="315"/>
    </row>
    <row r="30" spans="1:8">
      <c r="A30" s="316"/>
      <c r="B30" s="316"/>
      <c r="C30" s="316"/>
      <c r="D30" s="316"/>
      <c r="E30" s="316"/>
      <c r="F30" s="316"/>
    </row>
    <row r="31" spans="1:8" ht="30" customHeight="1">
      <c r="A31" s="319" t="s">
        <v>223</v>
      </c>
      <c r="B31" s="320"/>
      <c r="C31" s="320"/>
      <c r="D31" s="320"/>
      <c r="E31" s="320"/>
      <c r="F31" s="320"/>
    </row>
    <row r="32" spans="1:8" ht="44.45" customHeight="1">
      <c r="A32" s="317" t="s">
        <v>224</v>
      </c>
      <c r="B32" s="318"/>
      <c r="C32" s="318"/>
      <c r="D32" s="318"/>
      <c r="E32" s="318"/>
      <c r="F32" s="318"/>
    </row>
    <row r="33" spans="1:6">
      <c r="A33" s="73" t="s">
        <v>202</v>
      </c>
      <c r="B33" s="73">
        <v>2020</v>
      </c>
      <c r="C33" s="73">
        <v>2021</v>
      </c>
      <c r="D33" s="73">
        <v>2022</v>
      </c>
      <c r="E33" s="73"/>
      <c r="F33" s="73">
        <v>2021</v>
      </c>
    </row>
    <row r="34" spans="1:6" s="53" customFormat="1">
      <c r="A34" s="74" t="s">
        <v>203</v>
      </c>
      <c r="B34" s="171">
        <f>aktywa!C20/pasywa!C22</f>
        <v>1.4893658536585366</v>
      </c>
      <c r="C34" s="171">
        <f>aktywa!D20/pasywa!D22</f>
        <v>1.6873699015471166</v>
      </c>
      <c r="D34" s="171">
        <f>aktywa!E20/pasywa!E22</f>
        <v>1.4699133859391276</v>
      </c>
      <c r="E34" s="74" t="s">
        <v>204</v>
      </c>
      <c r="F34" s="171">
        <v>4.0199999999999996</v>
      </c>
    </row>
    <row r="35" spans="1:6">
      <c r="A35" s="315" t="s">
        <v>225</v>
      </c>
      <c r="B35" s="315"/>
      <c r="C35" s="315"/>
      <c r="D35" s="315"/>
      <c r="E35" s="315"/>
      <c r="F35" s="315"/>
    </row>
    <row r="36" spans="1:6">
      <c r="A36" s="316"/>
      <c r="B36" s="316"/>
      <c r="C36" s="316"/>
      <c r="D36" s="316"/>
      <c r="E36" s="316"/>
      <c r="F36" s="316"/>
    </row>
    <row r="37" spans="1:6" ht="30" customHeight="1">
      <c r="A37" s="319" t="s">
        <v>226</v>
      </c>
      <c r="B37" s="320"/>
      <c r="C37" s="320"/>
      <c r="D37" s="320"/>
      <c r="E37" s="320"/>
      <c r="F37" s="320"/>
    </row>
    <row r="38" spans="1:6" ht="44.45" customHeight="1">
      <c r="A38" s="317" t="s">
        <v>227</v>
      </c>
      <c r="B38" s="318"/>
      <c r="C38" s="318"/>
      <c r="D38" s="318"/>
      <c r="E38" s="318"/>
      <c r="F38" s="318"/>
    </row>
    <row r="39" spans="1:6">
      <c r="A39" s="73" t="s">
        <v>202</v>
      </c>
      <c r="B39" s="73">
        <v>2020</v>
      </c>
      <c r="C39" s="73">
        <v>2021</v>
      </c>
      <c r="D39" s="73">
        <v>2022</v>
      </c>
      <c r="E39" s="73"/>
      <c r="F39" s="73">
        <v>2021</v>
      </c>
    </row>
    <row r="40" spans="1:6" s="53" customFormat="1">
      <c r="A40" s="74" t="s">
        <v>203</v>
      </c>
      <c r="B40" s="171">
        <f>(aktywa!C20-aktywa!C12-aktywa!C16)/pasywa!C22</f>
        <v>1.4357073170731707</v>
      </c>
      <c r="C40" s="171">
        <f>(aktywa!D20-aktywa!D12-aktywa!D16)/pasywa!D22</f>
        <v>1.6564088138771682</v>
      </c>
      <c r="D40" s="171">
        <f>(aktywa!E20-aktywa!E12-aktywa!E16)/pasywa!E22</f>
        <v>1.4406472510380846</v>
      </c>
      <c r="E40" s="74" t="s">
        <v>204</v>
      </c>
      <c r="F40" s="171">
        <v>3.67</v>
      </c>
    </row>
    <row r="41" spans="1:6">
      <c r="A41" s="315" t="s">
        <v>228</v>
      </c>
      <c r="B41" s="315"/>
      <c r="C41" s="315"/>
      <c r="D41" s="315"/>
      <c r="E41" s="315"/>
      <c r="F41" s="315"/>
    </row>
    <row r="42" spans="1:6">
      <c r="A42" s="316" t="s">
        <v>229</v>
      </c>
      <c r="B42" s="316"/>
      <c r="C42" s="316"/>
      <c r="D42" s="316"/>
      <c r="E42" s="316"/>
      <c r="F42" s="316"/>
    </row>
    <row r="43" spans="1:6" ht="30" customHeight="1">
      <c r="A43" s="319" t="s">
        <v>230</v>
      </c>
      <c r="B43" s="320"/>
      <c r="C43" s="320"/>
      <c r="D43" s="320"/>
      <c r="E43" s="320"/>
      <c r="F43" s="320"/>
    </row>
    <row r="44" spans="1:6" ht="30" customHeight="1">
      <c r="A44" s="317" t="s">
        <v>231</v>
      </c>
      <c r="B44" s="318"/>
      <c r="C44" s="318"/>
      <c r="D44" s="318"/>
      <c r="E44" s="318"/>
      <c r="F44" s="318"/>
    </row>
    <row r="45" spans="1:6">
      <c r="A45" s="73" t="s">
        <v>202</v>
      </c>
      <c r="B45" s="73">
        <v>2020</v>
      </c>
      <c r="C45" s="73">
        <v>2021</v>
      </c>
      <c r="D45" s="73">
        <v>2022</v>
      </c>
      <c r="E45" s="73"/>
      <c r="F45" s="73">
        <v>2021</v>
      </c>
    </row>
    <row r="46" spans="1:6">
      <c r="A46" s="74" t="s">
        <v>203</v>
      </c>
      <c r="B46" s="171">
        <f>(aktywa!C17+aktywa!C18)/pasywa!C22</f>
        <v>0.75795121951219513</v>
      </c>
      <c r="C46" s="171">
        <f>(aktywa!D17+aktywa!D18)/pasywa!D22</f>
        <v>0.8032255039849977</v>
      </c>
      <c r="D46" s="171">
        <f>(aktywa!E17+aktywa!E18)/pasywa!E22</f>
        <v>0.68894564860661234</v>
      </c>
      <c r="E46" s="74" t="s">
        <v>204</v>
      </c>
      <c r="F46" s="171">
        <v>1.95</v>
      </c>
    </row>
    <row r="47" spans="1:6">
      <c r="A47" s="315" t="s">
        <v>232</v>
      </c>
      <c r="B47" s="315"/>
      <c r="C47" s="315"/>
      <c r="D47" s="315"/>
      <c r="E47" s="315"/>
      <c r="F47" s="315"/>
    </row>
    <row r="48" spans="1:6">
      <c r="A48" s="316"/>
      <c r="B48" s="316"/>
      <c r="C48" s="316"/>
      <c r="D48" s="316"/>
      <c r="E48" s="316"/>
      <c r="F48" s="316"/>
    </row>
    <row r="49" spans="1:6" ht="30" customHeight="1">
      <c r="A49" s="319" t="s">
        <v>233</v>
      </c>
      <c r="B49" s="320"/>
      <c r="C49" s="320"/>
      <c r="D49" s="320"/>
      <c r="E49" s="320"/>
      <c r="F49" s="320"/>
    </row>
    <row r="50" spans="1:6" ht="30" customHeight="1">
      <c r="A50" s="317" t="s">
        <v>234</v>
      </c>
      <c r="B50" s="318"/>
      <c r="C50" s="318"/>
      <c r="D50" s="318"/>
      <c r="E50" s="318"/>
      <c r="F50" s="318"/>
    </row>
    <row r="51" spans="1:6">
      <c r="A51" s="73" t="s">
        <v>202</v>
      </c>
      <c r="B51" s="73">
        <v>2020</v>
      </c>
      <c r="C51" s="73">
        <v>2021</v>
      </c>
      <c r="D51" s="73">
        <v>2022</v>
      </c>
      <c r="E51" s="73"/>
      <c r="F51" s="73">
        <v>2021</v>
      </c>
    </row>
    <row r="52" spans="1:6" s="53" customFormat="1">
      <c r="A52" s="74" t="s">
        <v>203</v>
      </c>
      <c r="B52" s="171"/>
      <c r="C52" s="171">
        <f>((aktywa!D13+aktywa!C13)/2)*365/'rachunek zyskow i strat'!H4</f>
        <v>50.219674594707122</v>
      </c>
      <c r="D52" s="171">
        <f>((aktywa!E13+aktywa!D13)/2)*365/'rachunek zyskow i strat'!I4</f>
        <v>51.771634934936415</v>
      </c>
      <c r="E52" s="74" t="s">
        <v>204</v>
      </c>
      <c r="F52" s="171">
        <v>54.53</v>
      </c>
    </row>
    <row r="53" spans="1:6">
      <c r="A53" s="315" t="s">
        <v>235</v>
      </c>
      <c r="B53" s="315"/>
      <c r="C53" s="315"/>
      <c r="D53" s="315"/>
      <c r="E53" s="315"/>
      <c r="F53" s="315"/>
    </row>
    <row r="54" spans="1:6">
      <c r="A54" s="316"/>
      <c r="B54" s="316"/>
      <c r="C54" s="316"/>
      <c r="D54" s="316"/>
      <c r="E54" s="316"/>
      <c r="F54" s="316"/>
    </row>
    <row r="55" spans="1:6" ht="30" customHeight="1">
      <c r="A55" s="319" t="s">
        <v>236</v>
      </c>
      <c r="B55" s="320"/>
      <c r="C55" s="320"/>
      <c r="D55" s="320"/>
      <c r="E55" s="320"/>
      <c r="F55" s="320"/>
    </row>
    <row r="56" spans="1:6" ht="30" customHeight="1">
      <c r="A56" s="317" t="s">
        <v>237</v>
      </c>
      <c r="B56" s="318"/>
      <c r="C56" s="318"/>
      <c r="D56" s="318"/>
      <c r="E56" s="318"/>
      <c r="F56" s="318"/>
    </row>
    <row r="57" spans="1:6">
      <c r="A57" s="73" t="s">
        <v>202</v>
      </c>
      <c r="B57" s="73">
        <v>2020</v>
      </c>
      <c r="C57" s="73">
        <v>2021</v>
      </c>
      <c r="D57" s="73">
        <v>2022</v>
      </c>
      <c r="E57" s="73"/>
      <c r="F57" s="73">
        <v>2021</v>
      </c>
    </row>
    <row r="58" spans="1:6" s="53" customFormat="1">
      <c r="A58" s="74" t="s">
        <v>203</v>
      </c>
      <c r="B58" s="171"/>
      <c r="C58" s="171">
        <f>((pasywa!D16+pasywa!C16)/2)*365/'rachunek zyskow i strat'!H4</f>
        <v>7.241064690728356</v>
      </c>
      <c r="D58" s="171">
        <f>((pasywa!E16+pasywa!D16)/2)*365/'rachunek zyskow i strat'!I4</f>
        <v>7.0748637431133039</v>
      </c>
      <c r="E58" s="74" t="s">
        <v>204</v>
      </c>
      <c r="F58" s="171">
        <v>25.88</v>
      </c>
    </row>
    <row r="59" spans="1:6">
      <c r="A59" s="315" t="s">
        <v>238</v>
      </c>
      <c r="B59" s="315"/>
      <c r="C59" s="315"/>
      <c r="D59" s="315"/>
      <c r="E59" s="315"/>
      <c r="F59" s="315"/>
    </row>
    <row r="60" spans="1:6">
      <c r="A60" s="316"/>
      <c r="B60" s="316"/>
      <c r="C60" s="316"/>
      <c r="D60" s="316"/>
      <c r="E60" s="316"/>
      <c r="F60" s="316"/>
    </row>
    <row r="61" spans="1:6" ht="30" customHeight="1">
      <c r="A61" s="319" t="s">
        <v>239</v>
      </c>
      <c r="B61" s="320"/>
      <c r="C61" s="320"/>
      <c r="D61" s="320"/>
      <c r="E61" s="320"/>
      <c r="F61" s="320"/>
    </row>
    <row r="62" spans="1:6" ht="30" customHeight="1">
      <c r="A62" s="317" t="s">
        <v>240</v>
      </c>
      <c r="B62" s="318"/>
      <c r="C62" s="318"/>
      <c r="D62" s="318"/>
      <c r="E62" s="318"/>
      <c r="F62" s="318"/>
    </row>
    <row r="63" spans="1:6">
      <c r="A63" s="73" t="s">
        <v>202</v>
      </c>
      <c r="B63" s="73">
        <v>2020</v>
      </c>
      <c r="C63" s="73">
        <v>2021</v>
      </c>
      <c r="D63" s="73">
        <v>2022</v>
      </c>
      <c r="E63" s="73"/>
      <c r="F63" s="73">
        <v>2021</v>
      </c>
    </row>
    <row r="64" spans="1:6" s="53" customFormat="1">
      <c r="A64" s="74" t="s">
        <v>203</v>
      </c>
      <c r="B64" s="171"/>
      <c r="C64" s="171">
        <f>((aktywa!D12+aktywa!C12)/2)*365/'rachunek zyskow i strat'!H4</f>
        <v>0.49924048244815111</v>
      </c>
      <c r="D64" s="171">
        <f>((aktywa!E12+aktywa!D12)/2)*365/'rachunek zyskow i strat'!I4</f>
        <v>0.45232116745195927</v>
      </c>
      <c r="E64" s="74" t="s">
        <v>204</v>
      </c>
      <c r="F64" s="171">
        <v>16.82</v>
      </c>
    </row>
    <row r="65" spans="1:6">
      <c r="A65" s="315" t="s">
        <v>241</v>
      </c>
      <c r="B65" s="315"/>
      <c r="C65" s="315"/>
      <c r="D65" s="315"/>
      <c r="E65" s="315"/>
      <c r="F65" s="315"/>
    </row>
    <row r="66" spans="1:6">
      <c r="A66" s="316"/>
      <c r="B66" s="316"/>
      <c r="C66" s="316"/>
      <c r="D66" s="316"/>
      <c r="E66" s="316"/>
      <c r="F66" s="316"/>
    </row>
    <row r="67" spans="1:6" ht="30" customHeight="1">
      <c r="A67" s="319" t="s">
        <v>242</v>
      </c>
      <c r="B67" s="320"/>
      <c r="C67" s="320"/>
      <c r="D67" s="320"/>
      <c r="E67" s="320"/>
      <c r="F67" s="320"/>
    </row>
    <row r="68" spans="1:6" ht="30" customHeight="1">
      <c r="A68" s="317" t="s">
        <v>243</v>
      </c>
      <c r="B68" s="318"/>
      <c r="C68" s="318"/>
      <c r="D68" s="318"/>
      <c r="E68" s="318"/>
      <c r="F68" s="318"/>
    </row>
    <row r="69" spans="1:6">
      <c r="A69" s="73" t="s">
        <v>202</v>
      </c>
      <c r="B69" s="73">
        <v>2020</v>
      </c>
      <c r="C69" s="73">
        <v>2021</v>
      </c>
      <c r="D69" s="73">
        <v>2022</v>
      </c>
      <c r="E69" s="73"/>
      <c r="F69" s="73">
        <v>2021</v>
      </c>
    </row>
    <row r="70" spans="1:6" s="53" customFormat="1">
      <c r="A70" s="74" t="s">
        <v>203</v>
      </c>
      <c r="B70" s="171">
        <f>(pasywa!C7+pasywa!C11)/(aktywa!C10+aktywa!C7)</f>
        <v>0.96043379845849686</v>
      </c>
      <c r="C70" s="171">
        <f>(pasywa!D7+pasywa!D11)/(aktywa!D10+aktywa!D7)</f>
        <v>0.9531196666384496</v>
      </c>
      <c r="D70" s="171">
        <f>(pasywa!E7+pasywa!E11)/(aktywa!E10+aktywa!E7)</f>
        <v>0.97107146672364064</v>
      </c>
      <c r="E70" s="74" t="s">
        <v>204</v>
      </c>
      <c r="F70" s="171">
        <v>11.43</v>
      </c>
    </row>
    <row r="71" spans="1:6">
      <c r="A71" s="315" t="s">
        <v>244</v>
      </c>
      <c r="B71" s="315"/>
      <c r="C71" s="315"/>
      <c r="D71" s="315"/>
      <c r="E71" s="315"/>
      <c r="F71" s="315"/>
    </row>
    <row r="72" spans="1:6">
      <c r="A72" s="316"/>
      <c r="B72" s="316"/>
      <c r="C72" s="316"/>
      <c r="D72" s="316"/>
      <c r="E72" s="316"/>
      <c r="F72" s="316"/>
    </row>
    <row r="73" spans="1:6" ht="30" customHeight="1">
      <c r="A73" s="319" t="s">
        <v>245</v>
      </c>
      <c r="B73" s="320"/>
      <c r="C73" s="320"/>
      <c r="D73" s="320"/>
      <c r="E73" s="320"/>
      <c r="F73" s="320"/>
    </row>
    <row r="74" spans="1:6" ht="30" customHeight="1">
      <c r="A74" s="317" t="s">
        <v>246</v>
      </c>
      <c r="B74" s="318"/>
      <c r="C74" s="318"/>
      <c r="D74" s="318"/>
      <c r="E74" s="318"/>
      <c r="F74" s="318"/>
    </row>
    <row r="75" spans="1:6">
      <c r="A75" s="73" t="s">
        <v>202</v>
      </c>
      <c r="B75" s="73">
        <v>2020</v>
      </c>
      <c r="C75" s="73">
        <v>2021</v>
      </c>
      <c r="D75" s="73">
        <v>2022</v>
      </c>
      <c r="E75" s="73"/>
      <c r="F75" s="73">
        <v>2021</v>
      </c>
    </row>
    <row r="76" spans="1:6" s="53" customFormat="1">
      <c r="A76" s="74" t="s">
        <v>203</v>
      </c>
      <c r="B76" s="171">
        <f>(pasywa!C7+pasywa!C12)/aktywa!C21</f>
        <v>0.86036310134687166</v>
      </c>
      <c r="C76" s="171">
        <f>(pasywa!D7+pasywa!D12)/aktywa!D21</f>
        <v>0.88305023411884687</v>
      </c>
      <c r="D76" s="171">
        <f>(pasywa!E7+pasywa!E12)/aktywa!E21</f>
        <v>0.85306549478566063</v>
      </c>
      <c r="E76" s="74" t="s">
        <v>204</v>
      </c>
      <c r="F76" s="171">
        <v>0.66</v>
      </c>
    </row>
    <row r="77" spans="1:6">
      <c r="A77" s="315" t="s">
        <v>247</v>
      </c>
      <c r="B77" s="315"/>
      <c r="C77" s="315"/>
      <c r="D77" s="315"/>
      <c r="E77" s="315"/>
      <c r="F77" s="315"/>
    </row>
    <row r="78" spans="1:6">
      <c r="A78" s="316"/>
      <c r="B78" s="316"/>
      <c r="C78" s="316"/>
      <c r="D78" s="316"/>
      <c r="E78" s="316"/>
      <c r="F78" s="316"/>
    </row>
    <row r="79" spans="1:6" ht="30" customHeight="1">
      <c r="A79" s="319" t="s">
        <v>248</v>
      </c>
      <c r="B79" s="320"/>
      <c r="C79" s="320"/>
      <c r="D79" s="320"/>
      <c r="E79" s="320"/>
      <c r="F79" s="320"/>
    </row>
    <row r="80" spans="1:6" ht="30" customHeight="1">
      <c r="A80" s="317" t="s">
        <v>249</v>
      </c>
      <c r="B80" s="318"/>
      <c r="C80" s="318"/>
      <c r="D80" s="318"/>
      <c r="E80" s="318"/>
      <c r="F80" s="318"/>
    </row>
    <row r="81" spans="1:6">
      <c r="A81" s="73" t="s">
        <v>202</v>
      </c>
      <c r="B81" s="73">
        <v>2020</v>
      </c>
      <c r="C81" s="73">
        <v>2021</v>
      </c>
      <c r="D81" s="73">
        <v>2022</v>
      </c>
      <c r="E81" s="73"/>
      <c r="F81" s="73">
        <v>2021</v>
      </c>
    </row>
    <row r="82" spans="1:6" s="53" customFormat="1">
      <c r="A82" s="74" t="s">
        <v>203</v>
      </c>
      <c r="B82" s="171">
        <f>pasywa!C23*100/aktywa!C21</f>
        <v>24.629678403734548</v>
      </c>
      <c r="C82" s="171">
        <f>pasywa!D23*100/aktywa!D21</f>
        <v>24.008860329191933</v>
      </c>
      <c r="D82" s="171">
        <f>pasywa!E23*100/aktywa!E21</f>
        <v>24.175497008097217</v>
      </c>
      <c r="E82" s="74" t="s">
        <v>204</v>
      </c>
      <c r="F82" s="171">
        <v>36.799999999999997</v>
      </c>
    </row>
    <row r="83" spans="1:6" ht="23.25" customHeight="1">
      <c r="A83" s="315" t="s">
        <v>250</v>
      </c>
      <c r="B83" s="315"/>
      <c r="C83" s="315"/>
      <c r="D83" s="315"/>
      <c r="E83" s="315"/>
      <c r="F83" s="315"/>
    </row>
    <row r="84" spans="1:6" ht="23.25" customHeight="1">
      <c r="A84" s="316"/>
      <c r="B84" s="316"/>
      <c r="C84" s="316"/>
      <c r="D84" s="316"/>
      <c r="E84" s="316"/>
      <c r="F84" s="316"/>
    </row>
  </sheetData>
  <mergeCells count="42">
    <mergeCell ref="A83:F84"/>
    <mergeCell ref="A29:F30"/>
    <mergeCell ref="A35:F36"/>
    <mergeCell ref="A41:F42"/>
    <mergeCell ref="A47:F48"/>
    <mergeCell ref="A53:F54"/>
    <mergeCell ref="A73:F73"/>
    <mergeCell ref="A74:F74"/>
    <mergeCell ref="A79:F79"/>
    <mergeCell ref="A80:F80"/>
    <mergeCell ref="A56:F56"/>
    <mergeCell ref="A61:F61"/>
    <mergeCell ref="A62:F62"/>
    <mergeCell ref="A67:F67"/>
    <mergeCell ref="A68:F68"/>
    <mergeCell ref="A59:F60"/>
    <mergeCell ref="A65:F66"/>
    <mergeCell ref="A71:F72"/>
    <mergeCell ref="A77:F78"/>
    <mergeCell ref="A2:F2"/>
    <mergeCell ref="A1:F1"/>
    <mergeCell ref="A7:F7"/>
    <mergeCell ref="A8:F8"/>
    <mergeCell ref="A13:F13"/>
    <mergeCell ref="A5:F6"/>
    <mergeCell ref="A11:F12"/>
    <mergeCell ref="A14:F14"/>
    <mergeCell ref="A19:F19"/>
    <mergeCell ref="A20:F20"/>
    <mergeCell ref="A25:F25"/>
    <mergeCell ref="A26:F26"/>
    <mergeCell ref="A17:F18"/>
    <mergeCell ref="A23:F24"/>
    <mergeCell ref="A44:F44"/>
    <mergeCell ref="A49:F49"/>
    <mergeCell ref="A50:F50"/>
    <mergeCell ref="A55:F55"/>
    <mergeCell ref="A31:F31"/>
    <mergeCell ref="A32:F32"/>
    <mergeCell ref="A37:F37"/>
    <mergeCell ref="A38:F38"/>
    <mergeCell ref="A43:F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3D20-7F56-425D-ACBB-FDFFAE928CC8}">
  <dimension ref="C1:G70"/>
  <sheetViews>
    <sheetView workbookViewId="0">
      <selection activeCell="G6" sqref="G6"/>
    </sheetView>
  </sheetViews>
  <sheetFormatPr defaultRowHeight="14.45"/>
  <cols>
    <col min="3" max="3" width="17.140625" customWidth="1"/>
    <col min="4" max="4" width="20.140625" customWidth="1"/>
    <col min="5" max="5" width="20.5703125" customWidth="1"/>
    <col min="6" max="6" width="15.7109375" customWidth="1"/>
    <col min="7" max="7" width="59.42578125" customWidth="1"/>
    <col min="8" max="8" width="6.7109375" customWidth="1"/>
    <col min="9" max="9" width="7.140625" customWidth="1"/>
    <col min="10" max="10" width="8.85546875" customWidth="1"/>
  </cols>
  <sheetData>
    <row r="1" spans="3:7" ht="21">
      <c r="C1" s="322" t="s">
        <v>251</v>
      </c>
      <c r="D1" s="322"/>
      <c r="E1" s="322"/>
      <c r="F1" s="322"/>
    </row>
    <row r="2" spans="3:7" ht="18">
      <c r="C2" s="321" t="s">
        <v>252</v>
      </c>
      <c r="D2" s="321"/>
      <c r="E2" s="321"/>
      <c r="F2" s="321"/>
    </row>
    <row r="3" spans="3:7" ht="15.6">
      <c r="C3" s="323" t="s">
        <v>253</v>
      </c>
      <c r="D3" s="323"/>
      <c r="E3" s="323"/>
      <c r="F3" s="323"/>
      <c r="G3" s="151" t="s">
        <v>254</v>
      </c>
    </row>
    <row r="4" spans="3:7">
      <c r="C4" s="177">
        <v>2020</v>
      </c>
      <c r="D4" s="177">
        <v>2021</v>
      </c>
      <c r="E4" s="177">
        <v>2022</v>
      </c>
    </row>
    <row r="5" spans="3:7">
      <c r="C5" s="182">
        <f>pasywa!C23/aktywa!C21</f>
        <v>0.24629678403734548</v>
      </c>
      <c r="D5" s="182">
        <f>pasywa!D23/aktywa!D21</f>
        <v>0.24008860329191933</v>
      </c>
      <c r="E5" s="182">
        <f>pasywa!E23/aktywa!E21</f>
        <v>0.24175497008097216</v>
      </c>
    </row>
    <row r="6" spans="3:7" ht="46.5" customHeight="1">
      <c r="C6" s="324" t="s">
        <v>255</v>
      </c>
      <c r="D6" s="324"/>
      <c r="E6" s="324"/>
      <c r="F6" s="324"/>
    </row>
    <row r="7" spans="3:7" ht="15.6">
      <c r="C7" s="323" t="s">
        <v>256</v>
      </c>
      <c r="D7" s="323"/>
      <c r="E7" s="323"/>
      <c r="F7" s="323"/>
      <c r="G7" s="151" t="s">
        <v>257</v>
      </c>
    </row>
    <row r="8" spans="3:7">
      <c r="C8" s="177">
        <v>2020</v>
      </c>
      <c r="D8" s="177">
        <v>2021</v>
      </c>
      <c r="E8" s="177">
        <v>2022</v>
      </c>
    </row>
    <row r="9" spans="3:7">
      <c r="C9" s="182">
        <f>pasywa!C23/pasywa!C7</f>
        <v>0.32678218537619896</v>
      </c>
      <c r="D9" s="182">
        <f>pasywa!D23/pasywa!D7</f>
        <v>0.31594289062116693</v>
      </c>
      <c r="E9" s="182">
        <f>pasywa!E23/pasywa!E7</f>
        <v>0.31883488917400343</v>
      </c>
    </row>
    <row r="10" spans="3:7" ht="30" customHeight="1">
      <c r="C10" s="324" t="s">
        <v>258</v>
      </c>
      <c r="D10" s="324"/>
      <c r="E10" s="324"/>
      <c r="F10" s="324"/>
    </row>
    <row r="11" spans="3:7" ht="15.6">
      <c r="C11" s="323" t="s">
        <v>259</v>
      </c>
      <c r="D11" s="323"/>
      <c r="E11" s="323"/>
      <c r="F11" s="323"/>
      <c r="G11" s="151" t="s">
        <v>260</v>
      </c>
    </row>
    <row r="12" spans="3:7">
      <c r="C12" s="177">
        <v>2020</v>
      </c>
      <c r="D12" s="177">
        <v>2021</v>
      </c>
      <c r="E12" s="177">
        <v>2022</v>
      </c>
    </row>
    <row r="13" spans="3:7">
      <c r="C13" s="182">
        <f>pasywa!C12/aktywa!C21</f>
        <v>0.10665988538421717</v>
      </c>
      <c r="D13" s="182">
        <f>pasywa!D12/aktywa!D21</f>
        <v>0.12313883741076617</v>
      </c>
      <c r="E13" s="182">
        <f>pasywa!E12/aktywa!E21</f>
        <v>9.4820464866632842E-2</v>
      </c>
    </row>
    <row r="14" spans="3:7" ht="30" customHeight="1">
      <c r="C14" s="324" t="s">
        <v>261</v>
      </c>
      <c r="D14" s="324"/>
      <c r="E14" s="324"/>
      <c r="F14" s="324"/>
    </row>
    <row r="15" spans="3:7" ht="15.6">
      <c r="C15" s="323" t="s">
        <v>262</v>
      </c>
      <c r="D15" s="323"/>
      <c r="E15" s="323"/>
      <c r="F15" s="323"/>
      <c r="G15" s="151" t="s">
        <v>263</v>
      </c>
    </row>
    <row r="16" spans="3:7">
      <c r="C16" s="177">
        <v>2020</v>
      </c>
      <c r="D16" s="177">
        <v>2021</v>
      </c>
      <c r="E16" s="177">
        <v>2022</v>
      </c>
    </row>
    <row r="17" spans="3:7">
      <c r="C17" s="182">
        <f>aktywa!C6/pasywa!C12</f>
        <v>0.44916553133514986</v>
      </c>
      <c r="D17" s="182">
        <f>aktywa!D6/pasywa!D12</f>
        <v>0.39694017489803551</v>
      </c>
      <c r="E17" s="182">
        <f>aktywa!E6/pasywa!E12</f>
        <v>0.82027639579878386</v>
      </c>
    </row>
    <row r="18" spans="3:7" ht="30" customHeight="1">
      <c r="C18" s="324" t="s">
        <v>264</v>
      </c>
      <c r="D18" s="324"/>
      <c r="E18" s="324"/>
      <c r="F18" s="324"/>
    </row>
    <row r="19" spans="3:7" ht="15.6">
      <c r="C19" s="323" t="s">
        <v>265</v>
      </c>
      <c r="D19" s="323"/>
      <c r="E19" s="323"/>
      <c r="F19" s="323"/>
      <c r="G19" s="151" t="s">
        <v>266</v>
      </c>
    </row>
    <row r="20" spans="3:7">
      <c r="C20" s="177">
        <v>2020</v>
      </c>
      <c r="D20" s="177">
        <v>2021</v>
      </c>
      <c r="E20" s="177">
        <v>2022</v>
      </c>
    </row>
    <row r="21" spans="3:7">
      <c r="C21" s="182">
        <f>('przepływy pieniężne'!C4-'przepływy pieniężne'!C42)/-'przepływy pieniężne'!C42</f>
        <v>50.287678767876791</v>
      </c>
      <c r="D21" s="182">
        <f>('przepływy pieniężne'!D4-'przepływy pieniężne'!D42)/-'przepływy pieniężne'!D42</f>
        <v>83.055214723926383</v>
      </c>
      <c r="E21" s="182">
        <f>('przepływy pieniężne'!E4-'przepływy pieniężne'!E42)/-'przepływy pieniężne'!E42</f>
        <v>61.288659793814432</v>
      </c>
    </row>
    <row r="22" spans="3:7" ht="30" customHeight="1">
      <c r="C22" s="324" t="s">
        <v>267</v>
      </c>
      <c r="D22" s="324"/>
      <c r="E22" s="324"/>
      <c r="F22" s="324"/>
    </row>
    <row r="23" spans="3:7" ht="15.6">
      <c r="C23" s="323" t="s">
        <v>268</v>
      </c>
      <c r="D23" s="323"/>
      <c r="E23" s="323"/>
      <c r="F23" s="323"/>
      <c r="G23" s="151" t="s">
        <v>269</v>
      </c>
    </row>
    <row r="24" spans="3:7">
      <c r="C24" s="177">
        <v>2020</v>
      </c>
      <c r="D24" s="177">
        <v>2021</v>
      </c>
      <c r="E24" s="177">
        <v>2022</v>
      </c>
    </row>
    <row r="25" spans="3:7">
      <c r="C25" s="182">
        <f>('rachunek zyskow i strat'!G15+(-'przepływy pieniężne'!C42))/(-'przepływy pieniężne'!C42-'przepływy pieniężne'!C40-'przepływy pieniężne'!C41)</f>
        <v>5.5367611434108523</v>
      </c>
      <c r="D25" s="182">
        <f>('rachunek zyskow i strat'!H15+(-'przepływy pieniężne'!D42))/(-'przepływy pieniężne'!D42-'przepływy pieniężne'!D40-'przepływy pieniężne'!D41)</f>
        <v>8.0755006391137627</v>
      </c>
      <c r="E25" s="182">
        <f>('rachunek zyskow i strat'!I15+(-'przepływy pieniężne'!E42))/(-'przepływy pieniężne'!E42-'przepływy pieniężne'!E40-'przepływy pieniężne'!E41)</f>
        <v>6.2289676425269649</v>
      </c>
    </row>
    <row r="26" spans="3:7" ht="45.75" customHeight="1">
      <c r="C26" s="324" t="s">
        <v>270</v>
      </c>
      <c r="D26" s="324"/>
      <c r="E26" s="324"/>
      <c r="F26" s="324"/>
    </row>
    <row r="27" spans="3:7" ht="15.6">
      <c r="C27" s="323" t="s">
        <v>271</v>
      </c>
      <c r="D27" s="323"/>
      <c r="E27" s="323"/>
      <c r="F27" s="323"/>
      <c r="G27" s="151" t="s">
        <v>272</v>
      </c>
    </row>
    <row r="28" spans="3:7">
      <c r="C28" s="177">
        <v>2020</v>
      </c>
      <c r="D28" s="177">
        <v>2021</v>
      </c>
      <c r="E28" s="177">
        <v>2022</v>
      </c>
    </row>
    <row r="29" spans="3:7">
      <c r="C29" s="182">
        <f>('przepływy pieniężne'!C5+'przepływy pieniężne'!C7)/-('przepływy pieniężne'!C40+'przepływy pieniężne'!C41+'przepływy pieniężne'!C42)</f>
        <v>6.1587936046511631</v>
      </c>
      <c r="D29" s="182">
        <f>('przepływy pieniężne'!D5+'przepływy pieniężne'!D7)/-('przepływy pieniężne'!D40+'przepływy pieniężne'!D41+'przepływy pieniężne'!D42)</f>
        <v>9.2145717937792924</v>
      </c>
      <c r="E29" s="182">
        <f>('przepływy pieniężne'!E5+'przepływy pieniężne'!E7)/-('przepływy pieniężne'!E40+'przepływy pieniężne'!E41+'przepływy pieniężne'!E42)</f>
        <v>7.1073651771956854</v>
      </c>
    </row>
    <row r="30" spans="3:7" ht="30" customHeight="1">
      <c r="C30" s="324" t="s">
        <v>273</v>
      </c>
      <c r="D30" s="324"/>
      <c r="E30" s="324"/>
      <c r="F30" s="324"/>
    </row>
    <row r="31" spans="3:7">
      <c r="F31" s="152"/>
    </row>
    <row r="32" spans="3:7" ht="18">
      <c r="C32" s="321" t="s">
        <v>274</v>
      </c>
      <c r="D32" s="321"/>
      <c r="E32" s="321"/>
      <c r="F32" s="321"/>
    </row>
    <row r="33" spans="3:7" ht="24" customHeight="1"/>
    <row r="34" spans="3:7" ht="15.6">
      <c r="C34" s="323" t="s">
        <v>275</v>
      </c>
      <c r="D34" s="323"/>
      <c r="E34" s="323"/>
      <c r="F34" s="323"/>
      <c r="G34" s="151" t="s">
        <v>276</v>
      </c>
    </row>
    <row r="35" spans="3:7">
      <c r="C35" s="177">
        <v>2020</v>
      </c>
      <c r="D35" s="177">
        <v>2021</v>
      </c>
      <c r="E35" s="177">
        <v>2022</v>
      </c>
    </row>
    <row r="36" spans="3:7">
      <c r="C36" s="182">
        <f>'przepływy pieniężne'!C18/-(SUM('przepływy pieniężne'!C40:C42))</f>
        <v>6.8629481589147288</v>
      </c>
      <c r="D36" s="182">
        <f>'przepływy pieniężne'!D18/-(SUM('przepływy pieniężne'!D40:D42))</f>
        <v>8.2220707285896886</v>
      </c>
      <c r="E36" s="182">
        <f>'przepływy pieniężne'!E18/-(SUM('przepływy pieniężne'!E40:E42))</f>
        <v>7.8660708782742681</v>
      </c>
    </row>
    <row r="37" spans="3:7" ht="60.75" customHeight="1">
      <c r="C37" s="324" t="s">
        <v>277</v>
      </c>
      <c r="D37" s="324"/>
      <c r="E37" s="324"/>
      <c r="F37" s="324"/>
    </row>
    <row r="38" spans="3:7" ht="15.6">
      <c r="C38" s="323" t="s">
        <v>278</v>
      </c>
      <c r="D38" s="323"/>
      <c r="E38" s="323"/>
      <c r="F38" s="323"/>
      <c r="G38" s="151" t="s">
        <v>279</v>
      </c>
    </row>
    <row r="39" spans="3:7">
      <c r="C39" s="177">
        <v>2020</v>
      </c>
      <c r="D39" s="177">
        <v>2021</v>
      </c>
      <c r="E39" s="177">
        <v>2022</v>
      </c>
    </row>
    <row r="40" spans="3:7">
      <c r="C40" s="182">
        <f>'przepływy pieniężne'!C18/-('przepływy pieniężne'!C42)</f>
        <v>62.332783278327831</v>
      </c>
      <c r="D40" s="182">
        <f>'przepływy pieniężne'!D18/-('przepływy pieniężne'!D42)</f>
        <v>84.562664329535494</v>
      </c>
      <c r="E40" s="182">
        <f>'przepływy pieniężne'!E18/-('przepływy pieniężne'!E42)</f>
        <v>77.396604002425718</v>
      </c>
    </row>
    <row r="41" spans="3:7" ht="30" customHeight="1">
      <c r="C41" s="324" t="s">
        <v>280</v>
      </c>
      <c r="D41" s="324"/>
      <c r="E41" s="324"/>
      <c r="F41" s="324"/>
    </row>
    <row r="42" spans="3:7" ht="15.6">
      <c r="C42" s="323" t="s">
        <v>281</v>
      </c>
      <c r="D42" s="323"/>
      <c r="E42" s="323"/>
      <c r="F42" s="323"/>
      <c r="G42" s="151" t="s">
        <v>282</v>
      </c>
    </row>
    <row r="43" spans="3:7">
      <c r="C43" s="177">
        <v>2020</v>
      </c>
      <c r="D43" s="177">
        <v>2021</v>
      </c>
      <c r="E43" s="177">
        <v>2022</v>
      </c>
    </row>
    <row r="44" spans="3:7">
      <c r="C44" s="182">
        <f>'przepływy pieniężne'!C18/pasywa!C23</f>
        <v>1.0446642575316198</v>
      </c>
      <c r="D44" s="182">
        <f>'przepływy pieniężne'!D18/pasywa!D23</f>
        <v>0.88137605963168664</v>
      </c>
      <c r="E44" s="182">
        <f>'przepływy pieniężne'!E18/pasywa!E23</f>
        <v>1.1068548037396146</v>
      </c>
    </row>
    <row r="45" spans="3:7" ht="60.75" customHeight="1">
      <c r="C45" s="324" t="s">
        <v>283</v>
      </c>
      <c r="D45" s="324"/>
      <c r="E45" s="324"/>
      <c r="F45" s="324"/>
    </row>
    <row r="46" spans="3:7" ht="15.6">
      <c r="C46" s="323" t="s">
        <v>284</v>
      </c>
      <c r="D46" s="323"/>
      <c r="E46" s="323"/>
      <c r="F46" s="323"/>
      <c r="G46" s="151" t="s">
        <v>285</v>
      </c>
    </row>
    <row r="47" spans="3:7">
      <c r="C47" s="177">
        <v>2020</v>
      </c>
      <c r="D47" s="177">
        <v>2021</v>
      </c>
      <c r="E47" s="177">
        <v>2022</v>
      </c>
    </row>
    <row r="48" spans="3:7">
      <c r="C48" s="182">
        <f>'przepływy pieniężne'!C18/pasywa!C12</f>
        <v>2.4123169277929155</v>
      </c>
      <c r="D48" s="182">
        <f>'przepływy pieniężne'!D18/pasywa!D12</f>
        <v>1.7184533456818709</v>
      </c>
      <c r="E48" s="182">
        <f>'przepływy pieniężne'!E18/pasywa!E12</f>
        <v>2.8220453289110004</v>
      </c>
    </row>
    <row r="49" spans="3:7" ht="30" customHeight="1">
      <c r="C49" s="324" t="s">
        <v>286</v>
      </c>
      <c r="D49" s="324"/>
      <c r="E49" s="324"/>
      <c r="F49" s="324"/>
    </row>
    <row r="51" spans="3:7" ht="15.75">
      <c r="C51" s="325" t="s">
        <v>287</v>
      </c>
      <c r="D51" s="323"/>
      <c r="E51" s="323"/>
      <c r="F51" s="323"/>
      <c r="G51" s="151" t="s">
        <v>288</v>
      </c>
    </row>
    <row r="52" spans="3:7" ht="15">
      <c r="C52" s="177">
        <v>2020</v>
      </c>
      <c r="D52" s="177">
        <v>2021</v>
      </c>
      <c r="E52" s="177">
        <v>2022</v>
      </c>
    </row>
    <row r="53" spans="3:7" ht="15">
      <c r="C53" s="182">
        <f>pasywa!C7/aktywa!C21</f>
        <v>0.75370321596265455</v>
      </c>
      <c r="D53" s="182">
        <f>pasywa!D7/aktywa!D21</f>
        <v>0.75991139670808061</v>
      </c>
      <c r="E53" s="182">
        <f>pasywa!E7/aktywa!E21</f>
        <v>0.75824502991902787</v>
      </c>
    </row>
    <row r="54" spans="3:7" ht="36" customHeight="1">
      <c r="C54" s="324" t="s">
        <v>289</v>
      </c>
      <c r="D54" s="324"/>
      <c r="E54" s="324"/>
      <c r="F54" s="324"/>
    </row>
    <row r="55" spans="3:7" ht="15.75">
      <c r="C55" s="325" t="s">
        <v>290</v>
      </c>
      <c r="D55" s="323"/>
      <c r="E55" s="323"/>
      <c r="F55" s="323"/>
      <c r="G55" s="151" t="s">
        <v>291</v>
      </c>
    </row>
    <row r="56" spans="3:7" ht="15">
      <c r="C56" s="177">
        <v>2020</v>
      </c>
      <c r="D56" s="177">
        <v>2021</v>
      </c>
      <c r="E56" s="177">
        <v>2022</v>
      </c>
    </row>
    <row r="57" spans="3:7" ht="15">
      <c r="C57" s="182">
        <f>1/C53</f>
        <v>1.326782185376199</v>
      </c>
      <c r="D57" s="182">
        <f t="shared" ref="D57:E57" si="0">1/D53</f>
        <v>1.315942890621167</v>
      </c>
      <c r="E57" s="182">
        <f t="shared" si="0"/>
        <v>1.3188348891740034</v>
      </c>
    </row>
    <row r="58" spans="3:7" ht="15">
      <c r="C58" s="324"/>
      <c r="D58" s="324"/>
      <c r="E58" s="324"/>
      <c r="F58" s="324"/>
    </row>
    <row r="59" spans="3:7" ht="15.75">
      <c r="C59" s="325" t="s">
        <v>292</v>
      </c>
      <c r="D59" s="323"/>
      <c r="E59" s="323"/>
      <c r="F59" s="323"/>
      <c r="G59" s="151" t="s">
        <v>293</v>
      </c>
    </row>
    <row r="60" spans="3:7" ht="15">
      <c r="C60" s="177">
        <v>2020</v>
      </c>
      <c r="D60" s="177">
        <v>2021</v>
      </c>
      <c r="E60" s="177">
        <v>2022</v>
      </c>
    </row>
    <row r="61" spans="3:7" ht="15">
      <c r="C61" s="182">
        <f>pasywa!C12/pasywa!C23</f>
        <v>0.43305431616210038</v>
      </c>
      <c r="D61" s="182">
        <f>pasywa!D12/pasywa!D23</f>
        <v>0.51288914060216306</v>
      </c>
      <c r="E61" s="182">
        <f>pasywa!E12/pasywa!E23</f>
        <v>0.39221723067316533</v>
      </c>
    </row>
    <row r="62" spans="3:7" ht="30.75" customHeight="1">
      <c r="C62" s="324" t="s">
        <v>294</v>
      </c>
      <c r="D62" s="324"/>
      <c r="E62" s="324"/>
      <c r="F62" s="324"/>
    </row>
    <row r="63" spans="3:7" ht="15.75">
      <c r="C63" s="325" t="s">
        <v>295</v>
      </c>
      <c r="D63" s="323"/>
      <c r="E63" s="323"/>
      <c r="F63" s="323"/>
      <c r="G63" s="151" t="s">
        <v>296</v>
      </c>
    </row>
    <row r="64" spans="3:7" ht="15">
      <c r="C64" s="177">
        <v>2020</v>
      </c>
      <c r="D64" s="177">
        <v>2021</v>
      </c>
      <c r="E64" s="177">
        <v>2022</v>
      </c>
      <c r="G64" s="151"/>
    </row>
    <row r="65" spans="3:7" ht="15">
      <c r="C65" s="182">
        <f>pasywa!C22/pasywa!C23</f>
        <v>0.56694568383789967</v>
      </c>
      <c r="D65" s="182">
        <f>pasywa!D22/pasywa!D23</f>
        <v>0.48711085939783688</v>
      </c>
      <c r="E65" s="182">
        <f>pasywa!E22/pasywa!E23</f>
        <v>0.60778276932683473</v>
      </c>
      <c r="F65" s="182"/>
      <c r="G65" s="151"/>
    </row>
    <row r="66" spans="3:7" ht="51.75" customHeight="1">
      <c r="C66" s="324" t="s">
        <v>297</v>
      </c>
      <c r="D66" s="324"/>
      <c r="E66" s="324"/>
      <c r="F66" s="324"/>
      <c r="G66" s="151"/>
    </row>
    <row r="67" spans="3:7" ht="15.75">
      <c r="C67" s="325" t="s">
        <v>298</v>
      </c>
      <c r="D67" s="323"/>
      <c r="E67" s="323"/>
      <c r="F67" s="323"/>
      <c r="G67" s="151" t="s">
        <v>299</v>
      </c>
    </row>
    <row r="68" spans="3:7" ht="15">
      <c r="C68" s="177">
        <v>2020</v>
      </c>
      <c r="D68" s="177">
        <v>2021</v>
      </c>
      <c r="E68" s="177">
        <v>2022</v>
      </c>
    </row>
    <row r="69" spans="3:7" ht="15">
      <c r="C69" s="182">
        <f>pasywa!C7/pasywa!C23</f>
        <v>3.0601423356318449</v>
      </c>
      <c r="D69" s="182">
        <f>pasywa!D7/pasywa!D23</f>
        <v>3.1651289827535809</v>
      </c>
      <c r="E69" s="182">
        <f>pasywa!E7/pasywa!E23</f>
        <v>3.1364196138969351</v>
      </c>
      <c r="F69" s="182"/>
    </row>
    <row r="70" spans="3:7" ht="15">
      <c r="C70" s="324" t="s">
        <v>300</v>
      </c>
      <c r="D70" s="324"/>
      <c r="E70" s="324"/>
      <c r="F70" s="324"/>
    </row>
  </sheetData>
  <mergeCells count="35">
    <mergeCell ref="C62:F62"/>
    <mergeCell ref="C63:F63"/>
    <mergeCell ref="C66:F66"/>
    <mergeCell ref="C67:F67"/>
    <mergeCell ref="C70:F70"/>
    <mergeCell ref="C51:F51"/>
    <mergeCell ref="C54:F54"/>
    <mergeCell ref="C55:F55"/>
    <mergeCell ref="C58:F58"/>
    <mergeCell ref="C59:F59"/>
    <mergeCell ref="C26:F26"/>
    <mergeCell ref="C30:F30"/>
    <mergeCell ref="C41:F41"/>
    <mergeCell ref="C45:F45"/>
    <mergeCell ref="C49:F49"/>
    <mergeCell ref="C46:F46"/>
    <mergeCell ref="C34:F34"/>
    <mergeCell ref="C27:F27"/>
    <mergeCell ref="C32:F32"/>
    <mergeCell ref="C2:F2"/>
    <mergeCell ref="C1:F1"/>
    <mergeCell ref="C42:F42"/>
    <mergeCell ref="C15:F15"/>
    <mergeCell ref="C23:F23"/>
    <mergeCell ref="C19:F19"/>
    <mergeCell ref="C11:F11"/>
    <mergeCell ref="C7:F7"/>
    <mergeCell ref="C3:F3"/>
    <mergeCell ref="C38:F38"/>
    <mergeCell ref="C37:F37"/>
    <mergeCell ref="C22:F22"/>
    <mergeCell ref="C6:F6"/>
    <mergeCell ref="C10:F10"/>
    <mergeCell ref="C14:F14"/>
    <mergeCell ref="C18:F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Z + X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a Z +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f l 1 c o i k e 4 D g A A A B E A A A A T A B w A R m 9 y b X V s Y X M v U 2 V j d G l v b j E u b S C i G A A o o B Q A A A A A A A A A A A A A A A A A A A A A A A A A A A A r T k 0 u y c z P U w i G 0 I b W A F B L A Q I t A B Q A A g A I A G m f l 1 c y Q 1 e p p A A A A P Y A A A A S A A A A A A A A A A A A A A A A A A A A A A B D b 2 5 m a W c v U G F j a 2 F n Z S 5 4 b W x Q S w E C L Q A U A A I A C A B p n 5 d X D 8 r p q 6 Q A A A D p A A A A E w A A A A A A A A A A A A A A A A D w A A A A W 0 N v b n R l b n R f V H l w Z X N d L n h t b F B L A Q I t A B Q A A g A I A G m f l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Q 7 0 y n Z O i Q 6 w j V J a d n v U H A A A A A A I A A A A A A B B m A A A A A Q A A I A A A A I Z v e 6 d n x Q q 4 4 Q B p X a 5 e t e k u k P f C W j d a l F 6 i U T S x D k S y A A A A A A 6 A A A A A A g A A I A A A A J A K 1 Q K N W m r u + e M j l x H p F j t n y P X 3 + 8 N 9 m e k v Z 8 5 M N m o Y U A A A A I D x p h 3 Z 2 w k 5 n j D B R Z L Z b 3 r R c M h v B Y S F x u r M + C v b j 9 K D m D a P l j 2 1 x e 1 T Y R v B q C A 8 4 h I I F 1 N U m u m P m C L A S B 0 k H q y i e B v I 4 X T + M Q H X H g C y y / G g Q A A A A K q C S V 7 m / q L W / C Q U C 4 2 S F 3 D D 6 G V C c V Q v 6 S V g R L 2 A 4 d G n l k w r b b V s l + F v F e T 8 i T a T P S I z l 5 5 u h B H 8 H l e k K k U e 7 J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B67BF0A6CE0F4AA7DC9804D74DEDC4" ma:contentTypeVersion="4" ma:contentTypeDescription="Utwórz nowy dokument." ma:contentTypeScope="" ma:versionID="d032028df2a2cfa92f980f659f374091">
  <xsd:schema xmlns:xsd="http://www.w3.org/2001/XMLSchema" xmlns:xs="http://www.w3.org/2001/XMLSchema" xmlns:p="http://schemas.microsoft.com/office/2006/metadata/properties" xmlns:ns2="04ba9a6b-5973-4fcb-9db2-bced8a50a17c" targetNamespace="http://schemas.microsoft.com/office/2006/metadata/properties" ma:root="true" ma:fieldsID="e7f0d4065f4470d28aaac4cd3535a85f" ns2:_="">
    <xsd:import namespace="04ba9a6b-5973-4fcb-9db2-bced8a50a17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ba9a6b-5973-4fcb-9db2-bced8a50a17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4ba9a6b-5973-4fcb-9db2-bced8a50a17c" xsi:nil="true"/>
  </documentManagement>
</p:properties>
</file>

<file path=customXml/itemProps1.xml><?xml version="1.0" encoding="utf-8"?>
<ds:datastoreItem xmlns:ds="http://schemas.openxmlformats.org/officeDocument/2006/customXml" ds:itemID="{5ADE6D33-F9E4-4E99-8B4A-C19759CFB297}"/>
</file>

<file path=customXml/itemProps2.xml><?xml version="1.0" encoding="utf-8"?>
<ds:datastoreItem xmlns:ds="http://schemas.openxmlformats.org/officeDocument/2006/customXml" ds:itemID="{F329B513-2A45-45C6-A2FF-14BEFCC861A3}"/>
</file>

<file path=customXml/itemProps3.xml><?xml version="1.0" encoding="utf-8"?>
<ds:datastoreItem xmlns:ds="http://schemas.openxmlformats.org/officeDocument/2006/customXml" ds:itemID="{4F8E131A-F9EB-4BF3-97E8-EB949F79790F}"/>
</file>

<file path=customXml/itemProps4.xml><?xml version="1.0" encoding="utf-8"?>
<ds:datastoreItem xmlns:ds="http://schemas.openxmlformats.org/officeDocument/2006/customXml" ds:itemID="{48B47759-825A-4DCF-BC20-E90CA100A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Kacper Prorok</dc:creator>
  <cp:keywords/>
  <dc:description/>
  <cp:lastModifiedBy/>
  <cp:revision/>
  <dcterms:created xsi:type="dcterms:W3CDTF">2023-12-23T12:53:07Z</dcterms:created>
  <dcterms:modified xsi:type="dcterms:W3CDTF">2024-01-15T18:39:43Z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0x0101005EB67BF0A6CE0F4AA7DC9804D74DEDC4</vt:lpwstr>
  </property>
</Properties>
</file>