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acper\Downloads\"/>
    </mc:Choice>
  </mc:AlternateContent>
  <xr:revisionPtr revIDLastSave="0" documentId="13_ncr:1_{14E2EC31-FC2D-4804-BAB5-394305D2C7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gazyn" sheetId="3" r:id="rId1"/>
    <sheet name="wzrost" sheetId="4" r:id="rId2"/>
    <sheet name="biblioteka" sheetId="5" r:id="rId3"/>
  </sheets>
  <definedNames>
    <definedName name="cen">#REF!</definedName>
    <definedName name="cennik">#REF!</definedName>
    <definedName name="dane">#REF!</definedName>
    <definedName name="ile_rat">#REF!</definedName>
    <definedName name="lista_1">#REF!</definedName>
    <definedName name="lista_10">#REF!</definedName>
    <definedName name="lista_100">#REF!</definedName>
    <definedName name="mar">#REF!</definedName>
    <definedName name="odbiorca">#REF!</definedName>
    <definedName name="stopa">#REF!</definedName>
    <definedName name="vat">#REF!</definedName>
    <definedName name="wzrost">wzrost!$H$2:$I$5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i/eDBHvoA1qLPs9SM4hQLWoU6FM4HB30U5Ve93AMhAc="/>
    </ext>
  </extLst>
</workbook>
</file>

<file path=xl/calcChain.xml><?xml version="1.0" encoding="utf-8"?>
<calcChain xmlns="http://schemas.openxmlformats.org/spreadsheetml/2006/main">
  <c r="G4" i="5" l="1"/>
  <c r="G5" i="5"/>
  <c r="G3" i="5"/>
  <c r="F4" i="5"/>
  <c r="F5" i="5"/>
  <c r="F3" i="5"/>
  <c r="I9" i="4"/>
  <c r="I10" i="4"/>
  <c r="I11" i="4"/>
  <c r="I8" i="4"/>
  <c r="D3" i="4"/>
  <c r="D4" i="4"/>
  <c r="D5" i="4"/>
  <c r="D6" i="4"/>
  <c r="D7" i="4"/>
  <c r="D8" i="4"/>
  <c r="D9" i="4"/>
  <c r="D10" i="4"/>
  <c r="D11" i="4"/>
  <c r="D2" i="4"/>
  <c r="H30" i="3"/>
  <c r="H31" i="3"/>
  <c r="H29" i="3"/>
  <c r="M24" i="3"/>
  <c r="M4" i="3"/>
  <c r="M5" i="3"/>
  <c r="M6" i="3"/>
  <c r="M7" i="3"/>
  <c r="M8" i="3"/>
  <c r="M9" i="3"/>
  <c r="M10" i="3"/>
  <c r="M11" i="3"/>
  <c r="M12" i="3"/>
  <c r="M14" i="3"/>
  <c r="M15" i="3"/>
  <c r="M16" i="3"/>
  <c r="M17" i="3"/>
  <c r="M18" i="3"/>
  <c r="M19" i="3"/>
  <c r="M20" i="3"/>
  <c r="M21" i="3"/>
  <c r="M22" i="3"/>
  <c r="M23" i="3"/>
  <c r="M3" i="3"/>
  <c r="G31" i="3"/>
  <c r="G30" i="3"/>
  <c r="G29" i="3"/>
  <c r="L15" i="3"/>
  <c r="L16" i="3"/>
  <c r="L17" i="3"/>
  <c r="L18" i="3"/>
  <c r="L19" i="3"/>
  <c r="L20" i="3"/>
  <c r="L21" i="3"/>
  <c r="L22" i="3"/>
  <c r="L23" i="3"/>
  <c r="L14" i="3"/>
  <c r="L4" i="3"/>
  <c r="L5" i="3"/>
  <c r="L6" i="3"/>
  <c r="L7" i="3"/>
  <c r="L8" i="3"/>
  <c r="L9" i="3"/>
  <c r="L10" i="3"/>
  <c r="L11" i="3"/>
  <c r="L12" i="3"/>
  <c r="L3" i="3"/>
  <c r="I15" i="3"/>
  <c r="I16" i="3"/>
  <c r="I17" i="3"/>
  <c r="I18" i="3"/>
  <c r="I19" i="3"/>
  <c r="I20" i="3"/>
  <c r="I21" i="3"/>
  <c r="I22" i="3"/>
  <c r="I23" i="3"/>
  <c r="I14" i="3"/>
  <c r="I4" i="3"/>
  <c r="I5" i="3"/>
  <c r="I6" i="3"/>
  <c r="I7" i="3"/>
  <c r="I8" i="3"/>
  <c r="I9" i="3"/>
  <c r="I10" i="3"/>
  <c r="I11" i="3"/>
  <c r="I12" i="3"/>
  <c r="I3" i="3"/>
  <c r="B29" i="3"/>
  <c r="F31" i="3"/>
  <c r="F30" i="3"/>
  <c r="F29" i="3"/>
  <c r="G14" i="3"/>
  <c r="G15" i="3"/>
  <c r="K15" i="3" s="1"/>
  <c r="G16" i="3"/>
  <c r="G17" i="3"/>
  <c r="G18" i="3"/>
  <c r="G19" i="3"/>
  <c r="G20" i="3"/>
  <c r="G21" i="3"/>
  <c r="G22" i="3"/>
  <c r="K22" i="3" s="1"/>
  <c r="G23" i="3"/>
  <c r="K19" i="3"/>
  <c r="K23" i="3"/>
  <c r="H3" i="3"/>
  <c r="H4" i="3"/>
  <c r="H5" i="3"/>
  <c r="H6" i="3"/>
  <c r="H7" i="3"/>
  <c r="H8" i="3"/>
  <c r="H9" i="3"/>
  <c r="H10" i="3"/>
  <c r="H11" i="3"/>
  <c r="H12" i="3"/>
  <c r="G4" i="3"/>
  <c r="J4" i="3" s="1"/>
  <c r="G5" i="3"/>
  <c r="G6" i="3"/>
  <c r="G7" i="3"/>
  <c r="G8" i="3"/>
  <c r="J8" i="3" s="1"/>
  <c r="G9" i="3"/>
  <c r="G10" i="3"/>
  <c r="G11" i="3"/>
  <c r="G12" i="3"/>
  <c r="J12" i="3" s="1"/>
  <c r="G3" i="3"/>
  <c r="E31" i="3"/>
  <c r="E30" i="3"/>
  <c r="E29" i="3"/>
  <c r="D31" i="3"/>
  <c r="D30" i="3"/>
  <c r="D29" i="3"/>
  <c r="C31" i="3"/>
  <c r="C30" i="3"/>
  <c r="C29" i="3"/>
  <c r="J15" i="3"/>
  <c r="J17" i="3"/>
  <c r="J19" i="3"/>
  <c r="J23" i="3"/>
  <c r="J5" i="3"/>
  <c r="J6" i="3"/>
  <c r="J7" i="3"/>
  <c r="J9" i="3"/>
  <c r="J10" i="3"/>
  <c r="J11" i="3"/>
  <c r="K16" i="3"/>
  <c r="K17" i="3"/>
  <c r="K18" i="3"/>
  <c r="K20" i="3"/>
  <c r="E15" i="3"/>
  <c r="E16" i="3"/>
  <c r="E17" i="3"/>
  <c r="E18" i="3"/>
  <c r="E19" i="3"/>
  <c r="E20" i="3"/>
  <c r="E21" i="3"/>
  <c r="E22" i="3"/>
  <c r="E23" i="3"/>
  <c r="E14" i="3"/>
  <c r="E5" i="3"/>
  <c r="E6" i="3"/>
  <c r="E7" i="3"/>
  <c r="E8" i="3"/>
  <c r="E9" i="3"/>
  <c r="E10" i="3"/>
  <c r="E11" i="3"/>
  <c r="E12" i="3"/>
  <c r="E4" i="3"/>
  <c r="E3" i="3"/>
  <c r="A3" i="4"/>
  <c r="A4" i="4" s="1"/>
  <c r="A5" i="4" s="1"/>
  <c r="A6" i="4" s="1"/>
  <c r="A7" i="4" s="1"/>
  <c r="A8" i="4" s="1"/>
  <c r="A9" i="4" s="1"/>
  <c r="A10" i="4" s="1"/>
  <c r="A11" i="4" s="1"/>
  <c r="J3" i="3"/>
  <c r="G7" i="5" l="1"/>
  <c r="B31" i="3"/>
  <c r="K21" i="3"/>
  <c r="J21" i="3"/>
  <c r="J22" i="3"/>
  <c r="J18" i="3"/>
  <c r="J20" i="3"/>
  <c r="J16" i="3"/>
  <c r="K14" i="3"/>
  <c r="B30" i="3"/>
  <c r="J14" i="3"/>
</calcChain>
</file>

<file path=xl/sharedStrings.xml><?xml version="1.0" encoding="utf-8"?>
<sst xmlns="http://schemas.openxmlformats.org/spreadsheetml/2006/main" count="105" uniqueCount="78">
  <si>
    <t>magazyn</t>
  </si>
  <si>
    <t>nazwa produktu</t>
  </si>
  <si>
    <t>dostawa
[ilość sztuk]</t>
  </si>
  <si>
    <t>sprzedano
[ilość sztuk]</t>
  </si>
  <si>
    <t>ilość 
w magazynie</t>
  </si>
  <si>
    <t>cena hurtowa
1 szt (netto)</t>
  </si>
  <si>
    <t>cena sprzedaży (netto)</t>
  </si>
  <si>
    <t>cena 
detaliczna (brutto)</t>
  </si>
  <si>
    <t>wartość towaru 
w magazynie</t>
  </si>
  <si>
    <t>przychód od sprzedanych</t>
  </si>
  <si>
    <t>marża / narzut</t>
  </si>
  <si>
    <t>Produkty - narzut 40%</t>
  </si>
  <si>
    <t>M1</t>
  </si>
  <si>
    <t>długopis</t>
  </si>
  <si>
    <t>linijka</t>
  </si>
  <si>
    <t>M2</t>
  </si>
  <si>
    <t>ołówek</t>
  </si>
  <si>
    <t>pióro kulkowe</t>
  </si>
  <si>
    <t>M3</t>
  </si>
  <si>
    <t>segregator</t>
  </si>
  <si>
    <t>zeszyt A4 80 k.</t>
  </si>
  <si>
    <t>zeszyt B5 60 k.</t>
  </si>
  <si>
    <t>brulion B5 100 k.</t>
  </si>
  <si>
    <t>farby akwarele</t>
  </si>
  <si>
    <t>farby plakatowe</t>
  </si>
  <si>
    <t>Produkty - marża (sugerowana cena detaliczna)</t>
  </si>
  <si>
    <t>koperta duża</t>
  </si>
  <si>
    <t>koperta mała</t>
  </si>
  <si>
    <t>papier kolorowy</t>
  </si>
  <si>
    <t>zakreślacz</t>
  </si>
  <si>
    <t>zszywacz</t>
  </si>
  <si>
    <t>klej</t>
  </si>
  <si>
    <t>okładka na zeszyt A4</t>
  </si>
  <si>
    <t>okładka na zeszyt B5</t>
  </si>
  <si>
    <t>pędzel</t>
  </si>
  <si>
    <t>wartość magazynu</t>
  </si>
  <si>
    <t>ilość początkowa w magazynie</t>
  </si>
  <si>
    <t>sprzedanych produktów w magazynie</t>
  </si>
  <si>
    <t>stan w magazynie (ogółem)</t>
  </si>
  <si>
    <t>aktualny przychód ze sprzedaży w magazynie</t>
  </si>
  <si>
    <t>szacowany przychód ze sprzedaży w magazynie</t>
  </si>
  <si>
    <t>udział magazynu w sprzedaży ogólnej</t>
  </si>
  <si>
    <t>nazwisko</t>
  </si>
  <si>
    <t>Wzrost</t>
  </si>
  <si>
    <t>zaliczony do...</t>
  </si>
  <si>
    <t>wzrost-klasyfikacja</t>
  </si>
  <si>
    <t>Maciaszczynska</t>
  </si>
  <si>
    <t>100&lt;=w&lt;160</t>
  </si>
  <si>
    <t>b_niski</t>
  </si>
  <si>
    <t>Baradyn</t>
  </si>
  <si>
    <t>160&lt;=w&lt;175</t>
  </si>
  <si>
    <t>średni</t>
  </si>
  <si>
    <t>Horeszko</t>
  </si>
  <si>
    <t>175&lt;=w&lt;190</t>
  </si>
  <si>
    <t>wysoki</t>
  </si>
  <si>
    <t>Banach</t>
  </si>
  <si>
    <t>w&gt;=190</t>
  </si>
  <si>
    <t>b_wysoki</t>
  </si>
  <si>
    <t>Bieniek</t>
  </si>
  <si>
    <t>Sanacka</t>
  </si>
  <si>
    <t>ilość</t>
  </si>
  <si>
    <t>Junicka</t>
  </si>
  <si>
    <t>Rodner</t>
  </si>
  <si>
    <t>Mielnicka</t>
  </si>
  <si>
    <t>Kolińska</t>
  </si>
  <si>
    <t>data wypozyczenia</t>
  </si>
  <si>
    <t>data
 zwrotu</t>
  </si>
  <si>
    <t>limit</t>
  </si>
  <si>
    <t>ilość dni</t>
  </si>
  <si>
    <t>kara za zwłoke</t>
  </si>
  <si>
    <t>Mateusz M.</t>
  </si>
  <si>
    <t>Harry Potter</t>
  </si>
  <si>
    <t>Bridget Jones</t>
  </si>
  <si>
    <t>Zielone Smażone Pomidory</t>
  </si>
  <si>
    <t>suma</t>
  </si>
  <si>
    <t>kara za 1 dzień zwłoki</t>
  </si>
  <si>
    <t>towar po cenie sprzedaży</t>
  </si>
  <si>
    <t>suma sprzedaż towaru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</si>
</sst>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* #,##0.00\ &quot;zł&quot;_-;\-* #,##0.00\ &quot;zł&quot;_-;_-* &quot;-&quot;??\ &quot;zł&quot;_-;_-@"/>
    <numFmt numFmtId="165" formatCode="#,##0.00\ &quot;zł&quot;"/>
  </numFmts>
  <fonts count="12" x14ac:knownFonts="1">
    <font>
      <sz val="10"/>
      <color rgb="FF000000"/>
      <name val="Calibri"/>
      <scheme val="minor"/>
    </font>
    <font>
      <sz val="10"/>
      <color theme="1"/>
      <name val="Arial ce"/>
    </font>
    <font>
      <sz val="10"/>
      <name val="Calibri"/>
    </font>
    <font>
      <sz val="12"/>
      <color theme="1"/>
      <name val="Arial ce"/>
    </font>
    <font>
      <sz val="10"/>
      <color theme="1"/>
      <name val="Verdana"/>
    </font>
    <font>
      <b/>
      <sz val="10"/>
      <color theme="1"/>
      <name val="Verdana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Arial ce"/>
      <charset val="238"/>
    </font>
    <font>
      <b/>
      <sz val="12"/>
      <color theme="1"/>
      <name val="Arial ce"/>
      <charset val="238"/>
    </font>
    <font>
      <sz val="12"/>
      <name val="Arial ce"/>
      <charset val="238"/>
    </font>
    <font>
      <b/>
      <sz val="12"/>
      <color theme="1"/>
      <name val="Arial ce"/>
    </font>
  </fonts>
  <fills count="6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CCFFFF"/>
        <bgColor rgb="FFCC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6" fillId="0" borderId="6" xfId="0" applyFont="1" applyBorder="1"/>
    <xf numFmtId="14" fontId="6" fillId="0" borderId="1" xfId="0" applyNumberFormat="1" applyFont="1" applyBorder="1"/>
    <xf numFmtId="0" fontId="6" fillId="0" borderId="1" xfId="0" applyFont="1" applyBorder="1"/>
    <xf numFmtId="165" fontId="1" fillId="0" borderId="1" xfId="0" applyNumberFormat="1" applyFont="1" applyBorder="1"/>
    <xf numFmtId="0" fontId="7" fillId="0" borderId="0" xfId="0" applyFont="1" applyAlignment="1">
      <alignment horizontal="right"/>
    </xf>
    <xf numFmtId="165" fontId="7" fillId="0" borderId="0" xfId="0" applyNumberFormat="1" applyFont="1"/>
    <xf numFmtId="165" fontId="6" fillId="0" borderId="1" xfId="0" applyNumberFormat="1" applyFont="1" applyBorder="1"/>
    <xf numFmtId="0" fontId="8" fillId="0" borderId="2" xfId="0" applyFont="1" applyBorder="1"/>
    <xf numFmtId="0" fontId="1" fillId="0" borderId="1" xfId="0" applyFont="1" applyBorder="1"/>
    <xf numFmtId="0" fontId="3" fillId="0" borderId="2" xfId="0" applyFont="1" applyBorder="1"/>
    <xf numFmtId="0" fontId="10" fillId="0" borderId="2" xfId="0" applyFont="1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/>
    <xf numFmtId="165" fontId="3" fillId="5" borderId="7" xfId="0" applyNumberFormat="1" applyFont="1" applyFill="1" applyBorder="1"/>
    <xf numFmtId="10" fontId="3" fillId="5" borderId="7" xfId="0" applyNumberFormat="1" applyFont="1" applyFill="1" applyBorder="1"/>
    <xf numFmtId="164" fontId="3" fillId="5" borderId="7" xfId="0" applyNumberFormat="1" applyFont="1" applyFill="1" applyBorder="1"/>
    <xf numFmtId="44" fontId="3" fillId="5" borderId="7" xfId="0" applyNumberFormat="1" applyFont="1" applyFill="1" applyBorder="1"/>
    <xf numFmtId="9" fontId="3" fillId="5" borderId="7" xfId="0" applyNumberFormat="1" applyFont="1" applyFill="1" applyBorder="1"/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2" fillId="0" borderId="4" xfId="0" applyFont="1" applyBorder="1"/>
    <xf numFmtId="0" fontId="7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2" fillId="0" borderId="5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10" workbookViewId="0">
      <selection activeCell="C25" sqref="C25"/>
    </sheetView>
  </sheetViews>
  <sheetFormatPr defaultColWidth="14.44140625" defaultRowHeight="15" customHeight="1" x14ac:dyDescent="0.3"/>
  <cols>
    <col min="1" max="1" width="11.33203125" bestFit="1" customWidth="1"/>
    <col min="2" max="2" width="22.5546875" customWidth="1"/>
    <col min="3" max="4" width="15.6640625" bestFit="1" customWidth="1"/>
    <col min="5" max="5" width="15.6640625" customWidth="1"/>
    <col min="6" max="6" width="22" bestFit="1" customWidth="1"/>
    <col min="7" max="7" width="25.109375" bestFit="1" customWidth="1"/>
    <col min="8" max="8" width="20.109375" bestFit="1" customWidth="1"/>
    <col min="9" max="9" width="18.44140625" customWidth="1"/>
    <col min="10" max="10" width="19.109375" customWidth="1"/>
    <col min="11" max="11" width="10.5546875" customWidth="1"/>
    <col min="12" max="12" width="24.6640625" bestFit="1" customWidth="1"/>
    <col min="13" max="13" width="26.6640625" bestFit="1" customWidth="1"/>
    <col min="14" max="26" width="8" customWidth="1"/>
  </cols>
  <sheetData>
    <row r="1" spans="1:26" ht="49.95" customHeight="1" x14ac:dyDescent="0.3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76</v>
      </c>
      <c r="M1" s="27" t="s">
        <v>77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3">
      <c r="A2" s="34" t="s">
        <v>11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28" t="s">
        <v>12</v>
      </c>
      <c r="B3" s="28" t="s">
        <v>13</v>
      </c>
      <c r="C3" s="28">
        <v>1550</v>
      </c>
      <c r="D3" s="28">
        <v>78</v>
      </c>
      <c r="E3" s="28">
        <f>C3-D3</f>
        <v>1472</v>
      </c>
      <c r="F3" s="31">
        <v>1.6</v>
      </c>
      <c r="G3" s="31">
        <f>F3*140%</f>
        <v>2.2399999999999998</v>
      </c>
      <c r="H3" s="32">
        <f>G3*1.23</f>
        <v>2.7551999999999999</v>
      </c>
      <c r="I3" s="32">
        <f>F3*E3</f>
        <v>2355.2000000000003</v>
      </c>
      <c r="J3" s="32">
        <f>D3*G3</f>
        <v>174.71999999999997</v>
      </c>
      <c r="K3" s="33">
        <v>0.4</v>
      </c>
      <c r="L3" s="32">
        <f>I3*140%</f>
        <v>3297.28</v>
      </c>
      <c r="M3" s="32">
        <f>L3+J3</f>
        <v>3472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28" t="s">
        <v>12</v>
      </c>
      <c r="B4" s="28" t="s">
        <v>14</v>
      </c>
      <c r="C4" s="28">
        <v>700</v>
      </c>
      <c r="D4" s="28">
        <v>65</v>
      </c>
      <c r="E4" s="28">
        <f>C4-D4</f>
        <v>635</v>
      </c>
      <c r="F4" s="31">
        <v>3.6</v>
      </c>
      <c r="G4" s="31">
        <f t="shared" ref="G4:G12" si="0">F4*140%</f>
        <v>5.04</v>
      </c>
      <c r="H4" s="32">
        <f t="shared" ref="H4:H12" si="1">G4*1.23</f>
        <v>6.1992000000000003</v>
      </c>
      <c r="I4" s="32">
        <f t="shared" ref="I4:I12" si="2">F4*E4</f>
        <v>2286</v>
      </c>
      <c r="J4" s="32">
        <f t="shared" ref="J4:J12" si="3">D4*G4</f>
        <v>327.60000000000002</v>
      </c>
      <c r="K4" s="33">
        <v>0.4</v>
      </c>
      <c r="L4" s="32">
        <f t="shared" ref="L4:L12" si="4">I4*140%</f>
        <v>3200.3999999999996</v>
      </c>
      <c r="M4" s="32">
        <f t="shared" ref="M4:M23" si="5">L4+J4</f>
        <v>3527.9999999999995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28" t="s">
        <v>15</v>
      </c>
      <c r="B5" s="28" t="s">
        <v>16</v>
      </c>
      <c r="C5" s="28">
        <v>2000</v>
      </c>
      <c r="D5" s="28">
        <v>30</v>
      </c>
      <c r="E5" s="28">
        <f t="shared" ref="E5:E12" si="6">C5-D5</f>
        <v>1970</v>
      </c>
      <c r="F5" s="31">
        <v>0.4</v>
      </c>
      <c r="G5" s="31">
        <f t="shared" si="0"/>
        <v>0.55999999999999994</v>
      </c>
      <c r="H5" s="32">
        <f t="shared" si="1"/>
        <v>0.68879999999999997</v>
      </c>
      <c r="I5" s="32">
        <f t="shared" si="2"/>
        <v>788</v>
      </c>
      <c r="J5" s="32">
        <f t="shared" si="3"/>
        <v>16.799999999999997</v>
      </c>
      <c r="K5" s="33">
        <v>0.4</v>
      </c>
      <c r="L5" s="32">
        <f t="shared" si="4"/>
        <v>1103.1999999999998</v>
      </c>
      <c r="M5" s="32">
        <f t="shared" si="5"/>
        <v>1119.9999999999998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28" t="s">
        <v>12</v>
      </c>
      <c r="B6" s="28" t="s">
        <v>17</v>
      </c>
      <c r="C6" s="28">
        <v>300</v>
      </c>
      <c r="D6" s="28">
        <v>45</v>
      </c>
      <c r="E6" s="28">
        <f t="shared" si="6"/>
        <v>255</v>
      </c>
      <c r="F6" s="31">
        <v>4.7</v>
      </c>
      <c r="G6" s="31">
        <f t="shared" si="0"/>
        <v>6.58</v>
      </c>
      <c r="H6" s="32">
        <f t="shared" si="1"/>
        <v>8.0934000000000008</v>
      </c>
      <c r="I6" s="32">
        <f t="shared" si="2"/>
        <v>1198.5</v>
      </c>
      <c r="J6" s="32">
        <f t="shared" si="3"/>
        <v>296.10000000000002</v>
      </c>
      <c r="K6" s="33">
        <v>0.4</v>
      </c>
      <c r="L6" s="32">
        <f t="shared" si="4"/>
        <v>1677.8999999999999</v>
      </c>
      <c r="M6" s="32">
        <f t="shared" si="5"/>
        <v>1974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28" t="s">
        <v>18</v>
      </c>
      <c r="B7" s="28" t="s">
        <v>19</v>
      </c>
      <c r="C7" s="28">
        <v>500</v>
      </c>
      <c r="D7" s="28">
        <v>50</v>
      </c>
      <c r="E7" s="28">
        <f t="shared" si="6"/>
        <v>450</v>
      </c>
      <c r="F7" s="31">
        <v>11</v>
      </c>
      <c r="G7" s="31">
        <f t="shared" si="0"/>
        <v>15.399999999999999</v>
      </c>
      <c r="H7" s="32">
        <f t="shared" si="1"/>
        <v>18.941999999999997</v>
      </c>
      <c r="I7" s="32">
        <f t="shared" si="2"/>
        <v>4950</v>
      </c>
      <c r="J7" s="32">
        <f t="shared" si="3"/>
        <v>769.99999999999989</v>
      </c>
      <c r="K7" s="33">
        <v>0.4</v>
      </c>
      <c r="L7" s="32">
        <f t="shared" si="4"/>
        <v>6930</v>
      </c>
      <c r="M7" s="32">
        <f t="shared" si="5"/>
        <v>7700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28" t="s">
        <v>12</v>
      </c>
      <c r="B8" s="28" t="s">
        <v>20</v>
      </c>
      <c r="C8" s="28">
        <v>600</v>
      </c>
      <c r="D8" s="28">
        <v>45</v>
      </c>
      <c r="E8" s="28">
        <f t="shared" si="6"/>
        <v>555</v>
      </c>
      <c r="F8" s="31">
        <v>4</v>
      </c>
      <c r="G8" s="31">
        <f t="shared" si="0"/>
        <v>5.6</v>
      </c>
      <c r="H8" s="32">
        <f t="shared" si="1"/>
        <v>6.8879999999999999</v>
      </c>
      <c r="I8" s="32">
        <f t="shared" si="2"/>
        <v>2220</v>
      </c>
      <c r="J8" s="32">
        <f t="shared" si="3"/>
        <v>251.99999999999997</v>
      </c>
      <c r="K8" s="33">
        <v>0.4</v>
      </c>
      <c r="L8" s="32">
        <f t="shared" si="4"/>
        <v>3108</v>
      </c>
      <c r="M8" s="32">
        <f t="shared" si="5"/>
        <v>3360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28" t="s">
        <v>15</v>
      </c>
      <c r="B9" s="28" t="s">
        <v>21</v>
      </c>
      <c r="C9" s="28">
        <v>900</v>
      </c>
      <c r="D9" s="28">
        <v>12</v>
      </c>
      <c r="E9" s="28">
        <f t="shared" si="6"/>
        <v>888</v>
      </c>
      <c r="F9" s="31">
        <v>1.7</v>
      </c>
      <c r="G9" s="31">
        <f t="shared" si="0"/>
        <v>2.38</v>
      </c>
      <c r="H9" s="32">
        <f t="shared" si="1"/>
        <v>2.9274</v>
      </c>
      <c r="I9" s="32">
        <f t="shared" si="2"/>
        <v>1509.6</v>
      </c>
      <c r="J9" s="32">
        <f t="shared" si="3"/>
        <v>28.56</v>
      </c>
      <c r="K9" s="33">
        <v>0.4</v>
      </c>
      <c r="L9" s="32">
        <f t="shared" si="4"/>
        <v>2113.4399999999996</v>
      </c>
      <c r="M9" s="32">
        <f t="shared" si="5"/>
        <v>2141.9999999999995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28" t="s">
        <v>15</v>
      </c>
      <c r="B10" s="28" t="s">
        <v>22</v>
      </c>
      <c r="C10" s="28">
        <v>600</v>
      </c>
      <c r="D10" s="28">
        <v>100</v>
      </c>
      <c r="E10" s="28">
        <f t="shared" si="6"/>
        <v>500</v>
      </c>
      <c r="F10" s="31">
        <v>4</v>
      </c>
      <c r="G10" s="31">
        <f t="shared" si="0"/>
        <v>5.6</v>
      </c>
      <c r="H10" s="32">
        <f t="shared" si="1"/>
        <v>6.8879999999999999</v>
      </c>
      <c r="I10" s="32">
        <f t="shared" si="2"/>
        <v>2000</v>
      </c>
      <c r="J10" s="32">
        <f t="shared" si="3"/>
        <v>560</v>
      </c>
      <c r="K10" s="33">
        <v>0.4</v>
      </c>
      <c r="L10" s="32">
        <f t="shared" si="4"/>
        <v>2800</v>
      </c>
      <c r="M10" s="32">
        <f t="shared" si="5"/>
        <v>3360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28" t="s">
        <v>12</v>
      </c>
      <c r="B11" s="28" t="s">
        <v>23</v>
      </c>
      <c r="C11" s="28">
        <v>650</v>
      </c>
      <c r="D11" s="28">
        <v>454</v>
      </c>
      <c r="E11" s="28">
        <f t="shared" si="6"/>
        <v>196</v>
      </c>
      <c r="F11" s="31">
        <v>2.7</v>
      </c>
      <c r="G11" s="31">
        <f t="shared" si="0"/>
        <v>3.78</v>
      </c>
      <c r="H11" s="32">
        <f t="shared" si="1"/>
        <v>4.6494</v>
      </c>
      <c r="I11" s="32">
        <f t="shared" si="2"/>
        <v>529.20000000000005</v>
      </c>
      <c r="J11" s="32">
        <f t="shared" si="3"/>
        <v>1716.12</v>
      </c>
      <c r="K11" s="33">
        <v>0.4</v>
      </c>
      <c r="L11" s="32">
        <f t="shared" si="4"/>
        <v>740.88</v>
      </c>
      <c r="M11" s="32">
        <f t="shared" si="5"/>
        <v>2457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28" t="s">
        <v>12</v>
      </c>
      <c r="B12" s="28" t="s">
        <v>24</v>
      </c>
      <c r="C12" s="28">
        <v>450</v>
      </c>
      <c r="D12" s="28">
        <v>323</v>
      </c>
      <c r="E12" s="28">
        <f t="shared" si="6"/>
        <v>127</v>
      </c>
      <c r="F12" s="31">
        <v>3.9</v>
      </c>
      <c r="G12" s="31">
        <f t="shared" si="0"/>
        <v>5.46</v>
      </c>
      <c r="H12" s="32">
        <f t="shared" si="1"/>
        <v>6.7157999999999998</v>
      </c>
      <c r="I12" s="32">
        <f t="shared" si="2"/>
        <v>495.3</v>
      </c>
      <c r="J12" s="32">
        <f t="shared" si="3"/>
        <v>1763.58</v>
      </c>
      <c r="K12" s="33">
        <v>0.4</v>
      </c>
      <c r="L12" s="32">
        <f t="shared" si="4"/>
        <v>693.42</v>
      </c>
      <c r="M12" s="32">
        <f t="shared" si="5"/>
        <v>2457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37" t="s">
        <v>25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">
      <c r="A14" s="28" t="s">
        <v>15</v>
      </c>
      <c r="B14" s="28" t="s">
        <v>26</v>
      </c>
      <c r="C14" s="28">
        <v>3000</v>
      </c>
      <c r="D14" s="28">
        <v>232</v>
      </c>
      <c r="E14" s="28">
        <f>C14-D14</f>
        <v>2768</v>
      </c>
      <c r="F14" s="31">
        <v>0.08</v>
      </c>
      <c r="G14" s="31">
        <f>H14/1.23</f>
        <v>0.2032520325203252</v>
      </c>
      <c r="H14" s="28">
        <v>0.25</v>
      </c>
      <c r="I14" s="32">
        <f>F14*E14</f>
        <v>221.44</v>
      </c>
      <c r="J14" s="32">
        <f>D14*G14</f>
        <v>47.154471544715449</v>
      </c>
      <c r="K14" s="30">
        <f>(G14-F14)/G14</f>
        <v>0.60639999999999994</v>
      </c>
      <c r="L14" s="32">
        <f>I14*(K14+1)</f>
        <v>355.72121599999997</v>
      </c>
      <c r="M14" s="32">
        <f t="shared" si="5"/>
        <v>402.87568754471545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3">
      <c r="A15" s="28" t="s">
        <v>18</v>
      </c>
      <c r="B15" s="28" t="s">
        <v>27</v>
      </c>
      <c r="C15" s="28">
        <v>4000</v>
      </c>
      <c r="D15" s="28">
        <v>611</v>
      </c>
      <c r="E15" s="28">
        <f t="shared" ref="E15:E23" si="7">C15-D15</f>
        <v>3389</v>
      </c>
      <c r="F15" s="31">
        <v>0.04</v>
      </c>
      <c r="G15" s="31">
        <f t="shared" ref="G15:G23" si="8">H15/1.23</f>
        <v>0.12195121951219512</v>
      </c>
      <c r="H15" s="28">
        <v>0.15</v>
      </c>
      <c r="I15" s="32">
        <f t="shared" ref="I15:I23" si="9">F15*E15</f>
        <v>135.56</v>
      </c>
      <c r="J15" s="32">
        <f t="shared" ref="J15:J23" si="10">D15*G15</f>
        <v>74.512195121951223</v>
      </c>
      <c r="K15" s="30">
        <f t="shared" ref="K15:K23" si="11">(G15-F15)/G15</f>
        <v>0.67199999999999993</v>
      </c>
      <c r="L15" s="32">
        <f t="shared" ref="L15:L23" si="12">I15*(K15+1)</f>
        <v>226.65631999999999</v>
      </c>
      <c r="M15" s="32">
        <f t="shared" si="5"/>
        <v>301.1685151219512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">
      <c r="A16" s="28" t="s">
        <v>15</v>
      </c>
      <c r="B16" s="28" t="s">
        <v>28</v>
      </c>
      <c r="C16" s="28">
        <v>650</v>
      </c>
      <c r="D16" s="28">
        <v>500</v>
      </c>
      <c r="E16" s="28">
        <f t="shared" si="7"/>
        <v>150</v>
      </c>
      <c r="F16" s="31">
        <v>1.5</v>
      </c>
      <c r="G16" s="31">
        <f t="shared" si="8"/>
        <v>2.0325203252032522</v>
      </c>
      <c r="H16" s="28">
        <v>2.5</v>
      </c>
      <c r="I16" s="32">
        <f t="shared" si="9"/>
        <v>225</v>
      </c>
      <c r="J16" s="32">
        <f t="shared" si="10"/>
        <v>1016.2601626016261</v>
      </c>
      <c r="K16" s="30">
        <f t="shared" si="11"/>
        <v>0.26200000000000007</v>
      </c>
      <c r="L16" s="32">
        <f t="shared" si="12"/>
        <v>283.95</v>
      </c>
      <c r="M16" s="32">
        <f t="shared" si="5"/>
        <v>1300.2101626016261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3">
      <c r="A17" s="28" t="s">
        <v>12</v>
      </c>
      <c r="B17" s="28" t="s">
        <v>29</v>
      </c>
      <c r="C17" s="28">
        <v>200</v>
      </c>
      <c r="D17" s="28">
        <v>100</v>
      </c>
      <c r="E17" s="28">
        <f t="shared" si="7"/>
        <v>100</v>
      </c>
      <c r="F17" s="31">
        <v>3.2</v>
      </c>
      <c r="G17" s="31">
        <f t="shared" si="8"/>
        <v>2.9268292682926829</v>
      </c>
      <c r="H17" s="28">
        <v>3.6</v>
      </c>
      <c r="I17" s="32">
        <f t="shared" si="9"/>
        <v>320</v>
      </c>
      <c r="J17" s="32">
        <f t="shared" si="10"/>
        <v>292.6829268292683</v>
      </c>
      <c r="K17" s="30">
        <f t="shared" si="11"/>
        <v>-9.3333333333333421E-2</v>
      </c>
      <c r="L17" s="32">
        <f t="shared" si="12"/>
        <v>290.13333333333333</v>
      </c>
      <c r="M17" s="32">
        <f t="shared" si="5"/>
        <v>582.81626016260157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3">
      <c r="A18" s="28" t="s">
        <v>15</v>
      </c>
      <c r="B18" s="28" t="s">
        <v>30</v>
      </c>
      <c r="C18" s="28">
        <v>160</v>
      </c>
      <c r="D18" s="28">
        <v>20</v>
      </c>
      <c r="E18" s="28">
        <f t="shared" si="7"/>
        <v>140</v>
      </c>
      <c r="F18" s="31">
        <v>6.3</v>
      </c>
      <c r="G18" s="31">
        <f t="shared" si="8"/>
        <v>5.8536585365853657</v>
      </c>
      <c r="H18" s="28">
        <v>7.2</v>
      </c>
      <c r="I18" s="32">
        <f t="shared" si="9"/>
        <v>882</v>
      </c>
      <c r="J18" s="32">
        <f t="shared" si="10"/>
        <v>117.07317073170731</v>
      </c>
      <c r="K18" s="30">
        <f t="shared" si="11"/>
        <v>-7.6249999999999998E-2</v>
      </c>
      <c r="L18" s="32">
        <f t="shared" si="12"/>
        <v>814.74749999999995</v>
      </c>
      <c r="M18" s="32">
        <f t="shared" si="5"/>
        <v>931.8206707317072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3">
      <c r="A19" s="28" t="s">
        <v>18</v>
      </c>
      <c r="B19" s="28" t="s">
        <v>31</v>
      </c>
      <c r="C19" s="28">
        <v>600</v>
      </c>
      <c r="D19" s="28">
        <v>300</v>
      </c>
      <c r="E19" s="28">
        <f t="shared" si="7"/>
        <v>300</v>
      </c>
      <c r="F19" s="31">
        <v>1.8</v>
      </c>
      <c r="G19" s="31">
        <f t="shared" si="8"/>
        <v>1.8699186991869918</v>
      </c>
      <c r="H19" s="28">
        <v>2.2999999999999998</v>
      </c>
      <c r="I19" s="32">
        <f t="shared" si="9"/>
        <v>540</v>
      </c>
      <c r="J19" s="32">
        <f t="shared" si="10"/>
        <v>560.97560975609758</v>
      </c>
      <c r="K19" s="30">
        <f t="shared" si="11"/>
        <v>3.7391304347826039E-2</v>
      </c>
      <c r="L19" s="32">
        <f t="shared" si="12"/>
        <v>560.19130434782608</v>
      </c>
      <c r="M19" s="32">
        <f t="shared" si="5"/>
        <v>1121.1669141039238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3">
      <c r="A20" s="28" t="s">
        <v>15</v>
      </c>
      <c r="B20" s="28" t="s">
        <v>14</v>
      </c>
      <c r="C20" s="28">
        <v>350</v>
      </c>
      <c r="D20" s="28">
        <v>89</v>
      </c>
      <c r="E20" s="28">
        <f t="shared" si="7"/>
        <v>261</v>
      </c>
      <c r="F20" s="31">
        <v>1.4</v>
      </c>
      <c r="G20" s="31">
        <f t="shared" si="8"/>
        <v>1.6178861788617886</v>
      </c>
      <c r="H20" s="28">
        <v>1.99</v>
      </c>
      <c r="I20" s="32">
        <f t="shared" si="9"/>
        <v>365.4</v>
      </c>
      <c r="J20" s="32">
        <f t="shared" si="10"/>
        <v>143.99186991869919</v>
      </c>
      <c r="K20" s="30">
        <f t="shared" si="11"/>
        <v>0.13467336683417092</v>
      </c>
      <c r="L20" s="32">
        <f t="shared" si="12"/>
        <v>414.609648241206</v>
      </c>
      <c r="M20" s="32">
        <f t="shared" si="5"/>
        <v>558.60151815990525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3">
      <c r="A21" s="28" t="s">
        <v>18</v>
      </c>
      <c r="B21" s="28" t="s">
        <v>32</v>
      </c>
      <c r="C21" s="28">
        <v>550</v>
      </c>
      <c r="D21" s="28">
        <v>98</v>
      </c>
      <c r="E21" s="28">
        <f t="shared" si="7"/>
        <v>452</v>
      </c>
      <c r="F21" s="31">
        <v>0.7</v>
      </c>
      <c r="G21" s="31">
        <f t="shared" si="8"/>
        <v>1.056910569105691</v>
      </c>
      <c r="H21" s="28">
        <v>1.3</v>
      </c>
      <c r="I21" s="32">
        <f t="shared" si="9"/>
        <v>316.39999999999998</v>
      </c>
      <c r="J21" s="32">
        <f t="shared" si="10"/>
        <v>103.57723577235772</v>
      </c>
      <c r="K21" s="30">
        <f t="shared" si="11"/>
        <v>0.33769230769230774</v>
      </c>
      <c r="L21" s="32">
        <f t="shared" si="12"/>
        <v>423.24584615384612</v>
      </c>
      <c r="M21" s="32">
        <f t="shared" si="5"/>
        <v>526.82308192620383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28" t="s">
        <v>12</v>
      </c>
      <c r="B22" s="28" t="s">
        <v>33</v>
      </c>
      <c r="C22" s="28">
        <v>750</v>
      </c>
      <c r="D22" s="28">
        <v>451</v>
      </c>
      <c r="E22" s="28">
        <f t="shared" si="7"/>
        <v>299</v>
      </c>
      <c r="F22" s="31">
        <v>0.5</v>
      </c>
      <c r="G22" s="31">
        <f t="shared" si="8"/>
        <v>0.73170731707317072</v>
      </c>
      <c r="H22" s="28">
        <v>0.9</v>
      </c>
      <c r="I22" s="32">
        <f t="shared" si="9"/>
        <v>149.5</v>
      </c>
      <c r="J22" s="32">
        <f t="shared" si="10"/>
        <v>330</v>
      </c>
      <c r="K22" s="30">
        <f t="shared" si="11"/>
        <v>0.31666666666666665</v>
      </c>
      <c r="L22" s="32">
        <f t="shared" si="12"/>
        <v>196.84166666666667</v>
      </c>
      <c r="M22" s="32">
        <f t="shared" si="5"/>
        <v>526.8416666666667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3">
      <c r="A23" s="28" t="s">
        <v>18</v>
      </c>
      <c r="B23" s="28" t="s">
        <v>34</v>
      </c>
      <c r="C23" s="28">
        <v>490</v>
      </c>
      <c r="D23" s="28">
        <v>56</v>
      </c>
      <c r="E23" s="28">
        <f t="shared" si="7"/>
        <v>434</v>
      </c>
      <c r="F23" s="31">
        <v>1.3</v>
      </c>
      <c r="G23" s="31">
        <f t="shared" si="8"/>
        <v>1.788617886178862</v>
      </c>
      <c r="H23" s="28">
        <v>2.2000000000000002</v>
      </c>
      <c r="I23" s="32">
        <f t="shared" si="9"/>
        <v>564.20000000000005</v>
      </c>
      <c r="J23" s="32">
        <f t="shared" si="10"/>
        <v>100.16260162601627</v>
      </c>
      <c r="K23" s="30">
        <f t="shared" si="11"/>
        <v>0.27318181818181825</v>
      </c>
      <c r="L23" s="32">
        <f t="shared" si="12"/>
        <v>718.32918181818184</v>
      </c>
      <c r="M23" s="32">
        <f t="shared" si="5"/>
        <v>818.49178344419806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"/>
      <c r="M24" s="32">
        <f>SUM(M3:M12,M14:M23)</f>
        <v>38640.816260463493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40" t="s">
        <v>25</v>
      </c>
      <c r="B27" s="40"/>
      <c r="C27" s="40"/>
      <c r="D27" s="40"/>
      <c r="E27" s="40"/>
      <c r="F27" s="40"/>
      <c r="G27" s="40"/>
      <c r="H27" s="40"/>
      <c r="I27" s="23"/>
      <c r="J27" s="23"/>
      <c r="K27" s="2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9.95" customHeight="1" x14ac:dyDescent="0.3">
      <c r="A28" s="26" t="s">
        <v>0</v>
      </c>
      <c r="B28" s="27" t="s">
        <v>35</v>
      </c>
      <c r="C28" s="27" t="s">
        <v>36</v>
      </c>
      <c r="D28" s="27" t="s">
        <v>37</v>
      </c>
      <c r="E28" s="27" t="s">
        <v>38</v>
      </c>
      <c r="F28" s="27" t="s">
        <v>39</v>
      </c>
      <c r="G28" s="27" t="s">
        <v>40</v>
      </c>
      <c r="H28" s="27" t="s">
        <v>41</v>
      </c>
      <c r="I28" s="24"/>
      <c r="J28" s="25"/>
      <c r="K28" s="2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3">
      <c r="A29" s="28" t="s">
        <v>12</v>
      </c>
      <c r="B29" s="29">
        <f>SUM(SUMIF(A3:A12,"M1",I3:I12)+(SUMIF(A14:A23,"M1",I14:I23)))</f>
        <v>9553.7000000000007</v>
      </c>
      <c r="C29" s="29">
        <f>SUM(SUMIF(A3:A12,"M1",C3:C12)+SUMIF(A14:A23,"M1",C14:C23))</f>
        <v>5200</v>
      </c>
      <c r="D29" s="29">
        <f>SUM(SUMIF(A3:A12,"M1",D3:D12)+SUMIF(A14:A23,"M1",D14:D23))</f>
        <v>1561</v>
      </c>
      <c r="E29" s="29">
        <f>SUM(SUMIF(A3:A12,"M1",E3:E12)+SUMIF(A14:A23,"M1",E14:E23))</f>
        <v>3639</v>
      </c>
      <c r="F29" s="29">
        <f>SUM(SUMIF(A3:A12,"M1",J3:J12)+SUMIF(A14:A23,"M1",J14:J23))</f>
        <v>5152.8029268292685</v>
      </c>
      <c r="G29" s="29">
        <f>SUM(SUMIF(A3:A12,"M1",L3:L12)+SUMIF(A14:A23,"M1",L14:L23))</f>
        <v>13204.855</v>
      </c>
      <c r="H29" s="30">
        <f>(F29+G29)/$M$24</f>
        <v>0.47508463079783481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3">
      <c r="A30" s="28" t="s">
        <v>15</v>
      </c>
      <c r="B30" s="29">
        <f>SUM(SUMIF(A3:A12,"M2",I3:I12)+(SUMIF(A14:A23,"M2",I14:I23)))</f>
        <v>5991.4400000000005</v>
      </c>
      <c r="C30" s="29">
        <f>SUM(SUMIF(A3:A12,"M2",C3:C12)+SUMIF(A14:A23,"M2",C14:C23))</f>
        <v>7660</v>
      </c>
      <c r="D30" s="29">
        <f>SUM(SUMIF(A3:A12,"M2",D3:D12)+SUMIF(A14:A23,"M2",D14:D23))</f>
        <v>983</v>
      </c>
      <c r="E30" s="29">
        <f>SUM(SUMIF(A3:A12,"M2",E3:E12)+SUMIF(A14:A23,"M2",E14:E23))</f>
        <v>6677</v>
      </c>
      <c r="F30" s="29">
        <f>SUM(SUMIF(A3:A12,"M2",J3:J12)+SUMIF(A14:A23,"M2",J14:J23))</f>
        <v>1929.8396747967481</v>
      </c>
      <c r="G30" s="29">
        <f>SUM(SUMIF(A3:A12,"M2",L3:L12)+SUMIF(A14:A23,"M2",L14:L23))</f>
        <v>7885.6683642412054</v>
      </c>
      <c r="H30" s="30">
        <f>(F30+G30)/$M$24</f>
        <v>0.25401916907953581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3">
      <c r="A31" s="28" t="s">
        <v>18</v>
      </c>
      <c r="B31" s="29">
        <f>SUM(SUMIF(A3:A12,"M3",I3:I12)+(SUMIF(A14:A23,"M3",I14:I23)))</f>
        <v>6506.16</v>
      </c>
      <c r="C31" s="29">
        <f>SUM(SUMIF(A3:A12,"M3",C3:C12)+SUMIF(A14:A23,"M3",C14:C23))</f>
        <v>6140</v>
      </c>
      <c r="D31" s="29">
        <f>SUM(SUMIF(A3:A12,"M3",D3:D12)+SUMIF(A14:A23,"M3",D14:D23))</f>
        <v>1115</v>
      </c>
      <c r="E31" s="29">
        <f>SUM(SUMIF(A3:A12,"M3",E3:E12)+SUMIF(A14:A23,"M3",E14:E23))</f>
        <v>5025</v>
      </c>
      <c r="F31" s="29">
        <f>SUM(SUMIF(A3:A12,"M3",J3:J12)+SUMIF(A14:A23,"M3",J14:J23))</f>
        <v>1609.2276422764226</v>
      </c>
      <c r="G31" s="29">
        <f>SUM(SUMIF(A3:A12,"M3",L3:L12)+SUMIF(A14:A23,"M3",L14:L23))</f>
        <v>8858.422652319854</v>
      </c>
      <c r="H31" s="30">
        <f>(F31+G31)/$M$24</f>
        <v>0.27089620012262955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2:M2"/>
    <mergeCell ref="A13:M13"/>
    <mergeCell ref="A27:H27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K9" sqref="K9"/>
    </sheetView>
  </sheetViews>
  <sheetFormatPr defaultColWidth="14.44140625" defaultRowHeight="15" customHeight="1" x14ac:dyDescent="0.3"/>
  <cols>
    <col min="1" max="1" width="3.33203125" customWidth="1"/>
    <col min="2" max="2" width="16.109375" customWidth="1"/>
    <col min="3" max="3" width="8.5546875" customWidth="1"/>
    <col min="4" max="4" width="16.44140625" customWidth="1"/>
    <col min="5" max="5" width="12.109375" customWidth="1"/>
    <col min="6" max="6" width="20" customWidth="1"/>
    <col min="7" max="7" width="5" customWidth="1"/>
    <col min="8" max="8" width="13.109375" customWidth="1"/>
    <col min="9" max="9" width="19.109375" customWidth="1"/>
    <col min="10" max="26" width="8" customWidth="1"/>
  </cols>
  <sheetData>
    <row r="1" spans="1:26" ht="12.75" customHeight="1" x14ac:dyDescent="0.3">
      <c r="A1" s="4"/>
      <c r="B1" s="5" t="s">
        <v>42</v>
      </c>
      <c r="C1" s="5" t="s">
        <v>43</v>
      </c>
      <c r="D1" s="5" t="s">
        <v>44</v>
      </c>
      <c r="E1" s="4"/>
      <c r="F1" s="4"/>
      <c r="G1" s="4"/>
      <c r="H1" s="41" t="s">
        <v>45</v>
      </c>
      <c r="I1" s="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4">
        <v>1</v>
      </c>
      <c r="B2" s="6" t="s">
        <v>46</v>
      </c>
      <c r="C2" s="6">
        <v>149</v>
      </c>
      <c r="D2" s="6" t="str">
        <f>IF(C2&gt;190,I$5,IF(C2&gt;175,I$4,IF(C2&gt;160,I$3,I$2)))</f>
        <v>b_niski</v>
      </c>
      <c r="E2" s="4"/>
      <c r="F2" s="7" t="s">
        <v>47</v>
      </c>
      <c r="G2" s="7"/>
      <c r="H2" s="8">
        <v>100</v>
      </c>
      <c r="I2" s="8" t="s">
        <v>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4">
        <f t="shared" ref="A3:A11" si="0">A2+1</f>
        <v>2</v>
      </c>
      <c r="B3" s="6" t="s">
        <v>49</v>
      </c>
      <c r="C3" s="6">
        <v>152</v>
      </c>
      <c r="D3" s="6" t="str">
        <f t="shared" ref="D3:D11" si="1">IF(C3&gt;190,I$5,IF(C3&gt;175,I$4,IF(C3&gt;160,I$3,I$2)))</f>
        <v>b_niski</v>
      </c>
      <c r="E3" s="4"/>
      <c r="F3" s="7" t="s">
        <v>50</v>
      </c>
      <c r="G3" s="7"/>
      <c r="H3" s="8">
        <v>160</v>
      </c>
      <c r="I3" s="8" t="s">
        <v>51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4">
        <f t="shared" si="0"/>
        <v>3</v>
      </c>
      <c r="B4" s="6" t="s">
        <v>52</v>
      </c>
      <c r="C4" s="6">
        <v>159</v>
      </c>
      <c r="D4" s="6" t="str">
        <f t="shared" si="1"/>
        <v>b_niski</v>
      </c>
      <c r="E4" s="4"/>
      <c r="F4" s="7" t="s">
        <v>53</v>
      </c>
      <c r="G4" s="7"/>
      <c r="H4" s="8">
        <v>175</v>
      </c>
      <c r="I4" s="8" t="s">
        <v>54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4">
        <f t="shared" si="0"/>
        <v>4</v>
      </c>
      <c r="B5" s="6" t="s">
        <v>55</v>
      </c>
      <c r="C5" s="6">
        <v>160</v>
      </c>
      <c r="D5" s="6" t="str">
        <f t="shared" si="1"/>
        <v>b_niski</v>
      </c>
      <c r="E5" s="4"/>
      <c r="F5" s="7" t="s">
        <v>56</v>
      </c>
      <c r="G5" s="7"/>
      <c r="H5" s="8">
        <v>190</v>
      </c>
      <c r="I5" s="8" t="s">
        <v>57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4">
        <f t="shared" si="0"/>
        <v>5</v>
      </c>
      <c r="B6" s="6" t="s">
        <v>58</v>
      </c>
      <c r="C6" s="6">
        <v>162</v>
      </c>
      <c r="D6" s="6" t="str">
        <f t="shared" si="1"/>
        <v>średni</v>
      </c>
      <c r="E6" s="4"/>
      <c r="F6" s="4"/>
      <c r="G6" s="4"/>
      <c r="H6" s="9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4">
        <f t="shared" si="0"/>
        <v>6</v>
      </c>
      <c r="B7" s="6" t="s">
        <v>59</v>
      </c>
      <c r="C7" s="6">
        <v>167</v>
      </c>
      <c r="D7" s="6" t="str">
        <f t="shared" si="1"/>
        <v>średni</v>
      </c>
      <c r="E7" s="4"/>
      <c r="F7" s="4"/>
      <c r="G7" s="4"/>
      <c r="H7" s="41" t="s">
        <v>60</v>
      </c>
      <c r="I7" s="4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4">
        <f t="shared" si="0"/>
        <v>7</v>
      </c>
      <c r="B8" s="6" t="s">
        <v>61</v>
      </c>
      <c r="C8" s="6">
        <v>168</v>
      </c>
      <c r="D8" s="6" t="str">
        <f t="shared" si="1"/>
        <v>średni</v>
      </c>
      <c r="E8" s="4"/>
      <c r="F8" s="4"/>
      <c r="G8" s="4"/>
      <c r="H8" s="8" t="s">
        <v>48</v>
      </c>
      <c r="I8" s="10">
        <f>COUNTIF(D2:D11,I2)</f>
        <v>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4">
        <f t="shared" si="0"/>
        <v>8</v>
      </c>
      <c r="B9" s="6" t="s">
        <v>62</v>
      </c>
      <c r="C9" s="6">
        <v>176</v>
      </c>
      <c r="D9" s="6" t="str">
        <f t="shared" si="1"/>
        <v>wysoki</v>
      </c>
      <c r="E9" s="4"/>
      <c r="F9" s="4"/>
      <c r="G9" s="4"/>
      <c r="H9" s="8" t="s">
        <v>51</v>
      </c>
      <c r="I9" s="10">
        <f t="shared" ref="I9:I11" si="2">COUNTIF(D3:D12,I3)</f>
        <v>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4">
        <f t="shared" si="0"/>
        <v>9</v>
      </c>
      <c r="B10" s="6" t="s">
        <v>63</v>
      </c>
      <c r="C10" s="6">
        <v>178</v>
      </c>
      <c r="D10" s="6" t="str">
        <f t="shared" si="1"/>
        <v>wysoki</v>
      </c>
      <c r="E10" s="4"/>
      <c r="F10" s="4"/>
      <c r="G10" s="4"/>
      <c r="H10" s="8" t="s">
        <v>54</v>
      </c>
      <c r="I10" s="10">
        <f t="shared" si="2"/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4">
        <f t="shared" si="0"/>
        <v>10</v>
      </c>
      <c r="B11" s="6" t="s">
        <v>64</v>
      </c>
      <c r="C11" s="6">
        <v>191</v>
      </c>
      <c r="D11" s="6" t="str">
        <f t="shared" si="1"/>
        <v>b_wysoki</v>
      </c>
      <c r="E11" s="4"/>
      <c r="F11" s="4"/>
      <c r="G11" s="4"/>
      <c r="H11" s="8" t="s">
        <v>57</v>
      </c>
      <c r="I11" s="10">
        <f t="shared" si="2"/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H1:I1"/>
    <mergeCell ref="H7:I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selection activeCell="F24" sqref="F24"/>
    </sheetView>
  </sheetViews>
  <sheetFormatPr defaultColWidth="14.44140625" defaultRowHeight="15" customHeight="1" x14ac:dyDescent="0.3"/>
  <cols>
    <col min="1" max="1" width="9.109375" customWidth="1"/>
    <col min="2" max="2" width="24.109375" customWidth="1"/>
    <col min="3" max="3" width="14" customWidth="1"/>
    <col min="4" max="4" width="11.6640625" customWidth="1"/>
    <col min="5" max="5" width="5.5546875" customWidth="1"/>
    <col min="6" max="6" width="10.88671875" customWidth="1"/>
    <col min="7" max="7" width="9.109375" customWidth="1"/>
    <col min="8" max="26" width="8" customWidth="1"/>
  </cols>
  <sheetData>
    <row r="1" spans="1:26" ht="30" customHeight="1" x14ac:dyDescent="0.3">
      <c r="A1" s="11"/>
      <c r="B1" s="11"/>
      <c r="C1" s="12" t="s">
        <v>65</v>
      </c>
      <c r="D1" s="12" t="s">
        <v>66</v>
      </c>
      <c r="E1" s="12" t="s">
        <v>67</v>
      </c>
      <c r="F1" s="12" t="s">
        <v>68</v>
      </c>
      <c r="G1" s="12" t="s">
        <v>69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3">
      <c r="A2" s="43" t="s">
        <v>70</v>
      </c>
      <c r="B2" s="42"/>
      <c r="C2" s="44"/>
      <c r="D2" s="45"/>
      <c r="E2" s="45"/>
      <c r="F2" s="45"/>
      <c r="G2" s="4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3">
      <c r="A3" s="11">
        <v>1</v>
      </c>
      <c r="B3" s="13" t="s">
        <v>71</v>
      </c>
      <c r="C3" s="14">
        <v>40567</v>
      </c>
      <c r="D3" s="14">
        <v>40585</v>
      </c>
      <c r="E3" s="15">
        <v>14</v>
      </c>
      <c r="F3" s="21">
        <f>_xlfn.DAYS(D3,C3)</f>
        <v>18</v>
      </c>
      <c r="G3" s="16">
        <f>IF(F3&gt;E3,(F3-E3)*$C$8,0)</f>
        <v>1.4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3">
      <c r="A4" s="11">
        <v>2</v>
      </c>
      <c r="B4" s="15" t="s">
        <v>72</v>
      </c>
      <c r="C4" s="14">
        <v>40585</v>
      </c>
      <c r="D4" s="14">
        <v>40602</v>
      </c>
      <c r="E4" s="15">
        <v>31</v>
      </c>
      <c r="F4" s="21">
        <f t="shared" ref="F4:F5" si="0">_xlfn.DAYS(D4,C4)</f>
        <v>17</v>
      </c>
      <c r="G4" s="16">
        <f t="shared" ref="G4:G5" si="1">IF(F4&gt;E4,(F4-E4)*$C$8,0)</f>
        <v>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3">
      <c r="A5" s="11">
        <v>3</v>
      </c>
      <c r="B5" s="15" t="s">
        <v>73</v>
      </c>
      <c r="C5" s="14">
        <v>40528</v>
      </c>
      <c r="D5" s="14">
        <v>40585</v>
      </c>
      <c r="E5" s="15">
        <v>31</v>
      </c>
      <c r="F5" s="21">
        <f t="shared" si="0"/>
        <v>57</v>
      </c>
      <c r="G5" s="16">
        <f t="shared" si="1"/>
        <v>9.1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3">
      <c r="A7" s="11"/>
      <c r="B7" s="11"/>
      <c r="C7" s="11"/>
      <c r="D7" s="11"/>
      <c r="E7" s="11"/>
      <c r="F7" s="17" t="s">
        <v>74</v>
      </c>
      <c r="G7" s="18">
        <f>SUM(G3:G5)</f>
        <v>10.5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3">
      <c r="A8" s="11"/>
      <c r="B8" s="15" t="s">
        <v>75</v>
      </c>
      <c r="C8" s="19">
        <v>0.35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customHeight="1" x14ac:dyDescent="0.3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customHeight="1" x14ac:dyDescent="0.3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customHeight="1" x14ac:dyDescent="0.3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A2:B2"/>
    <mergeCell ref="C2:G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magazyn</vt:lpstr>
      <vt:lpstr>wzrost</vt:lpstr>
      <vt:lpstr>biblioteka</vt:lpstr>
      <vt:lpstr>wzrost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Kacper Kaczmarczyk</cp:lastModifiedBy>
  <dcterms:created xsi:type="dcterms:W3CDTF">2008-04-09T20:18:29Z</dcterms:created>
  <dcterms:modified xsi:type="dcterms:W3CDTF">2024-03-25T17:17:30Z</dcterms:modified>
</cp:coreProperties>
</file>