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13_ncr:1_{64761724-E529-4B01-B615-9B9C7783F77F}" xr6:coauthVersionLast="47" xr6:coauthVersionMax="47" xr10:uidLastSave="{00000000-0000-0000-0000-000000000000}"/>
  <bookViews>
    <workbookView xWindow="-120" yWindow="-120" windowWidth="25440" windowHeight="15390" activeTab="1" xr2:uid="{67FE6591-F488-4C86-B59D-B23031F72EA7}"/>
  </bookViews>
  <sheets>
    <sheet name="Dane pracowników" sheetId="1" r:id="rId1"/>
    <sheet name="Raport do wypłaty" sheetId="2" r:id="rId2"/>
    <sheet name="Słownik" sheetId="3" r:id="rId3"/>
  </sheets>
  <definedNames>
    <definedName name="_xlnm._FilterDatabase" localSheetId="1" hidden="1">'Raport do wypłaty'!$A$1:$E$1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2" l="1"/>
  <c r="G6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2" i="2"/>
  <c r="J64" i="1"/>
  <c r="J63" i="1"/>
  <c r="K61" i="1"/>
  <c r="K62" i="1"/>
  <c r="L61" i="1"/>
  <c r="L62" i="1"/>
  <c r="M61" i="1"/>
  <c r="M62" i="1"/>
  <c r="N61" i="1"/>
  <c r="N62" i="1"/>
  <c r="O61" i="1"/>
  <c r="Q61" i="1"/>
  <c r="Q62" i="1"/>
  <c r="R61" i="1"/>
  <c r="R62" i="1" s="1"/>
  <c r="O62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7" i="1"/>
  <c r="O6" i="1"/>
  <c r="O5" i="1"/>
  <c r="O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R4" i="1"/>
  <c r="Q4" i="1"/>
  <c r="N4" i="1"/>
  <c r="M4" i="1"/>
  <c r="L4" i="1"/>
  <c r="K4" i="1"/>
  <c r="E4" i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2" i="2"/>
  <c r="D2" i="2" s="1"/>
  <c r="I59" i="1"/>
  <c r="F12" i="2" s="1"/>
  <c r="E59" i="1"/>
  <c r="H61" i="1"/>
  <c r="F61" i="1"/>
  <c r="F62" i="1"/>
  <c r="I5" i="1"/>
  <c r="I11" i="1"/>
  <c r="I12" i="1"/>
  <c r="I13" i="1"/>
  <c r="I14" i="1"/>
  <c r="I15" i="1"/>
  <c r="I16" i="1"/>
  <c r="F11" i="2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F9" i="2" s="1"/>
  <c r="I45" i="1"/>
  <c r="I46" i="1"/>
  <c r="I47" i="1"/>
  <c r="I48" i="1"/>
  <c r="F33" i="2" s="1"/>
  <c r="I49" i="1"/>
  <c r="I50" i="1"/>
  <c r="I51" i="1"/>
  <c r="I52" i="1"/>
  <c r="I53" i="1"/>
  <c r="I54" i="1"/>
  <c r="I55" i="1"/>
  <c r="I56" i="1"/>
  <c r="I57" i="1"/>
  <c r="I58" i="1"/>
  <c r="I60" i="1"/>
  <c r="I6" i="1"/>
  <c r="F47" i="2" s="1"/>
  <c r="I7" i="1"/>
  <c r="F4" i="2" s="1"/>
  <c r="I8" i="1"/>
  <c r="I9" i="1"/>
  <c r="I10" i="1"/>
  <c r="I4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0" i="1"/>
  <c r="E11" i="1"/>
  <c r="E12" i="1"/>
  <c r="E13" i="1"/>
  <c r="E14" i="1"/>
  <c r="E15" i="1"/>
  <c r="E16" i="1"/>
  <c r="E5" i="1"/>
  <c r="E6" i="1"/>
  <c r="E7" i="1"/>
  <c r="E8" i="1"/>
  <c r="E9" i="1"/>
  <c r="F6" i="2" l="1"/>
  <c r="F50" i="2"/>
  <c r="F30" i="2"/>
  <c r="F26" i="2"/>
  <c r="F38" i="2"/>
  <c r="F14" i="2"/>
  <c r="F54" i="2"/>
  <c r="F42" i="2"/>
  <c r="F46" i="2"/>
  <c r="F34" i="2"/>
  <c r="F18" i="2"/>
  <c r="G61" i="1"/>
  <c r="F44" i="2"/>
  <c r="F48" i="2"/>
  <c r="F58" i="2"/>
  <c r="F56" i="2"/>
  <c r="F8" i="2"/>
  <c r="F10" i="2"/>
  <c r="F31" i="2"/>
  <c r="F39" i="2"/>
  <c r="F7" i="2"/>
  <c r="F15" i="2"/>
  <c r="F23" i="2"/>
  <c r="F55" i="2"/>
  <c r="F40" i="2"/>
  <c r="F51" i="2"/>
  <c r="F57" i="2"/>
  <c r="F53" i="2"/>
  <c r="F49" i="2"/>
  <c r="F45" i="2"/>
  <c r="F41" i="2"/>
  <c r="F37" i="2"/>
  <c r="F29" i="2"/>
  <c r="F25" i="2"/>
  <c r="F21" i="2"/>
  <c r="F17" i="2"/>
  <c r="F13" i="2"/>
  <c r="F5" i="2"/>
  <c r="F36" i="2"/>
  <c r="F28" i="2"/>
  <c r="F24" i="2"/>
  <c r="F20" i="2"/>
  <c r="F16" i="2"/>
  <c r="F22" i="2"/>
  <c r="F52" i="2"/>
  <c r="F32" i="2"/>
  <c r="F43" i="2"/>
  <c r="F35" i="2"/>
  <c r="F27" i="2"/>
  <c r="F19" i="2"/>
  <c r="F3" i="2"/>
  <c r="E61" i="1"/>
  <c r="I61" i="1"/>
  <c r="J54" i="1" s="1"/>
  <c r="I62" i="1"/>
  <c r="J30" i="1" l="1"/>
  <c r="J7" i="1"/>
  <c r="J35" i="1"/>
  <c r="J15" i="1"/>
  <c r="J51" i="1"/>
  <c r="J22" i="1"/>
  <c r="J55" i="1"/>
  <c r="J25" i="1"/>
  <c r="J41" i="1"/>
  <c r="J57" i="1"/>
  <c r="J50" i="1"/>
  <c r="J11" i="1"/>
  <c r="J47" i="1"/>
  <c r="J18" i="1"/>
  <c r="J58" i="1"/>
  <c r="J21" i="1"/>
  <c r="J37" i="1"/>
  <c r="J53" i="1"/>
  <c r="J34" i="1"/>
  <c r="F2" i="2"/>
  <c r="J42" i="1"/>
  <c r="J19" i="1"/>
  <c r="J39" i="1"/>
  <c r="J23" i="1"/>
  <c r="J9" i="1"/>
  <c r="J26" i="1"/>
  <c r="J13" i="1"/>
  <c r="J29" i="1"/>
  <c r="J45" i="1"/>
  <c r="J4" i="1"/>
  <c r="J20" i="1"/>
  <c r="J24" i="1"/>
  <c r="J28" i="1"/>
  <c r="J32" i="1"/>
  <c r="J36" i="1"/>
  <c r="J40" i="1"/>
  <c r="J44" i="1"/>
  <c r="J48" i="1"/>
  <c r="J52" i="1"/>
  <c r="J56" i="1"/>
  <c r="J60" i="1"/>
  <c r="J12" i="1"/>
  <c r="J16" i="1"/>
  <c r="J14" i="1"/>
  <c r="J31" i="1"/>
  <c r="J6" i="1"/>
  <c r="J46" i="1"/>
  <c r="J27" i="1"/>
  <c r="J59" i="1"/>
  <c r="J43" i="1"/>
  <c r="J10" i="1"/>
  <c r="J38" i="1"/>
  <c r="J17" i="1"/>
  <c r="J33" i="1"/>
  <c r="J49" i="1"/>
  <c r="J5" i="1"/>
  <c r="J8" i="1"/>
</calcChain>
</file>

<file path=xl/sharedStrings.xml><?xml version="1.0" encoding="utf-8"?>
<sst xmlns="http://schemas.openxmlformats.org/spreadsheetml/2006/main" count="274" uniqueCount="149">
  <si>
    <t>Lp</t>
  </si>
  <si>
    <t>Imię</t>
  </si>
  <si>
    <t>Nazwisko</t>
  </si>
  <si>
    <t>Wiek</t>
  </si>
  <si>
    <t>Pensja</t>
  </si>
  <si>
    <t>Premia</t>
  </si>
  <si>
    <t>Do wypłaty</t>
  </si>
  <si>
    <t>Anna</t>
  </si>
  <si>
    <t>Nowak</t>
  </si>
  <si>
    <t>Maria</t>
  </si>
  <si>
    <t>Włodarczyk</t>
  </si>
  <si>
    <t>Katarzyna</t>
  </si>
  <si>
    <t>Wiśniewska</t>
  </si>
  <si>
    <t>Małgorzata</t>
  </si>
  <si>
    <t>Dąbrowska</t>
  </si>
  <si>
    <t>Agnieszka</t>
  </si>
  <si>
    <t>Lewandowska</t>
  </si>
  <si>
    <t>Krystyna</t>
  </si>
  <si>
    <t>Wójcik</t>
  </si>
  <si>
    <t>Barbara</t>
  </si>
  <si>
    <t>Kamińska</t>
  </si>
  <si>
    <t>Ewa</t>
  </si>
  <si>
    <t>Kowalczyk</t>
  </si>
  <si>
    <t>Elżbieta</t>
  </si>
  <si>
    <t>Zielińska</t>
  </si>
  <si>
    <t>Zofia</t>
  </si>
  <si>
    <t>Szymańska</t>
  </si>
  <si>
    <t>Janina</t>
  </si>
  <si>
    <t>Woźniak</t>
  </si>
  <si>
    <t>Teresa</t>
  </si>
  <si>
    <t>Kozłowska</t>
  </si>
  <si>
    <t>Joanna</t>
  </si>
  <si>
    <t>Jankowska</t>
  </si>
  <si>
    <t>Magdalena</t>
  </si>
  <si>
    <t>Wojciechowska</t>
  </si>
  <si>
    <t>Monika</t>
  </si>
  <si>
    <t>Kwiatkowska</t>
  </si>
  <si>
    <t>Jadwiga</t>
  </si>
  <si>
    <t>Kaczmarek</t>
  </si>
  <si>
    <t>Krzysztof</t>
  </si>
  <si>
    <t>Jaworski</t>
  </si>
  <si>
    <t>Stanisław</t>
  </si>
  <si>
    <t>Wróbel</t>
  </si>
  <si>
    <t>Tomasz</t>
  </si>
  <si>
    <t>Malinowski</t>
  </si>
  <si>
    <t>Paweł</t>
  </si>
  <si>
    <t>Pawlak</t>
  </si>
  <si>
    <t>Józef</t>
  </si>
  <si>
    <t>Witkowski</t>
  </si>
  <si>
    <t>Marcin</t>
  </si>
  <si>
    <t>Walczak</t>
  </si>
  <si>
    <t>Marek</t>
  </si>
  <si>
    <t>Stępień</t>
  </si>
  <si>
    <t>Michał</t>
  </si>
  <si>
    <t>Górski</t>
  </si>
  <si>
    <t>Grzegorz</t>
  </si>
  <si>
    <t>Rutkowski</t>
  </si>
  <si>
    <t>Jerzy</t>
  </si>
  <si>
    <t>Michalak</t>
  </si>
  <si>
    <t>Tadeusz</t>
  </si>
  <si>
    <t>Sikora</t>
  </si>
  <si>
    <t>Rafał</t>
  </si>
  <si>
    <t>Sadowski</t>
  </si>
  <si>
    <t>Danuta</t>
  </si>
  <si>
    <t>Mazur</t>
  </si>
  <si>
    <t>Irena</t>
  </si>
  <si>
    <t>Krawczyk</t>
  </si>
  <si>
    <t>Halina</t>
  </si>
  <si>
    <t>Piotrowska</t>
  </si>
  <si>
    <t>Helena</t>
  </si>
  <si>
    <t>Grabowska</t>
  </si>
  <si>
    <t>Beata</t>
  </si>
  <si>
    <t>Nowakowska</t>
  </si>
  <si>
    <t>Aleksandra</t>
  </si>
  <si>
    <t>Pawłowska</t>
  </si>
  <si>
    <t>Marta</t>
  </si>
  <si>
    <t>Michalska</t>
  </si>
  <si>
    <t>Dorota</t>
  </si>
  <si>
    <t>Nowicka</t>
  </si>
  <si>
    <t>Marianna</t>
  </si>
  <si>
    <t>Adamczyk</t>
  </si>
  <si>
    <t>Grażyna</t>
  </si>
  <si>
    <t>Dudek</t>
  </si>
  <si>
    <t>Jolanta</t>
  </si>
  <si>
    <t>Zając</t>
  </si>
  <si>
    <t>Stanisława</t>
  </si>
  <si>
    <t>Wieczorek</t>
  </si>
  <si>
    <t>Iwona</t>
  </si>
  <si>
    <t>Jabłońska</t>
  </si>
  <si>
    <t>Jan</t>
  </si>
  <si>
    <t>Król</t>
  </si>
  <si>
    <t>Andrzej</t>
  </si>
  <si>
    <t>Majewski</t>
  </si>
  <si>
    <t>Piotr</t>
  </si>
  <si>
    <t>Olszewski</t>
  </si>
  <si>
    <t>Adam</t>
  </si>
  <si>
    <t>Ostrowski</t>
  </si>
  <si>
    <t>Łukasz</t>
  </si>
  <si>
    <t>Baran</t>
  </si>
  <si>
    <t>Zbigniew</t>
  </si>
  <si>
    <t>Duda</t>
  </si>
  <si>
    <t>Ryszard</t>
  </si>
  <si>
    <t>Szewczyk</t>
  </si>
  <si>
    <t>Dariusz</t>
  </si>
  <si>
    <t>Tomaszewski</t>
  </si>
  <si>
    <t>Henryk</t>
  </si>
  <si>
    <t>Pietrzak</t>
  </si>
  <si>
    <t>Mariusz</t>
  </si>
  <si>
    <t>Marciniak</t>
  </si>
  <si>
    <t>Kazimierz</t>
  </si>
  <si>
    <t>Wróblewski</t>
  </si>
  <si>
    <t>Wojciech</t>
  </si>
  <si>
    <t>Zalewski</t>
  </si>
  <si>
    <t>Robert</t>
  </si>
  <si>
    <t>Jakubowski</t>
  </si>
  <si>
    <t>Mateusz</t>
  </si>
  <si>
    <t>Jasiński</t>
  </si>
  <si>
    <t>Marian</t>
  </si>
  <si>
    <t>Zawadzki</t>
  </si>
  <si>
    <t>Data urodzenia</t>
  </si>
  <si>
    <t>Dane uśrednione</t>
  </si>
  <si>
    <t>SUMA:</t>
  </si>
  <si>
    <t>Imię i nazwisko</t>
  </si>
  <si>
    <t>Jarząbek</t>
  </si>
  <si>
    <t>Zarabia</t>
  </si>
  <si>
    <t>Ubezpieczenie społeczne</t>
  </si>
  <si>
    <t>Emerytalne
19,52%</t>
  </si>
  <si>
    <t>Rentowe
8,00%</t>
  </si>
  <si>
    <t>Chorobowe
2,45%</t>
  </si>
  <si>
    <t>Wypadkowe   1,67%</t>
  </si>
  <si>
    <t>Fundusz pracy</t>
  </si>
  <si>
    <t>Ubezpieczenie zdrowotne</t>
  </si>
  <si>
    <t>Zdrowotne
9%</t>
  </si>
  <si>
    <t>Zdrowotne do odliczenia od podatku
7,75%</t>
  </si>
  <si>
    <t>Dane osobowe</t>
  </si>
  <si>
    <t>Wynagrodzenie</t>
  </si>
  <si>
    <t>ZUS</t>
  </si>
  <si>
    <t>netto</t>
  </si>
  <si>
    <t>brutto</t>
  </si>
  <si>
    <t>n/d</t>
  </si>
  <si>
    <t>zarabia poniżej średniej</t>
  </si>
  <si>
    <t>zarabia powyżej średniej</t>
  </si>
  <si>
    <t>Status wypłaty</t>
  </si>
  <si>
    <t>Wypłacono</t>
  </si>
  <si>
    <t>Jeszcze nie wypłacono</t>
  </si>
  <si>
    <t>Wstrzymano</t>
  </si>
  <si>
    <t>Kolumna1</t>
  </si>
  <si>
    <t>Wypłacono:</t>
  </si>
  <si>
    <t>Nie wypłacono: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</si>
</sst>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 x14ac:knownFonts="1">
    <font>
      <sz val="11"/>
      <color theme="1"/>
      <name val="Calibri"/>
      <family val="2"/>
      <charset val="238"/>
      <scheme val="minor"/>
    </font>
    <font>
      <b/>
      <sz val="10"/>
      <color theme="1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4" fontId="0" fillId="3" borderId="2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Normalny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82995E-B892-438F-9EC3-19778B9494BC}" name="Tabela1" displayName="Tabela1" ref="A1:A4" totalsRowShown="0">
  <autoFilter ref="A1:A4" xr:uid="{CA82995E-B892-438F-9EC3-19778B9494BC}"/>
  <tableColumns count="1">
    <tableColumn id="1" xr3:uid="{BC3D0D00-FBBA-44CA-8B19-D3AFE1E95F25}" name="K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8207-BE8B-4691-86FE-A78326F06C18}">
  <dimension ref="A1:R65"/>
  <sheetViews>
    <sheetView topLeftCell="A25" zoomScaleNormal="100" workbookViewId="0">
      <selection activeCell="D3" sqref="D3"/>
    </sheetView>
  </sheetViews>
  <sheetFormatPr defaultRowHeight="15" x14ac:dyDescent="0.25"/>
  <cols>
    <col min="1" max="1" width="5.7109375" customWidth="1"/>
    <col min="2" max="3" width="20.7109375" customWidth="1"/>
    <col min="4" max="4" width="18.7109375" customWidth="1"/>
    <col min="5" max="5" width="9.7109375" customWidth="1"/>
    <col min="6" max="8" width="12.7109375" customWidth="1"/>
    <col min="9" max="9" width="23.28515625" bestFit="1" customWidth="1"/>
    <col min="10" max="10" width="20.85546875" bestFit="1" customWidth="1"/>
    <col min="11" max="11" width="9.7109375" bestFit="1" customWidth="1"/>
    <col min="12" max="12" width="8.5703125" customWidth="1"/>
    <col min="13" max="13" width="9.85546875" bestFit="1" customWidth="1"/>
    <col min="14" max="14" width="10.85546875" customWidth="1"/>
    <col min="17" max="17" width="18.140625" customWidth="1"/>
    <col min="18" max="18" width="37.140625" bestFit="1" customWidth="1"/>
  </cols>
  <sheetData>
    <row r="1" spans="1:18" x14ac:dyDescent="0.25">
      <c r="A1" s="27" t="s">
        <v>134</v>
      </c>
      <c r="B1" s="27"/>
      <c r="C1" s="27"/>
      <c r="D1" s="27"/>
      <c r="E1" s="27"/>
      <c r="F1" s="27" t="s">
        <v>135</v>
      </c>
      <c r="G1" s="27"/>
      <c r="H1" s="27"/>
      <c r="I1" s="27"/>
      <c r="J1" s="27"/>
      <c r="K1" s="27" t="s">
        <v>136</v>
      </c>
      <c r="L1" s="27"/>
      <c r="M1" s="27"/>
      <c r="N1" s="27"/>
      <c r="O1" s="27"/>
      <c r="P1" s="27"/>
      <c r="Q1" s="27"/>
      <c r="R1" s="27"/>
    </row>
    <row r="2" spans="1:18" s="3" customFormat="1" ht="35.1" customHeight="1" x14ac:dyDescent="0.2">
      <c r="A2" s="18" t="s">
        <v>0</v>
      </c>
      <c r="B2" s="18" t="s">
        <v>2</v>
      </c>
      <c r="C2" s="18" t="s">
        <v>1</v>
      </c>
      <c r="D2" s="18" t="s">
        <v>119</v>
      </c>
      <c r="E2" s="18" t="s">
        <v>3</v>
      </c>
      <c r="F2" s="18" t="s">
        <v>4</v>
      </c>
      <c r="G2" s="18" t="s">
        <v>4</v>
      </c>
      <c r="H2" s="18" t="s">
        <v>5</v>
      </c>
      <c r="I2" s="19" t="s">
        <v>6</v>
      </c>
      <c r="J2" s="18" t="s">
        <v>124</v>
      </c>
      <c r="K2" s="30" t="s">
        <v>125</v>
      </c>
      <c r="L2" s="31"/>
      <c r="M2" s="31"/>
      <c r="N2" s="31"/>
      <c r="O2" s="33" t="s">
        <v>130</v>
      </c>
      <c r="P2" s="31"/>
      <c r="Q2" s="30" t="s">
        <v>131</v>
      </c>
      <c r="R2" s="31"/>
    </row>
    <row r="3" spans="1:18" s="3" customFormat="1" ht="35.1" customHeight="1" x14ac:dyDescent="0.2">
      <c r="A3" s="35"/>
      <c r="B3" s="36"/>
      <c r="C3" s="36"/>
      <c r="D3" s="36"/>
      <c r="E3" s="36"/>
      <c r="F3" s="23" t="s">
        <v>137</v>
      </c>
      <c r="G3" s="23" t="s">
        <v>138</v>
      </c>
      <c r="H3" s="36"/>
      <c r="I3" s="36"/>
      <c r="J3" s="37"/>
      <c r="K3" s="21" t="s">
        <v>126</v>
      </c>
      <c r="L3" s="21" t="s">
        <v>127</v>
      </c>
      <c r="M3" s="21" t="s">
        <v>128</v>
      </c>
      <c r="N3" s="21" t="s">
        <v>129</v>
      </c>
      <c r="O3" s="32">
        <v>2.4500000000000001E-2</v>
      </c>
      <c r="P3" s="31"/>
      <c r="Q3" s="21" t="s">
        <v>132</v>
      </c>
      <c r="R3" s="22" t="s">
        <v>133</v>
      </c>
    </row>
    <row r="4" spans="1:18" s="3" customFormat="1" ht="30" customHeight="1" x14ac:dyDescent="0.2">
      <c r="A4" s="4">
        <v>1</v>
      </c>
      <c r="B4" s="4" t="s">
        <v>8</v>
      </c>
      <c r="C4" s="5" t="s">
        <v>7</v>
      </c>
      <c r="D4" s="6">
        <v>37811</v>
      </c>
      <c r="E4" s="7">
        <f ca="1">DATEDIF(D4,TODAY(),"y")</f>
        <v>20</v>
      </c>
      <c r="F4" s="8">
        <v>4530</v>
      </c>
      <c r="G4" s="8">
        <f>F4+SUM(K4:R4)</f>
        <v>6833.0519999999997</v>
      </c>
      <c r="H4" s="9">
        <v>0.15</v>
      </c>
      <c r="I4" s="8">
        <f>F4*H4+F4</f>
        <v>5209.5</v>
      </c>
      <c r="J4" s="4" t="str">
        <f>IF(I4&gt;$I$61,"zarabia powyżej średniej","zarabia poniżej średniej")</f>
        <v>zarabia powyżej średniej</v>
      </c>
      <c r="K4" s="8">
        <f>F4*19.52%</f>
        <v>884.25599999999997</v>
      </c>
      <c r="L4" s="8">
        <f>F4*8%</f>
        <v>362.40000000000003</v>
      </c>
      <c r="M4" s="8">
        <f>F4*2.45%</f>
        <v>110.985</v>
      </c>
      <c r="N4" s="8">
        <f>F4*1.67%</f>
        <v>75.650999999999996</v>
      </c>
      <c r="O4" s="26">
        <f>F4*O3</f>
        <v>110.985</v>
      </c>
      <c r="P4" s="34"/>
      <c r="Q4" s="8">
        <f>F4*9%</f>
        <v>407.7</v>
      </c>
      <c r="R4" s="8">
        <f>F4*7.75%</f>
        <v>351.07499999999999</v>
      </c>
    </row>
    <row r="5" spans="1:18" s="3" customFormat="1" ht="30" customHeight="1" x14ac:dyDescent="0.2">
      <c r="A5" s="4">
        <v>2</v>
      </c>
      <c r="B5" s="4" t="s">
        <v>10</v>
      </c>
      <c r="C5" s="5" t="s">
        <v>9</v>
      </c>
      <c r="D5" s="6">
        <v>35868</v>
      </c>
      <c r="E5" s="7">
        <f>2023-1998</f>
        <v>25</v>
      </c>
      <c r="F5" s="8">
        <v>2750</v>
      </c>
      <c r="G5" s="8">
        <f t="shared" ref="G5:G61" si="0">F5+SUM(K5:R5)</f>
        <v>4148.1000000000004</v>
      </c>
      <c r="H5" s="9">
        <v>0.2</v>
      </c>
      <c r="I5" s="8">
        <f>F5*H5+F5</f>
        <v>3300</v>
      </c>
      <c r="J5" s="4" t="str">
        <f t="shared" ref="J5:J61" si="1">IF(I5&gt;$I$61,"zarabia powyżej średniej","zarabia poniżej średniej")</f>
        <v>zarabia poniżej średniej</v>
      </c>
      <c r="K5" s="8">
        <f t="shared" ref="K5:K61" si="2">F5*19.52%</f>
        <v>536.79999999999995</v>
      </c>
      <c r="L5" s="8">
        <f t="shared" ref="L5:L61" si="3">F5*8%</f>
        <v>220</v>
      </c>
      <c r="M5" s="8">
        <f t="shared" ref="M5:M61" si="4">F5*2.45%</f>
        <v>67.375</v>
      </c>
      <c r="N5" s="8">
        <f t="shared" ref="N5:N61" si="5">F5*1.67%</f>
        <v>45.924999999999997</v>
      </c>
      <c r="O5" s="26">
        <f>F5*2.45%</f>
        <v>67.375</v>
      </c>
      <c r="P5" s="34"/>
      <c r="Q5" s="8">
        <f t="shared" ref="Q5:Q61" si="6">F5*9%</f>
        <v>247.5</v>
      </c>
      <c r="R5" s="8">
        <f t="shared" ref="R5:R61" si="7">F5*7.75%</f>
        <v>213.125</v>
      </c>
    </row>
    <row r="6" spans="1:18" s="3" customFormat="1" ht="30" customHeight="1" x14ac:dyDescent="0.2">
      <c r="A6" s="4">
        <v>3</v>
      </c>
      <c r="B6" s="4" t="s">
        <v>12</v>
      </c>
      <c r="C6" s="5" t="s">
        <v>11</v>
      </c>
      <c r="D6" s="6">
        <v>34794</v>
      </c>
      <c r="E6" s="7">
        <f>2023-1995</f>
        <v>28</v>
      </c>
      <c r="F6" s="8">
        <v>1890</v>
      </c>
      <c r="G6" s="8">
        <f t="shared" si="0"/>
        <v>2871.9459999999999</v>
      </c>
      <c r="H6" s="9">
        <v>0.1</v>
      </c>
      <c r="I6" s="8">
        <f t="shared" ref="I6:I60" si="8">F6*H6+F6</f>
        <v>2079</v>
      </c>
      <c r="J6" s="4" t="str">
        <f t="shared" si="1"/>
        <v>zarabia poniżej średniej</v>
      </c>
      <c r="K6" s="8">
        <f t="shared" si="2"/>
        <v>368.928</v>
      </c>
      <c r="L6" s="8">
        <f t="shared" si="3"/>
        <v>151.20000000000002</v>
      </c>
      <c r="M6" s="8">
        <f t="shared" si="4"/>
        <v>46.305</v>
      </c>
      <c r="N6" s="8">
        <f t="shared" si="5"/>
        <v>31.562999999999999</v>
      </c>
      <c r="O6" s="26">
        <f>F5*2.45%</f>
        <v>67.375</v>
      </c>
      <c r="P6" s="34"/>
      <c r="Q6" s="8">
        <f t="shared" si="6"/>
        <v>170.1</v>
      </c>
      <c r="R6" s="8">
        <f t="shared" si="7"/>
        <v>146.47499999999999</v>
      </c>
    </row>
    <row r="7" spans="1:18" s="3" customFormat="1" ht="30" customHeight="1" x14ac:dyDescent="0.2">
      <c r="A7" s="4">
        <v>4</v>
      </c>
      <c r="B7" s="4" t="s">
        <v>14</v>
      </c>
      <c r="C7" s="5" t="s">
        <v>13</v>
      </c>
      <c r="D7" s="6">
        <v>30005</v>
      </c>
      <c r="E7" s="7">
        <f>2023-1982</f>
        <v>41</v>
      </c>
      <c r="F7" s="8">
        <v>4320</v>
      </c>
      <c r="G7" s="8">
        <f t="shared" si="0"/>
        <v>6477.8230000000003</v>
      </c>
      <c r="H7" s="9">
        <v>0.3</v>
      </c>
      <c r="I7" s="8">
        <f t="shared" si="8"/>
        <v>5616</v>
      </c>
      <c r="J7" s="4" t="str">
        <f t="shared" si="1"/>
        <v>zarabia powyżej średniej</v>
      </c>
      <c r="K7" s="8">
        <f t="shared" si="2"/>
        <v>843.2639999999999</v>
      </c>
      <c r="L7" s="8">
        <f t="shared" si="3"/>
        <v>345.6</v>
      </c>
      <c r="M7" s="8">
        <f t="shared" si="4"/>
        <v>105.84</v>
      </c>
      <c r="N7" s="8">
        <f t="shared" si="5"/>
        <v>72.143999999999991</v>
      </c>
      <c r="O7" s="26">
        <f>F5*2.45%</f>
        <v>67.375</v>
      </c>
      <c r="P7" s="26"/>
      <c r="Q7" s="8">
        <f t="shared" si="6"/>
        <v>388.8</v>
      </c>
      <c r="R7" s="8">
        <f t="shared" si="7"/>
        <v>334.8</v>
      </c>
    </row>
    <row r="8" spans="1:18" s="3" customFormat="1" ht="30" customHeight="1" x14ac:dyDescent="0.2">
      <c r="A8" s="4">
        <v>5</v>
      </c>
      <c r="B8" s="4" t="s">
        <v>16</v>
      </c>
      <c r="C8" s="5" t="s">
        <v>15</v>
      </c>
      <c r="D8" s="6">
        <v>32755</v>
      </c>
      <c r="E8" s="7">
        <f>2023-1989</f>
        <v>34</v>
      </c>
      <c r="F8" s="8">
        <v>1960</v>
      </c>
      <c r="G8" s="8">
        <f t="shared" si="0"/>
        <v>2954.7489999999998</v>
      </c>
      <c r="H8" s="9">
        <v>0.18</v>
      </c>
      <c r="I8" s="8">
        <f t="shared" si="8"/>
        <v>2312.8000000000002</v>
      </c>
      <c r="J8" s="4" t="str">
        <f t="shared" si="1"/>
        <v>zarabia poniżej średniej</v>
      </c>
      <c r="K8" s="8">
        <f t="shared" si="2"/>
        <v>382.59199999999998</v>
      </c>
      <c r="L8" s="8">
        <f t="shared" si="3"/>
        <v>156.80000000000001</v>
      </c>
      <c r="M8" s="8">
        <f t="shared" si="4"/>
        <v>48.02</v>
      </c>
      <c r="N8" s="8">
        <f t="shared" si="5"/>
        <v>32.731999999999999</v>
      </c>
      <c r="O8" s="26">
        <f t="shared" ref="O8:O61" si="9">F6*2.45%</f>
        <v>46.305</v>
      </c>
      <c r="P8" s="26"/>
      <c r="Q8" s="8">
        <f t="shared" si="6"/>
        <v>176.4</v>
      </c>
      <c r="R8" s="8">
        <f t="shared" si="7"/>
        <v>151.9</v>
      </c>
    </row>
    <row r="9" spans="1:18" s="3" customFormat="1" ht="30" customHeight="1" x14ac:dyDescent="0.2">
      <c r="A9" s="4">
        <v>6</v>
      </c>
      <c r="B9" s="4" t="s">
        <v>18</v>
      </c>
      <c r="C9" s="5" t="s">
        <v>17</v>
      </c>
      <c r="D9" s="6">
        <v>32124</v>
      </c>
      <c r="E9" s="7">
        <f>2023-1987</f>
        <v>36</v>
      </c>
      <c r="F9" s="8">
        <v>2540</v>
      </c>
      <c r="G9" s="8">
        <f t="shared" si="0"/>
        <v>3874.9459999999999</v>
      </c>
      <c r="H9" s="9">
        <v>0.15</v>
      </c>
      <c r="I9" s="8">
        <f t="shared" si="8"/>
        <v>2921</v>
      </c>
      <c r="J9" s="4" t="str">
        <f t="shared" si="1"/>
        <v>zarabia poniżej średniej</v>
      </c>
      <c r="K9" s="8">
        <f t="shared" si="2"/>
        <v>495.80799999999994</v>
      </c>
      <c r="L9" s="8">
        <f t="shared" si="3"/>
        <v>203.20000000000002</v>
      </c>
      <c r="M9" s="8">
        <f t="shared" si="4"/>
        <v>62.230000000000004</v>
      </c>
      <c r="N9" s="8">
        <f t="shared" si="5"/>
        <v>42.417999999999999</v>
      </c>
      <c r="O9" s="26">
        <f t="shared" si="9"/>
        <v>105.84</v>
      </c>
      <c r="P9" s="26"/>
      <c r="Q9" s="8">
        <f t="shared" si="6"/>
        <v>228.6</v>
      </c>
      <c r="R9" s="8">
        <f t="shared" si="7"/>
        <v>196.85</v>
      </c>
    </row>
    <row r="10" spans="1:18" s="3" customFormat="1" ht="30" customHeight="1" x14ac:dyDescent="0.2">
      <c r="A10" s="4">
        <v>7</v>
      </c>
      <c r="B10" s="4" t="s">
        <v>20</v>
      </c>
      <c r="C10" s="5" t="s">
        <v>19</v>
      </c>
      <c r="D10" s="6">
        <v>37811</v>
      </c>
      <c r="E10" s="7">
        <f>2023-2003</f>
        <v>20</v>
      </c>
      <c r="F10" s="8">
        <v>4320</v>
      </c>
      <c r="G10" s="8">
        <f t="shared" si="0"/>
        <v>6458.4679999999998</v>
      </c>
      <c r="H10" s="9">
        <v>0.2</v>
      </c>
      <c r="I10" s="8">
        <f t="shared" si="8"/>
        <v>5184</v>
      </c>
      <c r="J10" s="4" t="str">
        <f t="shared" si="1"/>
        <v>zarabia powyżej średniej</v>
      </c>
      <c r="K10" s="8">
        <f t="shared" si="2"/>
        <v>843.2639999999999</v>
      </c>
      <c r="L10" s="8">
        <f t="shared" si="3"/>
        <v>345.6</v>
      </c>
      <c r="M10" s="8">
        <f t="shared" si="4"/>
        <v>105.84</v>
      </c>
      <c r="N10" s="8">
        <f t="shared" si="5"/>
        <v>72.143999999999991</v>
      </c>
      <c r="O10" s="26">
        <f t="shared" si="9"/>
        <v>48.02</v>
      </c>
      <c r="P10" s="26"/>
      <c r="Q10" s="8">
        <f t="shared" si="6"/>
        <v>388.8</v>
      </c>
      <c r="R10" s="8">
        <f t="shared" si="7"/>
        <v>334.8</v>
      </c>
    </row>
    <row r="11" spans="1:18" s="3" customFormat="1" ht="30" customHeight="1" x14ac:dyDescent="0.2">
      <c r="A11" s="4">
        <v>8</v>
      </c>
      <c r="B11" s="4" t="s">
        <v>22</v>
      </c>
      <c r="C11" s="5" t="s">
        <v>21</v>
      </c>
      <c r="D11" s="6">
        <v>35868</v>
      </c>
      <c r="E11" s="7">
        <f>2023-1998</f>
        <v>25</v>
      </c>
      <c r="F11" s="8">
        <v>3540</v>
      </c>
      <c r="G11" s="8">
        <f t="shared" si="0"/>
        <v>5315.2359999999999</v>
      </c>
      <c r="H11" s="9">
        <v>0.1</v>
      </c>
      <c r="I11" s="8">
        <f t="shared" si="8"/>
        <v>3894</v>
      </c>
      <c r="J11" s="4" t="str">
        <f t="shared" si="1"/>
        <v>zarabia poniżej średniej</v>
      </c>
      <c r="K11" s="8">
        <f t="shared" si="2"/>
        <v>691.00799999999992</v>
      </c>
      <c r="L11" s="8">
        <f t="shared" si="3"/>
        <v>283.2</v>
      </c>
      <c r="M11" s="8">
        <f t="shared" si="4"/>
        <v>86.73</v>
      </c>
      <c r="N11" s="8">
        <f t="shared" si="5"/>
        <v>59.117999999999995</v>
      </c>
      <c r="O11" s="26">
        <f t="shared" si="9"/>
        <v>62.230000000000004</v>
      </c>
      <c r="P11" s="26"/>
      <c r="Q11" s="8">
        <f t="shared" si="6"/>
        <v>318.59999999999997</v>
      </c>
      <c r="R11" s="8">
        <f t="shared" si="7"/>
        <v>274.35000000000002</v>
      </c>
    </row>
    <row r="12" spans="1:18" s="3" customFormat="1" ht="30" customHeight="1" x14ac:dyDescent="0.2">
      <c r="A12" s="4">
        <v>9</v>
      </c>
      <c r="B12" s="4" t="s">
        <v>24</v>
      </c>
      <c r="C12" s="5" t="s">
        <v>23</v>
      </c>
      <c r="D12" s="6">
        <v>34794</v>
      </c>
      <c r="E12" s="7">
        <f>2023-1995</f>
        <v>28</v>
      </c>
      <c r="F12" s="8">
        <v>3890</v>
      </c>
      <c r="G12" s="8">
        <f t="shared" si="0"/>
        <v>5878.2109999999993</v>
      </c>
      <c r="H12" s="9">
        <v>0.3</v>
      </c>
      <c r="I12" s="8">
        <f t="shared" si="8"/>
        <v>5057</v>
      </c>
      <c r="J12" s="4" t="str">
        <f t="shared" si="1"/>
        <v>zarabia powyżej średniej</v>
      </c>
      <c r="K12" s="8">
        <f t="shared" si="2"/>
        <v>759.32799999999997</v>
      </c>
      <c r="L12" s="8">
        <f t="shared" si="3"/>
        <v>311.2</v>
      </c>
      <c r="M12" s="8">
        <f t="shared" si="4"/>
        <v>95.305000000000007</v>
      </c>
      <c r="N12" s="8">
        <f t="shared" si="5"/>
        <v>64.962999999999994</v>
      </c>
      <c r="O12" s="26">
        <f t="shared" si="9"/>
        <v>105.84</v>
      </c>
      <c r="P12" s="26"/>
      <c r="Q12" s="8">
        <f t="shared" si="6"/>
        <v>350.09999999999997</v>
      </c>
      <c r="R12" s="8">
        <f t="shared" si="7"/>
        <v>301.47500000000002</v>
      </c>
    </row>
    <row r="13" spans="1:18" s="3" customFormat="1" ht="30" customHeight="1" x14ac:dyDescent="0.2">
      <c r="A13" s="4">
        <v>10</v>
      </c>
      <c r="B13" s="4" t="s">
        <v>26</v>
      </c>
      <c r="C13" s="5" t="s">
        <v>25</v>
      </c>
      <c r="D13" s="6">
        <v>30005</v>
      </c>
      <c r="E13" s="7">
        <f>2023-1982</f>
        <v>41</v>
      </c>
      <c r="F13" s="8">
        <v>2980</v>
      </c>
      <c r="G13" s="8">
        <f t="shared" si="0"/>
        <v>4508.7520000000004</v>
      </c>
      <c r="H13" s="9">
        <v>0.18</v>
      </c>
      <c r="I13" s="8">
        <f t="shared" si="8"/>
        <v>3516.4</v>
      </c>
      <c r="J13" s="4" t="str">
        <f t="shared" si="1"/>
        <v>zarabia poniżej średniej</v>
      </c>
      <c r="K13" s="8">
        <f t="shared" si="2"/>
        <v>581.69599999999991</v>
      </c>
      <c r="L13" s="8">
        <f t="shared" si="3"/>
        <v>238.4</v>
      </c>
      <c r="M13" s="8">
        <f t="shared" si="4"/>
        <v>73.010000000000005</v>
      </c>
      <c r="N13" s="8">
        <f t="shared" si="5"/>
        <v>49.765999999999998</v>
      </c>
      <c r="O13" s="26">
        <f t="shared" si="9"/>
        <v>86.73</v>
      </c>
      <c r="P13" s="26"/>
      <c r="Q13" s="8">
        <f t="shared" si="6"/>
        <v>268.2</v>
      </c>
      <c r="R13" s="8">
        <f t="shared" si="7"/>
        <v>230.95</v>
      </c>
    </row>
    <row r="14" spans="1:18" s="3" customFormat="1" ht="30" customHeight="1" x14ac:dyDescent="0.2">
      <c r="A14" s="4">
        <v>11</v>
      </c>
      <c r="B14" s="4" t="s">
        <v>28</v>
      </c>
      <c r="C14" s="5" t="s">
        <v>27</v>
      </c>
      <c r="D14" s="6">
        <v>32755</v>
      </c>
      <c r="E14" s="7">
        <f>2023-1989</f>
        <v>34</v>
      </c>
      <c r="F14" s="8">
        <v>4530</v>
      </c>
      <c r="G14" s="8">
        <f t="shared" si="0"/>
        <v>6817.3719999999994</v>
      </c>
      <c r="H14" s="9">
        <v>0.15</v>
      </c>
      <c r="I14" s="8">
        <f t="shared" si="8"/>
        <v>5209.5</v>
      </c>
      <c r="J14" s="4" t="str">
        <f t="shared" si="1"/>
        <v>zarabia powyżej średniej</v>
      </c>
      <c r="K14" s="8">
        <f t="shared" si="2"/>
        <v>884.25599999999997</v>
      </c>
      <c r="L14" s="8">
        <f t="shared" si="3"/>
        <v>362.40000000000003</v>
      </c>
      <c r="M14" s="8">
        <f t="shared" si="4"/>
        <v>110.985</v>
      </c>
      <c r="N14" s="8">
        <f t="shared" si="5"/>
        <v>75.650999999999996</v>
      </c>
      <c r="O14" s="26">
        <f t="shared" si="9"/>
        <v>95.305000000000007</v>
      </c>
      <c r="P14" s="26"/>
      <c r="Q14" s="8">
        <f t="shared" si="6"/>
        <v>407.7</v>
      </c>
      <c r="R14" s="8">
        <f t="shared" si="7"/>
        <v>351.07499999999999</v>
      </c>
    </row>
    <row r="15" spans="1:18" s="3" customFormat="1" ht="30" customHeight="1" x14ac:dyDescent="0.2">
      <c r="A15" s="4">
        <v>12</v>
      </c>
      <c r="B15" s="4" t="s">
        <v>30</v>
      </c>
      <c r="C15" s="5" t="s">
        <v>29</v>
      </c>
      <c r="D15" s="6">
        <v>32124</v>
      </c>
      <c r="E15" s="7">
        <f>2023-1987</f>
        <v>36</v>
      </c>
      <c r="F15" s="8">
        <v>2750</v>
      </c>
      <c r="G15" s="8">
        <f t="shared" si="0"/>
        <v>4153.7349999999997</v>
      </c>
      <c r="H15" s="9">
        <v>0.2</v>
      </c>
      <c r="I15" s="8">
        <f t="shared" si="8"/>
        <v>3300</v>
      </c>
      <c r="J15" s="4" t="str">
        <f t="shared" si="1"/>
        <v>zarabia poniżej średniej</v>
      </c>
      <c r="K15" s="8">
        <f t="shared" si="2"/>
        <v>536.79999999999995</v>
      </c>
      <c r="L15" s="8">
        <f t="shared" si="3"/>
        <v>220</v>
      </c>
      <c r="M15" s="8">
        <f t="shared" si="4"/>
        <v>67.375</v>
      </c>
      <c r="N15" s="8">
        <f t="shared" si="5"/>
        <v>45.924999999999997</v>
      </c>
      <c r="O15" s="26">
        <f t="shared" si="9"/>
        <v>73.010000000000005</v>
      </c>
      <c r="P15" s="26"/>
      <c r="Q15" s="8">
        <f t="shared" si="6"/>
        <v>247.5</v>
      </c>
      <c r="R15" s="8">
        <f t="shared" si="7"/>
        <v>213.125</v>
      </c>
    </row>
    <row r="16" spans="1:18" s="3" customFormat="1" ht="30" customHeight="1" x14ac:dyDescent="0.2">
      <c r="A16" s="4">
        <v>13</v>
      </c>
      <c r="B16" s="4" t="s">
        <v>32</v>
      </c>
      <c r="C16" s="5" t="s">
        <v>31</v>
      </c>
      <c r="D16" s="6">
        <v>37811</v>
      </c>
      <c r="E16" s="7">
        <f>2023-2003</f>
        <v>20</v>
      </c>
      <c r="F16" s="8">
        <v>1890</v>
      </c>
      <c r="G16" s="8">
        <f t="shared" si="0"/>
        <v>2915.556</v>
      </c>
      <c r="H16" s="9">
        <v>0.1</v>
      </c>
      <c r="I16" s="8">
        <f t="shared" si="8"/>
        <v>2079</v>
      </c>
      <c r="J16" s="4" t="str">
        <f t="shared" si="1"/>
        <v>zarabia poniżej średniej</v>
      </c>
      <c r="K16" s="8">
        <f t="shared" si="2"/>
        <v>368.928</v>
      </c>
      <c r="L16" s="8">
        <f t="shared" si="3"/>
        <v>151.20000000000002</v>
      </c>
      <c r="M16" s="8">
        <f t="shared" si="4"/>
        <v>46.305</v>
      </c>
      <c r="N16" s="8">
        <f t="shared" si="5"/>
        <v>31.562999999999999</v>
      </c>
      <c r="O16" s="26">
        <f t="shared" si="9"/>
        <v>110.985</v>
      </c>
      <c r="P16" s="26"/>
      <c r="Q16" s="8">
        <f t="shared" si="6"/>
        <v>170.1</v>
      </c>
      <c r="R16" s="8">
        <f t="shared" si="7"/>
        <v>146.47499999999999</v>
      </c>
    </row>
    <row r="17" spans="1:18" s="3" customFormat="1" ht="30" customHeight="1" x14ac:dyDescent="0.2">
      <c r="A17" s="4">
        <v>14</v>
      </c>
      <c r="B17" s="4" t="s">
        <v>34</v>
      </c>
      <c r="C17" s="5" t="s">
        <v>33</v>
      </c>
      <c r="D17" s="6">
        <v>37811</v>
      </c>
      <c r="E17" s="7">
        <f>2023-2003</f>
        <v>20</v>
      </c>
      <c r="F17" s="8">
        <v>4320</v>
      </c>
      <c r="G17" s="8">
        <f t="shared" si="0"/>
        <v>6477.8230000000003</v>
      </c>
      <c r="H17" s="9">
        <v>0.3</v>
      </c>
      <c r="I17" s="8">
        <f t="shared" si="8"/>
        <v>5616</v>
      </c>
      <c r="J17" s="4" t="str">
        <f t="shared" si="1"/>
        <v>zarabia powyżej średniej</v>
      </c>
      <c r="K17" s="8">
        <f t="shared" si="2"/>
        <v>843.2639999999999</v>
      </c>
      <c r="L17" s="8">
        <f t="shared" si="3"/>
        <v>345.6</v>
      </c>
      <c r="M17" s="8">
        <f t="shared" si="4"/>
        <v>105.84</v>
      </c>
      <c r="N17" s="8">
        <f t="shared" si="5"/>
        <v>72.143999999999991</v>
      </c>
      <c r="O17" s="26">
        <f t="shared" si="9"/>
        <v>67.375</v>
      </c>
      <c r="P17" s="26"/>
      <c r="Q17" s="8">
        <f t="shared" si="6"/>
        <v>388.8</v>
      </c>
      <c r="R17" s="8">
        <f t="shared" si="7"/>
        <v>334.8</v>
      </c>
    </row>
    <row r="18" spans="1:18" s="3" customFormat="1" ht="30" customHeight="1" x14ac:dyDescent="0.2">
      <c r="A18" s="4">
        <v>15</v>
      </c>
      <c r="B18" s="4" t="s">
        <v>36</v>
      </c>
      <c r="C18" s="5" t="s">
        <v>35</v>
      </c>
      <c r="D18" s="6">
        <v>35868</v>
      </c>
      <c r="E18" s="7">
        <f>2023-1998</f>
        <v>25</v>
      </c>
      <c r="F18" s="8">
        <v>1960</v>
      </c>
      <c r="G18" s="8">
        <f t="shared" si="0"/>
        <v>2954.7489999999998</v>
      </c>
      <c r="H18" s="9">
        <v>0.18</v>
      </c>
      <c r="I18" s="8">
        <f t="shared" si="8"/>
        <v>2312.8000000000002</v>
      </c>
      <c r="J18" s="4" t="str">
        <f t="shared" si="1"/>
        <v>zarabia poniżej średniej</v>
      </c>
      <c r="K18" s="8">
        <f t="shared" si="2"/>
        <v>382.59199999999998</v>
      </c>
      <c r="L18" s="8">
        <f t="shared" si="3"/>
        <v>156.80000000000001</v>
      </c>
      <c r="M18" s="8">
        <f t="shared" si="4"/>
        <v>48.02</v>
      </c>
      <c r="N18" s="8">
        <f t="shared" si="5"/>
        <v>32.731999999999999</v>
      </c>
      <c r="O18" s="26">
        <f t="shared" si="9"/>
        <v>46.305</v>
      </c>
      <c r="P18" s="26"/>
      <c r="Q18" s="8">
        <f t="shared" si="6"/>
        <v>176.4</v>
      </c>
      <c r="R18" s="8">
        <f t="shared" si="7"/>
        <v>151.9</v>
      </c>
    </row>
    <row r="19" spans="1:18" s="3" customFormat="1" ht="30" customHeight="1" x14ac:dyDescent="0.2">
      <c r="A19" s="4">
        <v>16</v>
      </c>
      <c r="B19" s="4" t="s">
        <v>38</v>
      </c>
      <c r="C19" s="5" t="s">
        <v>37</v>
      </c>
      <c r="D19" s="6">
        <v>34794</v>
      </c>
      <c r="E19" s="7">
        <f>2023-1995</f>
        <v>28</v>
      </c>
      <c r="F19" s="8">
        <v>2540</v>
      </c>
      <c r="G19" s="8">
        <f t="shared" si="0"/>
        <v>3874.9459999999999</v>
      </c>
      <c r="H19" s="9">
        <v>0.15</v>
      </c>
      <c r="I19" s="8">
        <f t="shared" si="8"/>
        <v>2921</v>
      </c>
      <c r="J19" s="4" t="str">
        <f t="shared" si="1"/>
        <v>zarabia poniżej średniej</v>
      </c>
      <c r="K19" s="8">
        <f t="shared" si="2"/>
        <v>495.80799999999994</v>
      </c>
      <c r="L19" s="8">
        <f t="shared" si="3"/>
        <v>203.20000000000002</v>
      </c>
      <c r="M19" s="8">
        <f t="shared" si="4"/>
        <v>62.230000000000004</v>
      </c>
      <c r="N19" s="8">
        <f t="shared" si="5"/>
        <v>42.417999999999999</v>
      </c>
      <c r="O19" s="26">
        <f t="shared" si="9"/>
        <v>105.84</v>
      </c>
      <c r="P19" s="26"/>
      <c r="Q19" s="8">
        <f t="shared" si="6"/>
        <v>228.6</v>
      </c>
      <c r="R19" s="8">
        <f t="shared" si="7"/>
        <v>196.85</v>
      </c>
    </row>
    <row r="20" spans="1:18" s="3" customFormat="1" ht="30" customHeight="1" x14ac:dyDescent="0.2">
      <c r="A20" s="4">
        <v>17</v>
      </c>
      <c r="B20" s="4" t="s">
        <v>40</v>
      </c>
      <c r="C20" s="5" t="s">
        <v>39</v>
      </c>
      <c r="D20" s="6">
        <v>30005</v>
      </c>
      <c r="E20" s="7">
        <f>2023-1982</f>
        <v>41</v>
      </c>
      <c r="F20" s="8">
        <v>4320</v>
      </c>
      <c r="G20" s="8">
        <f t="shared" si="0"/>
        <v>6458.4679999999998</v>
      </c>
      <c r="H20" s="9">
        <v>0.2</v>
      </c>
      <c r="I20" s="8">
        <f t="shared" si="8"/>
        <v>5184</v>
      </c>
      <c r="J20" s="4" t="str">
        <f t="shared" si="1"/>
        <v>zarabia powyżej średniej</v>
      </c>
      <c r="K20" s="8">
        <f t="shared" si="2"/>
        <v>843.2639999999999</v>
      </c>
      <c r="L20" s="8">
        <f t="shared" si="3"/>
        <v>345.6</v>
      </c>
      <c r="M20" s="8">
        <f t="shared" si="4"/>
        <v>105.84</v>
      </c>
      <c r="N20" s="8">
        <f t="shared" si="5"/>
        <v>72.143999999999991</v>
      </c>
      <c r="O20" s="26">
        <f t="shared" si="9"/>
        <v>48.02</v>
      </c>
      <c r="P20" s="26"/>
      <c r="Q20" s="8">
        <f t="shared" si="6"/>
        <v>388.8</v>
      </c>
      <c r="R20" s="8">
        <f t="shared" si="7"/>
        <v>334.8</v>
      </c>
    </row>
    <row r="21" spans="1:18" s="3" customFormat="1" ht="30" customHeight="1" x14ac:dyDescent="0.2">
      <c r="A21" s="4">
        <v>18</v>
      </c>
      <c r="B21" s="4" t="s">
        <v>42</v>
      </c>
      <c r="C21" s="5" t="s">
        <v>41</v>
      </c>
      <c r="D21" s="6">
        <v>32755</v>
      </c>
      <c r="E21" s="7">
        <f>2023-1989</f>
        <v>34</v>
      </c>
      <c r="F21" s="8">
        <v>3540</v>
      </c>
      <c r="G21" s="8">
        <f t="shared" si="0"/>
        <v>5315.2359999999999</v>
      </c>
      <c r="H21" s="9">
        <v>0.1</v>
      </c>
      <c r="I21" s="8">
        <f t="shared" si="8"/>
        <v>3894</v>
      </c>
      <c r="J21" s="4" t="str">
        <f t="shared" si="1"/>
        <v>zarabia poniżej średniej</v>
      </c>
      <c r="K21" s="8">
        <f t="shared" si="2"/>
        <v>691.00799999999992</v>
      </c>
      <c r="L21" s="8">
        <f t="shared" si="3"/>
        <v>283.2</v>
      </c>
      <c r="M21" s="8">
        <f t="shared" si="4"/>
        <v>86.73</v>
      </c>
      <c r="N21" s="8">
        <f t="shared" si="5"/>
        <v>59.117999999999995</v>
      </c>
      <c r="O21" s="26">
        <f t="shared" si="9"/>
        <v>62.230000000000004</v>
      </c>
      <c r="P21" s="26"/>
      <c r="Q21" s="8">
        <f t="shared" si="6"/>
        <v>318.59999999999997</v>
      </c>
      <c r="R21" s="8">
        <f t="shared" si="7"/>
        <v>274.35000000000002</v>
      </c>
    </row>
    <row r="22" spans="1:18" s="3" customFormat="1" ht="30" customHeight="1" x14ac:dyDescent="0.2">
      <c r="A22" s="4">
        <v>19</v>
      </c>
      <c r="B22" s="4" t="s">
        <v>44</v>
      </c>
      <c r="C22" s="5" t="s">
        <v>43</v>
      </c>
      <c r="D22" s="6">
        <v>32124</v>
      </c>
      <c r="E22" s="7">
        <f>2023-1987</f>
        <v>36</v>
      </c>
      <c r="F22" s="8">
        <v>3890</v>
      </c>
      <c r="G22" s="8">
        <f t="shared" si="0"/>
        <v>5878.2109999999993</v>
      </c>
      <c r="H22" s="9">
        <v>0.3</v>
      </c>
      <c r="I22" s="8">
        <f t="shared" si="8"/>
        <v>5057</v>
      </c>
      <c r="J22" s="4" t="str">
        <f t="shared" si="1"/>
        <v>zarabia powyżej średniej</v>
      </c>
      <c r="K22" s="8">
        <f t="shared" si="2"/>
        <v>759.32799999999997</v>
      </c>
      <c r="L22" s="8">
        <f t="shared" si="3"/>
        <v>311.2</v>
      </c>
      <c r="M22" s="8">
        <f t="shared" si="4"/>
        <v>95.305000000000007</v>
      </c>
      <c r="N22" s="8">
        <f t="shared" si="5"/>
        <v>64.962999999999994</v>
      </c>
      <c r="O22" s="26">
        <f t="shared" si="9"/>
        <v>105.84</v>
      </c>
      <c r="P22" s="26"/>
      <c r="Q22" s="8">
        <f t="shared" si="6"/>
        <v>350.09999999999997</v>
      </c>
      <c r="R22" s="8">
        <f t="shared" si="7"/>
        <v>301.47500000000002</v>
      </c>
    </row>
    <row r="23" spans="1:18" s="3" customFormat="1" ht="30" customHeight="1" x14ac:dyDescent="0.2">
      <c r="A23" s="4">
        <v>20</v>
      </c>
      <c r="B23" s="4" t="s">
        <v>46</v>
      </c>
      <c r="C23" s="5" t="s">
        <v>45</v>
      </c>
      <c r="D23" s="6">
        <v>37811</v>
      </c>
      <c r="E23" s="7">
        <f>2023-2003</f>
        <v>20</v>
      </c>
      <c r="F23" s="8">
        <v>2980</v>
      </c>
      <c r="G23" s="8">
        <f t="shared" si="0"/>
        <v>4508.7520000000004</v>
      </c>
      <c r="H23" s="9">
        <v>0.18</v>
      </c>
      <c r="I23" s="8">
        <f t="shared" si="8"/>
        <v>3516.4</v>
      </c>
      <c r="J23" s="4" t="str">
        <f t="shared" si="1"/>
        <v>zarabia poniżej średniej</v>
      </c>
      <c r="K23" s="8">
        <f t="shared" si="2"/>
        <v>581.69599999999991</v>
      </c>
      <c r="L23" s="8">
        <f t="shared" si="3"/>
        <v>238.4</v>
      </c>
      <c r="M23" s="8">
        <f t="shared" si="4"/>
        <v>73.010000000000005</v>
      </c>
      <c r="N23" s="8">
        <f t="shared" si="5"/>
        <v>49.765999999999998</v>
      </c>
      <c r="O23" s="26">
        <f t="shared" si="9"/>
        <v>86.73</v>
      </c>
      <c r="P23" s="26"/>
      <c r="Q23" s="8">
        <f t="shared" si="6"/>
        <v>268.2</v>
      </c>
      <c r="R23" s="8">
        <f t="shared" si="7"/>
        <v>230.95</v>
      </c>
    </row>
    <row r="24" spans="1:18" s="3" customFormat="1" ht="30" customHeight="1" x14ac:dyDescent="0.2">
      <c r="A24" s="4">
        <v>21</v>
      </c>
      <c r="B24" s="4" t="s">
        <v>48</v>
      </c>
      <c r="C24" s="5" t="s">
        <v>47</v>
      </c>
      <c r="D24" s="6">
        <v>35868</v>
      </c>
      <c r="E24" s="7">
        <f>2023-1998</f>
        <v>25</v>
      </c>
      <c r="F24" s="8">
        <v>4530</v>
      </c>
      <c r="G24" s="8">
        <f t="shared" si="0"/>
        <v>6817.3719999999994</v>
      </c>
      <c r="H24" s="9">
        <v>0.15</v>
      </c>
      <c r="I24" s="8">
        <f t="shared" si="8"/>
        <v>5209.5</v>
      </c>
      <c r="J24" s="4" t="str">
        <f t="shared" si="1"/>
        <v>zarabia powyżej średniej</v>
      </c>
      <c r="K24" s="8">
        <f t="shared" si="2"/>
        <v>884.25599999999997</v>
      </c>
      <c r="L24" s="8">
        <f t="shared" si="3"/>
        <v>362.40000000000003</v>
      </c>
      <c r="M24" s="8">
        <f t="shared" si="4"/>
        <v>110.985</v>
      </c>
      <c r="N24" s="8">
        <f t="shared" si="5"/>
        <v>75.650999999999996</v>
      </c>
      <c r="O24" s="26">
        <f t="shared" si="9"/>
        <v>95.305000000000007</v>
      </c>
      <c r="P24" s="26"/>
      <c r="Q24" s="8">
        <f t="shared" si="6"/>
        <v>407.7</v>
      </c>
      <c r="R24" s="8">
        <f t="shared" si="7"/>
        <v>351.07499999999999</v>
      </c>
    </row>
    <row r="25" spans="1:18" s="3" customFormat="1" ht="30" customHeight="1" x14ac:dyDescent="0.2">
      <c r="A25" s="4">
        <v>22</v>
      </c>
      <c r="B25" s="4" t="s">
        <v>50</v>
      </c>
      <c r="C25" s="5" t="s">
        <v>49</v>
      </c>
      <c r="D25" s="6">
        <v>34794</v>
      </c>
      <c r="E25" s="7">
        <f>2023-1995</f>
        <v>28</v>
      </c>
      <c r="F25" s="8">
        <v>2750</v>
      </c>
      <c r="G25" s="8">
        <f t="shared" si="0"/>
        <v>4153.7349999999997</v>
      </c>
      <c r="H25" s="9">
        <v>0.2</v>
      </c>
      <c r="I25" s="8">
        <f t="shared" si="8"/>
        <v>3300</v>
      </c>
      <c r="J25" s="4" t="str">
        <f t="shared" si="1"/>
        <v>zarabia poniżej średniej</v>
      </c>
      <c r="K25" s="8">
        <f t="shared" si="2"/>
        <v>536.79999999999995</v>
      </c>
      <c r="L25" s="8">
        <f t="shared" si="3"/>
        <v>220</v>
      </c>
      <c r="M25" s="8">
        <f t="shared" si="4"/>
        <v>67.375</v>
      </c>
      <c r="N25" s="8">
        <f t="shared" si="5"/>
        <v>45.924999999999997</v>
      </c>
      <c r="O25" s="26">
        <f t="shared" si="9"/>
        <v>73.010000000000005</v>
      </c>
      <c r="P25" s="26"/>
      <c r="Q25" s="8">
        <f t="shared" si="6"/>
        <v>247.5</v>
      </c>
      <c r="R25" s="8">
        <f t="shared" si="7"/>
        <v>213.125</v>
      </c>
    </row>
    <row r="26" spans="1:18" s="3" customFormat="1" ht="30" customHeight="1" x14ac:dyDescent="0.2">
      <c r="A26" s="4">
        <v>23</v>
      </c>
      <c r="B26" s="4" t="s">
        <v>52</v>
      </c>
      <c r="C26" s="5" t="s">
        <v>51</v>
      </c>
      <c r="D26" s="6">
        <v>30005</v>
      </c>
      <c r="E26" s="7">
        <f>2023-1982</f>
        <v>41</v>
      </c>
      <c r="F26" s="8">
        <v>1890</v>
      </c>
      <c r="G26" s="8">
        <f t="shared" si="0"/>
        <v>2915.556</v>
      </c>
      <c r="H26" s="9">
        <v>0.1</v>
      </c>
      <c r="I26" s="8">
        <f t="shared" si="8"/>
        <v>2079</v>
      </c>
      <c r="J26" s="4" t="str">
        <f t="shared" si="1"/>
        <v>zarabia poniżej średniej</v>
      </c>
      <c r="K26" s="8">
        <f t="shared" si="2"/>
        <v>368.928</v>
      </c>
      <c r="L26" s="8">
        <f t="shared" si="3"/>
        <v>151.20000000000002</v>
      </c>
      <c r="M26" s="8">
        <f t="shared" si="4"/>
        <v>46.305</v>
      </c>
      <c r="N26" s="8">
        <f t="shared" si="5"/>
        <v>31.562999999999999</v>
      </c>
      <c r="O26" s="26">
        <f t="shared" si="9"/>
        <v>110.985</v>
      </c>
      <c r="P26" s="26"/>
      <c r="Q26" s="8">
        <f t="shared" si="6"/>
        <v>170.1</v>
      </c>
      <c r="R26" s="8">
        <f t="shared" si="7"/>
        <v>146.47499999999999</v>
      </c>
    </row>
    <row r="27" spans="1:18" s="3" customFormat="1" ht="30" customHeight="1" x14ac:dyDescent="0.2">
      <c r="A27" s="4">
        <v>24</v>
      </c>
      <c r="B27" s="4" t="s">
        <v>54</v>
      </c>
      <c r="C27" s="5" t="s">
        <v>53</v>
      </c>
      <c r="D27" s="6">
        <v>32755</v>
      </c>
      <c r="E27" s="7">
        <f>2023-1989</f>
        <v>34</v>
      </c>
      <c r="F27" s="8">
        <v>4320</v>
      </c>
      <c r="G27" s="8">
        <f t="shared" si="0"/>
        <v>6477.8230000000003</v>
      </c>
      <c r="H27" s="9">
        <v>0.3</v>
      </c>
      <c r="I27" s="8">
        <f t="shared" si="8"/>
        <v>5616</v>
      </c>
      <c r="J27" s="4" t="str">
        <f t="shared" si="1"/>
        <v>zarabia powyżej średniej</v>
      </c>
      <c r="K27" s="8">
        <f t="shared" si="2"/>
        <v>843.2639999999999</v>
      </c>
      <c r="L27" s="8">
        <f t="shared" si="3"/>
        <v>345.6</v>
      </c>
      <c r="M27" s="8">
        <f t="shared" si="4"/>
        <v>105.84</v>
      </c>
      <c r="N27" s="8">
        <f t="shared" si="5"/>
        <v>72.143999999999991</v>
      </c>
      <c r="O27" s="26">
        <f t="shared" si="9"/>
        <v>67.375</v>
      </c>
      <c r="P27" s="26"/>
      <c r="Q27" s="8">
        <f t="shared" si="6"/>
        <v>388.8</v>
      </c>
      <c r="R27" s="8">
        <f t="shared" si="7"/>
        <v>334.8</v>
      </c>
    </row>
    <row r="28" spans="1:18" s="3" customFormat="1" ht="30" customHeight="1" x14ac:dyDescent="0.2">
      <c r="A28" s="4">
        <v>25</v>
      </c>
      <c r="B28" s="4" t="s">
        <v>56</v>
      </c>
      <c r="C28" s="5" t="s">
        <v>55</v>
      </c>
      <c r="D28" s="6">
        <v>32124</v>
      </c>
      <c r="E28" s="7">
        <f>2023-1987</f>
        <v>36</v>
      </c>
      <c r="F28" s="8">
        <v>1960</v>
      </c>
      <c r="G28" s="8">
        <f t="shared" si="0"/>
        <v>2954.7489999999998</v>
      </c>
      <c r="H28" s="9">
        <v>0.18</v>
      </c>
      <c r="I28" s="8">
        <f t="shared" si="8"/>
        <v>2312.8000000000002</v>
      </c>
      <c r="J28" s="4" t="str">
        <f t="shared" si="1"/>
        <v>zarabia poniżej średniej</v>
      </c>
      <c r="K28" s="8">
        <f t="shared" si="2"/>
        <v>382.59199999999998</v>
      </c>
      <c r="L28" s="8">
        <f t="shared" si="3"/>
        <v>156.80000000000001</v>
      </c>
      <c r="M28" s="8">
        <f t="shared" si="4"/>
        <v>48.02</v>
      </c>
      <c r="N28" s="8">
        <f t="shared" si="5"/>
        <v>32.731999999999999</v>
      </c>
      <c r="O28" s="26">
        <f t="shared" si="9"/>
        <v>46.305</v>
      </c>
      <c r="P28" s="26"/>
      <c r="Q28" s="8">
        <f t="shared" si="6"/>
        <v>176.4</v>
      </c>
      <c r="R28" s="8">
        <f t="shared" si="7"/>
        <v>151.9</v>
      </c>
    </row>
    <row r="29" spans="1:18" s="3" customFormat="1" ht="30" customHeight="1" x14ac:dyDescent="0.2">
      <c r="A29" s="4">
        <v>26</v>
      </c>
      <c r="B29" s="4" t="s">
        <v>58</v>
      </c>
      <c r="C29" s="5" t="s">
        <v>57</v>
      </c>
      <c r="D29" s="6">
        <v>37811</v>
      </c>
      <c r="E29" s="7">
        <f>2023-2003</f>
        <v>20</v>
      </c>
      <c r="F29" s="8">
        <v>2540</v>
      </c>
      <c r="G29" s="8">
        <f t="shared" si="0"/>
        <v>3874.9459999999999</v>
      </c>
      <c r="H29" s="9">
        <v>0.15</v>
      </c>
      <c r="I29" s="8">
        <f t="shared" si="8"/>
        <v>2921</v>
      </c>
      <c r="J29" s="4" t="str">
        <f t="shared" si="1"/>
        <v>zarabia poniżej średniej</v>
      </c>
      <c r="K29" s="8">
        <f t="shared" si="2"/>
        <v>495.80799999999994</v>
      </c>
      <c r="L29" s="8">
        <f t="shared" si="3"/>
        <v>203.20000000000002</v>
      </c>
      <c r="M29" s="8">
        <f t="shared" si="4"/>
        <v>62.230000000000004</v>
      </c>
      <c r="N29" s="8">
        <f t="shared" si="5"/>
        <v>42.417999999999999</v>
      </c>
      <c r="O29" s="26">
        <f t="shared" si="9"/>
        <v>105.84</v>
      </c>
      <c r="P29" s="26"/>
      <c r="Q29" s="8">
        <f t="shared" si="6"/>
        <v>228.6</v>
      </c>
      <c r="R29" s="8">
        <f t="shared" si="7"/>
        <v>196.85</v>
      </c>
    </row>
    <row r="30" spans="1:18" s="3" customFormat="1" ht="30" customHeight="1" x14ac:dyDescent="0.2">
      <c r="A30" s="4">
        <v>27</v>
      </c>
      <c r="B30" s="4" t="s">
        <v>60</v>
      </c>
      <c r="C30" s="5" t="s">
        <v>59</v>
      </c>
      <c r="D30" s="6">
        <v>35868</v>
      </c>
      <c r="E30" s="7">
        <f>2023-1998</f>
        <v>25</v>
      </c>
      <c r="F30" s="8">
        <v>4320</v>
      </c>
      <c r="G30" s="8">
        <f t="shared" si="0"/>
        <v>6458.4679999999998</v>
      </c>
      <c r="H30" s="9">
        <v>0.2</v>
      </c>
      <c r="I30" s="8">
        <f t="shared" si="8"/>
        <v>5184</v>
      </c>
      <c r="J30" s="4" t="str">
        <f t="shared" si="1"/>
        <v>zarabia powyżej średniej</v>
      </c>
      <c r="K30" s="8">
        <f t="shared" si="2"/>
        <v>843.2639999999999</v>
      </c>
      <c r="L30" s="8">
        <f t="shared" si="3"/>
        <v>345.6</v>
      </c>
      <c r="M30" s="8">
        <f t="shared" si="4"/>
        <v>105.84</v>
      </c>
      <c r="N30" s="8">
        <f t="shared" si="5"/>
        <v>72.143999999999991</v>
      </c>
      <c r="O30" s="26">
        <f t="shared" si="9"/>
        <v>48.02</v>
      </c>
      <c r="P30" s="26"/>
      <c r="Q30" s="8">
        <f t="shared" si="6"/>
        <v>388.8</v>
      </c>
      <c r="R30" s="8">
        <f t="shared" si="7"/>
        <v>334.8</v>
      </c>
    </row>
    <row r="31" spans="1:18" s="3" customFormat="1" ht="30" customHeight="1" x14ac:dyDescent="0.2">
      <c r="A31" s="4">
        <v>28</v>
      </c>
      <c r="B31" s="4" t="s">
        <v>62</v>
      </c>
      <c r="C31" s="5" t="s">
        <v>61</v>
      </c>
      <c r="D31" s="6">
        <v>34794</v>
      </c>
      <c r="E31" s="7">
        <f>2023-1995</f>
        <v>28</v>
      </c>
      <c r="F31" s="8">
        <v>3540</v>
      </c>
      <c r="G31" s="8">
        <f t="shared" si="0"/>
        <v>5315.2359999999999</v>
      </c>
      <c r="H31" s="9">
        <v>0.1</v>
      </c>
      <c r="I31" s="8">
        <f t="shared" si="8"/>
        <v>3894</v>
      </c>
      <c r="J31" s="4" t="str">
        <f t="shared" si="1"/>
        <v>zarabia poniżej średniej</v>
      </c>
      <c r="K31" s="8">
        <f t="shared" si="2"/>
        <v>691.00799999999992</v>
      </c>
      <c r="L31" s="8">
        <f t="shared" si="3"/>
        <v>283.2</v>
      </c>
      <c r="M31" s="8">
        <f t="shared" si="4"/>
        <v>86.73</v>
      </c>
      <c r="N31" s="8">
        <f t="shared" si="5"/>
        <v>59.117999999999995</v>
      </c>
      <c r="O31" s="26">
        <f t="shared" si="9"/>
        <v>62.230000000000004</v>
      </c>
      <c r="P31" s="26"/>
      <c r="Q31" s="8">
        <f t="shared" si="6"/>
        <v>318.59999999999997</v>
      </c>
      <c r="R31" s="8">
        <f t="shared" si="7"/>
        <v>274.35000000000002</v>
      </c>
    </row>
    <row r="32" spans="1:18" s="3" customFormat="1" ht="30" customHeight="1" x14ac:dyDescent="0.2">
      <c r="A32" s="4">
        <v>29</v>
      </c>
      <c r="B32" s="4" t="s">
        <v>64</v>
      </c>
      <c r="C32" s="5" t="s">
        <v>63</v>
      </c>
      <c r="D32" s="6">
        <v>30005</v>
      </c>
      <c r="E32" s="7">
        <f>2023-1982</f>
        <v>41</v>
      </c>
      <c r="F32" s="8">
        <v>3890</v>
      </c>
      <c r="G32" s="8">
        <f t="shared" si="0"/>
        <v>5878.2109999999993</v>
      </c>
      <c r="H32" s="9">
        <v>0.3</v>
      </c>
      <c r="I32" s="8">
        <f t="shared" si="8"/>
        <v>5057</v>
      </c>
      <c r="J32" s="4" t="str">
        <f t="shared" si="1"/>
        <v>zarabia powyżej średniej</v>
      </c>
      <c r="K32" s="8">
        <f t="shared" si="2"/>
        <v>759.32799999999997</v>
      </c>
      <c r="L32" s="8">
        <f t="shared" si="3"/>
        <v>311.2</v>
      </c>
      <c r="M32" s="8">
        <f t="shared" si="4"/>
        <v>95.305000000000007</v>
      </c>
      <c r="N32" s="8">
        <f t="shared" si="5"/>
        <v>64.962999999999994</v>
      </c>
      <c r="O32" s="26">
        <f t="shared" si="9"/>
        <v>105.84</v>
      </c>
      <c r="P32" s="26"/>
      <c r="Q32" s="8">
        <f t="shared" si="6"/>
        <v>350.09999999999997</v>
      </c>
      <c r="R32" s="8">
        <f t="shared" si="7"/>
        <v>301.47500000000002</v>
      </c>
    </row>
    <row r="33" spans="1:18" s="3" customFormat="1" ht="30" customHeight="1" x14ac:dyDescent="0.2">
      <c r="A33" s="4">
        <v>30</v>
      </c>
      <c r="B33" s="4" t="s">
        <v>66</v>
      </c>
      <c r="C33" s="5" t="s">
        <v>65</v>
      </c>
      <c r="D33" s="6">
        <v>32755</v>
      </c>
      <c r="E33" s="7">
        <f>2023-1989</f>
        <v>34</v>
      </c>
      <c r="F33" s="8">
        <v>2980</v>
      </c>
      <c r="G33" s="8">
        <f t="shared" si="0"/>
        <v>4508.7520000000004</v>
      </c>
      <c r="H33" s="9">
        <v>0.18</v>
      </c>
      <c r="I33" s="8">
        <f t="shared" si="8"/>
        <v>3516.4</v>
      </c>
      <c r="J33" s="4" t="str">
        <f t="shared" si="1"/>
        <v>zarabia poniżej średniej</v>
      </c>
      <c r="K33" s="8">
        <f t="shared" si="2"/>
        <v>581.69599999999991</v>
      </c>
      <c r="L33" s="8">
        <f t="shared" si="3"/>
        <v>238.4</v>
      </c>
      <c r="M33" s="8">
        <f t="shared" si="4"/>
        <v>73.010000000000005</v>
      </c>
      <c r="N33" s="8">
        <f t="shared" si="5"/>
        <v>49.765999999999998</v>
      </c>
      <c r="O33" s="26">
        <f t="shared" si="9"/>
        <v>86.73</v>
      </c>
      <c r="P33" s="26"/>
      <c r="Q33" s="8">
        <f t="shared" si="6"/>
        <v>268.2</v>
      </c>
      <c r="R33" s="8">
        <f t="shared" si="7"/>
        <v>230.95</v>
      </c>
    </row>
    <row r="34" spans="1:18" s="3" customFormat="1" ht="30" customHeight="1" x14ac:dyDescent="0.2">
      <c r="A34" s="4">
        <v>31</v>
      </c>
      <c r="B34" s="4" t="s">
        <v>68</v>
      </c>
      <c r="C34" s="5" t="s">
        <v>67</v>
      </c>
      <c r="D34" s="6">
        <v>32124</v>
      </c>
      <c r="E34" s="7">
        <f>2023-1987</f>
        <v>36</v>
      </c>
      <c r="F34" s="8">
        <v>4530</v>
      </c>
      <c r="G34" s="8">
        <f t="shared" si="0"/>
        <v>6817.3719999999994</v>
      </c>
      <c r="H34" s="9">
        <v>0.15</v>
      </c>
      <c r="I34" s="8">
        <f t="shared" si="8"/>
        <v>5209.5</v>
      </c>
      <c r="J34" s="4" t="str">
        <f t="shared" si="1"/>
        <v>zarabia powyżej średniej</v>
      </c>
      <c r="K34" s="8">
        <f t="shared" si="2"/>
        <v>884.25599999999997</v>
      </c>
      <c r="L34" s="8">
        <f t="shared" si="3"/>
        <v>362.40000000000003</v>
      </c>
      <c r="M34" s="8">
        <f t="shared" si="4"/>
        <v>110.985</v>
      </c>
      <c r="N34" s="8">
        <f t="shared" si="5"/>
        <v>75.650999999999996</v>
      </c>
      <c r="O34" s="26">
        <f t="shared" si="9"/>
        <v>95.305000000000007</v>
      </c>
      <c r="P34" s="26"/>
      <c r="Q34" s="8">
        <f t="shared" si="6"/>
        <v>407.7</v>
      </c>
      <c r="R34" s="8">
        <f t="shared" si="7"/>
        <v>351.07499999999999</v>
      </c>
    </row>
    <row r="35" spans="1:18" s="3" customFormat="1" ht="30" customHeight="1" x14ac:dyDescent="0.2">
      <c r="A35" s="4">
        <v>32</v>
      </c>
      <c r="B35" s="4" t="s">
        <v>70</v>
      </c>
      <c r="C35" s="5" t="s">
        <v>69</v>
      </c>
      <c r="D35" s="6">
        <v>37811</v>
      </c>
      <c r="E35" s="7">
        <f>2023-2003</f>
        <v>20</v>
      </c>
      <c r="F35" s="8">
        <v>2750</v>
      </c>
      <c r="G35" s="8">
        <f t="shared" si="0"/>
        <v>4153.7349999999997</v>
      </c>
      <c r="H35" s="9">
        <v>0.2</v>
      </c>
      <c r="I35" s="8">
        <f t="shared" si="8"/>
        <v>3300</v>
      </c>
      <c r="J35" s="4" t="str">
        <f t="shared" si="1"/>
        <v>zarabia poniżej średniej</v>
      </c>
      <c r="K35" s="8">
        <f t="shared" si="2"/>
        <v>536.79999999999995</v>
      </c>
      <c r="L35" s="8">
        <f t="shared" si="3"/>
        <v>220</v>
      </c>
      <c r="M35" s="8">
        <f t="shared" si="4"/>
        <v>67.375</v>
      </c>
      <c r="N35" s="8">
        <f t="shared" si="5"/>
        <v>45.924999999999997</v>
      </c>
      <c r="O35" s="26">
        <f t="shared" si="9"/>
        <v>73.010000000000005</v>
      </c>
      <c r="P35" s="26"/>
      <c r="Q35" s="8">
        <f t="shared" si="6"/>
        <v>247.5</v>
      </c>
      <c r="R35" s="8">
        <f t="shared" si="7"/>
        <v>213.125</v>
      </c>
    </row>
    <row r="36" spans="1:18" s="3" customFormat="1" ht="30" customHeight="1" x14ac:dyDescent="0.2">
      <c r="A36" s="4">
        <v>33</v>
      </c>
      <c r="B36" s="4" t="s">
        <v>72</v>
      </c>
      <c r="C36" s="5" t="s">
        <v>71</v>
      </c>
      <c r="D36" s="6">
        <v>35868</v>
      </c>
      <c r="E36" s="7">
        <f>2023-1998</f>
        <v>25</v>
      </c>
      <c r="F36" s="8">
        <v>1890</v>
      </c>
      <c r="G36" s="8">
        <f t="shared" si="0"/>
        <v>2915.556</v>
      </c>
      <c r="H36" s="9">
        <v>0.1</v>
      </c>
      <c r="I36" s="8">
        <f t="shared" si="8"/>
        <v>2079</v>
      </c>
      <c r="J36" s="4" t="str">
        <f t="shared" si="1"/>
        <v>zarabia poniżej średniej</v>
      </c>
      <c r="K36" s="8">
        <f t="shared" si="2"/>
        <v>368.928</v>
      </c>
      <c r="L36" s="8">
        <f t="shared" si="3"/>
        <v>151.20000000000002</v>
      </c>
      <c r="M36" s="8">
        <f t="shared" si="4"/>
        <v>46.305</v>
      </c>
      <c r="N36" s="8">
        <f t="shared" si="5"/>
        <v>31.562999999999999</v>
      </c>
      <c r="O36" s="26">
        <f t="shared" si="9"/>
        <v>110.985</v>
      </c>
      <c r="P36" s="26"/>
      <c r="Q36" s="8">
        <f t="shared" si="6"/>
        <v>170.1</v>
      </c>
      <c r="R36" s="8">
        <f t="shared" si="7"/>
        <v>146.47499999999999</v>
      </c>
    </row>
    <row r="37" spans="1:18" s="3" customFormat="1" ht="30" customHeight="1" x14ac:dyDescent="0.2">
      <c r="A37" s="4">
        <v>34</v>
      </c>
      <c r="B37" s="4" t="s">
        <v>74</v>
      </c>
      <c r="C37" s="5" t="s">
        <v>73</v>
      </c>
      <c r="D37" s="6">
        <v>34794</v>
      </c>
      <c r="E37" s="7">
        <f>2023-1995</f>
        <v>28</v>
      </c>
      <c r="F37" s="8">
        <v>4320</v>
      </c>
      <c r="G37" s="8">
        <f t="shared" si="0"/>
        <v>6477.8230000000003</v>
      </c>
      <c r="H37" s="9">
        <v>0.3</v>
      </c>
      <c r="I37" s="8">
        <f t="shared" si="8"/>
        <v>5616</v>
      </c>
      <c r="J37" s="4" t="str">
        <f t="shared" si="1"/>
        <v>zarabia powyżej średniej</v>
      </c>
      <c r="K37" s="8">
        <f t="shared" si="2"/>
        <v>843.2639999999999</v>
      </c>
      <c r="L37" s="8">
        <f t="shared" si="3"/>
        <v>345.6</v>
      </c>
      <c r="M37" s="8">
        <f t="shared" si="4"/>
        <v>105.84</v>
      </c>
      <c r="N37" s="8">
        <f t="shared" si="5"/>
        <v>72.143999999999991</v>
      </c>
      <c r="O37" s="26">
        <f t="shared" si="9"/>
        <v>67.375</v>
      </c>
      <c r="P37" s="26"/>
      <c r="Q37" s="8">
        <f t="shared" si="6"/>
        <v>388.8</v>
      </c>
      <c r="R37" s="8">
        <f t="shared" si="7"/>
        <v>334.8</v>
      </c>
    </row>
    <row r="38" spans="1:18" s="3" customFormat="1" ht="30" customHeight="1" x14ac:dyDescent="0.2">
      <c r="A38" s="4">
        <v>35</v>
      </c>
      <c r="B38" s="4" t="s">
        <v>76</v>
      </c>
      <c r="C38" s="5" t="s">
        <v>75</v>
      </c>
      <c r="D38" s="6">
        <v>30005</v>
      </c>
      <c r="E38" s="7">
        <f>2023-1982</f>
        <v>41</v>
      </c>
      <c r="F38" s="8">
        <v>1960</v>
      </c>
      <c r="G38" s="8">
        <f t="shared" si="0"/>
        <v>2954.7489999999998</v>
      </c>
      <c r="H38" s="9">
        <v>0.18</v>
      </c>
      <c r="I38" s="8">
        <f t="shared" si="8"/>
        <v>2312.8000000000002</v>
      </c>
      <c r="J38" s="4" t="str">
        <f t="shared" si="1"/>
        <v>zarabia poniżej średniej</v>
      </c>
      <c r="K38" s="8">
        <f t="shared" si="2"/>
        <v>382.59199999999998</v>
      </c>
      <c r="L38" s="8">
        <f t="shared" si="3"/>
        <v>156.80000000000001</v>
      </c>
      <c r="M38" s="8">
        <f t="shared" si="4"/>
        <v>48.02</v>
      </c>
      <c r="N38" s="8">
        <f t="shared" si="5"/>
        <v>32.731999999999999</v>
      </c>
      <c r="O38" s="26">
        <f t="shared" si="9"/>
        <v>46.305</v>
      </c>
      <c r="P38" s="26"/>
      <c r="Q38" s="8">
        <f t="shared" si="6"/>
        <v>176.4</v>
      </c>
      <c r="R38" s="8">
        <f t="shared" si="7"/>
        <v>151.9</v>
      </c>
    </row>
    <row r="39" spans="1:18" s="3" customFormat="1" ht="30" customHeight="1" x14ac:dyDescent="0.2">
      <c r="A39" s="4">
        <v>36</v>
      </c>
      <c r="B39" s="4" t="s">
        <v>78</v>
      </c>
      <c r="C39" s="5" t="s">
        <v>77</v>
      </c>
      <c r="D39" s="6">
        <v>32755</v>
      </c>
      <c r="E39" s="7">
        <f>2023-1989</f>
        <v>34</v>
      </c>
      <c r="F39" s="8">
        <v>2540</v>
      </c>
      <c r="G39" s="8">
        <f t="shared" si="0"/>
        <v>3874.9459999999999</v>
      </c>
      <c r="H39" s="9">
        <v>0.15</v>
      </c>
      <c r="I39" s="8">
        <f t="shared" si="8"/>
        <v>2921</v>
      </c>
      <c r="J39" s="4" t="str">
        <f t="shared" si="1"/>
        <v>zarabia poniżej średniej</v>
      </c>
      <c r="K39" s="8">
        <f t="shared" si="2"/>
        <v>495.80799999999994</v>
      </c>
      <c r="L39" s="8">
        <f t="shared" si="3"/>
        <v>203.20000000000002</v>
      </c>
      <c r="M39" s="8">
        <f t="shared" si="4"/>
        <v>62.230000000000004</v>
      </c>
      <c r="N39" s="8">
        <f t="shared" si="5"/>
        <v>42.417999999999999</v>
      </c>
      <c r="O39" s="26">
        <f t="shared" si="9"/>
        <v>105.84</v>
      </c>
      <c r="P39" s="26"/>
      <c r="Q39" s="8">
        <f t="shared" si="6"/>
        <v>228.6</v>
      </c>
      <c r="R39" s="8">
        <f t="shared" si="7"/>
        <v>196.85</v>
      </c>
    </row>
    <row r="40" spans="1:18" s="3" customFormat="1" ht="30" customHeight="1" x14ac:dyDescent="0.2">
      <c r="A40" s="4">
        <v>37</v>
      </c>
      <c r="B40" s="4" t="s">
        <v>80</v>
      </c>
      <c r="C40" s="5" t="s">
        <v>79</v>
      </c>
      <c r="D40" s="6">
        <v>32124</v>
      </c>
      <c r="E40" s="7">
        <f>2023-1987</f>
        <v>36</v>
      </c>
      <c r="F40" s="8">
        <v>4320</v>
      </c>
      <c r="G40" s="8">
        <f t="shared" si="0"/>
        <v>6458.4679999999998</v>
      </c>
      <c r="H40" s="9">
        <v>0.2</v>
      </c>
      <c r="I40" s="8">
        <f t="shared" si="8"/>
        <v>5184</v>
      </c>
      <c r="J40" s="4" t="str">
        <f t="shared" si="1"/>
        <v>zarabia powyżej średniej</v>
      </c>
      <c r="K40" s="8">
        <f t="shared" si="2"/>
        <v>843.2639999999999</v>
      </c>
      <c r="L40" s="8">
        <f t="shared" si="3"/>
        <v>345.6</v>
      </c>
      <c r="M40" s="8">
        <f t="shared" si="4"/>
        <v>105.84</v>
      </c>
      <c r="N40" s="8">
        <f t="shared" si="5"/>
        <v>72.143999999999991</v>
      </c>
      <c r="O40" s="26">
        <f t="shared" si="9"/>
        <v>48.02</v>
      </c>
      <c r="P40" s="26"/>
      <c r="Q40" s="8">
        <f t="shared" si="6"/>
        <v>388.8</v>
      </c>
      <c r="R40" s="8">
        <f t="shared" si="7"/>
        <v>334.8</v>
      </c>
    </row>
    <row r="41" spans="1:18" s="3" customFormat="1" ht="30" customHeight="1" x14ac:dyDescent="0.2">
      <c r="A41" s="4">
        <v>38</v>
      </c>
      <c r="B41" s="4" t="s">
        <v>82</v>
      </c>
      <c r="C41" s="5" t="s">
        <v>81</v>
      </c>
      <c r="D41" s="6">
        <v>37811</v>
      </c>
      <c r="E41" s="7">
        <f>2023-2003</f>
        <v>20</v>
      </c>
      <c r="F41" s="8">
        <v>3540</v>
      </c>
      <c r="G41" s="8">
        <f t="shared" si="0"/>
        <v>5315.2359999999999</v>
      </c>
      <c r="H41" s="9">
        <v>0.1</v>
      </c>
      <c r="I41" s="8">
        <f t="shared" si="8"/>
        <v>3894</v>
      </c>
      <c r="J41" s="4" t="str">
        <f t="shared" si="1"/>
        <v>zarabia poniżej średniej</v>
      </c>
      <c r="K41" s="8">
        <f t="shared" si="2"/>
        <v>691.00799999999992</v>
      </c>
      <c r="L41" s="8">
        <f t="shared" si="3"/>
        <v>283.2</v>
      </c>
      <c r="M41" s="8">
        <f t="shared" si="4"/>
        <v>86.73</v>
      </c>
      <c r="N41" s="8">
        <f t="shared" si="5"/>
        <v>59.117999999999995</v>
      </c>
      <c r="O41" s="26">
        <f t="shared" si="9"/>
        <v>62.230000000000004</v>
      </c>
      <c r="P41" s="26"/>
      <c r="Q41" s="8">
        <f t="shared" si="6"/>
        <v>318.59999999999997</v>
      </c>
      <c r="R41" s="8">
        <f t="shared" si="7"/>
        <v>274.35000000000002</v>
      </c>
    </row>
    <row r="42" spans="1:18" s="3" customFormat="1" ht="30" customHeight="1" x14ac:dyDescent="0.2">
      <c r="A42" s="4">
        <v>39</v>
      </c>
      <c r="B42" s="4" t="s">
        <v>84</v>
      </c>
      <c r="C42" s="5" t="s">
        <v>83</v>
      </c>
      <c r="D42" s="6">
        <v>35868</v>
      </c>
      <c r="E42" s="7">
        <f>2023-1998</f>
        <v>25</v>
      </c>
      <c r="F42" s="8">
        <v>3890</v>
      </c>
      <c r="G42" s="8">
        <f t="shared" si="0"/>
        <v>5878.2109999999993</v>
      </c>
      <c r="H42" s="9">
        <v>0.3</v>
      </c>
      <c r="I42" s="8">
        <f t="shared" si="8"/>
        <v>5057</v>
      </c>
      <c r="J42" s="4" t="str">
        <f t="shared" si="1"/>
        <v>zarabia powyżej średniej</v>
      </c>
      <c r="K42" s="8">
        <f t="shared" si="2"/>
        <v>759.32799999999997</v>
      </c>
      <c r="L42" s="8">
        <f t="shared" si="3"/>
        <v>311.2</v>
      </c>
      <c r="M42" s="8">
        <f t="shared" si="4"/>
        <v>95.305000000000007</v>
      </c>
      <c r="N42" s="8">
        <f t="shared" si="5"/>
        <v>64.962999999999994</v>
      </c>
      <c r="O42" s="26">
        <f t="shared" si="9"/>
        <v>105.84</v>
      </c>
      <c r="P42" s="26"/>
      <c r="Q42" s="8">
        <f t="shared" si="6"/>
        <v>350.09999999999997</v>
      </c>
      <c r="R42" s="8">
        <f t="shared" si="7"/>
        <v>301.47500000000002</v>
      </c>
    </row>
    <row r="43" spans="1:18" s="3" customFormat="1" ht="30" customHeight="1" x14ac:dyDescent="0.2">
      <c r="A43" s="4">
        <v>40</v>
      </c>
      <c r="B43" s="4" t="s">
        <v>86</v>
      </c>
      <c r="C43" s="5" t="s">
        <v>85</v>
      </c>
      <c r="D43" s="6">
        <v>34794</v>
      </c>
      <c r="E43" s="7">
        <f>2023-1995</f>
        <v>28</v>
      </c>
      <c r="F43" s="8">
        <v>2980</v>
      </c>
      <c r="G43" s="8">
        <f t="shared" si="0"/>
        <v>4508.7520000000004</v>
      </c>
      <c r="H43" s="9">
        <v>0.18</v>
      </c>
      <c r="I43" s="8">
        <f t="shared" si="8"/>
        <v>3516.4</v>
      </c>
      <c r="J43" s="4" t="str">
        <f t="shared" si="1"/>
        <v>zarabia poniżej średniej</v>
      </c>
      <c r="K43" s="8">
        <f t="shared" si="2"/>
        <v>581.69599999999991</v>
      </c>
      <c r="L43" s="8">
        <f t="shared" si="3"/>
        <v>238.4</v>
      </c>
      <c r="M43" s="8">
        <f t="shared" si="4"/>
        <v>73.010000000000005</v>
      </c>
      <c r="N43" s="8">
        <f t="shared" si="5"/>
        <v>49.765999999999998</v>
      </c>
      <c r="O43" s="26">
        <f t="shared" si="9"/>
        <v>86.73</v>
      </c>
      <c r="P43" s="26"/>
      <c r="Q43" s="8">
        <f t="shared" si="6"/>
        <v>268.2</v>
      </c>
      <c r="R43" s="8">
        <f t="shared" si="7"/>
        <v>230.95</v>
      </c>
    </row>
    <row r="44" spans="1:18" s="3" customFormat="1" ht="30" customHeight="1" x14ac:dyDescent="0.2">
      <c r="A44" s="4">
        <v>41</v>
      </c>
      <c r="B44" s="4" t="s">
        <v>88</v>
      </c>
      <c r="C44" s="5" t="s">
        <v>87</v>
      </c>
      <c r="D44" s="6">
        <v>30005</v>
      </c>
      <c r="E44" s="7">
        <f>2023-1982</f>
        <v>41</v>
      </c>
      <c r="F44" s="8">
        <v>4530</v>
      </c>
      <c r="G44" s="8">
        <f t="shared" si="0"/>
        <v>6817.3719999999994</v>
      </c>
      <c r="H44" s="9">
        <v>0.15</v>
      </c>
      <c r="I44" s="8">
        <f t="shared" si="8"/>
        <v>5209.5</v>
      </c>
      <c r="J44" s="4" t="str">
        <f t="shared" si="1"/>
        <v>zarabia powyżej średniej</v>
      </c>
      <c r="K44" s="8">
        <f t="shared" si="2"/>
        <v>884.25599999999997</v>
      </c>
      <c r="L44" s="8">
        <f t="shared" si="3"/>
        <v>362.40000000000003</v>
      </c>
      <c r="M44" s="8">
        <f t="shared" si="4"/>
        <v>110.985</v>
      </c>
      <c r="N44" s="8">
        <f t="shared" si="5"/>
        <v>75.650999999999996</v>
      </c>
      <c r="O44" s="26">
        <f t="shared" si="9"/>
        <v>95.305000000000007</v>
      </c>
      <c r="P44" s="26"/>
      <c r="Q44" s="8">
        <f t="shared" si="6"/>
        <v>407.7</v>
      </c>
      <c r="R44" s="8">
        <f t="shared" si="7"/>
        <v>351.07499999999999</v>
      </c>
    </row>
    <row r="45" spans="1:18" s="3" customFormat="1" ht="30" customHeight="1" x14ac:dyDescent="0.2">
      <c r="A45" s="4">
        <v>42</v>
      </c>
      <c r="B45" s="4" t="s">
        <v>90</v>
      </c>
      <c r="C45" s="5" t="s">
        <v>89</v>
      </c>
      <c r="D45" s="6">
        <v>32755</v>
      </c>
      <c r="E45" s="7">
        <f>2023-1989</f>
        <v>34</v>
      </c>
      <c r="F45" s="8">
        <v>2750</v>
      </c>
      <c r="G45" s="8">
        <f t="shared" si="0"/>
        <v>4153.7349999999997</v>
      </c>
      <c r="H45" s="9">
        <v>0.2</v>
      </c>
      <c r="I45" s="8">
        <f t="shared" si="8"/>
        <v>3300</v>
      </c>
      <c r="J45" s="4" t="str">
        <f t="shared" si="1"/>
        <v>zarabia poniżej średniej</v>
      </c>
      <c r="K45" s="8">
        <f t="shared" si="2"/>
        <v>536.79999999999995</v>
      </c>
      <c r="L45" s="8">
        <f t="shared" si="3"/>
        <v>220</v>
      </c>
      <c r="M45" s="8">
        <f t="shared" si="4"/>
        <v>67.375</v>
      </c>
      <c r="N45" s="8">
        <f t="shared" si="5"/>
        <v>45.924999999999997</v>
      </c>
      <c r="O45" s="26">
        <f t="shared" si="9"/>
        <v>73.010000000000005</v>
      </c>
      <c r="P45" s="26"/>
      <c r="Q45" s="8">
        <f t="shared" si="6"/>
        <v>247.5</v>
      </c>
      <c r="R45" s="8">
        <f t="shared" si="7"/>
        <v>213.125</v>
      </c>
    </row>
    <row r="46" spans="1:18" s="3" customFormat="1" ht="30" customHeight="1" x14ac:dyDescent="0.2">
      <c r="A46" s="4">
        <v>43</v>
      </c>
      <c r="B46" s="4" t="s">
        <v>92</v>
      </c>
      <c r="C46" s="5" t="s">
        <v>91</v>
      </c>
      <c r="D46" s="6">
        <v>32124</v>
      </c>
      <c r="E46" s="7">
        <f>2023-1987</f>
        <v>36</v>
      </c>
      <c r="F46" s="8">
        <v>6700</v>
      </c>
      <c r="G46" s="8">
        <f t="shared" si="0"/>
        <v>10053.115</v>
      </c>
      <c r="H46" s="9">
        <v>0.1</v>
      </c>
      <c r="I46" s="8">
        <f t="shared" si="8"/>
        <v>7370</v>
      </c>
      <c r="J46" s="4" t="str">
        <f t="shared" si="1"/>
        <v>zarabia powyżej średniej</v>
      </c>
      <c r="K46" s="8">
        <f t="shared" si="2"/>
        <v>1307.8399999999999</v>
      </c>
      <c r="L46" s="8">
        <f t="shared" si="3"/>
        <v>536</v>
      </c>
      <c r="M46" s="8">
        <f t="shared" si="4"/>
        <v>164.15</v>
      </c>
      <c r="N46" s="8">
        <f t="shared" si="5"/>
        <v>111.89</v>
      </c>
      <c r="O46" s="26">
        <f t="shared" si="9"/>
        <v>110.985</v>
      </c>
      <c r="P46" s="26"/>
      <c r="Q46" s="8">
        <f t="shared" si="6"/>
        <v>603</v>
      </c>
      <c r="R46" s="8">
        <f t="shared" si="7"/>
        <v>519.25</v>
      </c>
    </row>
    <row r="47" spans="1:18" s="3" customFormat="1" ht="30" customHeight="1" x14ac:dyDescent="0.2">
      <c r="A47" s="4">
        <v>44</v>
      </c>
      <c r="B47" s="4" t="s">
        <v>94</v>
      </c>
      <c r="C47" s="5" t="s">
        <v>93</v>
      </c>
      <c r="D47" s="6">
        <v>37811</v>
      </c>
      <c r="E47" s="7">
        <f>2023-2003</f>
        <v>20</v>
      </c>
      <c r="F47" s="8">
        <v>4320</v>
      </c>
      <c r="G47" s="8">
        <f t="shared" si="0"/>
        <v>6477.8230000000003</v>
      </c>
      <c r="H47" s="9">
        <v>0.3</v>
      </c>
      <c r="I47" s="8">
        <f t="shared" si="8"/>
        <v>5616</v>
      </c>
      <c r="J47" s="4" t="str">
        <f t="shared" si="1"/>
        <v>zarabia powyżej średniej</v>
      </c>
      <c r="K47" s="8">
        <f t="shared" si="2"/>
        <v>843.2639999999999</v>
      </c>
      <c r="L47" s="8">
        <f t="shared" si="3"/>
        <v>345.6</v>
      </c>
      <c r="M47" s="8">
        <f t="shared" si="4"/>
        <v>105.84</v>
      </c>
      <c r="N47" s="8">
        <f t="shared" si="5"/>
        <v>72.143999999999991</v>
      </c>
      <c r="O47" s="26">
        <f t="shared" si="9"/>
        <v>67.375</v>
      </c>
      <c r="P47" s="26"/>
      <c r="Q47" s="8">
        <f t="shared" si="6"/>
        <v>388.8</v>
      </c>
      <c r="R47" s="8">
        <f t="shared" si="7"/>
        <v>334.8</v>
      </c>
    </row>
    <row r="48" spans="1:18" s="3" customFormat="1" ht="30" customHeight="1" x14ac:dyDescent="0.2">
      <c r="A48" s="4">
        <v>45</v>
      </c>
      <c r="B48" s="4" t="s">
        <v>96</v>
      </c>
      <c r="C48" s="5" t="s">
        <v>95</v>
      </c>
      <c r="D48" s="6">
        <v>35868</v>
      </c>
      <c r="E48" s="7">
        <f>2023-1998</f>
        <v>25</v>
      </c>
      <c r="F48" s="8">
        <v>1960</v>
      </c>
      <c r="G48" s="8">
        <f t="shared" si="0"/>
        <v>3072.5940000000001</v>
      </c>
      <c r="H48" s="9">
        <v>0.18</v>
      </c>
      <c r="I48" s="8">
        <f t="shared" si="8"/>
        <v>2312.8000000000002</v>
      </c>
      <c r="J48" s="4" t="str">
        <f t="shared" si="1"/>
        <v>zarabia poniżej średniej</v>
      </c>
      <c r="K48" s="8">
        <f t="shared" si="2"/>
        <v>382.59199999999998</v>
      </c>
      <c r="L48" s="8">
        <f t="shared" si="3"/>
        <v>156.80000000000001</v>
      </c>
      <c r="M48" s="8">
        <f t="shared" si="4"/>
        <v>48.02</v>
      </c>
      <c r="N48" s="8">
        <f t="shared" si="5"/>
        <v>32.731999999999999</v>
      </c>
      <c r="O48" s="26">
        <f t="shared" si="9"/>
        <v>164.15</v>
      </c>
      <c r="P48" s="26"/>
      <c r="Q48" s="8">
        <f t="shared" si="6"/>
        <v>176.4</v>
      </c>
      <c r="R48" s="8">
        <f t="shared" si="7"/>
        <v>151.9</v>
      </c>
    </row>
    <row r="49" spans="1:18" s="3" customFormat="1" ht="30" customHeight="1" x14ac:dyDescent="0.2">
      <c r="A49" s="4">
        <v>46</v>
      </c>
      <c r="B49" s="4" t="s">
        <v>98</v>
      </c>
      <c r="C49" s="5" t="s">
        <v>97</v>
      </c>
      <c r="D49" s="6">
        <v>34794</v>
      </c>
      <c r="E49" s="7">
        <f>2023-1995</f>
        <v>28</v>
      </c>
      <c r="F49" s="8">
        <v>2540</v>
      </c>
      <c r="G49" s="8">
        <f t="shared" si="0"/>
        <v>3874.9459999999999</v>
      </c>
      <c r="H49" s="9">
        <v>0.15</v>
      </c>
      <c r="I49" s="8">
        <f t="shared" si="8"/>
        <v>2921</v>
      </c>
      <c r="J49" s="4" t="str">
        <f t="shared" si="1"/>
        <v>zarabia poniżej średniej</v>
      </c>
      <c r="K49" s="8">
        <f t="shared" si="2"/>
        <v>495.80799999999994</v>
      </c>
      <c r="L49" s="8">
        <f t="shared" si="3"/>
        <v>203.20000000000002</v>
      </c>
      <c r="M49" s="8">
        <f t="shared" si="4"/>
        <v>62.230000000000004</v>
      </c>
      <c r="N49" s="8">
        <f t="shared" si="5"/>
        <v>42.417999999999999</v>
      </c>
      <c r="O49" s="26">
        <f t="shared" si="9"/>
        <v>105.84</v>
      </c>
      <c r="P49" s="26"/>
      <c r="Q49" s="8">
        <f t="shared" si="6"/>
        <v>228.6</v>
      </c>
      <c r="R49" s="8">
        <f t="shared" si="7"/>
        <v>196.85</v>
      </c>
    </row>
    <row r="50" spans="1:18" s="3" customFormat="1" ht="30" customHeight="1" x14ac:dyDescent="0.2">
      <c r="A50" s="4">
        <v>47</v>
      </c>
      <c r="B50" s="4" t="s">
        <v>100</v>
      </c>
      <c r="C50" s="5" t="s">
        <v>99</v>
      </c>
      <c r="D50" s="6">
        <v>30005</v>
      </c>
      <c r="E50" s="7">
        <f>2023-1982</f>
        <v>41</v>
      </c>
      <c r="F50" s="8">
        <v>4320</v>
      </c>
      <c r="G50" s="8">
        <f t="shared" si="0"/>
        <v>6458.4679999999998</v>
      </c>
      <c r="H50" s="9">
        <v>0.2</v>
      </c>
      <c r="I50" s="8">
        <f t="shared" si="8"/>
        <v>5184</v>
      </c>
      <c r="J50" s="4" t="str">
        <f t="shared" si="1"/>
        <v>zarabia powyżej średniej</v>
      </c>
      <c r="K50" s="8">
        <f t="shared" si="2"/>
        <v>843.2639999999999</v>
      </c>
      <c r="L50" s="8">
        <f t="shared" si="3"/>
        <v>345.6</v>
      </c>
      <c r="M50" s="8">
        <f t="shared" si="4"/>
        <v>105.84</v>
      </c>
      <c r="N50" s="8">
        <f t="shared" si="5"/>
        <v>72.143999999999991</v>
      </c>
      <c r="O50" s="26">
        <f t="shared" si="9"/>
        <v>48.02</v>
      </c>
      <c r="P50" s="26"/>
      <c r="Q50" s="8">
        <f t="shared" si="6"/>
        <v>388.8</v>
      </c>
      <c r="R50" s="8">
        <f t="shared" si="7"/>
        <v>334.8</v>
      </c>
    </row>
    <row r="51" spans="1:18" s="3" customFormat="1" ht="30" customHeight="1" x14ac:dyDescent="0.2">
      <c r="A51" s="4">
        <v>48</v>
      </c>
      <c r="B51" s="4" t="s">
        <v>102</v>
      </c>
      <c r="C51" s="5" t="s">
        <v>101</v>
      </c>
      <c r="D51" s="6">
        <v>32755</v>
      </c>
      <c r="E51" s="7">
        <f>2023-1989</f>
        <v>34</v>
      </c>
      <c r="F51" s="8">
        <v>3540</v>
      </c>
      <c r="G51" s="8">
        <f t="shared" si="0"/>
        <v>5315.2359999999999</v>
      </c>
      <c r="H51" s="9">
        <v>0.1</v>
      </c>
      <c r="I51" s="8">
        <f t="shared" si="8"/>
        <v>3894</v>
      </c>
      <c r="J51" s="4" t="str">
        <f t="shared" si="1"/>
        <v>zarabia poniżej średniej</v>
      </c>
      <c r="K51" s="8">
        <f t="shared" si="2"/>
        <v>691.00799999999992</v>
      </c>
      <c r="L51" s="8">
        <f t="shared" si="3"/>
        <v>283.2</v>
      </c>
      <c r="M51" s="8">
        <f t="shared" si="4"/>
        <v>86.73</v>
      </c>
      <c r="N51" s="8">
        <f t="shared" si="5"/>
        <v>59.117999999999995</v>
      </c>
      <c r="O51" s="26">
        <f t="shared" si="9"/>
        <v>62.230000000000004</v>
      </c>
      <c r="P51" s="26"/>
      <c r="Q51" s="8">
        <f t="shared" si="6"/>
        <v>318.59999999999997</v>
      </c>
      <c r="R51" s="8">
        <f t="shared" si="7"/>
        <v>274.35000000000002</v>
      </c>
    </row>
    <row r="52" spans="1:18" s="3" customFormat="1" ht="30" customHeight="1" x14ac:dyDescent="0.2">
      <c r="A52" s="4">
        <v>49</v>
      </c>
      <c r="B52" s="4" t="s">
        <v>104</v>
      </c>
      <c r="C52" s="5" t="s">
        <v>103</v>
      </c>
      <c r="D52" s="6">
        <v>32124</v>
      </c>
      <c r="E52" s="7">
        <f>2023-1987</f>
        <v>36</v>
      </c>
      <c r="F52" s="8">
        <v>3890</v>
      </c>
      <c r="G52" s="8">
        <f t="shared" si="0"/>
        <v>5878.2109999999993</v>
      </c>
      <c r="H52" s="9">
        <v>0.3</v>
      </c>
      <c r="I52" s="8">
        <f t="shared" si="8"/>
        <v>5057</v>
      </c>
      <c r="J52" s="4" t="str">
        <f t="shared" si="1"/>
        <v>zarabia powyżej średniej</v>
      </c>
      <c r="K52" s="8">
        <f t="shared" si="2"/>
        <v>759.32799999999997</v>
      </c>
      <c r="L52" s="8">
        <f t="shared" si="3"/>
        <v>311.2</v>
      </c>
      <c r="M52" s="8">
        <f t="shared" si="4"/>
        <v>95.305000000000007</v>
      </c>
      <c r="N52" s="8">
        <f t="shared" si="5"/>
        <v>64.962999999999994</v>
      </c>
      <c r="O52" s="26">
        <f t="shared" si="9"/>
        <v>105.84</v>
      </c>
      <c r="P52" s="26"/>
      <c r="Q52" s="8">
        <f t="shared" si="6"/>
        <v>350.09999999999997</v>
      </c>
      <c r="R52" s="8">
        <f t="shared" si="7"/>
        <v>301.47500000000002</v>
      </c>
    </row>
    <row r="53" spans="1:18" s="3" customFormat="1" ht="30" customHeight="1" x14ac:dyDescent="0.2">
      <c r="A53" s="4">
        <v>50</v>
      </c>
      <c r="B53" s="4" t="s">
        <v>106</v>
      </c>
      <c r="C53" s="5" t="s">
        <v>105</v>
      </c>
      <c r="D53" s="6">
        <v>37811</v>
      </c>
      <c r="E53" s="7">
        <f>2023-2003</f>
        <v>20</v>
      </c>
      <c r="F53" s="8">
        <v>2980</v>
      </c>
      <c r="G53" s="8">
        <f t="shared" si="0"/>
        <v>4508.7520000000004</v>
      </c>
      <c r="H53" s="9">
        <v>0.18</v>
      </c>
      <c r="I53" s="8">
        <f t="shared" si="8"/>
        <v>3516.4</v>
      </c>
      <c r="J53" s="4" t="str">
        <f t="shared" si="1"/>
        <v>zarabia poniżej średniej</v>
      </c>
      <c r="K53" s="8">
        <f t="shared" si="2"/>
        <v>581.69599999999991</v>
      </c>
      <c r="L53" s="8">
        <f t="shared" si="3"/>
        <v>238.4</v>
      </c>
      <c r="M53" s="8">
        <f t="shared" si="4"/>
        <v>73.010000000000005</v>
      </c>
      <c r="N53" s="8">
        <f t="shared" si="5"/>
        <v>49.765999999999998</v>
      </c>
      <c r="O53" s="26">
        <f t="shared" si="9"/>
        <v>86.73</v>
      </c>
      <c r="P53" s="26"/>
      <c r="Q53" s="8">
        <f t="shared" si="6"/>
        <v>268.2</v>
      </c>
      <c r="R53" s="8">
        <f t="shared" si="7"/>
        <v>230.95</v>
      </c>
    </row>
    <row r="54" spans="1:18" s="3" customFormat="1" ht="30" customHeight="1" x14ac:dyDescent="0.2">
      <c r="A54" s="4">
        <v>51</v>
      </c>
      <c r="B54" s="4" t="s">
        <v>108</v>
      </c>
      <c r="C54" s="5" t="s">
        <v>107</v>
      </c>
      <c r="D54" s="6">
        <v>35868</v>
      </c>
      <c r="E54" s="7">
        <f>2023-1998</f>
        <v>25</v>
      </c>
      <c r="F54" s="8">
        <v>4530</v>
      </c>
      <c r="G54" s="8">
        <f t="shared" si="0"/>
        <v>6817.3719999999994</v>
      </c>
      <c r="H54" s="9">
        <v>0.15</v>
      </c>
      <c r="I54" s="8">
        <f t="shared" si="8"/>
        <v>5209.5</v>
      </c>
      <c r="J54" s="4" t="str">
        <f t="shared" si="1"/>
        <v>zarabia powyżej średniej</v>
      </c>
      <c r="K54" s="8">
        <f t="shared" si="2"/>
        <v>884.25599999999997</v>
      </c>
      <c r="L54" s="8">
        <f t="shared" si="3"/>
        <v>362.40000000000003</v>
      </c>
      <c r="M54" s="8">
        <f t="shared" si="4"/>
        <v>110.985</v>
      </c>
      <c r="N54" s="8">
        <f t="shared" si="5"/>
        <v>75.650999999999996</v>
      </c>
      <c r="O54" s="26">
        <f t="shared" si="9"/>
        <v>95.305000000000007</v>
      </c>
      <c r="P54" s="26"/>
      <c r="Q54" s="8">
        <f t="shared" si="6"/>
        <v>407.7</v>
      </c>
      <c r="R54" s="8">
        <f t="shared" si="7"/>
        <v>351.07499999999999</v>
      </c>
    </row>
    <row r="55" spans="1:18" s="3" customFormat="1" ht="30" customHeight="1" x14ac:dyDescent="0.2">
      <c r="A55" s="4">
        <v>52</v>
      </c>
      <c r="B55" s="4" t="s">
        <v>110</v>
      </c>
      <c r="C55" s="5" t="s">
        <v>109</v>
      </c>
      <c r="D55" s="6">
        <v>34794</v>
      </c>
      <c r="E55" s="7">
        <f>2023-1995</f>
        <v>28</v>
      </c>
      <c r="F55" s="8">
        <v>2750</v>
      </c>
      <c r="G55" s="8">
        <f t="shared" si="0"/>
        <v>4153.7349999999997</v>
      </c>
      <c r="H55" s="9">
        <v>0.2</v>
      </c>
      <c r="I55" s="8">
        <f t="shared" si="8"/>
        <v>3300</v>
      </c>
      <c r="J55" s="4" t="str">
        <f t="shared" si="1"/>
        <v>zarabia poniżej średniej</v>
      </c>
      <c r="K55" s="8">
        <f t="shared" si="2"/>
        <v>536.79999999999995</v>
      </c>
      <c r="L55" s="8">
        <f t="shared" si="3"/>
        <v>220</v>
      </c>
      <c r="M55" s="8">
        <f t="shared" si="4"/>
        <v>67.375</v>
      </c>
      <c r="N55" s="8">
        <f t="shared" si="5"/>
        <v>45.924999999999997</v>
      </c>
      <c r="O55" s="26">
        <f t="shared" si="9"/>
        <v>73.010000000000005</v>
      </c>
      <c r="P55" s="26"/>
      <c r="Q55" s="8">
        <f t="shared" si="6"/>
        <v>247.5</v>
      </c>
      <c r="R55" s="8">
        <f t="shared" si="7"/>
        <v>213.125</v>
      </c>
    </row>
    <row r="56" spans="1:18" s="3" customFormat="1" ht="30" customHeight="1" x14ac:dyDescent="0.2">
      <c r="A56" s="4">
        <v>53</v>
      </c>
      <c r="B56" s="4" t="s">
        <v>112</v>
      </c>
      <c r="C56" s="5" t="s">
        <v>111</v>
      </c>
      <c r="D56" s="6">
        <v>30005</v>
      </c>
      <c r="E56" s="7">
        <f>2023-1982</f>
        <v>41</v>
      </c>
      <c r="F56" s="8">
        <v>1890</v>
      </c>
      <c r="G56" s="8">
        <f t="shared" si="0"/>
        <v>2915.556</v>
      </c>
      <c r="H56" s="9">
        <v>0.1</v>
      </c>
      <c r="I56" s="8">
        <f t="shared" si="8"/>
        <v>2079</v>
      </c>
      <c r="J56" s="4" t="str">
        <f t="shared" si="1"/>
        <v>zarabia poniżej średniej</v>
      </c>
      <c r="K56" s="8">
        <f t="shared" si="2"/>
        <v>368.928</v>
      </c>
      <c r="L56" s="8">
        <f t="shared" si="3"/>
        <v>151.20000000000002</v>
      </c>
      <c r="M56" s="8">
        <f t="shared" si="4"/>
        <v>46.305</v>
      </c>
      <c r="N56" s="8">
        <f t="shared" si="5"/>
        <v>31.562999999999999</v>
      </c>
      <c r="O56" s="26">
        <f t="shared" si="9"/>
        <v>110.985</v>
      </c>
      <c r="P56" s="26"/>
      <c r="Q56" s="8">
        <f t="shared" si="6"/>
        <v>170.1</v>
      </c>
      <c r="R56" s="8">
        <f t="shared" si="7"/>
        <v>146.47499999999999</v>
      </c>
    </row>
    <row r="57" spans="1:18" s="3" customFormat="1" ht="30" customHeight="1" x14ac:dyDescent="0.2">
      <c r="A57" s="4">
        <v>54</v>
      </c>
      <c r="B57" s="4" t="s">
        <v>114</v>
      </c>
      <c r="C57" s="5" t="s">
        <v>113</v>
      </c>
      <c r="D57" s="6">
        <v>32755</v>
      </c>
      <c r="E57" s="7">
        <f>2023-1989</f>
        <v>34</v>
      </c>
      <c r="F57" s="8">
        <v>4320</v>
      </c>
      <c r="G57" s="8">
        <f t="shared" si="0"/>
        <v>6477.8230000000003</v>
      </c>
      <c r="H57" s="9">
        <v>0.3</v>
      </c>
      <c r="I57" s="8">
        <f t="shared" si="8"/>
        <v>5616</v>
      </c>
      <c r="J57" s="4" t="str">
        <f t="shared" si="1"/>
        <v>zarabia powyżej średniej</v>
      </c>
      <c r="K57" s="8">
        <f t="shared" si="2"/>
        <v>843.2639999999999</v>
      </c>
      <c r="L57" s="8">
        <f t="shared" si="3"/>
        <v>345.6</v>
      </c>
      <c r="M57" s="8">
        <f t="shared" si="4"/>
        <v>105.84</v>
      </c>
      <c r="N57" s="8">
        <f t="shared" si="5"/>
        <v>72.143999999999991</v>
      </c>
      <c r="O57" s="26">
        <f t="shared" si="9"/>
        <v>67.375</v>
      </c>
      <c r="P57" s="26"/>
      <c r="Q57" s="8">
        <f t="shared" si="6"/>
        <v>388.8</v>
      </c>
      <c r="R57" s="8">
        <f t="shared" si="7"/>
        <v>334.8</v>
      </c>
    </row>
    <row r="58" spans="1:18" s="3" customFormat="1" ht="30" customHeight="1" x14ac:dyDescent="0.2">
      <c r="A58" s="4">
        <v>55</v>
      </c>
      <c r="B58" s="4" t="s">
        <v>116</v>
      </c>
      <c r="C58" s="5" t="s">
        <v>115</v>
      </c>
      <c r="D58" s="6">
        <v>32124</v>
      </c>
      <c r="E58" s="7">
        <f>2023-1987</f>
        <v>36</v>
      </c>
      <c r="F58" s="8">
        <v>1960</v>
      </c>
      <c r="G58" s="8">
        <f t="shared" si="0"/>
        <v>2954.7489999999998</v>
      </c>
      <c r="H58" s="9">
        <v>0.18</v>
      </c>
      <c r="I58" s="8">
        <f t="shared" si="8"/>
        <v>2312.8000000000002</v>
      </c>
      <c r="J58" s="4" t="str">
        <f t="shared" si="1"/>
        <v>zarabia poniżej średniej</v>
      </c>
      <c r="K58" s="8">
        <f t="shared" si="2"/>
        <v>382.59199999999998</v>
      </c>
      <c r="L58" s="8">
        <f t="shared" si="3"/>
        <v>156.80000000000001</v>
      </c>
      <c r="M58" s="8">
        <f t="shared" si="4"/>
        <v>48.02</v>
      </c>
      <c r="N58" s="8">
        <f t="shared" si="5"/>
        <v>32.731999999999999</v>
      </c>
      <c r="O58" s="26">
        <f t="shared" si="9"/>
        <v>46.305</v>
      </c>
      <c r="P58" s="26"/>
      <c r="Q58" s="8">
        <f t="shared" si="6"/>
        <v>176.4</v>
      </c>
      <c r="R58" s="8">
        <f t="shared" si="7"/>
        <v>151.9</v>
      </c>
    </row>
    <row r="59" spans="1:18" s="3" customFormat="1" ht="30" customHeight="1" x14ac:dyDescent="0.2">
      <c r="A59" s="4">
        <v>56</v>
      </c>
      <c r="B59" s="4" t="s">
        <v>123</v>
      </c>
      <c r="C59" s="5" t="s">
        <v>39</v>
      </c>
      <c r="D59" s="6">
        <v>27676</v>
      </c>
      <c r="E59" s="7">
        <f>2023-1975</f>
        <v>48</v>
      </c>
      <c r="F59" s="8">
        <v>4700</v>
      </c>
      <c r="G59" s="8">
        <f t="shared" si="0"/>
        <v>7080.17</v>
      </c>
      <c r="H59" s="9">
        <v>0.15</v>
      </c>
      <c r="I59" s="8">
        <f t="shared" si="8"/>
        <v>5405</v>
      </c>
      <c r="J59" s="4" t="str">
        <f t="shared" si="1"/>
        <v>zarabia powyżej średniej</v>
      </c>
      <c r="K59" s="8">
        <f t="shared" si="2"/>
        <v>917.43999999999994</v>
      </c>
      <c r="L59" s="8">
        <f t="shared" si="3"/>
        <v>376</v>
      </c>
      <c r="M59" s="8">
        <f t="shared" si="4"/>
        <v>115.15</v>
      </c>
      <c r="N59" s="8">
        <f t="shared" si="5"/>
        <v>78.489999999999995</v>
      </c>
      <c r="O59" s="26">
        <f t="shared" si="9"/>
        <v>105.84</v>
      </c>
      <c r="P59" s="26"/>
      <c r="Q59" s="8">
        <f t="shared" si="6"/>
        <v>423</v>
      </c>
      <c r="R59" s="8">
        <f t="shared" si="7"/>
        <v>364.25</v>
      </c>
    </row>
    <row r="60" spans="1:18" s="3" customFormat="1" ht="30" customHeight="1" x14ac:dyDescent="0.2">
      <c r="A60" s="4">
        <v>57</v>
      </c>
      <c r="B60" s="4" t="s">
        <v>118</v>
      </c>
      <c r="C60" s="5" t="s">
        <v>117</v>
      </c>
      <c r="D60" s="6">
        <v>37811</v>
      </c>
      <c r="E60" s="7">
        <v>20</v>
      </c>
      <c r="F60" s="8">
        <v>2540</v>
      </c>
      <c r="G60" s="8">
        <f t="shared" si="0"/>
        <v>3817.1259999999997</v>
      </c>
      <c r="H60" s="9">
        <v>0.15</v>
      </c>
      <c r="I60" s="8">
        <f t="shared" si="8"/>
        <v>2921</v>
      </c>
      <c r="J60" s="4" t="str">
        <f t="shared" si="1"/>
        <v>zarabia poniżej średniej</v>
      </c>
      <c r="K60" s="8">
        <f t="shared" si="2"/>
        <v>495.80799999999994</v>
      </c>
      <c r="L60" s="8">
        <f t="shared" si="3"/>
        <v>203.20000000000002</v>
      </c>
      <c r="M60" s="8">
        <f t="shared" si="4"/>
        <v>62.230000000000004</v>
      </c>
      <c r="N60" s="8">
        <f t="shared" si="5"/>
        <v>42.417999999999999</v>
      </c>
      <c r="O60" s="26">
        <f t="shared" si="9"/>
        <v>48.02</v>
      </c>
      <c r="P60" s="26"/>
      <c r="Q60" s="8">
        <f t="shared" si="6"/>
        <v>228.6</v>
      </c>
      <c r="R60" s="8">
        <f t="shared" si="7"/>
        <v>196.85</v>
      </c>
    </row>
    <row r="61" spans="1:18" ht="35.1" customHeight="1" x14ac:dyDescent="0.25">
      <c r="A61" s="28" t="s">
        <v>120</v>
      </c>
      <c r="B61" s="28"/>
      <c r="C61" s="28"/>
      <c r="D61" s="28"/>
      <c r="E61" s="10">
        <f ca="1">AVERAGE(E4:E60)</f>
        <v>30.596491228070175</v>
      </c>
      <c r="F61" s="12">
        <f>AVERAGE(F4:F60)</f>
        <v>3352.6315789473683</v>
      </c>
      <c r="G61" s="24">
        <f t="shared" si="0"/>
        <v>5056.3615789473688</v>
      </c>
      <c r="H61" s="11">
        <f>AVERAGE(H4:H60)</f>
        <v>0.18473684210526314</v>
      </c>
      <c r="I61" s="12">
        <f>AVERAGE(I4:I60)</f>
        <v>3992.6807017543847</v>
      </c>
      <c r="J61" s="40" t="s">
        <v>139</v>
      </c>
      <c r="K61" s="41">
        <f>AVERAGE(K4:K60)</f>
        <v>654.43368421052651</v>
      </c>
      <c r="L61" s="41">
        <f>AVERAGE(L4:L60)</f>
        <v>268.21052631578954</v>
      </c>
      <c r="M61" s="41">
        <f>AVERAGE(M4:M60)</f>
        <v>82.139473684210543</v>
      </c>
      <c r="N61" s="41">
        <f>AVERAGE(N4:N60)</f>
        <v>55.988947368421051</v>
      </c>
      <c r="O61" s="42">
        <f>AVERAGE(O4:O60)</f>
        <v>81.391578947368444</v>
      </c>
      <c r="P61" s="43"/>
      <c r="Q61" s="41">
        <f>AVERAGE(Q4:Q60)</f>
        <v>301.73684210526324</v>
      </c>
      <c r="R61" s="41">
        <f>AVERAGE(R4:R60)</f>
        <v>259.8289473684211</v>
      </c>
    </row>
    <row r="62" spans="1:18" ht="35.1" customHeight="1" x14ac:dyDescent="0.25">
      <c r="A62" s="29" t="s">
        <v>121</v>
      </c>
      <c r="B62" s="29"/>
      <c r="C62" s="29"/>
      <c r="D62" s="29"/>
      <c r="E62" s="15" t="s">
        <v>139</v>
      </c>
      <c r="F62" s="16">
        <f>SUM(F4:F60)</f>
        <v>191100</v>
      </c>
      <c r="G62" s="16" t="s">
        <v>139</v>
      </c>
      <c r="H62" s="15" t="s">
        <v>139</v>
      </c>
      <c r="I62" s="16">
        <f>SUM(I4:I60)</f>
        <v>227582.79999999993</v>
      </c>
      <c r="J62" s="44" t="s">
        <v>139</v>
      </c>
      <c r="K62" s="45">
        <f>SUM(K4:K61)</f>
        <v>37957.153684210534</v>
      </c>
      <c r="L62" s="45">
        <f>SUM(L4:L61)</f>
        <v>15556.210526315794</v>
      </c>
      <c r="M62" s="45">
        <f>SUM(M4:M61)</f>
        <v>4764.089473684211</v>
      </c>
      <c r="N62" s="45">
        <f>SUM(N4:N61)</f>
        <v>3247.358947368421</v>
      </c>
      <c r="O62" s="46">
        <f>SUM(O4:O60)</f>
        <v>4639.3200000000015</v>
      </c>
      <c r="P62" s="46"/>
      <c r="Q62" s="45">
        <f>SUM(Q4:Q61)</f>
        <v>17500.736842105267</v>
      </c>
      <c r="R62" s="45">
        <f>SUM(R4:R61)</f>
        <v>15070.078947368424</v>
      </c>
    </row>
    <row r="63" spans="1:18" x14ac:dyDescent="0.25">
      <c r="D63" s="1"/>
      <c r="H63" s="2"/>
      <c r="I63" s="38" t="s">
        <v>140</v>
      </c>
      <c r="J63" s="38">
        <f>COUNTIF(J4:J60,"zarabia poniżej średniej")</f>
        <v>33</v>
      </c>
    </row>
    <row r="64" spans="1:18" x14ac:dyDescent="0.25">
      <c r="D64" s="1"/>
      <c r="H64" s="2"/>
      <c r="I64" s="38" t="s">
        <v>141</v>
      </c>
      <c r="J64" s="38">
        <f>COUNTIF(J4:J60,"zarabia powyżej średniej")</f>
        <v>24</v>
      </c>
    </row>
    <row r="65" spans="4:4" x14ac:dyDescent="0.25">
      <c r="D65" s="1"/>
    </row>
  </sheetData>
  <mergeCells count="68">
    <mergeCell ref="A61:D61"/>
    <mergeCell ref="A62:D62"/>
    <mergeCell ref="K2:N2"/>
    <mergeCell ref="O3:P3"/>
    <mergeCell ref="Q2:R2"/>
    <mergeCell ref="O2:P2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O61:P61"/>
    <mergeCell ref="O13:P13"/>
    <mergeCell ref="O14:P14"/>
    <mergeCell ref="O15:P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31:P31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52:P52"/>
    <mergeCell ref="O43:P43"/>
    <mergeCell ref="O44:P44"/>
    <mergeCell ref="O45:P45"/>
    <mergeCell ref="O46:P46"/>
    <mergeCell ref="O47:P47"/>
    <mergeCell ref="O58:P58"/>
    <mergeCell ref="O59:P59"/>
    <mergeCell ref="O60:P60"/>
    <mergeCell ref="O62:P62"/>
    <mergeCell ref="A1:E1"/>
    <mergeCell ref="F1:J1"/>
    <mergeCell ref="K1:R1"/>
    <mergeCell ref="O53:P53"/>
    <mergeCell ref="O54:P54"/>
    <mergeCell ref="O55:P55"/>
    <mergeCell ref="O56:P56"/>
    <mergeCell ref="O57:P57"/>
    <mergeCell ref="O48:P48"/>
    <mergeCell ref="O49:P49"/>
    <mergeCell ref="O50:P50"/>
    <mergeCell ref="O51:P51"/>
  </mergeCells>
  <conditionalFormatting sqref="I4:I60">
    <cfRule type="cellIs" dxfId="11" priority="1" operator="lessThan">
      <formula>4500</formula>
    </cfRule>
    <cfRule type="cellIs" dxfId="10" priority="2" operator="greaterThan">
      <formula>4500</formula>
    </cfRule>
    <cfRule type="cellIs" dxfId="9" priority="3" operator="greaterThan">
      <formula>4500</formula>
    </cfRule>
    <cfRule type="cellIs" dxfId="8" priority="4" operator="greaterThan">
      <formula>4500</formula>
    </cfRule>
    <cfRule type="cellIs" dxfId="7" priority="5" operator="greaterThan">
      <formula>4500</formula>
    </cfRule>
    <cfRule type="cellIs" dxfId="6" priority="6" operator="greaterThan">
      <formula>4724.5</formula>
    </cfRule>
    <cfRule type="cellIs" dxfId="5" priority="7" operator="greaterThan">
      <formula>2000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BCC1D-CAF5-47ED-A1D0-586259CA5C38}">
  <dimension ref="A1:G61"/>
  <sheetViews>
    <sheetView tabSelected="1" topLeftCell="D1" workbookViewId="0">
      <selection activeCell="R56" sqref="R56"/>
    </sheetView>
  </sheetViews>
  <sheetFormatPr defaultRowHeight="15" x14ac:dyDescent="0.25"/>
  <cols>
    <col min="1" max="1" width="0" hidden="1" customWidth="1"/>
    <col min="2" max="2" width="13.5703125" hidden="1" customWidth="1"/>
    <col min="3" max="3" width="11" hidden="1" customWidth="1"/>
    <col min="4" max="4" width="25.28515625" bestFit="1" customWidth="1"/>
    <col min="5" max="5" width="15.42578125" bestFit="1" customWidth="1"/>
    <col min="6" max="6" width="46.28515625" customWidth="1"/>
    <col min="7" max="7" width="21" bestFit="1" customWidth="1"/>
    <col min="14" max="14" width="9.28515625" customWidth="1"/>
  </cols>
  <sheetData>
    <row r="1" spans="1:7" x14ac:dyDescent="0.25">
      <c r="A1" s="14" t="s">
        <v>0</v>
      </c>
      <c r="B1" s="14" t="s">
        <v>2</v>
      </c>
      <c r="C1" s="14" t="s">
        <v>1</v>
      </c>
      <c r="D1" s="20" t="s">
        <v>122</v>
      </c>
      <c r="E1" s="20" t="s">
        <v>6</v>
      </c>
      <c r="F1" s="20" t="s">
        <v>6</v>
      </c>
      <c r="G1" s="47" t="s">
        <v>142</v>
      </c>
    </row>
    <row r="2" spans="1:7" x14ac:dyDescent="0.25">
      <c r="A2" s="13">
        <v>1</v>
      </c>
      <c r="B2" s="4" t="s">
        <v>80</v>
      </c>
      <c r="C2" s="5" t="str">
        <f>VLOOKUP(B2, 'Dane pracowników'!$B$4:$C$60, 2, FALSE)</f>
        <v>Marianna</v>
      </c>
      <c r="D2" s="13" t="str">
        <f>_xlfn.CONCAT(C2," ",B2)</f>
        <v>Marianna Adamczyk</v>
      </c>
      <c r="E2" s="17">
        <f>VLOOKUP(B2, 'Dane pracowników'!$B$2:$I$60, 8, FALSE)</f>
        <v>5184</v>
      </c>
      <c r="F2" s="25" t="str">
        <f>_xlfn.CONCAT(C3," ",B3," - ","do wypłaty:"," ",E3," PLN")</f>
        <v>Łukasz Baran - do wypłaty: 2921 PLN</v>
      </c>
      <c r="G2" s="25" t="s">
        <v>143</v>
      </c>
    </row>
    <row r="3" spans="1:7" x14ac:dyDescent="0.25">
      <c r="A3" s="13">
        <v>2</v>
      </c>
      <c r="B3" s="4" t="s">
        <v>98</v>
      </c>
      <c r="C3" s="5" t="str">
        <f>VLOOKUP(B3, 'Dane pracowników'!$B$4:$C$60, 2, FALSE)</f>
        <v>Łukasz</v>
      </c>
      <c r="D3" s="13" t="str">
        <f t="shared" ref="D3:D58" si="0">_xlfn.CONCAT(C3," ",B3)</f>
        <v>Łukasz Baran</v>
      </c>
      <c r="E3" s="17">
        <f>VLOOKUP(B3, 'Dane pracowników'!$B$2:$I$60, 8, FALSE)</f>
        <v>2921</v>
      </c>
      <c r="F3" s="25" t="str">
        <f>_xlfn.CONCAT(C3," ",B3," - ","do wypłaty:"," ",E3," PLN")</f>
        <v>Łukasz Baran - do wypłaty: 2921 PLN</v>
      </c>
      <c r="G3" s="25" t="s">
        <v>143</v>
      </c>
    </row>
    <row r="4" spans="1:7" x14ac:dyDescent="0.25">
      <c r="A4" s="13">
        <v>3</v>
      </c>
      <c r="B4" s="4" t="s">
        <v>14</v>
      </c>
      <c r="C4" s="5" t="str">
        <f>VLOOKUP(B4, 'Dane pracowników'!$B$4:$C$60, 2, FALSE)</f>
        <v>Małgorzata</v>
      </c>
      <c r="D4" s="13" t="str">
        <f t="shared" si="0"/>
        <v>Małgorzata Dąbrowska</v>
      </c>
      <c r="E4" s="17">
        <f>VLOOKUP(B4, 'Dane pracowników'!$B$2:$I$60, 8, FALSE)</f>
        <v>5616</v>
      </c>
      <c r="F4" s="25" t="str">
        <f t="shared" ref="F4:F58" si="1">_xlfn.CONCAT(C4," ",B4," - ","do wypłaty:"," ",E4," PLN")</f>
        <v>Małgorzata Dąbrowska - do wypłaty: 5616 PLN</v>
      </c>
      <c r="G4" s="25" t="s">
        <v>144</v>
      </c>
    </row>
    <row r="5" spans="1:7" x14ac:dyDescent="0.25">
      <c r="A5" s="13">
        <v>4</v>
      </c>
      <c r="B5" s="4" t="s">
        <v>100</v>
      </c>
      <c r="C5" s="5" t="str">
        <f>VLOOKUP(B5, 'Dane pracowników'!$B$4:$C$60, 2, FALSE)</f>
        <v>Zbigniew</v>
      </c>
      <c r="D5" s="13" t="str">
        <f t="shared" si="0"/>
        <v>Zbigniew Duda</v>
      </c>
      <c r="E5" s="17">
        <f>VLOOKUP(B5, 'Dane pracowników'!$B$2:$I$60, 8, FALSE)</f>
        <v>5184</v>
      </c>
      <c r="F5" s="25" t="str">
        <f t="shared" si="1"/>
        <v>Zbigniew Duda - do wypłaty: 5184 PLN</v>
      </c>
      <c r="G5" s="25" t="s">
        <v>144</v>
      </c>
    </row>
    <row r="6" spans="1:7" x14ac:dyDescent="0.25">
      <c r="A6" s="13">
        <v>5</v>
      </c>
      <c r="B6" s="4" t="s">
        <v>82</v>
      </c>
      <c r="C6" s="5" t="str">
        <f>VLOOKUP(B6, 'Dane pracowników'!$B$4:$C$60, 2, FALSE)</f>
        <v>Grażyna</v>
      </c>
      <c r="D6" s="13" t="str">
        <f t="shared" si="0"/>
        <v>Grażyna Dudek</v>
      </c>
      <c r="E6" s="17">
        <f>VLOOKUP(B6, 'Dane pracowników'!$B$2:$I$60, 8, FALSE)</f>
        <v>3894</v>
      </c>
      <c r="F6" s="25" t="str">
        <f t="shared" si="1"/>
        <v>Grażyna Dudek - do wypłaty: 3894 PLN</v>
      </c>
      <c r="G6" s="25" t="s">
        <v>145</v>
      </c>
    </row>
    <row r="7" spans="1:7" x14ac:dyDescent="0.25">
      <c r="A7" s="13">
        <v>6</v>
      </c>
      <c r="B7" s="4" t="s">
        <v>54</v>
      </c>
      <c r="C7" s="5" t="str">
        <f>VLOOKUP(B7, 'Dane pracowników'!$B$4:$C$60, 2, FALSE)</f>
        <v>Michał</v>
      </c>
      <c r="D7" s="13" t="str">
        <f t="shared" si="0"/>
        <v>Michał Górski</v>
      </c>
      <c r="E7" s="17">
        <f>VLOOKUP(B7, 'Dane pracowników'!$B$2:$I$60, 8, FALSE)</f>
        <v>5616</v>
      </c>
      <c r="F7" s="25" t="str">
        <f t="shared" si="1"/>
        <v>Michał Górski - do wypłaty: 5616 PLN</v>
      </c>
      <c r="G7" s="25" t="s">
        <v>144</v>
      </c>
    </row>
    <row r="8" spans="1:7" x14ac:dyDescent="0.25">
      <c r="A8" s="13">
        <v>7</v>
      </c>
      <c r="B8" s="4" t="s">
        <v>70</v>
      </c>
      <c r="C8" s="5" t="str">
        <f>VLOOKUP(B8, 'Dane pracowników'!$B$4:$C$60, 2, FALSE)</f>
        <v>Helena</v>
      </c>
      <c r="D8" s="13" t="str">
        <f t="shared" si="0"/>
        <v>Helena Grabowska</v>
      </c>
      <c r="E8" s="17">
        <f>VLOOKUP(B8, 'Dane pracowników'!$B$2:$I$60, 8, FALSE)</f>
        <v>3300</v>
      </c>
      <c r="F8" s="25" t="str">
        <f t="shared" si="1"/>
        <v>Helena Grabowska - do wypłaty: 3300 PLN</v>
      </c>
      <c r="G8" s="25" t="s">
        <v>143</v>
      </c>
    </row>
    <row r="9" spans="1:7" x14ac:dyDescent="0.25">
      <c r="A9" s="13">
        <v>8</v>
      </c>
      <c r="B9" s="4" t="s">
        <v>88</v>
      </c>
      <c r="C9" s="5" t="str">
        <f>VLOOKUP(B9, 'Dane pracowników'!$B$4:$C$60, 2, FALSE)</f>
        <v>Iwona</v>
      </c>
      <c r="D9" s="13" t="str">
        <f t="shared" si="0"/>
        <v>Iwona Jabłońska</v>
      </c>
      <c r="E9" s="17">
        <f>VLOOKUP(B9, 'Dane pracowników'!$B$2:$I$60, 8, FALSE)</f>
        <v>5209.5</v>
      </c>
      <c r="F9" s="25" t="str">
        <f t="shared" si="1"/>
        <v>Iwona Jabłońska - do wypłaty: 5209,5 PLN</v>
      </c>
      <c r="G9" s="25" t="s">
        <v>143</v>
      </c>
    </row>
    <row r="10" spans="1:7" x14ac:dyDescent="0.25">
      <c r="A10" s="13">
        <v>9</v>
      </c>
      <c r="B10" s="4" t="s">
        <v>114</v>
      </c>
      <c r="C10" s="5" t="str">
        <f>VLOOKUP(B10, 'Dane pracowników'!$B$4:$C$60, 2, FALSE)</f>
        <v>Robert</v>
      </c>
      <c r="D10" s="13" t="str">
        <f t="shared" si="0"/>
        <v>Robert Jakubowski</v>
      </c>
      <c r="E10" s="17">
        <f>VLOOKUP(B10, 'Dane pracowników'!$B$2:$I$60, 8, FALSE)</f>
        <v>5616</v>
      </c>
      <c r="F10" s="25" t="str">
        <f t="shared" si="1"/>
        <v>Robert Jakubowski - do wypłaty: 5616 PLN</v>
      </c>
      <c r="G10" s="25" t="s">
        <v>144</v>
      </c>
    </row>
    <row r="11" spans="1:7" x14ac:dyDescent="0.25">
      <c r="A11" s="13">
        <v>10</v>
      </c>
      <c r="B11" s="4" t="s">
        <v>32</v>
      </c>
      <c r="C11" s="5" t="str">
        <f>VLOOKUP(B11, 'Dane pracowników'!$B$4:$C$60, 2, FALSE)</f>
        <v>Joanna</v>
      </c>
      <c r="D11" s="13" t="str">
        <f t="shared" si="0"/>
        <v>Joanna Jankowska</v>
      </c>
      <c r="E11" s="17">
        <f>VLOOKUP(B11, 'Dane pracowników'!$B$2:$I$60, 8, FALSE)</f>
        <v>2079</v>
      </c>
      <c r="F11" s="25" t="str">
        <f t="shared" si="1"/>
        <v>Joanna Jankowska - do wypłaty: 2079 PLN</v>
      </c>
      <c r="G11" s="25" t="s">
        <v>144</v>
      </c>
    </row>
    <row r="12" spans="1:7" x14ac:dyDescent="0.25">
      <c r="A12" s="13">
        <v>11</v>
      </c>
      <c r="B12" s="4" t="s">
        <v>123</v>
      </c>
      <c r="C12" s="5" t="str">
        <f>VLOOKUP(B12, 'Dane pracowników'!$B$4:$C$60, 2, FALSE)</f>
        <v>Krzysztof</v>
      </c>
      <c r="D12" s="13" t="str">
        <f t="shared" si="0"/>
        <v>Krzysztof Jarząbek</v>
      </c>
      <c r="E12" s="17">
        <f>VLOOKUP(B12, 'Dane pracowników'!$B$2:$I$60, 8, FALSE)</f>
        <v>5405</v>
      </c>
      <c r="F12" s="25" t="str">
        <f t="shared" si="1"/>
        <v>Krzysztof Jarząbek - do wypłaty: 5405 PLN</v>
      </c>
      <c r="G12" s="25" t="s">
        <v>144</v>
      </c>
    </row>
    <row r="13" spans="1:7" x14ac:dyDescent="0.25">
      <c r="A13" s="13">
        <v>12</v>
      </c>
      <c r="B13" s="4" t="s">
        <v>116</v>
      </c>
      <c r="C13" s="5" t="str">
        <f>VLOOKUP(B13, 'Dane pracowników'!$B$4:$C$60, 2, FALSE)</f>
        <v>Mateusz</v>
      </c>
      <c r="D13" s="13" t="str">
        <f t="shared" si="0"/>
        <v>Mateusz Jasiński</v>
      </c>
      <c r="E13" s="17">
        <f>VLOOKUP(B13, 'Dane pracowników'!$B$2:$I$60, 8, FALSE)</f>
        <v>2312.8000000000002</v>
      </c>
      <c r="F13" s="25" t="str">
        <f t="shared" si="1"/>
        <v>Mateusz Jasiński - do wypłaty: 2312,8 PLN</v>
      </c>
      <c r="G13" s="25" t="s">
        <v>143</v>
      </c>
    </row>
    <row r="14" spans="1:7" x14ac:dyDescent="0.25">
      <c r="A14" s="13">
        <v>13</v>
      </c>
      <c r="B14" s="4" t="s">
        <v>40</v>
      </c>
      <c r="C14" s="5" t="str">
        <f>VLOOKUP(B14, 'Dane pracowników'!$B$4:$C$60, 2, FALSE)</f>
        <v>Krzysztof</v>
      </c>
      <c r="D14" s="13" t="str">
        <f t="shared" si="0"/>
        <v>Krzysztof Jaworski</v>
      </c>
      <c r="E14" s="17">
        <f>VLOOKUP(B14, 'Dane pracowników'!$B$2:$I$60, 8, FALSE)</f>
        <v>5184</v>
      </c>
      <c r="F14" s="25" t="str">
        <f t="shared" si="1"/>
        <v>Krzysztof Jaworski - do wypłaty: 5184 PLN</v>
      </c>
      <c r="G14" s="25" t="s">
        <v>143</v>
      </c>
    </row>
    <row r="15" spans="1:7" x14ac:dyDescent="0.25">
      <c r="A15" s="13">
        <v>14</v>
      </c>
      <c r="B15" s="4" t="s">
        <v>38</v>
      </c>
      <c r="C15" s="5" t="str">
        <f>VLOOKUP(B15, 'Dane pracowników'!$B$4:$C$60, 2, FALSE)</f>
        <v>Jadwiga</v>
      </c>
      <c r="D15" s="13" t="str">
        <f t="shared" si="0"/>
        <v>Jadwiga Kaczmarek</v>
      </c>
      <c r="E15" s="17">
        <f>VLOOKUP(B15, 'Dane pracowników'!$B$2:$I$60, 8, FALSE)</f>
        <v>2921</v>
      </c>
      <c r="F15" s="25" t="str">
        <f t="shared" si="1"/>
        <v>Jadwiga Kaczmarek - do wypłaty: 2921 PLN</v>
      </c>
      <c r="G15" s="25" t="s">
        <v>144</v>
      </c>
    </row>
    <row r="16" spans="1:7" x14ac:dyDescent="0.25">
      <c r="A16" s="13">
        <v>15</v>
      </c>
      <c r="B16" s="4" t="s">
        <v>20</v>
      </c>
      <c r="C16" s="5" t="str">
        <f>VLOOKUP(B16, 'Dane pracowników'!$B$4:$C$60, 2, FALSE)</f>
        <v>Barbara</v>
      </c>
      <c r="D16" s="13" t="str">
        <f t="shared" si="0"/>
        <v>Barbara Kamińska</v>
      </c>
      <c r="E16" s="17">
        <f>VLOOKUP(B16, 'Dane pracowników'!$B$2:$I$60, 8, FALSE)</f>
        <v>5184</v>
      </c>
      <c r="F16" s="25" t="str">
        <f t="shared" si="1"/>
        <v>Barbara Kamińska - do wypłaty: 5184 PLN</v>
      </c>
      <c r="G16" s="25" t="s">
        <v>144</v>
      </c>
    </row>
    <row r="17" spans="1:7" x14ac:dyDescent="0.25">
      <c r="A17" s="13">
        <v>16</v>
      </c>
      <c r="B17" s="4" t="s">
        <v>22</v>
      </c>
      <c r="C17" s="5" t="str">
        <f>VLOOKUP(B17, 'Dane pracowników'!$B$4:$C$60, 2, FALSE)</f>
        <v>Ewa</v>
      </c>
      <c r="D17" s="13" t="str">
        <f t="shared" si="0"/>
        <v>Ewa Kowalczyk</v>
      </c>
      <c r="E17" s="17">
        <f>VLOOKUP(B17, 'Dane pracowników'!$B$2:$I$60, 8, FALSE)</f>
        <v>3894</v>
      </c>
      <c r="F17" s="25" t="str">
        <f t="shared" si="1"/>
        <v>Ewa Kowalczyk - do wypłaty: 3894 PLN</v>
      </c>
      <c r="G17" s="25" t="s">
        <v>144</v>
      </c>
    </row>
    <row r="18" spans="1:7" x14ac:dyDescent="0.25">
      <c r="A18" s="13">
        <v>17</v>
      </c>
      <c r="B18" s="4" t="s">
        <v>30</v>
      </c>
      <c r="C18" s="5" t="str">
        <f>VLOOKUP(B18, 'Dane pracowników'!$B$4:$C$60, 2, FALSE)</f>
        <v>Teresa</v>
      </c>
      <c r="D18" s="13" t="str">
        <f t="shared" si="0"/>
        <v>Teresa Kozłowska</v>
      </c>
      <c r="E18" s="17">
        <f>VLOOKUP(B18, 'Dane pracowników'!$B$2:$I$60, 8, FALSE)</f>
        <v>3300</v>
      </c>
      <c r="F18" s="25" t="str">
        <f t="shared" si="1"/>
        <v>Teresa Kozłowska - do wypłaty: 3300 PLN</v>
      </c>
      <c r="G18" s="25" t="s">
        <v>144</v>
      </c>
    </row>
    <row r="19" spans="1:7" x14ac:dyDescent="0.25">
      <c r="A19" s="13">
        <v>18</v>
      </c>
      <c r="B19" s="4" t="s">
        <v>66</v>
      </c>
      <c r="C19" s="5" t="str">
        <f>VLOOKUP(B19, 'Dane pracowników'!$B$4:$C$60, 2, FALSE)</f>
        <v>Irena</v>
      </c>
      <c r="D19" s="13" t="str">
        <f t="shared" si="0"/>
        <v>Irena Krawczyk</v>
      </c>
      <c r="E19" s="17">
        <f>VLOOKUP(B19, 'Dane pracowników'!$B$2:$I$60, 8, FALSE)</f>
        <v>3516.4</v>
      </c>
      <c r="F19" s="25" t="str">
        <f t="shared" si="1"/>
        <v>Irena Krawczyk - do wypłaty: 3516,4 PLN</v>
      </c>
      <c r="G19" s="25" t="s">
        <v>145</v>
      </c>
    </row>
    <row r="20" spans="1:7" x14ac:dyDescent="0.25">
      <c r="A20" s="13">
        <v>19</v>
      </c>
      <c r="B20" s="4" t="s">
        <v>90</v>
      </c>
      <c r="C20" s="5" t="str">
        <f>VLOOKUP(B20, 'Dane pracowników'!$B$4:$C$60, 2, FALSE)</f>
        <v>Jan</v>
      </c>
      <c r="D20" s="13" t="str">
        <f t="shared" si="0"/>
        <v>Jan Król</v>
      </c>
      <c r="E20" s="17">
        <f>VLOOKUP(B20, 'Dane pracowników'!$B$2:$I$60, 8, FALSE)</f>
        <v>3300</v>
      </c>
      <c r="F20" s="25" t="str">
        <f t="shared" si="1"/>
        <v>Jan Król - do wypłaty: 3300 PLN</v>
      </c>
      <c r="G20" s="25" t="s">
        <v>144</v>
      </c>
    </row>
    <row r="21" spans="1:7" x14ac:dyDescent="0.25">
      <c r="A21" s="13">
        <v>20</v>
      </c>
      <c r="B21" s="4" t="s">
        <v>36</v>
      </c>
      <c r="C21" s="5" t="str">
        <f>VLOOKUP(B21, 'Dane pracowników'!$B$4:$C$60, 2, FALSE)</f>
        <v>Monika</v>
      </c>
      <c r="D21" s="13" t="str">
        <f t="shared" si="0"/>
        <v>Monika Kwiatkowska</v>
      </c>
      <c r="E21" s="17">
        <f>VLOOKUP(B21, 'Dane pracowników'!$B$2:$I$60, 8, FALSE)</f>
        <v>2312.8000000000002</v>
      </c>
      <c r="F21" s="25" t="str">
        <f t="shared" si="1"/>
        <v>Monika Kwiatkowska - do wypłaty: 2312,8 PLN</v>
      </c>
      <c r="G21" s="25" t="s">
        <v>144</v>
      </c>
    </row>
    <row r="22" spans="1:7" x14ac:dyDescent="0.25">
      <c r="A22" s="13">
        <v>21</v>
      </c>
      <c r="B22" s="4" t="s">
        <v>16</v>
      </c>
      <c r="C22" s="5" t="str">
        <f>VLOOKUP(B22, 'Dane pracowników'!$B$4:$C$60, 2, FALSE)</f>
        <v>Agnieszka</v>
      </c>
      <c r="D22" s="13" t="str">
        <f t="shared" si="0"/>
        <v>Agnieszka Lewandowska</v>
      </c>
      <c r="E22" s="17">
        <f>VLOOKUP(B22, 'Dane pracowników'!$B$2:$I$60, 8, FALSE)</f>
        <v>2312.8000000000002</v>
      </c>
      <c r="F22" s="25" t="str">
        <f t="shared" si="1"/>
        <v>Agnieszka Lewandowska - do wypłaty: 2312,8 PLN</v>
      </c>
      <c r="G22" s="25" t="s">
        <v>145</v>
      </c>
    </row>
    <row r="23" spans="1:7" x14ac:dyDescent="0.25">
      <c r="A23" s="13">
        <v>22</v>
      </c>
      <c r="B23" s="4" t="s">
        <v>92</v>
      </c>
      <c r="C23" s="5" t="str">
        <f>VLOOKUP(B23, 'Dane pracowników'!$B$4:$C$60, 2, FALSE)</f>
        <v>Andrzej</v>
      </c>
      <c r="D23" s="13" t="str">
        <f t="shared" si="0"/>
        <v>Andrzej Majewski</v>
      </c>
      <c r="E23" s="17">
        <f>VLOOKUP(B23, 'Dane pracowników'!$B$2:$I$60, 8, FALSE)</f>
        <v>7370</v>
      </c>
      <c r="F23" s="25" t="str">
        <f t="shared" si="1"/>
        <v>Andrzej Majewski - do wypłaty: 7370 PLN</v>
      </c>
      <c r="G23" s="25" t="s">
        <v>144</v>
      </c>
    </row>
    <row r="24" spans="1:7" x14ac:dyDescent="0.25">
      <c r="A24" s="13">
        <v>23</v>
      </c>
      <c r="B24" s="4" t="s">
        <v>44</v>
      </c>
      <c r="C24" s="5" t="str">
        <f>VLOOKUP(B24, 'Dane pracowników'!$B$4:$C$60, 2, FALSE)</f>
        <v>Tomasz</v>
      </c>
      <c r="D24" s="13" t="str">
        <f t="shared" si="0"/>
        <v>Tomasz Malinowski</v>
      </c>
      <c r="E24" s="17">
        <f>VLOOKUP(B24, 'Dane pracowników'!$B$2:$I$60, 8, FALSE)</f>
        <v>5057</v>
      </c>
      <c r="F24" s="25" t="str">
        <f t="shared" si="1"/>
        <v>Tomasz Malinowski - do wypłaty: 5057 PLN</v>
      </c>
      <c r="G24" s="25" t="s">
        <v>144</v>
      </c>
    </row>
    <row r="25" spans="1:7" x14ac:dyDescent="0.25">
      <c r="A25" s="13">
        <v>24</v>
      </c>
      <c r="B25" s="4" t="s">
        <v>108</v>
      </c>
      <c r="C25" s="5" t="str">
        <f>VLOOKUP(B25, 'Dane pracowników'!$B$4:$C$60, 2, FALSE)</f>
        <v>Mariusz</v>
      </c>
      <c r="D25" s="13" t="str">
        <f t="shared" si="0"/>
        <v>Mariusz Marciniak</v>
      </c>
      <c r="E25" s="17">
        <f>VLOOKUP(B25, 'Dane pracowników'!$B$2:$I$60, 8, FALSE)</f>
        <v>5209.5</v>
      </c>
      <c r="F25" s="25" t="str">
        <f t="shared" si="1"/>
        <v>Mariusz Marciniak - do wypłaty: 5209,5 PLN</v>
      </c>
      <c r="G25" s="25" t="s">
        <v>144</v>
      </c>
    </row>
    <row r="26" spans="1:7" x14ac:dyDescent="0.25">
      <c r="A26" s="13">
        <v>25</v>
      </c>
      <c r="B26" s="4" t="s">
        <v>64</v>
      </c>
      <c r="C26" s="5" t="str">
        <f>VLOOKUP(B26, 'Dane pracowników'!$B$4:$C$60, 2, FALSE)</f>
        <v>Danuta</v>
      </c>
      <c r="D26" s="13" t="str">
        <f t="shared" si="0"/>
        <v>Danuta Mazur</v>
      </c>
      <c r="E26" s="17">
        <f>VLOOKUP(B26, 'Dane pracowników'!$B$2:$I$60, 8, FALSE)</f>
        <v>5057</v>
      </c>
      <c r="F26" s="25" t="str">
        <f t="shared" si="1"/>
        <v>Danuta Mazur - do wypłaty: 5057 PLN</v>
      </c>
      <c r="G26" s="25" t="s">
        <v>144</v>
      </c>
    </row>
    <row r="27" spans="1:7" x14ac:dyDescent="0.25">
      <c r="A27" s="13">
        <v>26</v>
      </c>
      <c r="B27" s="4" t="s">
        <v>58</v>
      </c>
      <c r="C27" s="5" t="str">
        <f>VLOOKUP(B27, 'Dane pracowników'!$B$4:$C$60, 2, FALSE)</f>
        <v>Jerzy</v>
      </c>
      <c r="D27" s="13" t="str">
        <f t="shared" si="0"/>
        <v>Jerzy Michalak</v>
      </c>
      <c r="E27" s="17">
        <f>VLOOKUP(B27, 'Dane pracowników'!$B$2:$I$60, 8, FALSE)</f>
        <v>2921</v>
      </c>
      <c r="F27" s="25" t="str">
        <f t="shared" si="1"/>
        <v>Jerzy Michalak - do wypłaty: 2921 PLN</v>
      </c>
      <c r="G27" s="25" t="s">
        <v>144</v>
      </c>
    </row>
    <row r="28" spans="1:7" x14ac:dyDescent="0.25">
      <c r="A28" s="13">
        <v>27</v>
      </c>
      <c r="B28" s="4" t="s">
        <v>76</v>
      </c>
      <c r="C28" s="5" t="str">
        <f>VLOOKUP(B28, 'Dane pracowników'!$B$4:$C$60, 2, FALSE)</f>
        <v>Marta</v>
      </c>
      <c r="D28" s="13" t="str">
        <f t="shared" si="0"/>
        <v>Marta Michalska</v>
      </c>
      <c r="E28" s="17">
        <f>VLOOKUP(B28, 'Dane pracowników'!$B$2:$I$60, 8, FALSE)</f>
        <v>2312.8000000000002</v>
      </c>
      <c r="F28" s="25" t="str">
        <f t="shared" si="1"/>
        <v>Marta Michalska - do wypłaty: 2312,8 PLN</v>
      </c>
      <c r="G28" s="25" t="s">
        <v>144</v>
      </c>
    </row>
    <row r="29" spans="1:7" x14ac:dyDescent="0.25">
      <c r="A29" s="13">
        <v>28</v>
      </c>
      <c r="B29" s="4" t="s">
        <v>8</v>
      </c>
      <c r="C29" s="5" t="str">
        <f>VLOOKUP(B29, 'Dane pracowników'!$B$4:$C$60, 2, FALSE)</f>
        <v>Anna</v>
      </c>
      <c r="D29" s="13" t="str">
        <f t="shared" si="0"/>
        <v>Anna Nowak</v>
      </c>
      <c r="E29" s="17">
        <f>VLOOKUP(B29, 'Dane pracowników'!$B$2:$I$60, 8, FALSE)</f>
        <v>5209.5</v>
      </c>
      <c r="F29" s="25" t="str">
        <f t="shared" si="1"/>
        <v>Anna Nowak - do wypłaty: 5209,5 PLN</v>
      </c>
      <c r="G29" s="25" t="s">
        <v>143</v>
      </c>
    </row>
    <row r="30" spans="1:7" x14ac:dyDescent="0.25">
      <c r="A30" s="13">
        <v>29</v>
      </c>
      <c r="B30" s="4" t="s">
        <v>72</v>
      </c>
      <c r="C30" s="5" t="str">
        <f>VLOOKUP(B30, 'Dane pracowników'!$B$4:$C$60, 2, FALSE)</f>
        <v>Beata</v>
      </c>
      <c r="D30" s="13" t="str">
        <f t="shared" si="0"/>
        <v>Beata Nowakowska</v>
      </c>
      <c r="E30" s="17">
        <f>VLOOKUP(B30, 'Dane pracowników'!$B$2:$I$60, 8, FALSE)</f>
        <v>2079</v>
      </c>
      <c r="F30" s="25" t="str">
        <f t="shared" si="1"/>
        <v>Beata Nowakowska - do wypłaty: 2079 PLN</v>
      </c>
      <c r="G30" s="25" t="s">
        <v>143</v>
      </c>
    </row>
    <row r="31" spans="1:7" x14ac:dyDescent="0.25">
      <c r="A31" s="13">
        <v>30</v>
      </c>
      <c r="B31" s="4" t="s">
        <v>78</v>
      </c>
      <c r="C31" s="5" t="str">
        <f>VLOOKUP(B31, 'Dane pracowników'!$B$4:$C$60, 2, FALSE)</f>
        <v>Dorota</v>
      </c>
      <c r="D31" s="13" t="str">
        <f t="shared" si="0"/>
        <v>Dorota Nowicka</v>
      </c>
      <c r="E31" s="17">
        <f>VLOOKUP(B31, 'Dane pracowników'!$B$2:$I$60, 8, FALSE)</f>
        <v>2921</v>
      </c>
      <c r="F31" s="25" t="str">
        <f t="shared" si="1"/>
        <v>Dorota Nowicka - do wypłaty: 2921 PLN</v>
      </c>
      <c r="G31" s="25" t="s">
        <v>144</v>
      </c>
    </row>
    <row r="32" spans="1:7" x14ac:dyDescent="0.25">
      <c r="A32" s="13">
        <v>31</v>
      </c>
      <c r="B32" s="4" t="s">
        <v>94</v>
      </c>
      <c r="C32" s="5" t="str">
        <f>VLOOKUP(B32, 'Dane pracowników'!$B$4:$C$60, 2, FALSE)</f>
        <v>Piotr</v>
      </c>
      <c r="D32" s="13" t="str">
        <f t="shared" si="0"/>
        <v>Piotr Olszewski</v>
      </c>
      <c r="E32" s="17">
        <f>VLOOKUP(B32, 'Dane pracowników'!$B$2:$I$60, 8, FALSE)</f>
        <v>5616</v>
      </c>
      <c r="F32" s="25" t="str">
        <f t="shared" si="1"/>
        <v>Piotr Olszewski - do wypłaty: 5616 PLN</v>
      </c>
      <c r="G32" s="25" t="s">
        <v>144</v>
      </c>
    </row>
    <row r="33" spans="1:7" x14ac:dyDescent="0.25">
      <c r="A33" s="13">
        <v>32</v>
      </c>
      <c r="B33" s="4" t="s">
        <v>96</v>
      </c>
      <c r="C33" s="5" t="str">
        <f>VLOOKUP(B33, 'Dane pracowników'!$B$4:$C$60, 2, FALSE)</f>
        <v>Adam</v>
      </c>
      <c r="D33" s="13" t="str">
        <f t="shared" si="0"/>
        <v>Adam Ostrowski</v>
      </c>
      <c r="E33" s="17">
        <f>VLOOKUP(B33, 'Dane pracowników'!$B$2:$I$60, 8, FALSE)</f>
        <v>2312.8000000000002</v>
      </c>
      <c r="F33" s="25" t="str">
        <f t="shared" si="1"/>
        <v>Adam Ostrowski - do wypłaty: 2312,8 PLN</v>
      </c>
      <c r="G33" s="25" t="s">
        <v>143</v>
      </c>
    </row>
    <row r="34" spans="1:7" x14ac:dyDescent="0.25">
      <c r="A34" s="13">
        <v>33</v>
      </c>
      <c r="B34" s="4" t="s">
        <v>46</v>
      </c>
      <c r="C34" s="5" t="str">
        <f>VLOOKUP(B34, 'Dane pracowników'!$B$4:$C$60, 2, FALSE)</f>
        <v>Paweł</v>
      </c>
      <c r="D34" s="13" t="str">
        <f t="shared" si="0"/>
        <v>Paweł Pawlak</v>
      </c>
      <c r="E34" s="17">
        <f>VLOOKUP(B34, 'Dane pracowników'!$B$2:$I$60, 8, FALSE)</f>
        <v>3516.4</v>
      </c>
      <c r="F34" s="25" t="str">
        <f t="shared" si="1"/>
        <v>Paweł Pawlak - do wypłaty: 3516,4 PLN</v>
      </c>
      <c r="G34" s="25" t="s">
        <v>144</v>
      </c>
    </row>
    <row r="35" spans="1:7" x14ac:dyDescent="0.25">
      <c r="A35" s="13">
        <v>34</v>
      </c>
      <c r="B35" s="4" t="s">
        <v>74</v>
      </c>
      <c r="C35" s="5" t="str">
        <f>VLOOKUP(B35, 'Dane pracowników'!$B$4:$C$60, 2, FALSE)</f>
        <v>Aleksandra</v>
      </c>
      <c r="D35" s="13" t="str">
        <f t="shared" si="0"/>
        <v>Aleksandra Pawłowska</v>
      </c>
      <c r="E35" s="17">
        <f>VLOOKUP(B35, 'Dane pracowników'!$B$2:$I$60, 8, FALSE)</f>
        <v>5616</v>
      </c>
      <c r="F35" s="25" t="str">
        <f t="shared" si="1"/>
        <v>Aleksandra Pawłowska - do wypłaty: 5616 PLN</v>
      </c>
      <c r="G35" s="25" t="s">
        <v>144</v>
      </c>
    </row>
    <row r="36" spans="1:7" x14ac:dyDescent="0.25">
      <c r="A36" s="13">
        <v>35</v>
      </c>
      <c r="B36" s="4" t="s">
        <v>106</v>
      </c>
      <c r="C36" s="5" t="str">
        <f>VLOOKUP(B36, 'Dane pracowników'!$B$4:$C$60, 2, FALSE)</f>
        <v>Henryk</v>
      </c>
      <c r="D36" s="13" t="str">
        <f t="shared" si="0"/>
        <v>Henryk Pietrzak</v>
      </c>
      <c r="E36" s="17">
        <f>VLOOKUP(B36, 'Dane pracowników'!$B$2:$I$60, 8, FALSE)</f>
        <v>3516.4</v>
      </c>
      <c r="F36" s="25" t="str">
        <f t="shared" si="1"/>
        <v>Henryk Pietrzak - do wypłaty: 3516,4 PLN</v>
      </c>
      <c r="G36" s="25" t="s">
        <v>144</v>
      </c>
    </row>
    <row r="37" spans="1:7" x14ac:dyDescent="0.25">
      <c r="A37" s="13">
        <v>36</v>
      </c>
      <c r="B37" s="4" t="s">
        <v>68</v>
      </c>
      <c r="C37" s="5" t="str">
        <f>VLOOKUP(B37, 'Dane pracowników'!$B$4:$C$60, 2, FALSE)</f>
        <v>Halina</v>
      </c>
      <c r="D37" s="13" t="str">
        <f t="shared" si="0"/>
        <v>Halina Piotrowska</v>
      </c>
      <c r="E37" s="17">
        <f>VLOOKUP(B37, 'Dane pracowników'!$B$2:$I$60, 8, FALSE)</f>
        <v>5209.5</v>
      </c>
      <c r="F37" s="25" t="str">
        <f t="shared" si="1"/>
        <v>Halina Piotrowska - do wypłaty: 5209,5 PLN</v>
      </c>
      <c r="G37" s="25" t="s">
        <v>143</v>
      </c>
    </row>
    <row r="38" spans="1:7" x14ac:dyDescent="0.25">
      <c r="A38" s="13">
        <v>37</v>
      </c>
      <c r="B38" s="4" t="s">
        <v>56</v>
      </c>
      <c r="C38" s="5" t="str">
        <f>VLOOKUP(B38, 'Dane pracowników'!$B$4:$C$60, 2, FALSE)</f>
        <v>Grzegorz</v>
      </c>
      <c r="D38" s="13" t="str">
        <f t="shared" si="0"/>
        <v>Grzegorz Rutkowski</v>
      </c>
      <c r="E38" s="17">
        <f>VLOOKUP(B38, 'Dane pracowników'!$B$2:$I$60, 8, FALSE)</f>
        <v>2312.8000000000002</v>
      </c>
      <c r="F38" s="25" t="str">
        <f t="shared" si="1"/>
        <v>Grzegorz Rutkowski - do wypłaty: 2312,8 PLN</v>
      </c>
      <c r="G38" s="25" t="s">
        <v>144</v>
      </c>
    </row>
    <row r="39" spans="1:7" x14ac:dyDescent="0.25">
      <c r="A39" s="13">
        <v>38</v>
      </c>
      <c r="B39" s="4" t="s">
        <v>62</v>
      </c>
      <c r="C39" s="5" t="str">
        <f>VLOOKUP(B39, 'Dane pracowników'!$B$4:$C$60, 2, FALSE)</f>
        <v>Rafał</v>
      </c>
      <c r="D39" s="13" t="str">
        <f t="shared" si="0"/>
        <v>Rafał Sadowski</v>
      </c>
      <c r="E39" s="17">
        <f>VLOOKUP(B39, 'Dane pracowników'!$B$2:$I$60, 8, FALSE)</f>
        <v>3894</v>
      </c>
      <c r="F39" s="25" t="str">
        <f t="shared" si="1"/>
        <v>Rafał Sadowski - do wypłaty: 3894 PLN</v>
      </c>
      <c r="G39" s="25" t="s">
        <v>144</v>
      </c>
    </row>
    <row r="40" spans="1:7" x14ac:dyDescent="0.25">
      <c r="A40" s="13">
        <v>39</v>
      </c>
      <c r="B40" s="4" t="s">
        <v>60</v>
      </c>
      <c r="C40" s="5" t="str">
        <f>VLOOKUP(B40, 'Dane pracowników'!$B$4:$C$60, 2, FALSE)</f>
        <v>Tadeusz</v>
      </c>
      <c r="D40" s="13" t="str">
        <f t="shared" si="0"/>
        <v>Tadeusz Sikora</v>
      </c>
      <c r="E40" s="17">
        <f>VLOOKUP(B40, 'Dane pracowników'!$B$2:$I$60, 8, FALSE)</f>
        <v>5184</v>
      </c>
      <c r="F40" s="25" t="str">
        <f t="shared" si="1"/>
        <v>Tadeusz Sikora - do wypłaty: 5184 PLN</v>
      </c>
      <c r="G40" s="25" t="s">
        <v>144</v>
      </c>
    </row>
    <row r="41" spans="1:7" x14ac:dyDescent="0.25">
      <c r="A41" s="13">
        <v>40</v>
      </c>
      <c r="B41" s="4" t="s">
        <v>52</v>
      </c>
      <c r="C41" s="5" t="str">
        <f>VLOOKUP(B41, 'Dane pracowników'!$B$4:$C$60, 2, FALSE)</f>
        <v>Marek</v>
      </c>
      <c r="D41" s="13" t="str">
        <f t="shared" si="0"/>
        <v>Marek Stępień</v>
      </c>
      <c r="E41" s="17">
        <f>VLOOKUP(B41, 'Dane pracowników'!$B$2:$I$60, 8, FALSE)</f>
        <v>2079</v>
      </c>
      <c r="F41" s="25" t="str">
        <f t="shared" si="1"/>
        <v>Marek Stępień - do wypłaty: 2079 PLN</v>
      </c>
      <c r="G41" s="25" t="s">
        <v>143</v>
      </c>
    </row>
    <row r="42" spans="1:7" x14ac:dyDescent="0.25">
      <c r="A42" s="13">
        <v>41</v>
      </c>
      <c r="B42" s="4" t="s">
        <v>102</v>
      </c>
      <c r="C42" s="5" t="str">
        <f>VLOOKUP(B42, 'Dane pracowników'!$B$4:$C$60, 2, FALSE)</f>
        <v>Ryszard</v>
      </c>
      <c r="D42" s="13" t="str">
        <f t="shared" si="0"/>
        <v>Ryszard Szewczyk</v>
      </c>
      <c r="E42" s="17">
        <f>VLOOKUP(B42, 'Dane pracowników'!$B$2:$I$60, 8, FALSE)</f>
        <v>3894</v>
      </c>
      <c r="F42" s="25" t="str">
        <f t="shared" si="1"/>
        <v>Ryszard Szewczyk - do wypłaty: 3894 PLN</v>
      </c>
      <c r="G42" s="25" t="s">
        <v>143</v>
      </c>
    </row>
    <row r="43" spans="1:7" x14ac:dyDescent="0.25">
      <c r="A43" s="13">
        <v>42</v>
      </c>
      <c r="B43" s="4" t="s">
        <v>26</v>
      </c>
      <c r="C43" s="5" t="str">
        <f>VLOOKUP(B43, 'Dane pracowników'!$B$4:$C$60, 2, FALSE)</f>
        <v>Zofia</v>
      </c>
      <c r="D43" s="13" t="str">
        <f t="shared" si="0"/>
        <v>Zofia Szymańska</v>
      </c>
      <c r="E43" s="17">
        <f>VLOOKUP(B43, 'Dane pracowników'!$B$2:$I$60, 8, FALSE)</f>
        <v>3516.4</v>
      </c>
      <c r="F43" s="25" t="str">
        <f t="shared" si="1"/>
        <v>Zofia Szymańska - do wypłaty: 3516,4 PLN</v>
      </c>
      <c r="G43" s="25" t="s">
        <v>143</v>
      </c>
    </row>
    <row r="44" spans="1:7" x14ac:dyDescent="0.25">
      <c r="A44" s="13">
        <v>43</v>
      </c>
      <c r="B44" s="4" t="s">
        <v>104</v>
      </c>
      <c r="C44" s="5" t="str">
        <f>VLOOKUP(B44, 'Dane pracowników'!$B$4:$C$60, 2, FALSE)</f>
        <v>Dariusz</v>
      </c>
      <c r="D44" s="13" t="str">
        <f t="shared" si="0"/>
        <v>Dariusz Tomaszewski</v>
      </c>
      <c r="E44" s="17">
        <f>VLOOKUP(B44, 'Dane pracowników'!$B$2:$I$60, 8, FALSE)</f>
        <v>5057</v>
      </c>
      <c r="F44" s="25" t="str">
        <f t="shared" si="1"/>
        <v>Dariusz Tomaszewski - do wypłaty: 5057 PLN</v>
      </c>
      <c r="G44" s="25" t="s">
        <v>144</v>
      </c>
    </row>
    <row r="45" spans="1:7" x14ac:dyDescent="0.25">
      <c r="A45" s="13">
        <v>44</v>
      </c>
      <c r="B45" s="4" t="s">
        <v>50</v>
      </c>
      <c r="C45" s="5" t="str">
        <f>VLOOKUP(B45, 'Dane pracowników'!$B$4:$C$60, 2, FALSE)</f>
        <v>Marcin</v>
      </c>
      <c r="D45" s="13" t="str">
        <f t="shared" si="0"/>
        <v>Marcin Walczak</v>
      </c>
      <c r="E45" s="17">
        <f>VLOOKUP(B45, 'Dane pracowników'!$B$2:$I$60, 8, FALSE)</f>
        <v>3300</v>
      </c>
      <c r="F45" s="25" t="str">
        <f t="shared" si="1"/>
        <v>Marcin Walczak - do wypłaty: 3300 PLN</v>
      </c>
      <c r="G45" s="25" t="s">
        <v>144</v>
      </c>
    </row>
    <row r="46" spans="1:7" x14ac:dyDescent="0.25">
      <c r="A46" s="13">
        <v>45</v>
      </c>
      <c r="B46" s="4" t="s">
        <v>86</v>
      </c>
      <c r="C46" s="5" t="str">
        <f>VLOOKUP(B46, 'Dane pracowników'!$B$4:$C$60, 2, FALSE)</f>
        <v>Stanisława</v>
      </c>
      <c r="D46" s="13" t="str">
        <f t="shared" si="0"/>
        <v>Stanisława Wieczorek</v>
      </c>
      <c r="E46" s="17">
        <f>VLOOKUP(B46, 'Dane pracowników'!$B$2:$I$60, 8, FALSE)</f>
        <v>3516.4</v>
      </c>
      <c r="F46" s="25" t="str">
        <f t="shared" si="1"/>
        <v>Stanisława Wieczorek - do wypłaty: 3516,4 PLN</v>
      </c>
      <c r="G46" s="25" t="s">
        <v>144</v>
      </c>
    </row>
    <row r="47" spans="1:7" x14ac:dyDescent="0.25">
      <c r="A47" s="13">
        <v>46</v>
      </c>
      <c r="B47" s="4" t="s">
        <v>12</v>
      </c>
      <c r="C47" s="5" t="str">
        <f>VLOOKUP(B47, 'Dane pracowników'!$B$4:$C$60, 2, FALSE)</f>
        <v>Katarzyna</v>
      </c>
      <c r="D47" s="13" t="str">
        <f t="shared" si="0"/>
        <v>Katarzyna Wiśniewska</v>
      </c>
      <c r="E47" s="17">
        <f>VLOOKUP(B47, 'Dane pracowników'!$B$2:$I$60, 8, FALSE)</f>
        <v>2079</v>
      </c>
      <c r="F47" s="25" t="str">
        <f t="shared" si="1"/>
        <v>Katarzyna Wiśniewska - do wypłaty: 2079 PLN</v>
      </c>
      <c r="G47" s="25" t="s">
        <v>145</v>
      </c>
    </row>
    <row r="48" spans="1:7" x14ac:dyDescent="0.25">
      <c r="A48" s="13">
        <v>47</v>
      </c>
      <c r="B48" s="4" t="s">
        <v>48</v>
      </c>
      <c r="C48" s="5" t="str">
        <f>VLOOKUP(B48, 'Dane pracowników'!$B$4:$C$60, 2, FALSE)</f>
        <v>Józef</v>
      </c>
      <c r="D48" s="13" t="str">
        <f t="shared" si="0"/>
        <v>Józef Witkowski</v>
      </c>
      <c r="E48" s="17">
        <f>VLOOKUP(B48, 'Dane pracowników'!$B$2:$I$60, 8, FALSE)</f>
        <v>5209.5</v>
      </c>
      <c r="F48" s="25" t="str">
        <f t="shared" si="1"/>
        <v>Józef Witkowski - do wypłaty: 5209,5 PLN</v>
      </c>
      <c r="G48" s="25" t="s">
        <v>144</v>
      </c>
    </row>
    <row r="49" spans="1:7" x14ac:dyDescent="0.25">
      <c r="A49" s="13">
        <v>48</v>
      </c>
      <c r="B49" s="4" t="s">
        <v>10</v>
      </c>
      <c r="C49" s="5" t="str">
        <f>VLOOKUP(B49, 'Dane pracowników'!$B$4:$C$60, 2, FALSE)</f>
        <v>Maria</v>
      </c>
      <c r="D49" s="13" t="str">
        <f t="shared" si="0"/>
        <v>Maria Włodarczyk</v>
      </c>
      <c r="E49" s="17">
        <f>VLOOKUP(B49, 'Dane pracowników'!$B$2:$I$60, 8, FALSE)</f>
        <v>3300</v>
      </c>
      <c r="F49" s="25" t="str">
        <f t="shared" si="1"/>
        <v>Maria Włodarczyk - do wypłaty: 3300 PLN</v>
      </c>
      <c r="G49" s="25" t="s">
        <v>144</v>
      </c>
    </row>
    <row r="50" spans="1:7" x14ac:dyDescent="0.25">
      <c r="A50" s="13">
        <v>49</v>
      </c>
      <c r="B50" s="4" t="s">
        <v>34</v>
      </c>
      <c r="C50" s="5" t="str">
        <f>VLOOKUP(B50, 'Dane pracowników'!$B$4:$C$60, 2, FALSE)</f>
        <v>Magdalena</v>
      </c>
      <c r="D50" s="13" t="str">
        <f t="shared" si="0"/>
        <v>Magdalena Wojciechowska</v>
      </c>
      <c r="E50" s="17">
        <f>VLOOKUP(B50, 'Dane pracowników'!$B$2:$I$60, 8, FALSE)</f>
        <v>5616</v>
      </c>
      <c r="F50" s="25" t="str">
        <f t="shared" si="1"/>
        <v>Magdalena Wojciechowska - do wypłaty: 5616 PLN</v>
      </c>
      <c r="G50" s="25" t="s">
        <v>144</v>
      </c>
    </row>
    <row r="51" spans="1:7" x14ac:dyDescent="0.25">
      <c r="A51" s="13">
        <v>50</v>
      </c>
      <c r="B51" s="4" t="s">
        <v>28</v>
      </c>
      <c r="C51" s="5" t="str">
        <f>VLOOKUP(B51, 'Dane pracowników'!$B$4:$C$60, 2, FALSE)</f>
        <v>Janina</v>
      </c>
      <c r="D51" s="13" t="str">
        <f t="shared" si="0"/>
        <v>Janina Woźniak</v>
      </c>
      <c r="E51" s="17">
        <f>VLOOKUP(B51, 'Dane pracowników'!$B$2:$I$60, 8, FALSE)</f>
        <v>5209.5</v>
      </c>
      <c r="F51" s="25" t="str">
        <f t="shared" si="1"/>
        <v>Janina Woźniak - do wypłaty: 5209,5 PLN</v>
      </c>
      <c r="G51" s="25" t="s">
        <v>143</v>
      </c>
    </row>
    <row r="52" spans="1:7" x14ac:dyDescent="0.25">
      <c r="A52" s="13">
        <v>51</v>
      </c>
      <c r="B52" s="4" t="s">
        <v>18</v>
      </c>
      <c r="C52" s="5" t="str">
        <f>VLOOKUP(B52, 'Dane pracowników'!$B$4:$C$60, 2, FALSE)</f>
        <v>Krystyna</v>
      </c>
      <c r="D52" s="13" t="str">
        <f t="shared" si="0"/>
        <v>Krystyna Wójcik</v>
      </c>
      <c r="E52" s="17">
        <f>VLOOKUP(B52, 'Dane pracowników'!$B$2:$I$60, 8, FALSE)</f>
        <v>2921</v>
      </c>
      <c r="F52" s="25" t="str">
        <f t="shared" si="1"/>
        <v>Krystyna Wójcik - do wypłaty: 2921 PLN</v>
      </c>
      <c r="G52" s="25" t="s">
        <v>144</v>
      </c>
    </row>
    <row r="53" spans="1:7" x14ac:dyDescent="0.25">
      <c r="A53" s="13">
        <v>52</v>
      </c>
      <c r="B53" s="4" t="s">
        <v>42</v>
      </c>
      <c r="C53" s="5" t="str">
        <f>VLOOKUP(B53, 'Dane pracowników'!$B$4:$C$60, 2, FALSE)</f>
        <v>Stanisław</v>
      </c>
      <c r="D53" s="13" t="str">
        <f t="shared" si="0"/>
        <v>Stanisław Wróbel</v>
      </c>
      <c r="E53" s="17">
        <f>VLOOKUP(B53, 'Dane pracowników'!$B$2:$I$60, 8, FALSE)</f>
        <v>3894</v>
      </c>
      <c r="F53" s="25" t="str">
        <f t="shared" si="1"/>
        <v>Stanisław Wróbel - do wypłaty: 3894 PLN</v>
      </c>
      <c r="G53" s="25" t="s">
        <v>145</v>
      </c>
    </row>
    <row r="54" spans="1:7" x14ac:dyDescent="0.25">
      <c r="A54" s="13">
        <v>53</v>
      </c>
      <c r="B54" s="4" t="s">
        <v>110</v>
      </c>
      <c r="C54" s="5" t="str">
        <f>VLOOKUP(B54, 'Dane pracowników'!$B$4:$C$60, 2, FALSE)</f>
        <v>Kazimierz</v>
      </c>
      <c r="D54" s="13" t="str">
        <f t="shared" si="0"/>
        <v>Kazimierz Wróblewski</v>
      </c>
      <c r="E54" s="17">
        <f>VLOOKUP(B54, 'Dane pracowników'!$B$2:$I$60, 8, FALSE)</f>
        <v>3300</v>
      </c>
      <c r="F54" s="25" t="str">
        <f t="shared" si="1"/>
        <v>Kazimierz Wróblewski - do wypłaty: 3300 PLN</v>
      </c>
      <c r="G54" s="25" t="s">
        <v>144</v>
      </c>
    </row>
    <row r="55" spans="1:7" x14ac:dyDescent="0.25">
      <c r="A55" s="13">
        <v>54</v>
      </c>
      <c r="B55" s="4" t="s">
        <v>84</v>
      </c>
      <c r="C55" s="5" t="str">
        <f>VLOOKUP(B55, 'Dane pracowników'!$B$4:$C$60, 2, FALSE)</f>
        <v>Jolanta</v>
      </c>
      <c r="D55" s="13" t="str">
        <f t="shared" si="0"/>
        <v>Jolanta Zając</v>
      </c>
      <c r="E55" s="17">
        <f>VLOOKUP(B55, 'Dane pracowników'!$B$2:$I$60, 8, FALSE)</f>
        <v>5057</v>
      </c>
      <c r="F55" s="25" t="str">
        <f t="shared" si="1"/>
        <v>Jolanta Zając - do wypłaty: 5057 PLN</v>
      </c>
      <c r="G55" s="25" t="s">
        <v>144</v>
      </c>
    </row>
    <row r="56" spans="1:7" x14ac:dyDescent="0.25">
      <c r="A56" s="13">
        <v>55</v>
      </c>
      <c r="B56" s="4" t="s">
        <v>112</v>
      </c>
      <c r="C56" s="5" t="str">
        <f>VLOOKUP(B56, 'Dane pracowników'!$B$4:$C$60, 2, FALSE)</f>
        <v>Wojciech</v>
      </c>
      <c r="D56" s="13" t="str">
        <f t="shared" si="0"/>
        <v>Wojciech Zalewski</v>
      </c>
      <c r="E56" s="17">
        <f>VLOOKUP(B56, 'Dane pracowników'!$B$2:$I$60, 8, FALSE)</f>
        <v>2079</v>
      </c>
      <c r="F56" s="25" t="str">
        <f t="shared" si="1"/>
        <v>Wojciech Zalewski - do wypłaty: 2079 PLN</v>
      </c>
      <c r="G56" s="25" t="s">
        <v>143</v>
      </c>
    </row>
    <row r="57" spans="1:7" x14ac:dyDescent="0.25">
      <c r="A57" s="13">
        <v>56</v>
      </c>
      <c r="B57" s="4" t="s">
        <v>118</v>
      </c>
      <c r="C57" s="5" t="str">
        <f>VLOOKUP(B57, 'Dane pracowników'!$B$4:$C$60, 2, FALSE)</f>
        <v>Marian</v>
      </c>
      <c r="D57" s="13" t="str">
        <f t="shared" si="0"/>
        <v>Marian Zawadzki</v>
      </c>
      <c r="E57" s="17">
        <f>VLOOKUP(B57, 'Dane pracowników'!$B$2:$I$60, 8, FALSE)</f>
        <v>2921</v>
      </c>
      <c r="F57" s="25" t="str">
        <f t="shared" si="1"/>
        <v>Marian Zawadzki - do wypłaty: 2921 PLN</v>
      </c>
      <c r="G57" s="25" t="s">
        <v>143</v>
      </c>
    </row>
    <row r="58" spans="1:7" x14ac:dyDescent="0.25">
      <c r="A58" s="13">
        <v>57</v>
      </c>
      <c r="B58" s="4" t="s">
        <v>24</v>
      </c>
      <c r="C58" s="5" t="str">
        <f>VLOOKUP(B58, 'Dane pracowników'!$B$4:$C$60, 2, FALSE)</f>
        <v>Elżbieta</v>
      </c>
      <c r="D58" s="13" t="str">
        <f t="shared" si="0"/>
        <v>Elżbieta Zielińska</v>
      </c>
      <c r="E58" s="17">
        <f>VLOOKUP(B58, 'Dane pracowników'!$B$2:$I$60, 8, FALSE)</f>
        <v>5057</v>
      </c>
      <c r="F58" s="25" t="str">
        <f t="shared" si="1"/>
        <v>Elżbieta Zielińska - do wypłaty: 5057 PLN</v>
      </c>
      <c r="G58" s="25" t="s">
        <v>144</v>
      </c>
    </row>
    <row r="60" spans="1:7" x14ac:dyDescent="0.25">
      <c r="F60" s="48" t="s">
        <v>147</v>
      </c>
      <c r="G60" s="39" t="str">
        <f>_xlfn.CONCAT(SUMIF(G2:G58,Słownik!A2,'Raport do wypłaty'!E2:E58)," PLN")</f>
        <v>58621 PLN</v>
      </c>
    </row>
    <row r="61" spans="1:7" x14ac:dyDescent="0.25">
      <c r="F61" s="48" t="s">
        <v>148</v>
      </c>
      <c r="G61" s="39" t="str">
        <f>_xlfn.CONCAT(SUMIF(G2:G58,Słownik!A3,'Raport do wypłaty'!E2:E58)," PLN")</f>
        <v>153265,6 PLN</v>
      </c>
    </row>
  </sheetData>
  <autoFilter ref="A1:E1" xr:uid="{EEABCC1D-CAF5-47ED-A1D0-586259CA5C38}">
    <sortState xmlns:xlrd2="http://schemas.microsoft.com/office/spreadsheetml/2017/richdata2" ref="A2:E58">
      <sortCondition ref="B1"/>
    </sortState>
  </autoFilter>
  <dataConsolidate/>
  <conditionalFormatting sqref="E2:E58">
    <cfRule type="cellIs" dxfId="4" priority="4" operator="lessThan">
      <formula>4500</formula>
    </cfRule>
    <cfRule type="cellIs" dxfId="3" priority="5" operator="greaterThan">
      <formula>4500</formula>
    </cfRule>
  </conditionalFormatting>
  <pageMargins left="0.7" right="0.7" top="0.75" bottom="0.75" header="0.3" footer="0.3"/>
  <pageSetup paperSize="9" orientation="portrait" horizontalDpi="30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A3ABDAF-75F8-469E-A2CB-3FDEC4FF90FB}">
            <xm:f>Słownik!$A$4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equal" id="{D218C915-6B5F-419B-9837-762A2BE744B6}">
            <xm:f>Słownik!$A$3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FA8EAD60-AE0F-49BE-9625-CEFE22D678D5}">
            <xm:f>Słownik!$A$2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G2:G58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DB30A2-33A7-45FE-8C42-B5568CCF1808}">
          <x14:formula1>
            <xm:f>Słownik!$A$2:$A$4</xm:f>
          </x14:formula1>
          <xm:sqref>G2:G58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88BE-18AB-4DF5-B417-D26D39755449}">
  <dimension ref="A1:A4"/>
  <sheetViews>
    <sheetView workbookViewId="0">
      <selection activeCell="C6" sqref="C6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146</v>
      </c>
    </row>
    <row r="2" spans="1:1" x14ac:dyDescent="0.25">
      <c r="A2" t="s">
        <v>143</v>
      </c>
    </row>
    <row r="3" spans="1:1" x14ac:dyDescent="0.25">
      <c r="A3" t="s">
        <v>144</v>
      </c>
    </row>
    <row r="4" spans="1:1" x14ac:dyDescent="0.25">
      <c r="A4" t="s">
        <v>145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Dane pracowników</vt:lpstr>
      <vt:lpstr>Raport do wypłaty</vt:lpstr>
      <vt:lpstr>Słownik</vt:lpstr>
    </vt:vector>
  </TitlesOfParts>
  <Company>UE Katowice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2023-12-14T13:27:05Z</cp:lastPrinted>
  <dcterms:created xsi:type="dcterms:W3CDTF">2023-11-23T12:41:45Z</dcterms:created>
  <dcterms:modified xsi:type="dcterms:W3CDTF">2023-12-14T13:30:34Z</dcterms:modified>
</cp:coreProperties>
</file>