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oto\Desktop\"/>
    </mc:Choice>
  </mc:AlternateContent>
  <xr:revisionPtr revIDLastSave="0" documentId="13_ncr:1_{F694B26E-C8F9-45B4-8D69-86494B96FD39}" xr6:coauthVersionLast="40" xr6:coauthVersionMax="40" xr10:uidLastSave="{00000000-0000-0000-0000-000000000000}"/>
  <bookViews>
    <workbookView xWindow="-12" yWindow="6072" windowWidth="20508" windowHeight="1440" activeTab="2" xr2:uid="{00000000-000D-0000-FFFF-FFFF00000000}"/>
  </bookViews>
  <sheets>
    <sheet name="Revenue - Year 1" sheetId="16" r:id="rId1"/>
    <sheet name="Revenue - Year 2" sheetId="23" r:id="rId2"/>
    <sheet name="Revenue - Year 3" sheetId="24" r:id="rId3"/>
    <sheet name="Revenue - Year 4" sheetId="25" r:id="rId4"/>
    <sheet name="Revenue - Year 5" sheetId="13" r:id="rId5"/>
    <sheet name="Revenue - Year 6" sheetId="12" r:id="rId6"/>
    <sheet name="Revenue - Year 7" sheetId="36" r:id="rId7"/>
    <sheet name="Revenue - Year 8" sheetId="35" r:id="rId8"/>
    <sheet name="Airports" sheetId="1" r:id="rId9"/>
    <sheet name="Demand" sheetId="8" r:id="rId10"/>
    <sheet name="Demand (2)" sheetId="37" r:id="rId11"/>
  </sheets>
  <definedNames>
    <definedName name="_xlnm.Print_Area" localSheetId="8">Airports!$B$2:$N$97</definedName>
    <definedName name="_xlnm.Print_Area" localSheetId="9">Demand!$A$1:$S$11</definedName>
    <definedName name="_xlnm.Print_Area" localSheetId="10">'Demand (2)'!$A$1:$S$11</definedName>
    <definedName name="_xlnm.Print_Area" localSheetId="0">'Revenue - Year 1'!$A$1:$AC$14</definedName>
    <definedName name="_xlnm.Print_Area" localSheetId="1">'Revenue - Year 2'!$A$1:$AC$14</definedName>
    <definedName name="_xlnm.Print_Area" localSheetId="2">'Revenue - Year 3'!$A$1:$AC$14</definedName>
    <definedName name="_xlnm.Print_Area" localSheetId="3">'Revenue - Year 4'!$A$1:$AC$14</definedName>
    <definedName name="_xlnm.Print_Area" localSheetId="4">'Revenue - Year 5'!$A$1:$AC$40</definedName>
    <definedName name="_xlnm.Print_Area" localSheetId="5">'Revenue - Year 6'!$A$1:$BM$40</definedName>
    <definedName name="_xlnm.Print_Area" localSheetId="6">'Revenue - Year 7'!$A$1:$BM$40</definedName>
    <definedName name="_xlnm.Print_Area" localSheetId="7">'Revenue - Year 8'!$A$1:$BM$40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AC11" i="16" l="1"/>
  <c r="BC41" i="36" l="1"/>
  <c r="AT41" i="36"/>
  <c r="AK41" i="36"/>
  <c r="AB41" i="36"/>
  <c r="V41" i="36"/>
  <c r="U41" i="36"/>
  <c r="S41" i="36"/>
  <c r="O41" i="36"/>
  <c r="M41" i="36"/>
  <c r="L41" i="36"/>
  <c r="J41" i="36"/>
  <c r="F41" i="36"/>
  <c r="D41" i="36"/>
  <c r="C41" i="36"/>
  <c r="BA39" i="36"/>
  <c r="BC39" i="36" s="1"/>
  <c r="AZ39" i="36"/>
  <c r="BB39" i="36" s="1"/>
  <c r="AU39" i="36"/>
  <c r="AR39" i="36"/>
  <c r="AT39" i="36" s="1"/>
  <c r="AQ39" i="36"/>
  <c r="AS39" i="36" s="1"/>
  <c r="AI39" i="36"/>
  <c r="AK39" i="36" s="1"/>
  <c r="AH39" i="36"/>
  <c r="AJ39" i="36" s="1"/>
  <c r="Z39" i="36"/>
  <c r="AB39" i="36" s="1"/>
  <c r="Y39" i="36"/>
  <c r="AA39" i="36" s="1"/>
  <c r="Q39" i="36"/>
  <c r="S39" i="36" s="1"/>
  <c r="P39" i="36"/>
  <c r="R39" i="36" s="1"/>
  <c r="H39" i="36"/>
  <c r="J39" i="36" s="1"/>
  <c r="G39" i="36"/>
  <c r="I39" i="36" s="1"/>
  <c r="B39" i="36"/>
  <c r="BF38" i="36"/>
  <c r="BF38" i="35" s="1"/>
  <c r="BE38" i="36"/>
  <c r="BE38" i="35" s="1"/>
  <c r="AR38" i="36"/>
  <c r="AR38" i="35" s="1"/>
  <c r="AQ38" i="36"/>
  <c r="AQ38" i="35" s="1"/>
  <c r="AL38" i="36"/>
  <c r="AM38" i="36" s="1"/>
  <c r="AI38" i="36"/>
  <c r="AI38" i="35" s="1"/>
  <c r="AH38" i="36"/>
  <c r="AH38" i="35" s="1"/>
  <c r="AC38" i="36"/>
  <c r="AD38" i="36" s="1"/>
  <c r="AE10" i="36" s="1"/>
  <c r="Z38" i="36"/>
  <c r="Z38" i="35" s="1"/>
  <c r="Y38" i="36"/>
  <c r="Y38" i="35" s="1"/>
  <c r="T38" i="36"/>
  <c r="U38" i="36" s="1"/>
  <c r="Q38" i="36"/>
  <c r="Q38" i="35" s="1"/>
  <c r="P38" i="36"/>
  <c r="P38" i="35" s="1"/>
  <c r="L38" i="36"/>
  <c r="K38" i="36"/>
  <c r="H38" i="36"/>
  <c r="H38" i="35" s="1"/>
  <c r="G38" i="36"/>
  <c r="G38" i="35" s="1"/>
  <c r="B38" i="36"/>
  <c r="C38" i="36" s="1"/>
  <c r="BF37" i="36"/>
  <c r="BF37" i="35" s="1"/>
  <c r="BE37" i="36"/>
  <c r="BE37" i="35" s="1"/>
  <c r="BA37" i="36"/>
  <c r="BA37" i="35" s="1"/>
  <c r="AZ37" i="36"/>
  <c r="AZ37" i="35" s="1"/>
  <c r="AV37" i="36"/>
  <c r="AI37" i="36"/>
  <c r="AI37" i="35" s="1"/>
  <c r="AH37" i="36"/>
  <c r="AH37" i="35" s="1"/>
  <c r="AC37" i="36"/>
  <c r="AD37" i="36" s="1"/>
  <c r="Z37" i="36"/>
  <c r="Z37" i="35" s="1"/>
  <c r="Y37" i="36"/>
  <c r="Y37" i="35" s="1"/>
  <c r="U37" i="36"/>
  <c r="T37" i="36"/>
  <c r="Q37" i="36"/>
  <c r="Q37" i="35" s="1"/>
  <c r="P37" i="36"/>
  <c r="P37" i="35" s="1"/>
  <c r="K37" i="36"/>
  <c r="L37" i="36" s="1"/>
  <c r="H37" i="36"/>
  <c r="H37" i="35" s="1"/>
  <c r="G37" i="36"/>
  <c r="G37" i="35" s="1"/>
  <c r="B37" i="36"/>
  <c r="C37" i="36" s="1"/>
  <c r="BF36" i="36"/>
  <c r="BF36" i="35" s="1"/>
  <c r="BE36" i="36"/>
  <c r="BE36" i="35" s="1"/>
  <c r="BA36" i="36"/>
  <c r="BA36" i="35" s="1"/>
  <c r="AZ36" i="36"/>
  <c r="AZ36" i="35" s="1"/>
  <c r="AV36" i="36"/>
  <c r="AR36" i="36"/>
  <c r="AR36" i="35" s="1"/>
  <c r="AQ36" i="36"/>
  <c r="AQ36" i="35" s="1"/>
  <c r="AM36" i="36"/>
  <c r="Z36" i="36"/>
  <c r="Z36" i="35" s="1"/>
  <c r="Y36" i="36"/>
  <c r="Y36" i="35" s="1"/>
  <c r="T36" i="36"/>
  <c r="U36" i="36" s="1"/>
  <c r="Q36" i="36"/>
  <c r="Q36" i="35" s="1"/>
  <c r="P36" i="36"/>
  <c r="P36" i="35" s="1"/>
  <c r="L36" i="36"/>
  <c r="K36" i="36"/>
  <c r="H36" i="36"/>
  <c r="H36" i="35" s="1"/>
  <c r="G36" i="36"/>
  <c r="G36" i="35" s="1"/>
  <c r="B36" i="36"/>
  <c r="C36" i="36" s="1"/>
  <c r="BF35" i="36"/>
  <c r="BF35" i="35" s="1"/>
  <c r="BE35" i="36"/>
  <c r="BE35" i="35" s="1"/>
  <c r="BA35" i="36"/>
  <c r="BA35" i="35" s="1"/>
  <c r="AZ35" i="36"/>
  <c r="AZ35" i="35" s="1"/>
  <c r="AV35" i="36"/>
  <c r="AR35" i="36"/>
  <c r="AR35" i="35" s="1"/>
  <c r="AQ35" i="36"/>
  <c r="AQ35" i="35" s="1"/>
  <c r="AM35" i="36"/>
  <c r="AI35" i="36"/>
  <c r="AI35" i="35" s="1"/>
  <c r="AH35" i="36"/>
  <c r="AH35" i="35" s="1"/>
  <c r="AD35" i="36"/>
  <c r="Q35" i="36"/>
  <c r="Q35" i="35" s="1"/>
  <c r="P35" i="36"/>
  <c r="P35" i="35" s="1"/>
  <c r="L35" i="36"/>
  <c r="K35" i="36"/>
  <c r="H35" i="36"/>
  <c r="H35" i="35" s="1"/>
  <c r="G35" i="36"/>
  <c r="G35" i="35" s="1"/>
  <c r="B35" i="36"/>
  <c r="BF34" i="36"/>
  <c r="BF34" i="35" s="1"/>
  <c r="BE34" i="36"/>
  <c r="BE34" i="35" s="1"/>
  <c r="BA34" i="36"/>
  <c r="BA34" i="35" s="1"/>
  <c r="AZ34" i="36"/>
  <c r="AZ34" i="35" s="1"/>
  <c r="AV34" i="36"/>
  <c r="AR34" i="36"/>
  <c r="AR34" i="35" s="1"/>
  <c r="AQ34" i="36"/>
  <c r="AQ34" i="35" s="1"/>
  <c r="AM34" i="36"/>
  <c r="AI34" i="36"/>
  <c r="AI34" i="35" s="1"/>
  <c r="AH34" i="36"/>
  <c r="AH34" i="35" s="1"/>
  <c r="AD34" i="36"/>
  <c r="Z34" i="36"/>
  <c r="Z34" i="35" s="1"/>
  <c r="Y34" i="36"/>
  <c r="Y34" i="35" s="1"/>
  <c r="U34" i="36"/>
  <c r="H34" i="36"/>
  <c r="H34" i="35" s="1"/>
  <c r="G34" i="36"/>
  <c r="G34" i="35" s="1"/>
  <c r="B34" i="36"/>
  <c r="C34" i="36" s="1"/>
  <c r="BF33" i="36"/>
  <c r="BE33" i="36"/>
  <c r="BE33" i="35" s="1"/>
  <c r="BA33" i="36"/>
  <c r="BA33" i="35" s="1"/>
  <c r="AZ33" i="36"/>
  <c r="AZ33" i="35" s="1"/>
  <c r="AV33" i="36"/>
  <c r="AR33" i="36"/>
  <c r="AR33" i="35" s="1"/>
  <c r="AQ33" i="36"/>
  <c r="AQ33" i="35" s="1"/>
  <c r="AM33" i="36"/>
  <c r="AI33" i="36"/>
  <c r="AI33" i="35" s="1"/>
  <c r="AH33" i="36"/>
  <c r="AH33" i="35" s="1"/>
  <c r="AD33" i="36"/>
  <c r="Z33" i="36"/>
  <c r="Z33" i="35" s="1"/>
  <c r="Y33" i="36"/>
  <c r="Y33" i="35" s="1"/>
  <c r="U33" i="36"/>
  <c r="Q33" i="36"/>
  <c r="Q33" i="35" s="1"/>
  <c r="P33" i="36"/>
  <c r="P33" i="35" s="1"/>
  <c r="L33" i="36"/>
  <c r="BC27" i="36"/>
  <c r="AT27" i="36"/>
  <c r="AK27" i="36"/>
  <c r="AB27" i="36"/>
  <c r="V27" i="36"/>
  <c r="U27" i="36"/>
  <c r="S27" i="36"/>
  <c r="O27" i="36"/>
  <c r="M27" i="36"/>
  <c r="L27" i="36"/>
  <c r="J27" i="36"/>
  <c r="F27" i="36"/>
  <c r="D27" i="36"/>
  <c r="C27" i="36"/>
  <c r="BA25" i="36"/>
  <c r="BC25" i="36" s="1"/>
  <c r="AZ25" i="36"/>
  <c r="BB25" i="36" s="1"/>
  <c r="AU25" i="36"/>
  <c r="AR25" i="36"/>
  <c r="AT25" i="36" s="1"/>
  <c r="AQ25" i="36"/>
  <c r="AS25" i="36" s="1"/>
  <c r="AL25" i="36"/>
  <c r="AI25" i="36"/>
  <c r="AK25" i="36" s="1"/>
  <c r="AH25" i="36"/>
  <c r="AH25" i="35" s="1"/>
  <c r="AJ25" i="35" s="1"/>
  <c r="AC25" i="36"/>
  <c r="AB25" i="36"/>
  <c r="Z25" i="36"/>
  <c r="Z25" i="35" s="1"/>
  <c r="AB25" i="35" s="1"/>
  <c r="Y25" i="36"/>
  <c r="Y25" i="35" s="1"/>
  <c r="AA25" i="35" s="1"/>
  <c r="T25" i="36"/>
  <c r="Q25" i="36"/>
  <c r="S25" i="36" s="1"/>
  <c r="P25" i="36"/>
  <c r="R25" i="36" s="1"/>
  <c r="K25" i="36"/>
  <c r="J25" i="36"/>
  <c r="H25" i="36"/>
  <c r="H25" i="35" s="1"/>
  <c r="J25" i="35" s="1"/>
  <c r="G25" i="36"/>
  <c r="G25" i="35" s="1"/>
  <c r="I25" i="35" s="1"/>
  <c r="B25" i="36"/>
  <c r="BF24" i="36"/>
  <c r="BF24" i="35" s="1"/>
  <c r="BE24" i="36"/>
  <c r="BE24" i="35" s="1"/>
  <c r="AR24" i="36"/>
  <c r="AR24" i="35" s="1"/>
  <c r="AQ24" i="36"/>
  <c r="AQ24" i="35" s="1"/>
  <c r="AL24" i="36"/>
  <c r="AM24" i="36" s="1"/>
  <c r="AI24" i="36"/>
  <c r="AI24" i="35" s="1"/>
  <c r="AH24" i="36"/>
  <c r="AH24" i="35" s="1"/>
  <c r="AD24" i="36"/>
  <c r="AC24" i="36"/>
  <c r="Z24" i="36"/>
  <c r="Z24" i="35" s="1"/>
  <c r="Y24" i="36"/>
  <c r="Y24" i="35" s="1"/>
  <c r="T24" i="36"/>
  <c r="U24" i="36" s="1"/>
  <c r="Q24" i="36"/>
  <c r="Q24" i="35" s="1"/>
  <c r="P24" i="36"/>
  <c r="P24" i="35" s="1"/>
  <c r="K24" i="36"/>
  <c r="L24" i="36" s="1"/>
  <c r="M10" i="36" s="1"/>
  <c r="H24" i="36"/>
  <c r="H24" i="35" s="1"/>
  <c r="G24" i="36"/>
  <c r="G24" i="35" s="1"/>
  <c r="B24" i="36"/>
  <c r="BF23" i="36"/>
  <c r="BF23" i="35" s="1"/>
  <c r="BE23" i="36"/>
  <c r="BE23" i="35" s="1"/>
  <c r="BA23" i="36"/>
  <c r="BA23" i="35" s="1"/>
  <c r="AZ23" i="36"/>
  <c r="AZ23" i="35" s="1"/>
  <c r="AV23" i="36"/>
  <c r="AI23" i="36"/>
  <c r="AI23" i="35" s="1"/>
  <c r="AH23" i="36"/>
  <c r="AH23" i="35" s="1"/>
  <c r="AC23" i="36"/>
  <c r="AD23" i="36" s="1"/>
  <c r="Z23" i="36"/>
  <c r="Z23" i="35" s="1"/>
  <c r="Y23" i="36"/>
  <c r="Y23" i="35" s="1"/>
  <c r="T23" i="36"/>
  <c r="U23" i="36" s="1"/>
  <c r="Q23" i="36"/>
  <c r="Q23" i="35" s="1"/>
  <c r="P23" i="36"/>
  <c r="P23" i="35" s="1"/>
  <c r="K23" i="36"/>
  <c r="L23" i="36" s="1"/>
  <c r="H23" i="36"/>
  <c r="H23" i="35" s="1"/>
  <c r="G23" i="36"/>
  <c r="G23" i="35" s="1"/>
  <c r="C23" i="36"/>
  <c r="B23" i="36"/>
  <c r="BF22" i="36"/>
  <c r="BF22" i="35" s="1"/>
  <c r="BE22" i="36"/>
  <c r="BE22" i="35" s="1"/>
  <c r="BA22" i="36"/>
  <c r="BA22" i="35" s="1"/>
  <c r="AZ22" i="36"/>
  <c r="AZ22" i="35" s="1"/>
  <c r="AV22" i="36"/>
  <c r="AR22" i="36"/>
  <c r="AR22" i="35" s="1"/>
  <c r="AQ22" i="36"/>
  <c r="AQ22" i="35" s="1"/>
  <c r="AM22" i="36"/>
  <c r="Z22" i="36"/>
  <c r="Z22" i="35" s="1"/>
  <c r="Y22" i="36"/>
  <c r="Y22" i="35" s="1"/>
  <c r="T22" i="36"/>
  <c r="U22" i="36" s="1"/>
  <c r="Q22" i="36"/>
  <c r="Q22" i="35" s="1"/>
  <c r="P22" i="36"/>
  <c r="P22" i="35" s="1"/>
  <c r="L22" i="36"/>
  <c r="K22" i="36"/>
  <c r="H22" i="36"/>
  <c r="H22" i="35" s="1"/>
  <c r="G22" i="36"/>
  <c r="G22" i="35" s="1"/>
  <c r="B22" i="36"/>
  <c r="C22" i="36" s="1"/>
  <c r="BF21" i="36"/>
  <c r="BF21" i="35" s="1"/>
  <c r="BE21" i="36"/>
  <c r="BE21" i="35" s="1"/>
  <c r="BA21" i="36"/>
  <c r="BA21" i="35" s="1"/>
  <c r="AZ21" i="36"/>
  <c r="AZ21" i="35" s="1"/>
  <c r="AV21" i="36"/>
  <c r="AR21" i="36"/>
  <c r="AR21" i="35" s="1"/>
  <c r="AQ21" i="36"/>
  <c r="AQ21" i="35" s="1"/>
  <c r="AM21" i="36"/>
  <c r="AI21" i="36"/>
  <c r="AI21" i="35" s="1"/>
  <c r="AH21" i="36"/>
  <c r="AH21" i="35" s="1"/>
  <c r="AD21" i="36"/>
  <c r="Q21" i="36"/>
  <c r="Q21" i="35" s="1"/>
  <c r="P21" i="36"/>
  <c r="P21" i="35" s="1"/>
  <c r="K21" i="36"/>
  <c r="L21" i="36" s="1"/>
  <c r="H21" i="36"/>
  <c r="H21" i="35" s="1"/>
  <c r="G21" i="36"/>
  <c r="G21" i="35" s="1"/>
  <c r="B21" i="36"/>
  <c r="C21" i="36" s="1"/>
  <c r="BF20" i="36"/>
  <c r="BF20" i="35" s="1"/>
  <c r="BE20" i="36"/>
  <c r="BA20" i="36"/>
  <c r="BA20" i="35" s="1"/>
  <c r="AZ20" i="36"/>
  <c r="AZ20" i="35" s="1"/>
  <c r="AV20" i="36"/>
  <c r="AR20" i="36"/>
  <c r="AR20" i="35" s="1"/>
  <c r="AQ20" i="36"/>
  <c r="AQ20" i="35" s="1"/>
  <c r="AM20" i="36"/>
  <c r="AI20" i="36"/>
  <c r="AI20" i="35" s="1"/>
  <c r="AH20" i="36"/>
  <c r="AH20" i="35" s="1"/>
  <c r="AD20" i="36"/>
  <c r="Z20" i="36"/>
  <c r="Z20" i="35" s="1"/>
  <c r="Y20" i="36"/>
  <c r="Y20" i="35" s="1"/>
  <c r="U20" i="36"/>
  <c r="H20" i="36"/>
  <c r="H20" i="35" s="1"/>
  <c r="G20" i="36"/>
  <c r="G20" i="35" s="1"/>
  <c r="B20" i="36"/>
  <c r="C20" i="36" s="1"/>
  <c r="BF19" i="36"/>
  <c r="BF19" i="35" s="1"/>
  <c r="BE19" i="36"/>
  <c r="BE19" i="35" s="1"/>
  <c r="BA19" i="36"/>
  <c r="BA19" i="35" s="1"/>
  <c r="AZ19" i="36"/>
  <c r="AZ19" i="35" s="1"/>
  <c r="AV19" i="36"/>
  <c r="AR19" i="36"/>
  <c r="AR19" i="35" s="1"/>
  <c r="AQ19" i="36"/>
  <c r="AQ19" i="35" s="1"/>
  <c r="AM19" i="36"/>
  <c r="AI19" i="36"/>
  <c r="AI19" i="35" s="1"/>
  <c r="AH19" i="36"/>
  <c r="AH19" i="35" s="1"/>
  <c r="AD19" i="36"/>
  <c r="Z19" i="36"/>
  <c r="Z19" i="35" s="1"/>
  <c r="Y19" i="36"/>
  <c r="Y19" i="35" s="1"/>
  <c r="U19" i="36"/>
  <c r="Q19" i="36"/>
  <c r="Q19" i="35" s="1"/>
  <c r="P19" i="36"/>
  <c r="P19" i="35" s="1"/>
  <c r="L19" i="36"/>
  <c r="BC13" i="36"/>
  <c r="AT13" i="36"/>
  <c r="AK13" i="36"/>
  <c r="AB13" i="36"/>
  <c r="W13" i="36"/>
  <c r="V13" i="36"/>
  <c r="S13" i="36"/>
  <c r="O13" i="36"/>
  <c r="M13" i="36"/>
  <c r="L13" i="36"/>
  <c r="J13" i="36"/>
  <c r="F13" i="36"/>
  <c r="D13" i="36"/>
  <c r="C13" i="36"/>
  <c r="BA11" i="36"/>
  <c r="BC11" i="36" s="1"/>
  <c r="AZ11" i="36"/>
  <c r="BB11" i="36" s="1"/>
  <c r="AR11" i="36"/>
  <c r="AT11" i="36" s="1"/>
  <c r="AQ11" i="36"/>
  <c r="AS11" i="36" s="1"/>
  <c r="AI11" i="36"/>
  <c r="AK11" i="36" s="1"/>
  <c r="AH11" i="36"/>
  <c r="AJ11" i="36" s="1"/>
  <c r="Z11" i="36"/>
  <c r="AB11" i="36" s="1"/>
  <c r="Y11" i="36"/>
  <c r="AA11" i="36" s="1"/>
  <c r="Q11" i="36"/>
  <c r="S11" i="36" s="1"/>
  <c r="P11" i="36"/>
  <c r="R11" i="36" s="1"/>
  <c r="H11" i="36"/>
  <c r="J11" i="36" s="1"/>
  <c r="G11" i="36"/>
  <c r="I11" i="36" s="1"/>
  <c r="BF10" i="36"/>
  <c r="BF10" i="35" s="1"/>
  <c r="BE10" i="36"/>
  <c r="BE10" i="35" s="1"/>
  <c r="AR10" i="36"/>
  <c r="AR10" i="35" s="1"/>
  <c r="AQ10" i="36"/>
  <c r="AQ10" i="35" s="1"/>
  <c r="AM10" i="36"/>
  <c r="AI10" i="36"/>
  <c r="AI10" i="35" s="1"/>
  <c r="AH10" i="36"/>
  <c r="AH10" i="35" s="1"/>
  <c r="AD10" i="36"/>
  <c r="Z10" i="36"/>
  <c r="Z10" i="35" s="1"/>
  <c r="Y10" i="36"/>
  <c r="Y10" i="35" s="1"/>
  <c r="U10" i="36"/>
  <c r="Q10" i="36"/>
  <c r="Q10" i="35" s="1"/>
  <c r="P10" i="36"/>
  <c r="P10" i="35" s="1"/>
  <c r="L10" i="36"/>
  <c r="H10" i="36"/>
  <c r="H10" i="35" s="1"/>
  <c r="G10" i="36"/>
  <c r="G10" i="35" s="1"/>
  <c r="C10" i="36"/>
  <c r="BF9" i="36"/>
  <c r="BF9" i="35" s="1"/>
  <c r="BE9" i="36"/>
  <c r="BE9" i="35" s="1"/>
  <c r="BA9" i="36"/>
  <c r="BA9" i="35" s="1"/>
  <c r="AZ9" i="36"/>
  <c r="AZ9" i="35" s="1"/>
  <c r="AV9" i="36"/>
  <c r="AI9" i="36"/>
  <c r="AI9" i="35" s="1"/>
  <c r="AH9" i="36"/>
  <c r="AH9" i="35" s="1"/>
  <c r="AD9" i="36"/>
  <c r="Z9" i="36"/>
  <c r="Z9" i="35" s="1"/>
  <c r="Y9" i="36"/>
  <c r="Y9" i="35" s="1"/>
  <c r="U9" i="36"/>
  <c r="Q9" i="36"/>
  <c r="Q9" i="35" s="1"/>
  <c r="P9" i="36"/>
  <c r="P9" i="35" s="1"/>
  <c r="L9" i="36"/>
  <c r="H9" i="36"/>
  <c r="H9" i="35" s="1"/>
  <c r="G9" i="36"/>
  <c r="G9" i="35" s="1"/>
  <c r="C9" i="36"/>
  <c r="BF8" i="36"/>
  <c r="BF8" i="35" s="1"/>
  <c r="BE8" i="36"/>
  <c r="BE8" i="35" s="1"/>
  <c r="BA8" i="36"/>
  <c r="BA8" i="35" s="1"/>
  <c r="AZ8" i="36"/>
  <c r="AZ8" i="35" s="1"/>
  <c r="AW8" i="36"/>
  <c r="AV8" i="36"/>
  <c r="AR8" i="36"/>
  <c r="AR8" i="35" s="1"/>
  <c r="AQ8" i="36"/>
  <c r="AQ8" i="35" s="1"/>
  <c r="AN8" i="36"/>
  <c r="AN22" i="36" s="1"/>
  <c r="AM8" i="36"/>
  <c r="Z8" i="36"/>
  <c r="Z8" i="35" s="1"/>
  <c r="Y8" i="36"/>
  <c r="Y8" i="35" s="1"/>
  <c r="V8" i="36"/>
  <c r="U8" i="36"/>
  <c r="Q8" i="36"/>
  <c r="Q8" i="35" s="1"/>
  <c r="P8" i="36"/>
  <c r="P8" i="35" s="1"/>
  <c r="L8" i="36"/>
  <c r="H8" i="36"/>
  <c r="H8" i="35" s="1"/>
  <c r="G8" i="36"/>
  <c r="G8" i="35" s="1"/>
  <c r="D8" i="36"/>
  <c r="C8" i="36"/>
  <c r="BF7" i="36"/>
  <c r="BF7" i="35" s="1"/>
  <c r="BE7" i="36"/>
  <c r="BE7" i="35" s="1"/>
  <c r="BA7" i="36"/>
  <c r="BA7" i="35" s="1"/>
  <c r="AZ7" i="36"/>
  <c r="AZ7" i="35" s="1"/>
  <c r="AV7" i="36"/>
  <c r="AR7" i="36"/>
  <c r="AR7" i="35" s="1"/>
  <c r="AQ7" i="36"/>
  <c r="AQ7" i="35" s="1"/>
  <c r="AM7" i="36"/>
  <c r="AI7" i="36"/>
  <c r="AI7" i="35" s="1"/>
  <c r="AH7" i="36"/>
  <c r="AH7" i="35" s="1"/>
  <c r="AD7" i="36"/>
  <c r="Q7" i="36"/>
  <c r="Q7" i="35" s="1"/>
  <c r="P7" i="36"/>
  <c r="P7" i="35" s="1"/>
  <c r="L7" i="36"/>
  <c r="H7" i="36"/>
  <c r="H7" i="35" s="1"/>
  <c r="G7" i="36"/>
  <c r="G7" i="35" s="1"/>
  <c r="C7" i="36"/>
  <c r="BF6" i="36"/>
  <c r="BF6" i="35" s="1"/>
  <c r="BE6" i="36"/>
  <c r="BE6" i="35" s="1"/>
  <c r="BA6" i="36"/>
  <c r="BA6" i="35" s="1"/>
  <c r="AZ6" i="36"/>
  <c r="AZ6" i="35" s="1"/>
  <c r="AV6" i="36"/>
  <c r="AW6" i="36" s="1"/>
  <c r="AR6" i="36"/>
  <c r="AR6" i="35" s="1"/>
  <c r="AQ6" i="36"/>
  <c r="AQ6" i="35" s="1"/>
  <c r="AN6" i="36"/>
  <c r="AM6" i="36"/>
  <c r="AI6" i="36"/>
  <c r="AI6" i="35" s="1"/>
  <c r="AH6" i="36"/>
  <c r="AH6" i="35" s="1"/>
  <c r="AD6" i="36"/>
  <c r="AE6" i="36" s="1"/>
  <c r="Z6" i="36"/>
  <c r="Z6" i="35" s="1"/>
  <c r="Y6" i="36"/>
  <c r="Y6" i="35" s="1"/>
  <c r="V6" i="36"/>
  <c r="U6" i="36"/>
  <c r="H6" i="36"/>
  <c r="H6" i="35" s="1"/>
  <c r="G6" i="36"/>
  <c r="G6" i="35" s="1"/>
  <c r="C6" i="36"/>
  <c r="BF5" i="36"/>
  <c r="BF5" i="35" s="1"/>
  <c r="BE5" i="36"/>
  <c r="BE5" i="35" s="1"/>
  <c r="BA5" i="36"/>
  <c r="BA5" i="35" s="1"/>
  <c r="AZ5" i="36"/>
  <c r="AZ5" i="35" s="1"/>
  <c r="AV5" i="36"/>
  <c r="AR5" i="36"/>
  <c r="AR5" i="35" s="1"/>
  <c r="AQ5" i="36"/>
  <c r="AQ5" i="35" s="1"/>
  <c r="AM5" i="36"/>
  <c r="AI5" i="36"/>
  <c r="AI5" i="35" s="1"/>
  <c r="AH5" i="36"/>
  <c r="AH5" i="35" s="1"/>
  <c r="AG5" i="36"/>
  <c r="AK5" i="36" s="1"/>
  <c r="AE5" i="36"/>
  <c r="AE33" i="36" s="1"/>
  <c r="AG33" i="36" s="1"/>
  <c r="AK33" i="36" s="1"/>
  <c r="AD5" i="36"/>
  <c r="Z5" i="36"/>
  <c r="Z5" i="35" s="1"/>
  <c r="Y5" i="36"/>
  <c r="Y5" i="35" s="1"/>
  <c r="U5" i="36"/>
  <c r="V5" i="36" s="1"/>
  <c r="V33" i="36" s="1"/>
  <c r="Q5" i="36"/>
  <c r="Q5" i="35" s="1"/>
  <c r="P5" i="36"/>
  <c r="P5" i="35" s="1"/>
  <c r="L5" i="36"/>
  <c r="BC41" i="35"/>
  <c r="AT41" i="35"/>
  <c r="AK41" i="35"/>
  <c r="AB41" i="35"/>
  <c r="V41" i="35"/>
  <c r="U41" i="35"/>
  <c r="S41" i="35"/>
  <c r="O41" i="35"/>
  <c r="M41" i="35"/>
  <c r="L41" i="35"/>
  <c r="J41" i="35"/>
  <c r="F41" i="35"/>
  <c r="D41" i="35"/>
  <c r="C41" i="35"/>
  <c r="AU39" i="35"/>
  <c r="B39" i="35"/>
  <c r="AL38" i="35"/>
  <c r="AM38" i="35" s="1"/>
  <c r="AC38" i="35"/>
  <c r="AD38" i="35" s="1"/>
  <c r="T38" i="35"/>
  <c r="U38" i="35" s="1"/>
  <c r="K38" i="35"/>
  <c r="L38" i="35" s="1"/>
  <c r="B38" i="35"/>
  <c r="C38" i="35" s="1"/>
  <c r="AV37" i="35"/>
  <c r="AD37" i="35"/>
  <c r="AC37" i="35"/>
  <c r="U37" i="35"/>
  <c r="T37" i="35"/>
  <c r="K37" i="35"/>
  <c r="L37" i="35" s="1"/>
  <c r="B37" i="35"/>
  <c r="AV36" i="35"/>
  <c r="AM36" i="35"/>
  <c r="T36" i="35"/>
  <c r="U36" i="35" s="1"/>
  <c r="K36" i="35"/>
  <c r="L36" i="35" s="1"/>
  <c r="C36" i="35"/>
  <c r="B36" i="35"/>
  <c r="AV35" i="35"/>
  <c r="AM35" i="35"/>
  <c r="AD35" i="35"/>
  <c r="K35" i="35"/>
  <c r="L35" i="35" s="1"/>
  <c r="C35" i="35"/>
  <c r="B35" i="35"/>
  <c r="AV34" i="35"/>
  <c r="AM34" i="35"/>
  <c r="AD34" i="35"/>
  <c r="U34" i="35"/>
  <c r="B34" i="35"/>
  <c r="AV33" i="35"/>
  <c r="AM33" i="35"/>
  <c r="AD33" i="35"/>
  <c r="U33" i="35"/>
  <c r="L33" i="35"/>
  <c r="BC27" i="35"/>
  <c r="AT27" i="35"/>
  <c r="AK27" i="35"/>
  <c r="AB27" i="35"/>
  <c r="V27" i="35"/>
  <c r="U27" i="35"/>
  <c r="S27" i="35"/>
  <c r="O27" i="35"/>
  <c r="M27" i="35"/>
  <c r="L27" i="35"/>
  <c r="J27" i="35"/>
  <c r="F27" i="35"/>
  <c r="D27" i="35"/>
  <c r="C27" i="35"/>
  <c r="AU25" i="35"/>
  <c r="AL25" i="35"/>
  <c r="AC25" i="35"/>
  <c r="T25" i="35"/>
  <c r="K25" i="35"/>
  <c r="B25" i="35"/>
  <c r="AM24" i="35"/>
  <c r="AL24" i="35"/>
  <c r="AC24" i="35"/>
  <c r="AD24" i="35" s="1"/>
  <c r="T24" i="35"/>
  <c r="U24" i="35" s="1"/>
  <c r="L24" i="35"/>
  <c r="M10" i="35" s="1"/>
  <c r="K24" i="35"/>
  <c r="C24" i="35"/>
  <c r="B24" i="35"/>
  <c r="AV23" i="35"/>
  <c r="AC23" i="35"/>
  <c r="AD23" i="35" s="1"/>
  <c r="U23" i="35"/>
  <c r="T23" i="35"/>
  <c r="K23" i="35"/>
  <c r="L23" i="35" s="1"/>
  <c r="B23" i="35"/>
  <c r="C23" i="35" s="1"/>
  <c r="AV22" i="35"/>
  <c r="AM22" i="35"/>
  <c r="T22" i="35"/>
  <c r="U22" i="35" s="1"/>
  <c r="K22" i="35"/>
  <c r="L22" i="35" s="1"/>
  <c r="B22" i="35"/>
  <c r="C22" i="35" s="1"/>
  <c r="AV21" i="35"/>
  <c r="AM21" i="35"/>
  <c r="AD21" i="35"/>
  <c r="K21" i="35"/>
  <c r="L21" i="35" s="1"/>
  <c r="B21" i="35"/>
  <c r="C21" i="35" s="1"/>
  <c r="D7" i="35" s="1"/>
  <c r="AV20" i="35"/>
  <c r="AM20" i="35"/>
  <c r="AD20" i="35"/>
  <c r="U20" i="35"/>
  <c r="C20" i="35"/>
  <c r="B20" i="35"/>
  <c r="AV19" i="35"/>
  <c r="AM19" i="35"/>
  <c r="AD19" i="35"/>
  <c r="U19" i="35"/>
  <c r="L19" i="35"/>
  <c r="BC13" i="35"/>
  <c r="AT13" i="35"/>
  <c r="AK13" i="35"/>
  <c r="AB13" i="35"/>
  <c r="W13" i="35"/>
  <c r="V13" i="35"/>
  <c r="S13" i="35"/>
  <c r="O13" i="35"/>
  <c r="M13" i="35"/>
  <c r="L13" i="35"/>
  <c r="J13" i="35"/>
  <c r="F13" i="35"/>
  <c r="D13" i="35"/>
  <c r="C13" i="35"/>
  <c r="AM10" i="35"/>
  <c r="AE10" i="35"/>
  <c r="AD10" i="35"/>
  <c r="AG10" i="35" s="1"/>
  <c r="U10" i="35"/>
  <c r="L10" i="35"/>
  <c r="E10" i="35"/>
  <c r="D10" i="35"/>
  <c r="D38" i="35" s="1"/>
  <c r="E38" i="35" s="1"/>
  <c r="C10" i="35"/>
  <c r="AV9" i="35"/>
  <c r="AD9" i="35"/>
  <c r="U9" i="35"/>
  <c r="L9" i="35"/>
  <c r="C9" i="35"/>
  <c r="AV8" i="35"/>
  <c r="AM8" i="35"/>
  <c r="AN8" i="35" s="1"/>
  <c r="U8" i="35"/>
  <c r="L8" i="35"/>
  <c r="C8" i="35"/>
  <c r="AV7" i="35"/>
  <c r="AW7" i="35" s="1"/>
  <c r="AN7" i="35"/>
  <c r="AM7" i="35"/>
  <c r="AD7" i="35"/>
  <c r="AE7" i="35" s="1"/>
  <c r="L7" i="35"/>
  <c r="M7" i="35" s="1"/>
  <c r="C7" i="35"/>
  <c r="AW6" i="35"/>
  <c r="AW34" i="35" s="1"/>
  <c r="AX34" i="35" s="1"/>
  <c r="AV6" i="35"/>
  <c r="AM6" i="35"/>
  <c r="AD6" i="35"/>
  <c r="AE6" i="35" s="1"/>
  <c r="AE34" i="35" s="1"/>
  <c r="U6" i="35"/>
  <c r="C6" i="35"/>
  <c r="AV5" i="35"/>
  <c r="AW5" i="35" s="1"/>
  <c r="AM5" i="35"/>
  <c r="AN5" i="35" s="1"/>
  <c r="AD5" i="35"/>
  <c r="AE5" i="35" s="1"/>
  <c r="V5" i="35"/>
  <c r="U5" i="35"/>
  <c r="L5" i="35"/>
  <c r="M5" i="35" s="1"/>
  <c r="BE12" i="35" l="1"/>
  <c r="BE13" i="35" s="1"/>
  <c r="O10" i="36"/>
  <c r="S10" i="36" s="1"/>
  <c r="N10" i="36"/>
  <c r="R10" i="36" s="1"/>
  <c r="BE40" i="35"/>
  <c r="BE41" i="35" s="1"/>
  <c r="M24" i="35"/>
  <c r="M38" i="35"/>
  <c r="O10" i="35"/>
  <c r="D6" i="36"/>
  <c r="E6" i="36" s="1"/>
  <c r="I6" i="36" s="1"/>
  <c r="AG10" i="36"/>
  <c r="AK10" i="36" s="1"/>
  <c r="AF10" i="36"/>
  <c r="AJ10" i="36" s="1"/>
  <c r="BF26" i="35"/>
  <c r="BF27" i="35" s="1"/>
  <c r="AX6" i="35"/>
  <c r="I38" i="35"/>
  <c r="H11" i="35"/>
  <c r="J11" i="35" s="1"/>
  <c r="H39" i="35"/>
  <c r="J39" i="35" s="1"/>
  <c r="BH39" i="35" s="1"/>
  <c r="Q25" i="35"/>
  <c r="S25" i="35" s="1"/>
  <c r="Z11" i="35"/>
  <c r="AB11" i="35" s="1"/>
  <c r="Z39" i="35"/>
  <c r="AB39" i="35" s="1"/>
  <c r="AI25" i="35"/>
  <c r="AK25" i="35" s="1"/>
  <c r="BH25" i="35" s="1"/>
  <c r="AR11" i="35"/>
  <c r="AT11" i="35" s="1"/>
  <c r="AR39" i="35"/>
  <c r="AT39" i="35" s="1"/>
  <c r="BE12" i="36"/>
  <c r="BE13" i="36" s="1"/>
  <c r="BE26" i="36"/>
  <c r="BE27" i="36" s="1"/>
  <c r="I25" i="36"/>
  <c r="BM25" i="36" s="1"/>
  <c r="AA25" i="36"/>
  <c r="M9" i="35"/>
  <c r="M37" i="35" s="1"/>
  <c r="N37" i="35" s="1"/>
  <c r="R37" i="35" s="1"/>
  <c r="F10" i="35"/>
  <c r="J10" i="35" s="1"/>
  <c r="AF10" i="35"/>
  <c r="BH39" i="36"/>
  <c r="AZ39" i="35"/>
  <c r="BB39" i="35" s="1"/>
  <c r="BE20" i="35"/>
  <c r="BE26" i="35" s="1"/>
  <c r="BE27" i="35" s="1"/>
  <c r="BB34" i="35"/>
  <c r="W5" i="36"/>
  <c r="AA5" i="36" s="1"/>
  <c r="W6" i="35"/>
  <c r="AA6" i="35" s="1"/>
  <c r="V6" i="35"/>
  <c r="V34" i="35" s="1"/>
  <c r="O9" i="35"/>
  <c r="X5" i="36"/>
  <c r="AB5" i="36" s="1"/>
  <c r="AW5" i="36"/>
  <c r="BF40" i="36"/>
  <c r="BF41" i="36" s="1"/>
  <c r="P11" i="35"/>
  <c r="R11" i="35" s="1"/>
  <c r="P39" i="35"/>
  <c r="R39" i="35" s="1"/>
  <c r="AH11" i="35"/>
  <c r="AJ11" i="35" s="1"/>
  <c r="BG11" i="35" s="1"/>
  <c r="AH39" i="35"/>
  <c r="AJ39" i="35" s="1"/>
  <c r="AQ25" i="35"/>
  <c r="AS25" i="35" s="1"/>
  <c r="AZ11" i="35"/>
  <c r="BB11" i="35" s="1"/>
  <c r="BA39" i="35"/>
  <c r="BC39" i="35" s="1"/>
  <c r="N5" i="36"/>
  <c r="R5" i="36" s="1"/>
  <c r="Q11" i="35"/>
  <c r="S11" i="35" s="1"/>
  <c r="Q39" i="35"/>
  <c r="S39" i="35" s="1"/>
  <c r="BM39" i="35" s="1"/>
  <c r="AI11" i="35"/>
  <c r="AK11" i="35" s="1"/>
  <c r="AI39" i="35"/>
  <c r="AK39" i="35" s="1"/>
  <c r="AR25" i="35"/>
  <c r="AT25" i="35" s="1"/>
  <c r="M8" i="35"/>
  <c r="O8" i="35" s="1"/>
  <c r="S8" i="35" s="1"/>
  <c r="AE9" i="35"/>
  <c r="N10" i="35"/>
  <c r="M5" i="36"/>
  <c r="M33" i="36" s="1"/>
  <c r="O33" i="36" s="1"/>
  <c r="S33" i="36" s="1"/>
  <c r="AN5" i="36"/>
  <c r="AN33" i="36" s="1"/>
  <c r="AO33" i="36" s="1"/>
  <c r="AS33" i="36" s="1"/>
  <c r="BF33" i="35"/>
  <c r="BF40" i="35" s="1"/>
  <c r="BF41" i="35" s="1"/>
  <c r="D8" i="35"/>
  <c r="O5" i="36"/>
  <c r="S5" i="36" s="1"/>
  <c r="AJ25" i="36"/>
  <c r="AZ25" i="35"/>
  <c r="BB25" i="35" s="1"/>
  <c r="AF6" i="35"/>
  <c r="V9" i="35"/>
  <c r="V23" i="35" s="1"/>
  <c r="W23" i="35" s="1"/>
  <c r="AA23" i="35" s="1"/>
  <c r="AO6" i="35"/>
  <c r="AN6" i="35"/>
  <c r="AN34" i="35" s="1"/>
  <c r="AP34" i="35" s="1"/>
  <c r="AF5" i="36"/>
  <c r="AJ5" i="36" s="1"/>
  <c r="G11" i="35"/>
  <c r="I11" i="35" s="1"/>
  <c r="G39" i="35"/>
  <c r="I39" i="35" s="1"/>
  <c r="P25" i="35"/>
  <c r="R25" i="35" s="1"/>
  <c r="Y11" i="35"/>
  <c r="AA11" i="35" s="1"/>
  <c r="Y39" i="35"/>
  <c r="AA39" i="35" s="1"/>
  <c r="BG39" i="35" s="1"/>
  <c r="BI39" i="35" s="1"/>
  <c r="AQ11" i="35"/>
  <c r="AS11" i="35" s="1"/>
  <c r="AQ39" i="35"/>
  <c r="AS39" i="35" s="1"/>
  <c r="BA25" i="35"/>
  <c r="BC25" i="35" s="1"/>
  <c r="BA11" i="35"/>
  <c r="BC11" i="35" s="1"/>
  <c r="BH11" i="35" s="1"/>
  <c r="BF12" i="35"/>
  <c r="BF13" i="35" s="1"/>
  <c r="R10" i="35"/>
  <c r="V20" i="36"/>
  <c r="W20" i="36" s="1"/>
  <c r="AA20" i="36" s="1"/>
  <c r="W6" i="36"/>
  <c r="AA6" i="36" s="1"/>
  <c r="AN34" i="36"/>
  <c r="AN20" i="36"/>
  <c r="AP20" i="36" s="1"/>
  <c r="AT20" i="36" s="1"/>
  <c r="AO6" i="36"/>
  <c r="AS6" i="36" s="1"/>
  <c r="AO22" i="36"/>
  <c r="AS22" i="36" s="1"/>
  <c r="AP22" i="36"/>
  <c r="AT22" i="36" s="1"/>
  <c r="V10" i="36"/>
  <c r="BM11" i="36"/>
  <c r="BG11" i="36"/>
  <c r="C35" i="36"/>
  <c r="D34" i="36"/>
  <c r="E34" i="36" s="1"/>
  <c r="I34" i="36" s="1"/>
  <c r="D20" i="36"/>
  <c r="E20" i="36" s="1"/>
  <c r="I20" i="36" s="1"/>
  <c r="AW34" i="36"/>
  <c r="AX34" i="36" s="1"/>
  <c r="BB34" i="36" s="1"/>
  <c r="AW20" i="36"/>
  <c r="AY20" i="36" s="1"/>
  <c r="BC20" i="36" s="1"/>
  <c r="AX6" i="36"/>
  <c r="BB6" i="36" s="1"/>
  <c r="AO20" i="36"/>
  <c r="AS20" i="36" s="1"/>
  <c r="C24" i="36"/>
  <c r="AN10" i="36"/>
  <c r="BF12" i="36"/>
  <c r="BF13" i="36" s="1"/>
  <c r="F8" i="36"/>
  <c r="J8" i="36" s="1"/>
  <c r="X8" i="36"/>
  <c r="AB8" i="36" s="1"/>
  <c r="AP8" i="36"/>
  <c r="AT8" i="36" s="1"/>
  <c r="AY8" i="36"/>
  <c r="BC8" i="36" s="1"/>
  <c r="BH11" i="36"/>
  <c r="D9" i="36"/>
  <c r="E9" i="36" s="1"/>
  <c r="I9" i="36" s="1"/>
  <c r="AE34" i="36"/>
  <c r="AF34" i="36" s="1"/>
  <c r="AJ34" i="36" s="1"/>
  <c r="AE20" i="36"/>
  <c r="AF20" i="36" s="1"/>
  <c r="AJ20" i="36" s="1"/>
  <c r="AF6" i="36"/>
  <c r="AJ6" i="36" s="1"/>
  <c r="AJ6" i="35"/>
  <c r="AS6" i="35"/>
  <c r="BB6" i="35"/>
  <c r="S10" i="35"/>
  <c r="AJ10" i="35"/>
  <c r="X6" i="36"/>
  <c r="AB6" i="36" s="1"/>
  <c r="AG6" i="36"/>
  <c r="AK6" i="36" s="1"/>
  <c r="AP6" i="36"/>
  <c r="AT6" i="36" s="1"/>
  <c r="AY6" i="36"/>
  <c r="BC6" i="36" s="1"/>
  <c r="D36" i="36"/>
  <c r="F36" i="36" s="1"/>
  <c r="J36" i="36" s="1"/>
  <c r="D22" i="36"/>
  <c r="E22" i="36" s="1"/>
  <c r="I22" i="36" s="1"/>
  <c r="E8" i="36"/>
  <c r="I8" i="36" s="1"/>
  <c r="M8" i="36"/>
  <c r="O8" i="36" s="1"/>
  <c r="S8" i="36" s="1"/>
  <c r="V36" i="36"/>
  <c r="W36" i="36" s="1"/>
  <c r="AA36" i="36" s="1"/>
  <c r="V22" i="36"/>
  <c r="W22" i="36" s="1"/>
  <c r="AA22" i="36" s="1"/>
  <c r="W8" i="36"/>
  <c r="AA8" i="36" s="1"/>
  <c r="AN36" i="36"/>
  <c r="AP36" i="36" s="1"/>
  <c r="AT36" i="36" s="1"/>
  <c r="AO8" i="36"/>
  <c r="AS8" i="36" s="1"/>
  <c r="AW36" i="36"/>
  <c r="AY36" i="36" s="1"/>
  <c r="BC36" i="36" s="1"/>
  <c r="AW22" i="36"/>
  <c r="AX8" i="36"/>
  <c r="BB8" i="36" s="1"/>
  <c r="V34" i="36"/>
  <c r="W34" i="36" s="1"/>
  <c r="AA34" i="36" s="1"/>
  <c r="V19" i="36"/>
  <c r="BF26" i="36"/>
  <c r="BF27" i="36" s="1"/>
  <c r="F20" i="36"/>
  <c r="J20" i="36" s="1"/>
  <c r="BG25" i="36"/>
  <c r="M7" i="36"/>
  <c r="AE7" i="36"/>
  <c r="AN7" i="36"/>
  <c r="AO7" i="36" s="1"/>
  <c r="AS7" i="36" s="1"/>
  <c r="AW7" i="36"/>
  <c r="AX7" i="36" s="1"/>
  <c r="BB7" i="36" s="1"/>
  <c r="M9" i="36"/>
  <c r="V9" i="36"/>
  <c r="AE9" i="36"/>
  <c r="AW9" i="36"/>
  <c r="AX9" i="36" s="1"/>
  <c r="BB9" i="36" s="1"/>
  <c r="BH25" i="36"/>
  <c r="AT34" i="35"/>
  <c r="M38" i="36"/>
  <c r="N38" i="36" s="1"/>
  <c r="R38" i="36" s="1"/>
  <c r="M24" i="36"/>
  <c r="N24" i="36" s="1"/>
  <c r="R24" i="36" s="1"/>
  <c r="AE38" i="36"/>
  <c r="AE24" i="36"/>
  <c r="AF24" i="36" s="1"/>
  <c r="AJ24" i="36" s="1"/>
  <c r="M19" i="36"/>
  <c r="AE19" i="36"/>
  <c r="AG20" i="36"/>
  <c r="AK20" i="36" s="1"/>
  <c r="O24" i="36"/>
  <c r="S24" i="36" s="1"/>
  <c r="AG24" i="36"/>
  <c r="AK24" i="36" s="1"/>
  <c r="AO34" i="36"/>
  <c r="AS34" i="36" s="1"/>
  <c r="W33" i="36"/>
  <c r="AA33" i="36" s="1"/>
  <c r="BE40" i="36"/>
  <c r="BE41" i="36" s="1"/>
  <c r="AY34" i="36"/>
  <c r="BC34" i="36" s="1"/>
  <c r="AX36" i="36"/>
  <c r="BB36" i="36" s="1"/>
  <c r="BM39" i="36"/>
  <c r="BG39" i="36"/>
  <c r="BI39" i="36" s="1"/>
  <c r="N33" i="36"/>
  <c r="R33" i="36" s="1"/>
  <c r="X33" i="36"/>
  <c r="AB33" i="36" s="1"/>
  <c r="AF33" i="36"/>
  <c r="AJ33" i="36" s="1"/>
  <c r="F34" i="36"/>
  <c r="J34" i="36" s="1"/>
  <c r="AG34" i="36"/>
  <c r="AK34" i="36" s="1"/>
  <c r="AP34" i="36"/>
  <c r="AT34" i="36" s="1"/>
  <c r="AG38" i="36"/>
  <c r="AK38" i="36" s="1"/>
  <c r="AF38" i="36"/>
  <c r="AJ38" i="36" s="1"/>
  <c r="S9" i="35"/>
  <c r="I10" i="35"/>
  <c r="AK10" i="35"/>
  <c r="AN36" i="35"/>
  <c r="AO36" i="35" s="1"/>
  <c r="AS36" i="35" s="1"/>
  <c r="AN22" i="35"/>
  <c r="AO22" i="35" s="1"/>
  <c r="AS22" i="35" s="1"/>
  <c r="AO8" i="35"/>
  <c r="AS8" i="35" s="1"/>
  <c r="M36" i="35"/>
  <c r="O36" i="35" s="1"/>
  <c r="S36" i="35" s="1"/>
  <c r="M22" i="35"/>
  <c r="D36" i="35"/>
  <c r="F36" i="35" s="1"/>
  <c r="J36" i="35" s="1"/>
  <c r="D22" i="35"/>
  <c r="F8" i="35"/>
  <c r="J8" i="35" s="1"/>
  <c r="E8" i="35"/>
  <c r="I8" i="35" s="1"/>
  <c r="N8" i="35"/>
  <c r="R8" i="35" s="1"/>
  <c r="N9" i="35"/>
  <c r="R9" i="35" s="1"/>
  <c r="AY19" i="35"/>
  <c r="BC19" i="35" s="1"/>
  <c r="V20" i="35"/>
  <c r="AE20" i="35"/>
  <c r="AN20" i="35"/>
  <c r="AW20" i="35"/>
  <c r="AY20" i="35" s="1"/>
  <c r="BC20" i="35" s="1"/>
  <c r="AY34" i="35"/>
  <c r="BC34" i="35" s="1"/>
  <c r="C37" i="35"/>
  <c r="M33" i="35"/>
  <c r="N33" i="35" s="1"/>
  <c r="R33" i="35" s="1"/>
  <c r="M19" i="35"/>
  <c r="N19" i="35" s="1"/>
  <c r="R19" i="35" s="1"/>
  <c r="V33" i="35"/>
  <c r="W33" i="35" s="1"/>
  <c r="AA33" i="35" s="1"/>
  <c r="V19" i="35"/>
  <c r="AE33" i="35"/>
  <c r="AF33" i="35" s="1"/>
  <c r="AJ33" i="35" s="1"/>
  <c r="AE19" i="35"/>
  <c r="AG19" i="35" s="1"/>
  <c r="AK19" i="35" s="1"/>
  <c r="AN33" i="35"/>
  <c r="AO33" i="35" s="1"/>
  <c r="AS33" i="35" s="1"/>
  <c r="AN19" i="35"/>
  <c r="AP19" i="35" s="1"/>
  <c r="AT19" i="35" s="1"/>
  <c r="AW33" i="35"/>
  <c r="AX33" i="35" s="1"/>
  <c r="BB33" i="35" s="1"/>
  <c r="AW19" i="35"/>
  <c r="AX19" i="35" s="1"/>
  <c r="BB19" i="35" s="1"/>
  <c r="X6" i="35"/>
  <c r="AB6" i="35" s="1"/>
  <c r="AG6" i="35"/>
  <c r="AK6" i="35" s="1"/>
  <c r="AP6" i="35"/>
  <c r="AT6" i="35" s="1"/>
  <c r="AY6" i="35"/>
  <c r="BC6" i="35" s="1"/>
  <c r="D35" i="35"/>
  <c r="D21" i="35"/>
  <c r="F21" i="35" s="1"/>
  <c r="J21" i="35" s="1"/>
  <c r="M35" i="35"/>
  <c r="O35" i="35" s="1"/>
  <c r="S35" i="35" s="1"/>
  <c r="M21" i="35"/>
  <c r="O21" i="35" s="1"/>
  <c r="S21" i="35" s="1"/>
  <c r="AE35" i="35"/>
  <c r="AE21" i="35"/>
  <c r="AN35" i="35"/>
  <c r="AN21" i="35"/>
  <c r="AW35" i="35"/>
  <c r="AW21" i="35"/>
  <c r="AE37" i="35"/>
  <c r="AF37" i="35" s="1"/>
  <c r="AJ37" i="35" s="1"/>
  <c r="AE23" i="35"/>
  <c r="AG23" i="35" s="1"/>
  <c r="AK23" i="35" s="1"/>
  <c r="M23" i="35"/>
  <c r="N23" i="35" s="1"/>
  <c r="R23" i="35" s="1"/>
  <c r="AY33" i="35"/>
  <c r="BC33" i="35" s="1"/>
  <c r="AG37" i="35"/>
  <c r="AK37" i="35" s="1"/>
  <c r="N5" i="35"/>
  <c r="R5" i="35" s="1"/>
  <c r="W5" i="35"/>
  <c r="AA5" i="35" s="1"/>
  <c r="AF5" i="35"/>
  <c r="AJ5" i="35" s="1"/>
  <c r="AO5" i="35"/>
  <c r="AS5" i="35" s="1"/>
  <c r="AX5" i="35"/>
  <c r="BB5" i="35" s="1"/>
  <c r="E7" i="35"/>
  <c r="I7" i="35" s="1"/>
  <c r="N7" i="35"/>
  <c r="R7" i="35" s="1"/>
  <c r="AF7" i="35"/>
  <c r="AJ7" i="35" s="1"/>
  <c r="AO7" i="35"/>
  <c r="AS7" i="35" s="1"/>
  <c r="AX7" i="35"/>
  <c r="BB7" i="35" s="1"/>
  <c r="V8" i="35"/>
  <c r="X8" i="35" s="1"/>
  <c r="AB8" i="35" s="1"/>
  <c r="AW8" i="35"/>
  <c r="AY8" i="35" s="1"/>
  <c r="BC8" i="35" s="1"/>
  <c r="AF9" i="35"/>
  <c r="AJ9" i="35" s="1"/>
  <c r="E21" i="35"/>
  <c r="I21" i="35" s="1"/>
  <c r="V10" i="35"/>
  <c r="BG25" i="35"/>
  <c r="AN10" i="35"/>
  <c r="O5" i="35"/>
  <c r="S5" i="35" s="1"/>
  <c r="X5" i="35"/>
  <c r="AB5" i="35" s="1"/>
  <c r="AG5" i="35"/>
  <c r="AK5" i="35" s="1"/>
  <c r="AP5" i="35"/>
  <c r="AT5" i="35" s="1"/>
  <c r="AY5" i="35"/>
  <c r="BC5" i="35" s="1"/>
  <c r="X34" i="35"/>
  <c r="AB34" i="35" s="1"/>
  <c r="W34" i="35"/>
  <c r="AA34" i="35" s="1"/>
  <c r="AG34" i="35"/>
  <c r="AK34" i="35" s="1"/>
  <c r="AF34" i="35"/>
  <c r="AJ34" i="35" s="1"/>
  <c r="F7" i="35"/>
  <c r="J7" i="35" s="1"/>
  <c r="O7" i="35"/>
  <c r="S7" i="35" s="1"/>
  <c r="AG7" i="35"/>
  <c r="AK7" i="35" s="1"/>
  <c r="AP7" i="35"/>
  <c r="AT7" i="35" s="1"/>
  <c r="AY7" i="35"/>
  <c r="BC7" i="35" s="1"/>
  <c r="W8" i="35"/>
  <c r="AA8" i="35" s="1"/>
  <c r="AP8" i="35"/>
  <c r="AT8" i="35" s="1"/>
  <c r="AX8" i="35"/>
  <c r="BB8" i="35" s="1"/>
  <c r="AG9" i="35"/>
  <c r="AK9" i="35" s="1"/>
  <c r="AW9" i="35"/>
  <c r="X19" i="35"/>
  <c r="AB19" i="35" s="1"/>
  <c r="W19" i="35"/>
  <c r="AA19" i="35" s="1"/>
  <c r="X20" i="35"/>
  <c r="AB20" i="35" s="1"/>
  <c r="AG20" i="35"/>
  <c r="AK20" i="35" s="1"/>
  <c r="AP20" i="35"/>
  <c r="AT20" i="35" s="1"/>
  <c r="N21" i="35"/>
  <c r="R21" i="35" s="1"/>
  <c r="O33" i="35"/>
  <c r="S33" i="35" s="1"/>
  <c r="AO34" i="35"/>
  <c r="AS34" i="35" s="1"/>
  <c r="W20" i="35"/>
  <c r="AA20" i="35" s="1"/>
  <c r="AF20" i="35"/>
  <c r="AJ20" i="35" s="1"/>
  <c r="AO20" i="35"/>
  <c r="AS20" i="35" s="1"/>
  <c r="AP22" i="35"/>
  <c r="AT22" i="35" s="1"/>
  <c r="N24" i="35"/>
  <c r="R24" i="35" s="1"/>
  <c r="O24" i="35"/>
  <c r="S24" i="35" s="1"/>
  <c r="N36" i="35"/>
  <c r="R36" i="35" s="1"/>
  <c r="O37" i="35"/>
  <c r="S37" i="35" s="1"/>
  <c r="F38" i="35"/>
  <c r="J38" i="35" s="1"/>
  <c r="X33" i="35"/>
  <c r="AB33" i="35" s="1"/>
  <c r="C34" i="35"/>
  <c r="E35" i="35"/>
  <c r="I35" i="35" s="1"/>
  <c r="N35" i="35"/>
  <c r="R35" i="35" s="1"/>
  <c r="AE38" i="35"/>
  <c r="AG38" i="35" s="1"/>
  <c r="AK38" i="35" s="1"/>
  <c r="AE24" i="35"/>
  <c r="D24" i="35"/>
  <c r="E24" i="35" s="1"/>
  <c r="I24" i="35" s="1"/>
  <c r="F35" i="35"/>
  <c r="J35" i="35" s="1"/>
  <c r="AP36" i="35"/>
  <c r="AT36" i="35" s="1"/>
  <c r="N38" i="35"/>
  <c r="R38" i="35" s="1"/>
  <c r="AF38" i="35"/>
  <c r="AJ38" i="35" s="1"/>
  <c r="O38" i="35"/>
  <c r="S38" i="35" s="1"/>
  <c r="BF38" i="12"/>
  <c r="BE38" i="12"/>
  <c r="BF37" i="12"/>
  <c r="BE37" i="12"/>
  <c r="BF36" i="12"/>
  <c r="BE36" i="12"/>
  <c r="BF35" i="12"/>
  <c r="BE35" i="12"/>
  <c r="BF34" i="12"/>
  <c r="BE34" i="12"/>
  <c r="BF33" i="12"/>
  <c r="BE33" i="12"/>
  <c r="BA39" i="12"/>
  <c r="AZ39" i="12"/>
  <c r="BA37" i="12"/>
  <c r="AZ37" i="12"/>
  <c r="BA36" i="12"/>
  <c r="AZ36" i="12"/>
  <c r="BA35" i="12"/>
  <c r="AZ35" i="12"/>
  <c r="BA34" i="12"/>
  <c r="AZ34" i="12"/>
  <c r="BA33" i="12"/>
  <c r="AZ33" i="12"/>
  <c r="AR39" i="12"/>
  <c r="AQ39" i="12"/>
  <c r="AR38" i="12"/>
  <c r="AQ38" i="12"/>
  <c r="AR36" i="12"/>
  <c r="AQ36" i="12"/>
  <c r="AR35" i="12"/>
  <c r="AQ35" i="12"/>
  <c r="AR34" i="12"/>
  <c r="AQ34" i="12"/>
  <c r="AR33" i="12"/>
  <c r="AQ33" i="12"/>
  <c r="AI39" i="12"/>
  <c r="AH39" i="12"/>
  <c r="AI38" i="12"/>
  <c r="AH38" i="12"/>
  <c r="AI37" i="12"/>
  <c r="AH37" i="12"/>
  <c r="AI35" i="12"/>
  <c r="AH35" i="12"/>
  <c r="AI34" i="12"/>
  <c r="AH34" i="12"/>
  <c r="AI33" i="12"/>
  <c r="AH33" i="12"/>
  <c r="Z39" i="12"/>
  <c r="Y39" i="12"/>
  <c r="Z38" i="12"/>
  <c r="Y38" i="12"/>
  <c r="Z37" i="12"/>
  <c r="Y37" i="12"/>
  <c r="Z36" i="12"/>
  <c r="Y36" i="12"/>
  <c r="Z34" i="12"/>
  <c r="Y34" i="12"/>
  <c r="Z33" i="12"/>
  <c r="Y33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Q39" i="12"/>
  <c r="P39" i="12"/>
  <c r="Q38" i="12"/>
  <c r="P38" i="12"/>
  <c r="Q37" i="12"/>
  <c r="P37" i="12"/>
  <c r="Q36" i="12"/>
  <c r="P36" i="12"/>
  <c r="Q35" i="12"/>
  <c r="P35" i="12"/>
  <c r="Q33" i="12"/>
  <c r="P33" i="12"/>
  <c r="BF24" i="12"/>
  <c r="BE24" i="12"/>
  <c r="BF23" i="12"/>
  <c r="BE23" i="12"/>
  <c r="BF22" i="12"/>
  <c r="BE22" i="12"/>
  <c r="BF21" i="12"/>
  <c r="BE21" i="12"/>
  <c r="BF20" i="12"/>
  <c r="BE20" i="12"/>
  <c r="BF19" i="12"/>
  <c r="BE19" i="12"/>
  <c r="BA25" i="12"/>
  <c r="AZ25" i="12"/>
  <c r="BA23" i="12"/>
  <c r="AZ23" i="12"/>
  <c r="BA22" i="12"/>
  <c r="AZ22" i="12"/>
  <c r="BA21" i="12"/>
  <c r="AZ21" i="12"/>
  <c r="BA20" i="12"/>
  <c r="AZ20" i="12"/>
  <c r="BA19" i="12"/>
  <c r="AZ19" i="12"/>
  <c r="AR25" i="12"/>
  <c r="AQ25" i="12"/>
  <c r="AR24" i="12"/>
  <c r="AQ24" i="12"/>
  <c r="AR22" i="12"/>
  <c r="AQ22" i="12"/>
  <c r="AR21" i="12"/>
  <c r="AQ21" i="12"/>
  <c r="AR20" i="12"/>
  <c r="AQ20" i="12"/>
  <c r="AR19" i="12"/>
  <c r="AQ19" i="12"/>
  <c r="AI25" i="12"/>
  <c r="AH25" i="12"/>
  <c r="AI24" i="12"/>
  <c r="AH24" i="12"/>
  <c r="AI23" i="12"/>
  <c r="AH23" i="12"/>
  <c r="AI21" i="12"/>
  <c r="AH21" i="12"/>
  <c r="AI20" i="12"/>
  <c r="AH20" i="12"/>
  <c r="AI19" i="12"/>
  <c r="AH19" i="12"/>
  <c r="Z25" i="12"/>
  <c r="Y25" i="12"/>
  <c r="Z24" i="12"/>
  <c r="Y24" i="12"/>
  <c r="Z23" i="12"/>
  <c r="Y23" i="12"/>
  <c r="Z22" i="12"/>
  <c r="Y22" i="12"/>
  <c r="Z20" i="12"/>
  <c r="Y20" i="12"/>
  <c r="Z19" i="12"/>
  <c r="Y19" i="12"/>
  <c r="Q25" i="12"/>
  <c r="P25" i="12"/>
  <c r="Q24" i="12"/>
  <c r="P24" i="12"/>
  <c r="Q23" i="12"/>
  <c r="P23" i="12"/>
  <c r="Q22" i="12"/>
  <c r="P22" i="12"/>
  <c r="Q21" i="12"/>
  <c r="P21" i="12"/>
  <c r="Q19" i="12"/>
  <c r="P19" i="12"/>
  <c r="G20" i="12"/>
  <c r="H25" i="12"/>
  <c r="G25" i="12"/>
  <c r="H24" i="12"/>
  <c r="G24" i="12"/>
  <c r="H23" i="12"/>
  <c r="G23" i="12"/>
  <c r="H22" i="12"/>
  <c r="G22" i="12"/>
  <c r="H21" i="12"/>
  <c r="G21" i="12"/>
  <c r="H20" i="12"/>
  <c r="BF10" i="12"/>
  <c r="BF9" i="12"/>
  <c r="BF8" i="12"/>
  <c r="BF7" i="12"/>
  <c r="BF6" i="12"/>
  <c r="BF5" i="12"/>
  <c r="BE6" i="12"/>
  <c r="BE7" i="12"/>
  <c r="BE8" i="12"/>
  <c r="BE9" i="12"/>
  <c r="BE10" i="12"/>
  <c r="BE5" i="12"/>
  <c r="BA11" i="12"/>
  <c r="AZ11" i="12"/>
  <c r="BA9" i="12"/>
  <c r="AZ9" i="12"/>
  <c r="BA8" i="12"/>
  <c r="AZ8" i="12"/>
  <c r="BA7" i="12"/>
  <c r="AZ7" i="12"/>
  <c r="BA6" i="12"/>
  <c r="AZ6" i="12"/>
  <c r="BA5" i="12"/>
  <c r="AZ5" i="12"/>
  <c r="AR11" i="12"/>
  <c r="AQ11" i="12"/>
  <c r="AR10" i="12"/>
  <c r="AQ10" i="12"/>
  <c r="AR8" i="12"/>
  <c r="AQ8" i="12"/>
  <c r="AR7" i="12"/>
  <c r="AQ7" i="12"/>
  <c r="AR6" i="12"/>
  <c r="AQ6" i="12"/>
  <c r="AR5" i="12"/>
  <c r="AQ5" i="12"/>
  <c r="AI11" i="12"/>
  <c r="AH11" i="12"/>
  <c r="AI10" i="12"/>
  <c r="AH10" i="12"/>
  <c r="AI9" i="12"/>
  <c r="AH9" i="12"/>
  <c r="AI7" i="12"/>
  <c r="AH7" i="12"/>
  <c r="AI6" i="12"/>
  <c r="AH6" i="12"/>
  <c r="AI5" i="12"/>
  <c r="AH5" i="12"/>
  <c r="Z11" i="12"/>
  <c r="Y11" i="12"/>
  <c r="Z10" i="12"/>
  <c r="Y10" i="12"/>
  <c r="Z9" i="12"/>
  <c r="Y9" i="12"/>
  <c r="Z8" i="12"/>
  <c r="Y8" i="12"/>
  <c r="Z6" i="12"/>
  <c r="Y6" i="12"/>
  <c r="Z5" i="12"/>
  <c r="Y5" i="12"/>
  <c r="Q11" i="12"/>
  <c r="P11" i="12"/>
  <c r="Q10" i="12"/>
  <c r="P10" i="12"/>
  <c r="Q9" i="12"/>
  <c r="P9" i="12"/>
  <c r="Q8" i="12"/>
  <c r="P8" i="12"/>
  <c r="Q7" i="12"/>
  <c r="P7" i="12"/>
  <c r="Q5" i="12"/>
  <c r="P5" i="12"/>
  <c r="H6" i="12"/>
  <c r="H7" i="12"/>
  <c r="H8" i="12"/>
  <c r="H9" i="12"/>
  <c r="H10" i="12"/>
  <c r="H11" i="12"/>
  <c r="G7" i="12"/>
  <c r="G8" i="12"/>
  <c r="G9" i="12"/>
  <c r="G10" i="12"/>
  <c r="G11" i="12"/>
  <c r="G6" i="12"/>
  <c r="BM11" i="35" l="1"/>
  <c r="O38" i="36"/>
  <c r="S38" i="36" s="1"/>
  <c r="AX20" i="36"/>
  <c r="BB20" i="36" s="1"/>
  <c r="AP5" i="36"/>
  <c r="AT5" i="36" s="1"/>
  <c r="BH5" i="36" s="1"/>
  <c r="AW33" i="36"/>
  <c r="AY5" i="36"/>
  <c r="BC5" i="36" s="1"/>
  <c r="AF23" i="35"/>
  <c r="AJ23" i="35" s="1"/>
  <c r="E36" i="36"/>
  <c r="I36" i="36" s="1"/>
  <c r="X20" i="36"/>
  <c r="AB20" i="36" s="1"/>
  <c r="BH20" i="36" s="1"/>
  <c r="O23" i="35"/>
  <c r="S23" i="35" s="1"/>
  <c r="BM25" i="35"/>
  <c r="AO19" i="35"/>
  <c r="AS19" i="35" s="1"/>
  <c r="AP33" i="36"/>
  <c r="AT33" i="36" s="1"/>
  <c r="X22" i="36"/>
  <c r="AB22" i="36" s="1"/>
  <c r="AN19" i="36"/>
  <c r="AX5" i="36"/>
  <c r="BB5" i="36" s="1"/>
  <c r="BB12" i="36" s="1"/>
  <c r="BB13" i="36" s="1"/>
  <c r="AP33" i="35"/>
  <c r="AT33" i="35" s="1"/>
  <c r="X34" i="36"/>
  <c r="AB34" i="36" s="1"/>
  <c r="F22" i="36"/>
  <c r="J22" i="36" s="1"/>
  <c r="AO36" i="36"/>
  <c r="AS36" i="36" s="1"/>
  <c r="X23" i="35"/>
  <c r="AB23" i="35" s="1"/>
  <c r="AX20" i="35"/>
  <c r="BB20" i="35" s="1"/>
  <c r="AF19" i="35"/>
  <c r="AJ19" i="35" s="1"/>
  <c r="O19" i="35"/>
  <c r="S19" i="35" s="1"/>
  <c r="X36" i="36"/>
  <c r="AB36" i="36" s="1"/>
  <c r="F6" i="36"/>
  <c r="J6" i="36" s="1"/>
  <c r="E36" i="35"/>
  <c r="I36" i="35" s="1"/>
  <c r="W9" i="35"/>
  <c r="AA9" i="35" s="1"/>
  <c r="X9" i="35"/>
  <c r="AB9" i="35" s="1"/>
  <c r="AW19" i="36"/>
  <c r="AO5" i="36"/>
  <c r="AS5" i="36" s="1"/>
  <c r="BG5" i="36" s="1"/>
  <c r="BI5" i="36" s="1"/>
  <c r="V37" i="35"/>
  <c r="BH34" i="36"/>
  <c r="N19" i="36"/>
  <c r="R19" i="36" s="1"/>
  <c r="O19" i="36"/>
  <c r="S19" i="36" s="1"/>
  <c r="V37" i="36"/>
  <c r="V23" i="36"/>
  <c r="X9" i="36"/>
  <c r="AB9" i="36" s="1"/>
  <c r="AE35" i="36"/>
  <c r="AE21" i="36"/>
  <c r="AG7" i="36"/>
  <c r="AK7" i="36" s="1"/>
  <c r="W19" i="36"/>
  <c r="AA19" i="36" s="1"/>
  <c r="X19" i="36"/>
  <c r="AB19" i="36" s="1"/>
  <c r="AX22" i="36"/>
  <c r="BB22" i="36" s="1"/>
  <c r="AY22" i="36"/>
  <c r="BC22" i="36" s="1"/>
  <c r="BH6" i="36"/>
  <c r="D10" i="36"/>
  <c r="AF7" i="36"/>
  <c r="AJ7" i="36" s="1"/>
  <c r="AJ12" i="36" s="1"/>
  <c r="AJ13" i="36" s="1"/>
  <c r="BG6" i="36"/>
  <c r="BI6" i="36" s="1"/>
  <c r="BI25" i="35"/>
  <c r="BG20" i="36"/>
  <c r="M37" i="36"/>
  <c r="M23" i="36"/>
  <c r="O9" i="36"/>
  <c r="S9" i="36" s="1"/>
  <c r="M35" i="36"/>
  <c r="M21" i="36"/>
  <c r="O7" i="36"/>
  <c r="S7" i="36" s="1"/>
  <c r="S12" i="36" s="1"/>
  <c r="AN38" i="36"/>
  <c r="AN24" i="36"/>
  <c r="AP10" i="36"/>
  <c r="AT10" i="36" s="1"/>
  <c r="AO10" i="36"/>
  <c r="AS10" i="36" s="1"/>
  <c r="AS12" i="36" s="1"/>
  <c r="AS13" i="36" s="1"/>
  <c r="D7" i="36"/>
  <c r="V38" i="36"/>
  <c r="V24" i="36"/>
  <c r="X10" i="36"/>
  <c r="AB10" i="36" s="1"/>
  <c r="W10" i="36"/>
  <c r="AA10" i="36" s="1"/>
  <c r="AX19" i="36"/>
  <c r="BB19" i="36" s="1"/>
  <c r="AY19" i="36"/>
  <c r="BC19" i="36" s="1"/>
  <c r="AW37" i="36"/>
  <c r="AW23" i="36"/>
  <c r="AY9" i="36"/>
  <c r="BC9" i="36" s="1"/>
  <c r="AW35" i="36"/>
  <c r="AW21" i="36"/>
  <c r="AY7" i="36"/>
  <c r="BC7" i="36" s="1"/>
  <c r="BI25" i="36"/>
  <c r="W9" i="36"/>
  <c r="AA9" i="36" s="1"/>
  <c r="AA12" i="36" s="1"/>
  <c r="AA13" i="36" s="1"/>
  <c r="N9" i="36"/>
  <c r="R9" i="36" s="1"/>
  <c r="BG9" i="36" s="1"/>
  <c r="BG34" i="36"/>
  <c r="BI34" i="36" s="1"/>
  <c r="BI11" i="36"/>
  <c r="AF19" i="36"/>
  <c r="AJ19" i="36" s="1"/>
  <c r="AG19" i="36"/>
  <c r="AK19" i="36" s="1"/>
  <c r="AE37" i="36"/>
  <c r="AE23" i="36"/>
  <c r="AG9" i="36"/>
  <c r="AK9" i="36" s="1"/>
  <c r="AN35" i="36"/>
  <c r="AN21" i="36"/>
  <c r="AP7" i="36"/>
  <c r="AT7" i="36" s="1"/>
  <c r="AT12" i="36" s="1"/>
  <c r="AO19" i="36"/>
  <c r="AS19" i="36" s="1"/>
  <c r="AP19" i="36"/>
  <c r="AT19" i="36" s="1"/>
  <c r="M36" i="36"/>
  <c r="M22" i="36"/>
  <c r="N8" i="36"/>
  <c r="R8" i="36" s="1"/>
  <c r="BG8" i="36" s="1"/>
  <c r="BI8" i="36" s="1"/>
  <c r="N7" i="36"/>
  <c r="R7" i="36" s="1"/>
  <c r="D37" i="36"/>
  <c r="D23" i="36"/>
  <c r="F9" i="36"/>
  <c r="J9" i="36" s="1"/>
  <c r="BH9" i="36" s="1"/>
  <c r="BH8" i="36"/>
  <c r="AF9" i="36"/>
  <c r="AJ9" i="36" s="1"/>
  <c r="BI11" i="35"/>
  <c r="BG19" i="35"/>
  <c r="AG24" i="35"/>
  <c r="AK24" i="35" s="1"/>
  <c r="AF24" i="35"/>
  <c r="AJ24" i="35" s="1"/>
  <c r="AW37" i="35"/>
  <c r="AW23" i="35"/>
  <c r="AX9" i="35"/>
  <c r="BB9" i="35" s="1"/>
  <c r="BB12" i="35" s="1"/>
  <c r="BB13" i="35" s="1"/>
  <c r="AG33" i="35"/>
  <c r="AK33" i="35" s="1"/>
  <c r="BG7" i="35"/>
  <c r="AO21" i="35"/>
  <c r="AS21" i="35" s="1"/>
  <c r="AP21" i="35"/>
  <c r="AT21" i="35" s="1"/>
  <c r="D9" i="35"/>
  <c r="AK12" i="35"/>
  <c r="AN38" i="35"/>
  <c r="AP10" i="35"/>
  <c r="AT10" i="35" s="1"/>
  <c r="AT12" i="35" s="1"/>
  <c r="AO10" i="35"/>
  <c r="AS10" i="35" s="1"/>
  <c r="AN24" i="35"/>
  <c r="R12" i="35"/>
  <c r="R13" i="35" s="1"/>
  <c r="BG5" i="35"/>
  <c r="AO35" i="35"/>
  <c r="AS35" i="35" s="1"/>
  <c r="AP35" i="35"/>
  <c r="AT35" i="35" s="1"/>
  <c r="R40" i="35"/>
  <c r="R41" i="35" s="1"/>
  <c r="BG33" i="35"/>
  <c r="BH19" i="35"/>
  <c r="BG8" i="35"/>
  <c r="BH8" i="35"/>
  <c r="F24" i="35"/>
  <c r="J24" i="35" s="1"/>
  <c r="BH7" i="35"/>
  <c r="AW36" i="35"/>
  <c r="AW22" i="35"/>
  <c r="AS12" i="35"/>
  <c r="AS13" i="35" s="1"/>
  <c r="AX21" i="35"/>
  <c r="BB21" i="35" s="1"/>
  <c r="AY21" i="35"/>
  <c r="BC21" i="35" s="1"/>
  <c r="AF21" i="35"/>
  <c r="AJ21" i="35" s="1"/>
  <c r="AG21" i="35"/>
  <c r="AK21" i="35" s="1"/>
  <c r="AK26" i="35" s="1"/>
  <c r="F22" i="35"/>
  <c r="J22" i="35" s="1"/>
  <c r="E22" i="35"/>
  <c r="I22" i="35" s="1"/>
  <c r="O22" i="35"/>
  <c r="S22" i="35" s="1"/>
  <c r="S26" i="35" s="1"/>
  <c r="N22" i="35"/>
  <c r="R22" i="35" s="1"/>
  <c r="R26" i="35" s="1"/>
  <c r="R27" i="35" s="1"/>
  <c r="AY9" i="35"/>
  <c r="BC9" i="35" s="1"/>
  <c r="BC12" i="35" s="1"/>
  <c r="D6" i="35"/>
  <c r="S40" i="35"/>
  <c r="BH33" i="35"/>
  <c r="S12" i="35"/>
  <c r="BH5" i="35"/>
  <c r="V38" i="35"/>
  <c r="V24" i="35"/>
  <c r="X10" i="35"/>
  <c r="AB10" i="35" s="1"/>
  <c r="BH10" i="35" s="1"/>
  <c r="W10" i="35"/>
  <c r="AA10" i="35" s="1"/>
  <c r="V36" i="35"/>
  <c r="V22" i="35"/>
  <c r="AJ12" i="35"/>
  <c r="AJ13" i="35" s="1"/>
  <c r="AX35" i="35"/>
  <c r="BB35" i="35" s="1"/>
  <c r="AY35" i="35"/>
  <c r="BC35" i="35" s="1"/>
  <c r="AF35" i="35"/>
  <c r="AJ35" i="35" s="1"/>
  <c r="AG35" i="35"/>
  <c r="AK35" i="35" s="1"/>
  <c r="BC41" i="12"/>
  <c r="AT41" i="12"/>
  <c r="AK41" i="12"/>
  <c r="AB41" i="12"/>
  <c r="S41" i="12"/>
  <c r="J41" i="12"/>
  <c r="BC27" i="12"/>
  <c r="AT27" i="12"/>
  <c r="AK27" i="12"/>
  <c r="AB27" i="12"/>
  <c r="S27" i="12"/>
  <c r="J27" i="12"/>
  <c r="BC13" i="12"/>
  <c r="AT13" i="12"/>
  <c r="AK13" i="12"/>
  <c r="AB13" i="12"/>
  <c r="W13" i="12"/>
  <c r="V13" i="12"/>
  <c r="S13" i="12"/>
  <c r="I11" i="12"/>
  <c r="J13" i="12"/>
  <c r="AY33" i="36" l="1"/>
  <c r="BC33" i="36" s="1"/>
  <c r="BH33" i="36" s="1"/>
  <c r="AX33" i="36"/>
  <c r="BB33" i="36" s="1"/>
  <c r="BG33" i="36" s="1"/>
  <c r="AK12" i="36"/>
  <c r="R12" i="36"/>
  <c r="R13" i="36" s="1"/>
  <c r="BI9" i="36"/>
  <c r="W37" i="35"/>
  <c r="AA37" i="35" s="1"/>
  <c r="X37" i="35"/>
  <c r="AB37" i="35" s="1"/>
  <c r="BC12" i="36"/>
  <c r="BI20" i="36"/>
  <c r="AB12" i="36"/>
  <c r="BG10" i="35"/>
  <c r="AJ26" i="35"/>
  <c r="AJ27" i="35" s="1"/>
  <c r="AB12" i="35"/>
  <c r="AX35" i="36"/>
  <c r="BB35" i="36" s="1"/>
  <c r="AY35" i="36"/>
  <c r="BC35" i="36" s="1"/>
  <c r="D35" i="36"/>
  <c r="D21" i="36"/>
  <c r="F7" i="36"/>
  <c r="J7" i="36" s="1"/>
  <c r="E7" i="36"/>
  <c r="I7" i="36" s="1"/>
  <c r="X23" i="36"/>
  <c r="AB23" i="36" s="1"/>
  <c r="W23" i="36"/>
  <c r="AA23" i="36" s="1"/>
  <c r="AA26" i="36" s="1"/>
  <c r="AA27" i="36" s="1"/>
  <c r="BI8" i="35"/>
  <c r="E23" i="36"/>
  <c r="I23" i="36" s="1"/>
  <c r="F23" i="36"/>
  <c r="J23" i="36" s="1"/>
  <c r="N22" i="36"/>
  <c r="R22" i="36" s="1"/>
  <c r="BG22" i="36" s="1"/>
  <c r="O22" i="36"/>
  <c r="S22" i="36" s="1"/>
  <c r="BH22" i="36" s="1"/>
  <c r="AF23" i="36"/>
  <c r="AJ23" i="36" s="1"/>
  <c r="AG23" i="36"/>
  <c r="AK23" i="36" s="1"/>
  <c r="W24" i="36"/>
  <c r="AA24" i="36" s="1"/>
  <c r="X24" i="36"/>
  <c r="AB24" i="36" s="1"/>
  <c r="AO24" i="36"/>
  <c r="AS24" i="36" s="1"/>
  <c r="AP24" i="36"/>
  <c r="AT24" i="36" s="1"/>
  <c r="O23" i="36"/>
  <c r="S23" i="36" s="1"/>
  <c r="N23" i="36"/>
  <c r="R23" i="36" s="1"/>
  <c r="D38" i="36"/>
  <c r="D24" i="36"/>
  <c r="F10" i="36"/>
  <c r="J10" i="36" s="1"/>
  <c r="BH10" i="36" s="1"/>
  <c r="E10" i="36"/>
  <c r="I10" i="36" s="1"/>
  <c r="BG10" i="36" s="1"/>
  <c r="AB26" i="36"/>
  <c r="AF21" i="36"/>
  <c r="AJ21" i="36" s="1"/>
  <c r="AG21" i="36"/>
  <c r="AK21" i="36" s="1"/>
  <c r="W37" i="36"/>
  <c r="AA37" i="36" s="1"/>
  <c r="X37" i="36"/>
  <c r="AB37" i="36" s="1"/>
  <c r="BG35" i="35"/>
  <c r="BG21" i="35"/>
  <c r="F37" i="36"/>
  <c r="J37" i="36" s="1"/>
  <c r="E37" i="36"/>
  <c r="I37" i="36" s="1"/>
  <c r="O36" i="36"/>
  <c r="S36" i="36" s="1"/>
  <c r="BH36" i="36" s="1"/>
  <c r="N36" i="36"/>
  <c r="R36" i="36" s="1"/>
  <c r="BG36" i="36" s="1"/>
  <c r="BI36" i="36" s="1"/>
  <c r="AO21" i="36"/>
  <c r="AS21" i="36" s="1"/>
  <c r="AP21" i="36"/>
  <c r="AT21" i="36" s="1"/>
  <c r="AF37" i="36"/>
  <c r="AJ37" i="36" s="1"/>
  <c r="AG37" i="36"/>
  <c r="AK37" i="36" s="1"/>
  <c r="AY23" i="36"/>
  <c r="BC23" i="36" s="1"/>
  <c r="AX23" i="36"/>
  <c r="BB23" i="36" s="1"/>
  <c r="X38" i="36"/>
  <c r="AB38" i="36" s="1"/>
  <c r="W38" i="36"/>
  <c r="AA38" i="36" s="1"/>
  <c r="AP38" i="36"/>
  <c r="AT38" i="36" s="1"/>
  <c r="AO38" i="36"/>
  <c r="AS38" i="36" s="1"/>
  <c r="O21" i="36"/>
  <c r="S21" i="36" s="1"/>
  <c r="S26" i="36" s="1"/>
  <c r="N21" i="36"/>
  <c r="R21" i="36" s="1"/>
  <c r="R26" i="36" s="1"/>
  <c r="R27" i="36" s="1"/>
  <c r="N37" i="36"/>
  <c r="R37" i="36" s="1"/>
  <c r="O37" i="36"/>
  <c r="S37" i="36" s="1"/>
  <c r="AG35" i="36"/>
  <c r="AK35" i="36" s="1"/>
  <c r="AF35" i="36"/>
  <c r="AJ35" i="36" s="1"/>
  <c r="BH19" i="36"/>
  <c r="AT26" i="36"/>
  <c r="AP35" i="36"/>
  <c r="AT35" i="36" s="1"/>
  <c r="AT40" i="36" s="1"/>
  <c r="AO35" i="36"/>
  <c r="AS35" i="36" s="1"/>
  <c r="AS40" i="36" s="1"/>
  <c r="AS41" i="36" s="1"/>
  <c r="AK26" i="36"/>
  <c r="AX21" i="36"/>
  <c r="BB21" i="36" s="1"/>
  <c r="AY21" i="36"/>
  <c r="BC21" i="36" s="1"/>
  <c r="BC26" i="36" s="1"/>
  <c r="AY37" i="36"/>
  <c r="BC37" i="36" s="1"/>
  <c r="AX37" i="36"/>
  <c r="BB37" i="36" s="1"/>
  <c r="N35" i="36"/>
  <c r="R35" i="36" s="1"/>
  <c r="R40" i="36" s="1"/>
  <c r="R41" i="36" s="1"/>
  <c r="O35" i="36"/>
  <c r="S35" i="36" s="1"/>
  <c r="BG19" i="36"/>
  <c r="BI19" i="36" s="1"/>
  <c r="BI10" i="35"/>
  <c r="BI19" i="35"/>
  <c r="BH35" i="35"/>
  <c r="AA12" i="35"/>
  <c r="AA13" i="35" s="1"/>
  <c r="W36" i="35"/>
  <c r="AA36" i="35" s="1"/>
  <c r="X36" i="35"/>
  <c r="AB36" i="35" s="1"/>
  <c r="X38" i="35"/>
  <c r="AB38" i="35" s="1"/>
  <c r="W38" i="35"/>
  <c r="AA38" i="35" s="1"/>
  <c r="AX22" i="35"/>
  <c r="BB22" i="35" s="1"/>
  <c r="BB26" i="35" s="1"/>
  <c r="BB27" i="35" s="1"/>
  <c r="AY22" i="35"/>
  <c r="BC22" i="35" s="1"/>
  <c r="AJ40" i="35"/>
  <c r="AJ41" i="35" s="1"/>
  <c r="AP38" i="35"/>
  <c r="AT38" i="35" s="1"/>
  <c r="AT40" i="35" s="1"/>
  <c r="AO38" i="35"/>
  <c r="AS38" i="35" s="1"/>
  <c r="AS40" i="35" s="1"/>
  <c r="AS41" i="35" s="1"/>
  <c r="BI7" i="35"/>
  <c r="AX23" i="35"/>
  <c r="BB23" i="35" s="1"/>
  <c r="AY23" i="35"/>
  <c r="BC23" i="35" s="1"/>
  <c r="AX36" i="35"/>
  <c r="BB36" i="35" s="1"/>
  <c r="AY36" i="35"/>
  <c r="BC36" i="35" s="1"/>
  <c r="BH21" i="35"/>
  <c r="BI5" i="35"/>
  <c r="AO24" i="35"/>
  <c r="AS24" i="35" s="1"/>
  <c r="AS26" i="35" s="1"/>
  <c r="AS27" i="35" s="1"/>
  <c r="AP24" i="35"/>
  <c r="AT24" i="35" s="1"/>
  <c r="AT26" i="35" s="1"/>
  <c r="AY37" i="35"/>
  <c r="BC37" i="35" s="1"/>
  <c r="AX37" i="35"/>
  <c r="BB37" i="35" s="1"/>
  <c r="D34" i="35"/>
  <c r="F6" i="35"/>
  <c r="J6" i="35" s="1"/>
  <c r="D20" i="35"/>
  <c r="E6" i="35"/>
  <c r="I6" i="35" s="1"/>
  <c r="BI33" i="35"/>
  <c r="D37" i="35"/>
  <c r="D23" i="35"/>
  <c r="F9" i="35"/>
  <c r="J9" i="35" s="1"/>
  <c r="BH9" i="35" s="1"/>
  <c r="E9" i="35"/>
  <c r="I9" i="35" s="1"/>
  <c r="BG9" i="35" s="1"/>
  <c r="AK40" i="35"/>
  <c r="W22" i="35"/>
  <c r="AA22" i="35" s="1"/>
  <c r="X22" i="35"/>
  <c r="AB22" i="35" s="1"/>
  <c r="AB26" i="35" s="1"/>
  <c r="W24" i="35"/>
  <c r="AA24" i="35" s="1"/>
  <c r="X24" i="35"/>
  <c r="AB24" i="35" s="1"/>
  <c r="BH24" i="35" s="1"/>
  <c r="O77" i="1"/>
  <c r="R51" i="1"/>
  <c r="R49" i="1"/>
  <c r="O49" i="1"/>
  <c r="AG11" i="13"/>
  <c r="AG11" i="25"/>
  <c r="S40" i="36" l="1"/>
  <c r="AJ40" i="36"/>
  <c r="AJ41" i="36" s="1"/>
  <c r="AS26" i="36"/>
  <c r="AS27" i="36" s="1"/>
  <c r="BI33" i="36"/>
  <c r="AK40" i="36"/>
  <c r="BC26" i="35"/>
  <c r="BB26" i="36"/>
  <c r="BB27" i="36" s="1"/>
  <c r="AJ26" i="36"/>
  <c r="AJ27" i="36" s="1"/>
  <c r="BC40" i="35"/>
  <c r="BG22" i="35"/>
  <c r="BG24" i="35"/>
  <c r="BI24" i="35" s="1"/>
  <c r="BI21" i="35"/>
  <c r="BI9" i="35"/>
  <c r="BI35" i="35"/>
  <c r="BH7" i="36"/>
  <c r="BM6" i="36"/>
  <c r="J12" i="36"/>
  <c r="BH12" i="36" s="1"/>
  <c r="BC40" i="36"/>
  <c r="E24" i="36"/>
  <c r="I24" i="36" s="1"/>
  <c r="BG24" i="36" s="1"/>
  <c r="F24" i="36"/>
  <c r="J24" i="36" s="1"/>
  <c r="BH24" i="36" s="1"/>
  <c r="BI22" i="36"/>
  <c r="F21" i="36"/>
  <c r="J21" i="36" s="1"/>
  <c r="E21" i="36"/>
  <c r="I21" i="36" s="1"/>
  <c r="BB40" i="36"/>
  <c r="BB41" i="36" s="1"/>
  <c r="BG37" i="36"/>
  <c r="AB40" i="36"/>
  <c r="F38" i="36"/>
  <c r="J38" i="36" s="1"/>
  <c r="BH38" i="36" s="1"/>
  <c r="E38" i="36"/>
  <c r="I38" i="36" s="1"/>
  <c r="BG38" i="36" s="1"/>
  <c r="BI38" i="36" s="1"/>
  <c r="BH23" i="36"/>
  <c r="E35" i="36"/>
  <c r="I35" i="36" s="1"/>
  <c r="F35" i="36"/>
  <c r="J35" i="36" s="1"/>
  <c r="BH37" i="36"/>
  <c r="AA40" i="36"/>
  <c r="AA41" i="36" s="1"/>
  <c r="BI10" i="36"/>
  <c r="BG23" i="36"/>
  <c r="BI23" i="36" s="1"/>
  <c r="BG7" i="36"/>
  <c r="BI7" i="36" s="1"/>
  <c r="BM5" i="36"/>
  <c r="I12" i="36"/>
  <c r="BG38" i="35"/>
  <c r="F37" i="35"/>
  <c r="J37" i="35" s="1"/>
  <c r="BH37" i="35" s="1"/>
  <c r="E37" i="35"/>
  <c r="I37" i="35" s="1"/>
  <c r="BG37" i="35" s="1"/>
  <c r="I12" i="35"/>
  <c r="BM5" i="35"/>
  <c r="BG6" i="35"/>
  <c r="BB40" i="35"/>
  <c r="BB41" i="35" s="1"/>
  <c r="AA40" i="35"/>
  <c r="AA41" i="35" s="1"/>
  <c r="BG36" i="35"/>
  <c r="F20" i="35"/>
  <c r="J20" i="35" s="1"/>
  <c r="E20" i="35"/>
  <c r="I20" i="35" s="1"/>
  <c r="J12" i="35"/>
  <c r="BH12" i="35" s="1"/>
  <c r="BM6" i="35"/>
  <c r="BH6" i="35"/>
  <c r="BH38" i="35"/>
  <c r="AA26" i="35"/>
  <c r="AA27" i="35" s="1"/>
  <c r="F23" i="35"/>
  <c r="J23" i="35" s="1"/>
  <c r="BH23" i="35" s="1"/>
  <c r="E23" i="35"/>
  <c r="I23" i="35" s="1"/>
  <c r="BG23" i="35" s="1"/>
  <c r="BH22" i="35"/>
  <c r="F34" i="35"/>
  <c r="J34" i="35" s="1"/>
  <c r="E34" i="35"/>
  <c r="I34" i="35" s="1"/>
  <c r="AB40" i="35"/>
  <c r="BH36" i="35"/>
  <c r="BM7" i="36" l="1"/>
  <c r="BM8" i="36" s="1"/>
  <c r="BI22" i="35"/>
  <c r="BI38" i="35"/>
  <c r="BG12" i="36"/>
  <c r="BI12" i="36" s="1"/>
  <c r="I13" i="36"/>
  <c r="BM12" i="36"/>
  <c r="BM10" i="36" s="1"/>
  <c r="BM13" i="36" s="1"/>
  <c r="BG35" i="36"/>
  <c r="I40" i="36"/>
  <c r="BM33" i="36"/>
  <c r="BH21" i="36"/>
  <c r="J26" i="36"/>
  <c r="BH26" i="36" s="1"/>
  <c r="BM20" i="36"/>
  <c r="BI37" i="36"/>
  <c r="BH35" i="36"/>
  <c r="BM34" i="36"/>
  <c r="J40" i="36"/>
  <c r="BH40" i="36" s="1"/>
  <c r="BG21" i="36"/>
  <c r="BI21" i="36" s="1"/>
  <c r="BM19" i="36"/>
  <c r="I26" i="36"/>
  <c r="BI24" i="36"/>
  <c r="BI36" i="35"/>
  <c r="J40" i="35"/>
  <c r="BH40" i="35" s="1"/>
  <c r="BH34" i="35"/>
  <c r="BM34" i="35"/>
  <c r="BI23" i="35"/>
  <c r="I26" i="35"/>
  <c r="BG20" i="35"/>
  <c r="BM19" i="35"/>
  <c r="BI37" i="35"/>
  <c r="BH20" i="35"/>
  <c r="BM20" i="35"/>
  <c r="J26" i="35"/>
  <c r="BH26" i="35" s="1"/>
  <c r="BI6" i="35"/>
  <c r="BM7" i="35"/>
  <c r="BM8" i="35" s="1"/>
  <c r="BM9" i="35" s="1"/>
  <c r="I40" i="35"/>
  <c r="BG34" i="35"/>
  <c r="BM33" i="35"/>
  <c r="BG12" i="35"/>
  <c r="BI12" i="35" s="1"/>
  <c r="I13" i="35"/>
  <c r="BM12" i="35"/>
  <c r="BM10" i="35" s="1"/>
  <c r="BM13" i="35" s="1"/>
  <c r="BC39" i="12"/>
  <c r="BB39" i="12"/>
  <c r="BC25" i="12"/>
  <c r="BB25" i="12"/>
  <c r="BI34" i="35" l="1"/>
  <c r="BM21" i="35"/>
  <c r="BM22" i="35" s="1"/>
  <c r="BG26" i="36"/>
  <c r="BI26" i="36" s="1"/>
  <c r="I27" i="36"/>
  <c r="BM26" i="36"/>
  <c r="BM24" i="36" s="1"/>
  <c r="BM27" i="36" s="1"/>
  <c r="BI35" i="36"/>
  <c r="BM21" i="36"/>
  <c r="BM22" i="36" s="1"/>
  <c r="BM35" i="36"/>
  <c r="BM36" i="36" s="1"/>
  <c r="BG40" i="36"/>
  <c r="BI40" i="36" s="1"/>
  <c r="I41" i="36"/>
  <c r="BM40" i="36"/>
  <c r="BM38" i="36" s="1"/>
  <c r="BM41" i="36" s="1"/>
  <c r="BM35" i="35"/>
  <c r="BM36" i="35" s="1"/>
  <c r="I41" i="35"/>
  <c r="BM40" i="35"/>
  <c r="BM38" i="35" s="1"/>
  <c r="BM41" i="35" s="1"/>
  <c r="BG40" i="35"/>
  <c r="BI40" i="35" s="1"/>
  <c r="BI20" i="35"/>
  <c r="BG26" i="35"/>
  <c r="BI26" i="35" s="1"/>
  <c r="I27" i="35"/>
  <c r="BM26" i="35"/>
  <c r="BM24" i="35" s="1"/>
  <c r="BM27" i="35" s="1"/>
  <c r="R13" i="25"/>
  <c r="F13" i="25"/>
  <c r="V12" i="25"/>
  <c r="V13" i="25" s="1"/>
  <c r="U12" i="25"/>
  <c r="U13" i="25" s="1"/>
  <c r="S12" i="25"/>
  <c r="S13" i="25" s="1"/>
  <c r="R12" i="25"/>
  <c r="P12" i="25"/>
  <c r="P13" i="25" s="1"/>
  <c r="O12" i="25"/>
  <c r="O13" i="25" s="1"/>
  <c r="M12" i="25"/>
  <c r="M13" i="25" s="1"/>
  <c r="L12" i="25"/>
  <c r="L13" i="25" s="1"/>
  <c r="J12" i="25"/>
  <c r="J13" i="25" s="1"/>
  <c r="I12" i="25"/>
  <c r="I13" i="25" s="1"/>
  <c r="G12" i="25"/>
  <c r="G13" i="25" s="1"/>
  <c r="F12" i="25"/>
  <c r="D12" i="25"/>
  <c r="D13" i="25" s="1"/>
  <c r="C12" i="25"/>
  <c r="C13" i="25" s="1"/>
  <c r="AC11" i="25"/>
  <c r="X11" i="25"/>
  <c r="W11" i="25"/>
  <c r="Y11" i="25" s="1"/>
  <c r="X10" i="25"/>
  <c r="W10" i="25"/>
  <c r="Y10" i="25" s="1"/>
  <c r="X9" i="25"/>
  <c r="W9" i="25"/>
  <c r="Y9" i="25" s="1"/>
  <c r="X8" i="25"/>
  <c r="W8" i="25"/>
  <c r="Y8" i="25" s="1"/>
  <c r="X7" i="25"/>
  <c r="W7" i="25"/>
  <c r="Y7" i="25" s="1"/>
  <c r="AC6" i="25"/>
  <c r="X6" i="25"/>
  <c r="W6" i="25"/>
  <c r="AC5" i="25"/>
  <c r="X5" i="25"/>
  <c r="W5" i="25"/>
  <c r="R13" i="24"/>
  <c r="F13" i="24"/>
  <c r="V12" i="24"/>
  <c r="V13" i="24" s="1"/>
  <c r="U12" i="24"/>
  <c r="U13" i="24" s="1"/>
  <c r="S12" i="24"/>
  <c r="S13" i="24" s="1"/>
  <c r="R12" i="24"/>
  <c r="P12" i="24"/>
  <c r="P13" i="24" s="1"/>
  <c r="O12" i="24"/>
  <c r="O13" i="24" s="1"/>
  <c r="M12" i="24"/>
  <c r="M13" i="24" s="1"/>
  <c r="L12" i="24"/>
  <c r="L13" i="24" s="1"/>
  <c r="J12" i="24"/>
  <c r="J13" i="24" s="1"/>
  <c r="I12" i="24"/>
  <c r="I13" i="24" s="1"/>
  <c r="G12" i="24"/>
  <c r="G13" i="24" s="1"/>
  <c r="F12" i="24"/>
  <c r="D12" i="24"/>
  <c r="D13" i="24" s="1"/>
  <c r="C12" i="24"/>
  <c r="C13" i="24" s="1"/>
  <c r="AC11" i="24"/>
  <c r="AG11" i="24" s="1"/>
  <c r="X11" i="24"/>
  <c r="W11" i="24"/>
  <c r="X10" i="24"/>
  <c r="W10" i="24"/>
  <c r="Y10" i="24" s="1"/>
  <c r="X9" i="24"/>
  <c r="W9" i="24"/>
  <c r="Y9" i="24" s="1"/>
  <c r="X8" i="24"/>
  <c r="W8" i="24"/>
  <c r="Y8" i="24" s="1"/>
  <c r="X7" i="24"/>
  <c r="W7" i="24"/>
  <c r="AC6" i="24"/>
  <c r="X6" i="24"/>
  <c r="W6" i="24"/>
  <c r="AC5" i="24"/>
  <c r="X5" i="24"/>
  <c r="W5" i="24"/>
  <c r="R13" i="23"/>
  <c r="V12" i="23"/>
  <c r="V13" i="23" s="1"/>
  <c r="U12" i="23"/>
  <c r="U13" i="23" s="1"/>
  <c r="S12" i="23"/>
  <c r="S13" i="23" s="1"/>
  <c r="R12" i="23"/>
  <c r="P12" i="23"/>
  <c r="P13" i="23" s="1"/>
  <c r="O12" i="23"/>
  <c r="O13" i="23" s="1"/>
  <c r="M12" i="23"/>
  <c r="M13" i="23" s="1"/>
  <c r="L12" i="23"/>
  <c r="L13" i="23" s="1"/>
  <c r="J12" i="23"/>
  <c r="J13" i="23" s="1"/>
  <c r="I12" i="23"/>
  <c r="I13" i="23" s="1"/>
  <c r="G12" i="23"/>
  <c r="G13" i="23" s="1"/>
  <c r="F12" i="23"/>
  <c r="F13" i="23" s="1"/>
  <c r="D12" i="23"/>
  <c r="D13" i="23" s="1"/>
  <c r="C12" i="23"/>
  <c r="C13" i="23" s="1"/>
  <c r="AC11" i="23"/>
  <c r="AG11" i="23" s="1"/>
  <c r="X11" i="23"/>
  <c r="W11" i="23"/>
  <c r="X10" i="23"/>
  <c r="W10" i="23"/>
  <c r="Y10" i="23" s="1"/>
  <c r="X9" i="23"/>
  <c r="W9" i="23"/>
  <c r="X8" i="23"/>
  <c r="W8" i="23"/>
  <c r="Y8" i="23" s="1"/>
  <c r="X7" i="23"/>
  <c r="W7" i="23"/>
  <c r="AC6" i="23"/>
  <c r="X6" i="23"/>
  <c r="W6" i="23"/>
  <c r="AC5" i="23"/>
  <c r="X5" i="23"/>
  <c r="W5" i="23"/>
  <c r="Y11" i="24" l="1"/>
  <c r="Y7" i="24"/>
  <c r="Y7" i="23"/>
  <c r="Y11" i="23"/>
  <c r="Y9" i="23"/>
  <c r="BM37" i="35"/>
  <c r="Y6" i="23"/>
  <c r="Y6" i="24"/>
  <c r="BM23" i="35"/>
  <c r="Y6" i="25"/>
  <c r="Y5" i="24"/>
  <c r="Y5" i="25"/>
  <c r="AC7" i="25"/>
  <c r="AC8" i="25" s="1"/>
  <c r="AC7" i="24"/>
  <c r="AC8" i="24" s="1"/>
  <c r="Y5" i="23"/>
  <c r="AC7" i="23"/>
  <c r="AC8" i="23" s="1"/>
  <c r="AC12" i="25"/>
  <c r="AC10" i="25" s="1"/>
  <c r="AC14" i="25" s="1"/>
  <c r="W12" i="25"/>
  <c r="X12" i="25"/>
  <c r="AC12" i="24"/>
  <c r="AC10" i="24" s="1"/>
  <c r="AC14" i="24" s="1"/>
  <c r="W12" i="24"/>
  <c r="X12" i="24"/>
  <c r="AC12" i="23"/>
  <c r="AC10" i="23" s="1"/>
  <c r="AC14" i="23" s="1"/>
  <c r="W12" i="23"/>
  <c r="X12" i="23"/>
  <c r="R91" i="1"/>
  <c r="R89" i="1"/>
  <c r="R63" i="1"/>
  <c r="R61" i="1"/>
  <c r="O89" i="1"/>
  <c r="O61" i="1"/>
  <c r="O20" i="1"/>
  <c r="AC9" i="25" l="1"/>
  <c r="AG10" i="25"/>
  <c r="Y12" i="24"/>
  <c r="AC9" i="24"/>
  <c r="AG10" i="24"/>
  <c r="Y12" i="23"/>
  <c r="AG10" i="23"/>
  <c r="Y12" i="25"/>
  <c r="O8" i="1"/>
  <c r="R79" i="1"/>
  <c r="R77" i="1"/>
  <c r="V41" i="12"/>
  <c r="U41" i="12"/>
  <c r="O41" i="12"/>
  <c r="M41" i="12"/>
  <c r="L41" i="12"/>
  <c r="F41" i="12"/>
  <c r="D41" i="12"/>
  <c r="C41" i="12"/>
  <c r="V27" i="12"/>
  <c r="U27" i="12"/>
  <c r="O27" i="12"/>
  <c r="M27" i="12"/>
  <c r="L27" i="12"/>
  <c r="F27" i="12"/>
  <c r="D27" i="12"/>
  <c r="C27" i="12"/>
  <c r="O13" i="12"/>
  <c r="M13" i="12"/>
  <c r="L13" i="12"/>
  <c r="F13" i="12"/>
  <c r="D13" i="12"/>
  <c r="C13" i="12"/>
  <c r="W5" i="16"/>
  <c r="R10" i="1"/>
  <c r="R20" i="1"/>
  <c r="R22" i="1"/>
  <c r="R8" i="1"/>
  <c r="O27" i="1" l="1"/>
  <c r="O96" i="1"/>
  <c r="O68" i="1"/>
  <c r="AT25" i="12" l="1"/>
  <c r="AS25" i="12"/>
  <c r="AT39" i="12"/>
  <c r="AS39" i="12"/>
  <c r="AK39" i="12"/>
  <c r="AJ39" i="12"/>
  <c r="AK25" i="12"/>
  <c r="AJ25" i="12"/>
  <c r="AB39" i="12"/>
  <c r="AA39" i="12"/>
  <c r="AB25" i="12"/>
  <c r="AA25" i="12"/>
  <c r="S39" i="12"/>
  <c r="R39" i="12"/>
  <c r="S25" i="12"/>
  <c r="R25" i="12"/>
  <c r="J39" i="12"/>
  <c r="I39" i="12"/>
  <c r="J25" i="12"/>
  <c r="I25" i="12"/>
  <c r="BF40" i="12"/>
  <c r="BF41" i="12" s="1"/>
  <c r="BE40" i="12"/>
  <c r="BE41" i="12" s="1"/>
  <c r="BF26" i="12"/>
  <c r="BF27" i="12" s="1"/>
  <c r="BE26" i="12"/>
  <c r="BE27" i="12" s="1"/>
  <c r="AV37" i="12"/>
  <c r="AV33" i="12"/>
  <c r="AV23" i="12"/>
  <c r="AV22" i="12"/>
  <c r="AV21" i="12"/>
  <c r="AV20" i="12"/>
  <c r="AV19" i="12"/>
  <c r="AV9" i="12"/>
  <c r="AV8" i="12"/>
  <c r="AV7" i="12"/>
  <c r="AV6" i="12"/>
  <c r="AV36" i="12"/>
  <c r="AV35" i="12"/>
  <c r="AV34" i="12"/>
  <c r="BC11" i="12"/>
  <c r="BB11" i="12"/>
  <c r="AV5" i="12"/>
  <c r="AM36" i="12"/>
  <c r="AM35" i="12"/>
  <c r="AM34" i="12"/>
  <c r="AM33" i="12"/>
  <c r="AM22" i="12"/>
  <c r="AM21" i="12"/>
  <c r="AM20" i="12"/>
  <c r="AM19" i="12"/>
  <c r="AM10" i="12"/>
  <c r="AM8" i="12"/>
  <c r="AN8" i="12" s="1"/>
  <c r="AM7" i="12"/>
  <c r="AM6" i="12"/>
  <c r="AT11" i="12"/>
  <c r="AS11" i="12"/>
  <c r="AM5" i="12"/>
  <c r="AD35" i="12"/>
  <c r="AD21" i="12"/>
  <c r="AD20" i="12"/>
  <c r="AD19" i="12"/>
  <c r="AC23" i="12"/>
  <c r="AD23" i="12" s="1"/>
  <c r="AC24" i="12"/>
  <c r="AD24" i="12" s="1"/>
  <c r="AD33" i="12"/>
  <c r="AD10" i="12"/>
  <c r="AD9" i="12"/>
  <c r="AD7" i="12"/>
  <c r="AD6" i="12"/>
  <c r="AD34" i="12"/>
  <c r="AK11" i="12"/>
  <c r="AJ11" i="12"/>
  <c r="AD5" i="12"/>
  <c r="U34" i="12"/>
  <c r="L33" i="12"/>
  <c r="U33" i="12"/>
  <c r="U20" i="12"/>
  <c r="U10" i="12"/>
  <c r="U9" i="12"/>
  <c r="U8" i="12"/>
  <c r="U6" i="12"/>
  <c r="U19" i="12"/>
  <c r="AB11" i="12"/>
  <c r="AA11" i="12"/>
  <c r="U5" i="12"/>
  <c r="L19" i="12"/>
  <c r="L10" i="12"/>
  <c r="L9" i="12"/>
  <c r="L8" i="12"/>
  <c r="L7" i="12"/>
  <c r="R11" i="12"/>
  <c r="S11" i="12"/>
  <c r="L5" i="12"/>
  <c r="C6" i="12"/>
  <c r="C7" i="12"/>
  <c r="C8" i="12"/>
  <c r="C9" i="12"/>
  <c r="C10" i="12"/>
  <c r="AN6" i="12" l="1"/>
  <c r="AP6" i="12" s="1"/>
  <c r="AT6" i="12" s="1"/>
  <c r="AW7" i="12"/>
  <c r="AY7" i="12" s="1"/>
  <c r="BC7" i="12" s="1"/>
  <c r="AW5" i="12"/>
  <c r="AW33" i="12" s="1"/>
  <c r="AX33" i="12" s="1"/>
  <c r="BB33" i="12" s="1"/>
  <c r="BG39" i="12"/>
  <c r="BH39" i="12"/>
  <c r="BM39" i="12"/>
  <c r="BH25" i="12"/>
  <c r="BM25" i="12"/>
  <c r="BG25" i="12"/>
  <c r="AW9" i="12"/>
  <c r="AW37" i="12" s="1"/>
  <c r="AY37" i="12" s="1"/>
  <c r="BC37" i="12" s="1"/>
  <c r="AW8" i="12"/>
  <c r="AW36" i="12" s="1"/>
  <c r="AW6" i="12"/>
  <c r="AW34" i="12" s="1"/>
  <c r="AY34" i="12" s="1"/>
  <c r="BC34" i="12" s="1"/>
  <c r="AP8" i="12"/>
  <c r="AT8" i="12" s="1"/>
  <c r="AN36" i="12"/>
  <c r="AP36" i="12" s="1"/>
  <c r="AT36" i="12" s="1"/>
  <c r="AY5" i="12"/>
  <c r="BC5" i="12" s="1"/>
  <c r="AN20" i="12"/>
  <c r="AP20" i="12" s="1"/>
  <c r="AT20" i="12" s="1"/>
  <c r="AN34" i="12"/>
  <c r="AO34" i="12" s="1"/>
  <c r="AS34" i="12" s="1"/>
  <c r="AN22" i="12"/>
  <c r="AP22" i="12" s="1"/>
  <c r="AT22" i="12" s="1"/>
  <c r="AN5" i="12"/>
  <c r="AN33" i="12" s="1"/>
  <c r="AO8" i="12"/>
  <c r="AS8" i="12" s="1"/>
  <c r="AN7" i="12"/>
  <c r="AN35" i="12" s="1"/>
  <c r="AP35" i="12" s="1"/>
  <c r="AT35" i="12" s="1"/>
  <c r="AO6" i="12"/>
  <c r="AS6" i="12" s="1"/>
  <c r="V5" i="12"/>
  <c r="V33" i="12" s="1"/>
  <c r="X33" i="12" s="1"/>
  <c r="AB33" i="12" s="1"/>
  <c r="V6" i="12"/>
  <c r="V20" i="12" s="1"/>
  <c r="AE6" i="12"/>
  <c r="AE5" i="12"/>
  <c r="AE7" i="12"/>
  <c r="AE35" i="12" s="1"/>
  <c r="AG35" i="12" s="1"/>
  <c r="AK35" i="12" s="1"/>
  <c r="M5" i="12"/>
  <c r="M33" i="12" s="1"/>
  <c r="N33" i="12" s="1"/>
  <c r="R33" i="12" s="1"/>
  <c r="V12" i="16"/>
  <c r="V13" i="16" s="1"/>
  <c r="U12" i="16"/>
  <c r="U13" i="16" s="1"/>
  <c r="S12" i="16"/>
  <c r="S13" i="16" s="1"/>
  <c r="R12" i="16"/>
  <c r="R13" i="16" s="1"/>
  <c r="P12" i="16"/>
  <c r="P13" i="16" s="1"/>
  <c r="O12" i="16"/>
  <c r="O13" i="16" s="1"/>
  <c r="M12" i="16"/>
  <c r="M13" i="16" s="1"/>
  <c r="L12" i="16"/>
  <c r="L13" i="16" s="1"/>
  <c r="J12" i="16"/>
  <c r="J13" i="16" s="1"/>
  <c r="I12" i="16"/>
  <c r="I13" i="16" s="1"/>
  <c r="G12" i="16"/>
  <c r="G13" i="16" s="1"/>
  <c r="F12" i="16"/>
  <c r="F13" i="16" s="1"/>
  <c r="D12" i="16"/>
  <c r="D13" i="16" s="1"/>
  <c r="C12" i="16"/>
  <c r="C13" i="16" s="1"/>
  <c r="AG11" i="16"/>
  <c r="X11" i="16"/>
  <c r="W11" i="16"/>
  <c r="X10" i="16"/>
  <c r="W10" i="16"/>
  <c r="X9" i="16"/>
  <c r="W9" i="16"/>
  <c r="X8" i="16"/>
  <c r="W8" i="16"/>
  <c r="X7" i="16"/>
  <c r="W7" i="16"/>
  <c r="Y7" i="16" s="1"/>
  <c r="AC6" i="16"/>
  <c r="X6" i="16"/>
  <c r="W6" i="16"/>
  <c r="AC5" i="16"/>
  <c r="X5" i="16"/>
  <c r="Y5" i="16" s="1"/>
  <c r="Y9" i="16" l="1"/>
  <c r="Y11" i="16"/>
  <c r="AW19" i="12"/>
  <c r="AY19" i="12" s="1"/>
  <c r="BC19" i="12" s="1"/>
  <c r="AY33" i="12"/>
  <c r="BC33" i="12" s="1"/>
  <c r="AX5" i="12"/>
  <c r="BB5" i="12" s="1"/>
  <c r="Y8" i="16"/>
  <c r="AW21" i="12"/>
  <c r="AX21" i="12" s="1"/>
  <c r="BB21" i="12" s="1"/>
  <c r="AX7" i="12"/>
  <c r="BB7" i="12" s="1"/>
  <c r="AW35" i="12"/>
  <c r="AY35" i="12" s="1"/>
  <c r="BC35" i="12" s="1"/>
  <c r="BI39" i="12"/>
  <c r="Y10" i="16"/>
  <c r="Y6" i="16"/>
  <c r="BI25" i="12"/>
  <c r="V34" i="12"/>
  <c r="X34" i="12" s="1"/>
  <c r="AB34" i="12" s="1"/>
  <c r="AX19" i="12"/>
  <c r="BB19" i="12" s="1"/>
  <c r="W6" i="12"/>
  <c r="AA6" i="12" s="1"/>
  <c r="AO20" i="12"/>
  <c r="AS20" i="12" s="1"/>
  <c r="AP34" i="12"/>
  <c r="AT34" i="12" s="1"/>
  <c r="AX34" i="12"/>
  <c r="BB34" i="12" s="1"/>
  <c r="X6" i="12"/>
  <c r="AB6" i="12" s="1"/>
  <c r="AO36" i="12"/>
  <c r="AS36" i="12" s="1"/>
  <c r="AX36" i="12"/>
  <c r="BB36" i="12" s="1"/>
  <c r="AY36" i="12"/>
  <c r="BC36" i="12" s="1"/>
  <c r="AX37" i="12"/>
  <c r="BB37" i="12" s="1"/>
  <c r="AX6" i="12"/>
  <c r="BB6" i="12" s="1"/>
  <c r="AW23" i="12"/>
  <c r="AY9" i="12"/>
  <c r="BC9" i="12" s="1"/>
  <c r="AX9" i="12"/>
  <c r="AY8" i="12"/>
  <c r="BC8" i="12" s="1"/>
  <c r="AW22" i="12"/>
  <c r="AX8" i="12"/>
  <c r="BB8" i="12" s="1"/>
  <c r="AY21" i="12"/>
  <c r="BC21" i="12" s="1"/>
  <c r="AY6" i="12"/>
  <c r="BC6" i="12" s="1"/>
  <c r="AW20" i="12"/>
  <c r="AO7" i="12"/>
  <c r="AS7" i="12" s="1"/>
  <c r="AO22" i="12"/>
  <c r="AS22" i="12" s="1"/>
  <c r="AO35" i="12"/>
  <c r="AS35" i="12" s="1"/>
  <c r="AN19" i="12"/>
  <c r="AO19" i="12" s="1"/>
  <c r="AS19" i="12" s="1"/>
  <c r="AP5" i="12"/>
  <c r="AT5" i="12" s="1"/>
  <c r="AO5" i="12"/>
  <c r="AS5" i="12" s="1"/>
  <c r="AP7" i="12"/>
  <c r="AT7" i="12" s="1"/>
  <c r="AN21" i="12"/>
  <c r="X20" i="12"/>
  <c r="AB20" i="12" s="1"/>
  <c r="W20" i="12"/>
  <c r="AA20" i="12" s="1"/>
  <c r="AG6" i="12"/>
  <c r="AK6" i="12" s="1"/>
  <c r="AE34" i="12"/>
  <c r="AF34" i="12" s="1"/>
  <c r="AJ34" i="12" s="1"/>
  <c r="AE20" i="12"/>
  <c r="AE33" i="12"/>
  <c r="AF33" i="12" s="1"/>
  <c r="AJ33" i="12" s="1"/>
  <c r="AE19" i="12"/>
  <c r="AF35" i="12"/>
  <c r="AJ35" i="12" s="1"/>
  <c r="AG7" i="12"/>
  <c r="AK7" i="12" s="1"/>
  <c r="AE21" i="12"/>
  <c r="AG21" i="12" s="1"/>
  <c r="AK21" i="12" s="1"/>
  <c r="AF6" i="12"/>
  <c r="AJ6" i="12" s="1"/>
  <c r="AF5" i="12"/>
  <c r="AJ5" i="12" s="1"/>
  <c r="AG5" i="12"/>
  <c r="AK5" i="12" s="1"/>
  <c r="AF7" i="12"/>
  <c r="AJ7" i="12" s="1"/>
  <c r="W33" i="12"/>
  <c r="AA33" i="12" s="1"/>
  <c r="O33" i="12"/>
  <c r="S33" i="12" s="1"/>
  <c r="O5" i="12"/>
  <c r="S5" i="12" s="1"/>
  <c r="M19" i="12"/>
  <c r="N19" i="12" s="1"/>
  <c r="R19" i="12" s="1"/>
  <c r="N5" i="12"/>
  <c r="R5" i="12" s="1"/>
  <c r="X12" i="16"/>
  <c r="AC7" i="16"/>
  <c r="AC8" i="16" s="1"/>
  <c r="AC9" i="23" s="1"/>
  <c r="AC12" i="16"/>
  <c r="AC10" i="16" s="1"/>
  <c r="AC14" i="16" s="1"/>
  <c r="W12" i="16"/>
  <c r="V40" i="13"/>
  <c r="V41" i="13" s="1"/>
  <c r="U40" i="13"/>
  <c r="U41" i="13" s="1"/>
  <c r="S40" i="13"/>
  <c r="S41" i="13" s="1"/>
  <c r="R40" i="13"/>
  <c r="R41" i="13" s="1"/>
  <c r="P40" i="13"/>
  <c r="P41" i="13" s="1"/>
  <c r="O40" i="13"/>
  <c r="O41" i="13" s="1"/>
  <c r="M40" i="13"/>
  <c r="M41" i="13" s="1"/>
  <c r="L40" i="13"/>
  <c r="L41" i="13" s="1"/>
  <c r="J40" i="13"/>
  <c r="J41" i="13" s="1"/>
  <c r="I40" i="13"/>
  <c r="I41" i="13" s="1"/>
  <c r="G40" i="13"/>
  <c r="G41" i="13" s="1"/>
  <c r="F40" i="13"/>
  <c r="F41" i="13" s="1"/>
  <c r="D40" i="13"/>
  <c r="D41" i="13" s="1"/>
  <c r="C40" i="13"/>
  <c r="C41" i="13" s="1"/>
  <c r="AC39" i="13"/>
  <c r="X39" i="13"/>
  <c r="W39" i="13"/>
  <c r="Q39" i="13"/>
  <c r="N39" i="13"/>
  <c r="K39" i="13"/>
  <c r="H39" i="13"/>
  <c r="E39" i="13"/>
  <c r="B39" i="13"/>
  <c r="X38" i="13"/>
  <c r="W38" i="13"/>
  <c r="N38" i="13"/>
  <c r="K38" i="13"/>
  <c r="H38" i="13"/>
  <c r="E38" i="13"/>
  <c r="B38" i="13"/>
  <c r="X37" i="13"/>
  <c r="W37" i="13"/>
  <c r="K37" i="13"/>
  <c r="H37" i="13"/>
  <c r="E37" i="13"/>
  <c r="B37" i="13"/>
  <c r="X36" i="13"/>
  <c r="W36" i="13"/>
  <c r="H36" i="13"/>
  <c r="E36" i="13"/>
  <c r="B36" i="13"/>
  <c r="X35" i="13"/>
  <c r="W35" i="13"/>
  <c r="E35" i="13"/>
  <c r="B35" i="13"/>
  <c r="X34" i="13"/>
  <c r="W34" i="13"/>
  <c r="B34" i="13"/>
  <c r="X33" i="13"/>
  <c r="W33" i="13"/>
  <c r="V26" i="13"/>
  <c r="V27" i="13" s="1"/>
  <c r="U26" i="13"/>
  <c r="U27" i="13" s="1"/>
  <c r="S26" i="13"/>
  <c r="S27" i="13" s="1"/>
  <c r="R26" i="13"/>
  <c r="R27" i="13" s="1"/>
  <c r="P26" i="13"/>
  <c r="P27" i="13" s="1"/>
  <c r="O26" i="13"/>
  <c r="O27" i="13" s="1"/>
  <c r="M26" i="13"/>
  <c r="M27" i="13" s="1"/>
  <c r="L26" i="13"/>
  <c r="L27" i="13" s="1"/>
  <c r="J26" i="13"/>
  <c r="J27" i="13" s="1"/>
  <c r="I26" i="13"/>
  <c r="I27" i="13" s="1"/>
  <c r="G26" i="13"/>
  <c r="G27" i="13" s="1"/>
  <c r="F26" i="13"/>
  <c r="F27" i="13" s="1"/>
  <c r="D26" i="13"/>
  <c r="D27" i="13" s="1"/>
  <c r="C26" i="13"/>
  <c r="C27" i="13" s="1"/>
  <c r="AC25" i="13"/>
  <c r="AG25" i="13" s="1"/>
  <c r="X25" i="13"/>
  <c r="W25" i="13"/>
  <c r="Y25" i="13" s="1"/>
  <c r="Q25" i="13"/>
  <c r="N25" i="13"/>
  <c r="K25" i="13"/>
  <c r="H25" i="13"/>
  <c r="E25" i="13"/>
  <c r="B25" i="13"/>
  <c r="X24" i="13"/>
  <c r="W24" i="13"/>
  <c r="Y24" i="13" s="1"/>
  <c r="N24" i="13"/>
  <c r="K24" i="13"/>
  <c r="H24" i="13"/>
  <c r="E24" i="13"/>
  <c r="B24" i="13"/>
  <c r="X23" i="13"/>
  <c r="W23" i="13"/>
  <c r="K23" i="13"/>
  <c r="H23" i="13"/>
  <c r="E23" i="13"/>
  <c r="B23" i="13"/>
  <c r="X22" i="13"/>
  <c r="W22" i="13"/>
  <c r="H22" i="13"/>
  <c r="E22" i="13"/>
  <c r="B22" i="13"/>
  <c r="X21" i="13"/>
  <c r="W21" i="13"/>
  <c r="E21" i="13"/>
  <c r="B21" i="13"/>
  <c r="X20" i="13"/>
  <c r="W20" i="13"/>
  <c r="B20" i="13"/>
  <c r="X19" i="13"/>
  <c r="W19" i="13"/>
  <c r="V12" i="13"/>
  <c r="V13" i="13" s="1"/>
  <c r="U12" i="13"/>
  <c r="U13" i="13" s="1"/>
  <c r="S12" i="13"/>
  <c r="S13" i="13" s="1"/>
  <c r="R12" i="13"/>
  <c r="R13" i="13" s="1"/>
  <c r="P12" i="13"/>
  <c r="P13" i="13" s="1"/>
  <c r="O12" i="13"/>
  <c r="O13" i="13" s="1"/>
  <c r="M12" i="13"/>
  <c r="M13" i="13" s="1"/>
  <c r="L12" i="13"/>
  <c r="L13" i="13" s="1"/>
  <c r="J12" i="13"/>
  <c r="J13" i="13" s="1"/>
  <c r="I12" i="13"/>
  <c r="I13" i="13" s="1"/>
  <c r="G12" i="13"/>
  <c r="G13" i="13" s="1"/>
  <c r="F12" i="13"/>
  <c r="F13" i="13" s="1"/>
  <c r="D12" i="13"/>
  <c r="D13" i="13" s="1"/>
  <c r="C12" i="13"/>
  <c r="C13" i="13" s="1"/>
  <c r="AC11" i="13"/>
  <c r="X11" i="13"/>
  <c r="W11" i="13"/>
  <c r="X10" i="13"/>
  <c r="W10" i="13"/>
  <c r="X9" i="13"/>
  <c r="W9" i="13"/>
  <c r="X8" i="13"/>
  <c r="W8" i="13"/>
  <c r="X7" i="13"/>
  <c r="W7" i="13"/>
  <c r="AC6" i="13"/>
  <c r="X6" i="13"/>
  <c r="W6" i="13"/>
  <c r="AC5" i="13"/>
  <c r="X5" i="13"/>
  <c r="W5" i="13"/>
  <c r="AU39" i="12"/>
  <c r="B39" i="12"/>
  <c r="AL38" i="12"/>
  <c r="AM38" i="12" s="1"/>
  <c r="AC38" i="12"/>
  <c r="AD38" i="12" s="1"/>
  <c r="T38" i="12"/>
  <c r="U38" i="12" s="1"/>
  <c r="K38" i="12"/>
  <c r="L38" i="12" s="1"/>
  <c r="B38" i="12"/>
  <c r="C38" i="12" s="1"/>
  <c r="AC37" i="12"/>
  <c r="AD37" i="12" s="1"/>
  <c r="T37" i="12"/>
  <c r="U37" i="12" s="1"/>
  <c r="K37" i="12"/>
  <c r="L37" i="12" s="1"/>
  <c r="B37" i="12"/>
  <c r="C37" i="12" s="1"/>
  <c r="T36" i="12"/>
  <c r="U36" i="12" s="1"/>
  <c r="K36" i="12"/>
  <c r="L36" i="12" s="1"/>
  <c r="B36" i="12"/>
  <c r="C36" i="12" s="1"/>
  <c r="K35" i="12"/>
  <c r="L35" i="12" s="1"/>
  <c r="B35" i="12"/>
  <c r="C35" i="12" s="1"/>
  <c r="B34" i="12"/>
  <c r="AU25" i="12"/>
  <c r="AL25" i="12"/>
  <c r="AC25" i="12"/>
  <c r="T25" i="12"/>
  <c r="K25" i="12"/>
  <c r="B25" i="12"/>
  <c r="AL24" i="12"/>
  <c r="AM24" i="12" s="1"/>
  <c r="T24" i="12"/>
  <c r="U24" i="12" s="1"/>
  <c r="K24" i="12"/>
  <c r="L24" i="12" s="1"/>
  <c r="B24" i="12"/>
  <c r="C24" i="12" s="1"/>
  <c r="T23" i="12"/>
  <c r="U23" i="12" s="1"/>
  <c r="K23" i="12"/>
  <c r="L23" i="12" s="1"/>
  <c r="B23" i="12"/>
  <c r="C23" i="12" s="1"/>
  <c r="T22" i="12"/>
  <c r="U22" i="12" s="1"/>
  <c r="K22" i="12"/>
  <c r="L22" i="12" s="1"/>
  <c r="B22" i="12"/>
  <c r="C22" i="12" s="1"/>
  <c r="K21" i="12"/>
  <c r="L21" i="12" s="1"/>
  <c r="B21" i="12"/>
  <c r="C21" i="12" s="1"/>
  <c r="B20" i="12"/>
  <c r="C20" i="12" s="1"/>
  <c r="BF12" i="12"/>
  <c r="BF13" i="12" s="1"/>
  <c r="BE12" i="12"/>
  <c r="BE13" i="12" s="1"/>
  <c r="AC34" i="13" l="1"/>
  <c r="AC33" i="13"/>
  <c r="AC35" i="13" s="1"/>
  <c r="AC36" i="13" s="1"/>
  <c r="AC37" i="13" s="1"/>
  <c r="Y37" i="13"/>
  <c r="AG39" i="13"/>
  <c r="AC20" i="13"/>
  <c r="AG10" i="16"/>
  <c r="Y34" i="13"/>
  <c r="Y35" i="13"/>
  <c r="Y21" i="13"/>
  <c r="AX35" i="12"/>
  <c r="BB35" i="12" s="1"/>
  <c r="BB40" i="12" s="1"/>
  <c r="BB41" i="12" s="1"/>
  <c r="BC40" i="12"/>
  <c r="Y12" i="16"/>
  <c r="AC7" i="13"/>
  <c r="AC8" i="13" s="1"/>
  <c r="AC9" i="13" s="1"/>
  <c r="Y7" i="13"/>
  <c r="Y9" i="13"/>
  <c r="Y11" i="13"/>
  <c r="Y20" i="13"/>
  <c r="Y23" i="13"/>
  <c r="W26" i="13"/>
  <c r="Y33" i="13"/>
  <c r="X40" i="13"/>
  <c r="W34" i="12"/>
  <c r="AA34" i="12" s="1"/>
  <c r="BC12" i="12"/>
  <c r="Y6" i="13"/>
  <c r="Y19" i="13"/>
  <c r="X26" i="13"/>
  <c r="Y36" i="13"/>
  <c r="W40" i="13"/>
  <c r="Y5" i="13"/>
  <c r="Y8" i="13"/>
  <c r="Y10" i="13"/>
  <c r="X12" i="13"/>
  <c r="Y22" i="13"/>
  <c r="AC26" i="13"/>
  <c r="AC24" i="13" s="1"/>
  <c r="Y38" i="13"/>
  <c r="Y39" i="13"/>
  <c r="AC19" i="13"/>
  <c r="AC21" i="13" s="1"/>
  <c r="AC22" i="13" s="1"/>
  <c r="AC23" i="13" s="1"/>
  <c r="W12" i="13"/>
  <c r="AG33" i="12"/>
  <c r="AK33" i="12" s="1"/>
  <c r="AP19" i="12"/>
  <c r="AT19" i="12" s="1"/>
  <c r="BB9" i="12"/>
  <c r="BB12" i="12" s="1"/>
  <c r="BB13" i="12" s="1"/>
  <c r="AY23" i="12"/>
  <c r="BC23" i="12" s="1"/>
  <c r="AX23" i="12"/>
  <c r="BB23" i="12" s="1"/>
  <c r="AX22" i="12"/>
  <c r="BB22" i="12" s="1"/>
  <c r="AY22" i="12"/>
  <c r="BC22" i="12" s="1"/>
  <c r="AX20" i="12"/>
  <c r="BB20" i="12" s="1"/>
  <c r="AY20" i="12"/>
  <c r="BC20" i="12" s="1"/>
  <c r="AN10" i="12"/>
  <c r="AF21" i="12"/>
  <c r="AJ21" i="12" s="1"/>
  <c r="AP33" i="12"/>
  <c r="AT33" i="12" s="1"/>
  <c r="AO33" i="12"/>
  <c r="AS33" i="12" s="1"/>
  <c r="AP21" i="12"/>
  <c r="AT21" i="12" s="1"/>
  <c r="AO21" i="12"/>
  <c r="AS21" i="12" s="1"/>
  <c r="AE9" i="12"/>
  <c r="AE10" i="12"/>
  <c r="AG19" i="12"/>
  <c r="AK19" i="12" s="1"/>
  <c r="AF19" i="12"/>
  <c r="AJ19" i="12" s="1"/>
  <c r="AF20" i="12"/>
  <c r="AJ20" i="12" s="1"/>
  <c r="AG20" i="12"/>
  <c r="AK20" i="12" s="1"/>
  <c r="AG34" i="12"/>
  <c r="AK34" i="12" s="1"/>
  <c r="V8" i="12"/>
  <c r="V22" i="12" s="1"/>
  <c r="V9" i="12"/>
  <c r="V23" i="12" s="1"/>
  <c r="W23" i="12" s="1"/>
  <c r="AA23" i="12" s="1"/>
  <c r="V10" i="12"/>
  <c r="W10" i="12" s="1"/>
  <c r="AA10" i="12" s="1"/>
  <c r="O19" i="12"/>
  <c r="S19" i="12" s="1"/>
  <c r="M7" i="12"/>
  <c r="O7" i="12" s="1"/>
  <c r="S7" i="12" s="1"/>
  <c r="M9" i="12"/>
  <c r="M10" i="12"/>
  <c r="M8" i="12"/>
  <c r="D10" i="12"/>
  <c r="D9" i="12"/>
  <c r="D7" i="12"/>
  <c r="D8" i="12"/>
  <c r="C34" i="12"/>
  <c r="AC12" i="13"/>
  <c r="AC10" i="13" s="1"/>
  <c r="AC13" i="13" s="1"/>
  <c r="AC40" i="13"/>
  <c r="AC38" i="13" s="1"/>
  <c r="AG38" i="13" s="1"/>
  <c r="AC41" i="13" l="1"/>
  <c r="AG24" i="13"/>
  <c r="AC27" i="13"/>
  <c r="AG10" i="13"/>
  <c r="Y40" i="13"/>
  <c r="Y26" i="13"/>
  <c r="Y12" i="13"/>
  <c r="BB26" i="12"/>
  <c r="BB27" i="12" s="1"/>
  <c r="BH33" i="12"/>
  <c r="BC26" i="12"/>
  <c r="BG33" i="12"/>
  <c r="X8" i="12"/>
  <c r="AB8" i="12" s="1"/>
  <c r="AP10" i="12"/>
  <c r="AT10" i="12" s="1"/>
  <c r="AT12" i="12" s="1"/>
  <c r="AN38" i="12"/>
  <c r="AN24" i="12"/>
  <c r="AO10" i="12"/>
  <c r="AS10" i="12" s="1"/>
  <c r="AS12" i="12" s="1"/>
  <c r="AS13" i="12" s="1"/>
  <c r="V24" i="12"/>
  <c r="X24" i="12" s="1"/>
  <c r="AB24" i="12" s="1"/>
  <c r="X10" i="12"/>
  <c r="AB10" i="12" s="1"/>
  <c r="AG10" i="12"/>
  <c r="AK10" i="12" s="1"/>
  <c r="AE38" i="12"/>
  <c r="AG38" i="12" s="1"/>
  <c r="AK38" i="12" s="1"/>
  <c r="AE24" i="12"/>
  <c r="AF10" i="12"/>
  <c r="AJ10" i="12" s="1"/>
  <c r="X23" i="12"/>
  <c r="AB23" i="12" s="1"/>
  <c r="X9" i="12"/>
  <c r="AB9" i="12" s="1"/>
  <c r="AE37" i="12"/>
  <c r="AF37" i="12" s="1"/>
  <c r="AJ37" i="12" s="1"/>
  <c r="AE23" i="12"/>
  <c r="AG9" i="12"/>
  <c r="AK9" i="12" s="1"/>
  <c r="AF9" i="12"/>
  <c r="AJ9" i="12" s="1"/>
  <c r="W8" i="12"/>
  <c r="AA8" i="12" s="1"/>
  <c r="W9" i="12"/>
  <c r="AA9" i="12" s="1"/>
  <c r="AF38" i="12"/>
  <c r="AJ38" i="12" s="1"/>
  <c r="W24" i="12"/>
  <c r="AA24" i="12" s="1"/>
  <c r="N7" i="12"/>
  <c r="R7" i="12" s="1"/>
  <c r="X22" i="12"/>
  <c r="AB22" i="12" s="1"/>
  <c r="W22" i="12"/>
  <c r="AA22" i="12" s="1"/>
  <c r="M35" i="12"/>
  <c r="O35" i="12" s="1"/>
  <c r="S35" i="12" s="1"/>
  <c r="M21" i="12"/>
  <c r="M36" i="12"/>
  <c r="M22" i="12"/>
  <c r="O8" i="12"/>
  <c r="S8" i="12" s="1"/>
  <c r="N8" i="12"/>
  <c r="R8" i="12" s="1"/>
  <c r="V38" i="12"/>
  <c r="O9" i="12"/>
  <c r="S9" i="12" s="1"/>
  <c r="N9" i="12"/>
  <c r="R9" i="12" s="1"/>
  <c r="M23" i="12"/>
  <c r="M37" i="12"/>
  <c r="V37" i="12"/>
  <c r="V36" i="12"/>
  <c r="M24" i="12"/>
  <c r="N10" i="12"/>
  <c r="R10" i="12" s="1"/>
  <c r="O10" i="12"/>
  <c r="S10" i="12" s="1"/>
  <c r="M38" i="12"/>
  <c r="E7" i="12"/>
  <c r="I7" i="12" s="1"/>
  <c r="D35" i="12"/>
  <c r="F7" i="12"/>
  <c r="J7" i="12" s="1"/>
  <c r="BH7" i="12" s="1"/>
  <c r="D21" i="12"/>
  <c r="D6" i="12"/>
  <c r="E6" i="12" s="1"/>
  <c r="I6" i="12" s="1"/>
  <c r="D38" i="12"/>
  <c r="D24" i="12"/>
  <c r="F10" i="12"/>
  <c r="J10" i="12" s="1"/>
  <c r="E10" i="12"/>
  <c r="I10" i="12" s="1"/>
  <c r="D36" i="12"/>
  <c r="D22" i="12"/>
  <c r="F8" i="12"/>
  <c r="J8" i="12" s="1"/>
  <c r="E8" i="12"/>
  <c r="I8" i="12" s="1"/>
  <c r="D23" i="12"/>
  <c r="E9" i="12"/>
  <c r="I9" i="12" s="1"/>
  <c r="D37" i="12"/>
  <c r="F9" i="12"/>
  <c r="J9" i="12" s="1"/>
  <c r="BG7" i="12" l="1"/>
  <c r="BI7" i="12" s="1"/>
  <c r="AK12" i="12"/>
  <c r="BI33" i="12"/>
  <c r="BG8" i="12"/>
  <c r="AG37" i="12"/>
  <c r="AK37" i="12" s="1"/>
  <c r="AK40" i="12" s="1"/>
  <c r="BH8" i="12"/>
  <c r="S12" i="12"/>
  <c r="BH9" i="12"/>
  <c r="AJ40" i="12"/>
  <c r="AJ41" i="12" s="1"/>
  <c r="BG9" i="12"/>
  <c r="AJ12" i="12"/>
  <c r="AJ13" i="12" s="1"/>
  <c r="R12" i="12"/>
  <c r="R13" i="12" s="1"/>
  <c r="BG10" i="12"/>
  <c r="BH10" i="12"/>
  <c r="BG6" i="12"/>
  <c r="AP24" i="12"/>
  <c r="AT24" i="12" s="1"/>
  <c r="AT26" i="12" s="1"/>
  <c r="AO24" i="12"/>
  <c r="AS24" i="12" s="1"/>
  <c r="AS26" i="12" s="1"/>
  <c r="AS27" i="12" s="1"/>
  <c r="AP38" i="12"/>
  <c r="AT38" i="12" s="1"/>
  <c r="AT40" i="12" s="1"/>
  <c r="AO38" i="12"/>
  <c r="AS38" i="12" s="1"/>
  <c r="AS40" i="12" s="1"/>
  <c r="AS41" i="12" s="1"/>
  <c r="AG23" i="12"/>
  <c r="AK23" i="12" s="1"/>
  <c r="AF23" i="12"/>
  <c r="AJ23" i="12" s="1"/>
  <c r="AG24" i="12"/>
  <c r="AK24" i="12" s="1"/>
  <c r="AF24" i="12"/>
  <c r="AJ24" i="12" s="1"/>
  <c r="N35" i="12"/>
  <c r="R35" i="12" s="1"/>
  <c r="O21" i="12"/>
  <c r="S21" i="12" s="1"/>
  <c r="N21" i="12"/>
  <c r="R21" i="12" s="1"/>
  <c r="W36" i="12"/>
  <c r="AA36" i="12" s="1"/>
  <c r="X36" i="12"/>
  <c r="AB36" i="12" s="1"/>
  <c r="O23" i="12"/>
  <c r="S23" i="12" s="1"/>
  <c r="N23" i="12"/>
  <c r="R23" i="12" s="1"/>
  <c r="W38" i="12"/>
  <c r="AA38" i="12" s="1"/>
  <c r="X38" i="12"/>
  <c r="AB38" i="12" s="1"/>
  <c r="O36" i="12"/>
  <c r="S36" i="12" s="1"/>
  <c r="N36" i="12"/>
  <c r="R36" i="12" s="1"/>
  <c r="O24" i="12"/>
  <c r="S24" i="12" s="1"/>
  <c r="N24" i="12"/>
  <c r="R24" i="12" s="1"/>
  <c r="X37" i="12"/>
  <c r="AB37" i="12" s="1"/>
  <c r="W37" i="12"/>
  <c r="AA37" i="12" s="1"/>
  <c r="O38" i="12"/>
  <c r="S38" i="12" s="1"/>
  <c r="N38" i="12"/>
  <c r="R38" i="12" s="1"/>
  <c r="N37" i="12"/>
  <c r="R37" i="12" s="1"/>
  <c r="O37" i="12"/>
  <c r="S37" i="12" s="1"/>
  <c r="O22" i="12"/>
  <c r="S22" i="12" s="1"/>
  <c r="N22" i="12"/>
  <c r="R22" i="12" s="1"/>
  <c r="F22" i="12"/>
  <c r="J22" i="12" s="1"/>
  <c r="E22" i="12"/>
  <c r="I22" i="12" s="1"/>
  <c r="F24" i="12"/>
  <c r="J24" i="12" s="1"/>
  <c r="E24" i="12"/>
  <c r="I24" i="12" s="1"/>
  <c r="D34" i="12"/>
  <c r="D20" i="12"/>
  <c r="F23" i="12"/>
  <c r="J23" i="12" s="1"/>
  <c r="E23" i="12"/>
  <c r="I23" i="12" s="1"/>
  <c r="E36" i="12"/>
  <c r="I36" i="12" s="1"/>
  <c r="F36" i="12"/>
  <c r="J36" i="12" s="1"/>
  <c r="E38" i="12"/>
  <c r="I38" i="12" s="1"/>
  <c r="F38" i="12"/>
  <c r="J38" i="12" s="1"/>
  <c r="E21" i="12"/>
  <c r="I21" i="12" s="1"/>
  <c r="F21" i="12"/>
  <c r="J21" i="12" s="1"/>
  <c r="E37" i="12"/>
  <c r="I37" i="12" s="1"/>
  <c r="F37" i="12"/>
  <c r="J37" i="12" s="1"/>
  <c r="F35" i="12"/>
  <c r="J35" i="12" s="1"/>
  <c r="BH35" i="12" s="1"/>
  <c r="E35" i="12"/>
  <c r="I35" i="12" s="1"/>
  <c r="F6" i="12"/>
  <c r="J6" i="12" s="1"/>
  <c r="BH6" i="12" s="1"/>
  <c r="BH21" i="12" l="1"/>
  <c r="BI9" i="12"/>
  <c r="BI8" i="12"/>
  <c r="BI10" i="12"/>
  <c r="BI6" i="12"/>
  <c r="BG35" i="12"/>
  <c r="BI35" i="12" s="1"/>
  <c r="BH36" i="12"/>
  <c r="BG22" i="12"/>
  <c r="BG37" i="12"/>
  <c r="S40" i="12"/>
  <c r="BH37" i="12"/>
  <c r="AA40" i="12"/>
  <c r="AA41" i="12" s="1"/>
  <c r="R26" i="12"/>
  <c r="R27" i="12" s="1"/>
  <c r="BG21" i="12"/>
  <c r="BG36" i="12"/>
  <c r="BI36" i="12" s="1"/>
  <c r="BH22" i="12"/>
  <c r="S26" i="12"/>
  <c r="BG23" i="12"/>
  <c r="AJ26" i="12"/>
  <c r="AJ27" i="12" s="1"/>
  <c r="AB40" i="12"/>
  <c r="R40" i="12"/>
  <c r="R41" i="12" s="1"/>
  <c r="BH23" i="12"/>
  <c r="AK26" i="12"/>
  <c r="BH38" i="12"/>
  <c r="BG24" i="12"/>
  <c r="BG38" i="12"/>
  <c r="BH24" i="12"/>
  <c r="E20" i="12"/>
  <c r="I20" i="12" s="1"/>
  <c r="F20" i="12"/>
  <c r="J20" i="12" s="1"/>
  <c r="BH20" i="12" s="1"/>
  <c r="F34" i="12"/>
  <c r="J34" i="12" s="1"/>
  <c r="BH34" i="12" s="1"/>
  <c r="E34" i="12"/>
  <c r="I34" i="12" s="1"/>
  <c r="BM33" i="12" s="1"/>
  <c r="BI37" i="12" l="1"/>
  <c r="BI21" i="12"/>
  <c r="J26" i="12"/>
  <c r="BI22" i="12"/>
  <c r="BI38" i="12"/>
  <c r="BI24" i="12"/>
  <c r="BI23" i="12"/>
  <c r="BG34" i="12"/>
  <c r="BI34" i="12" s="1"/>
  <c r="BG20" i="12"/>
  <c r="BI20" i="12" s="1"/>
  <c r="BM34" i="12"/>
  <c r="J40" i="12"/>
  <c r="BH40" i="12" s="1"/>
  <c r="I40" i="12"/>
  <c r="I41" i="12" s="1"/>
  <c r="I26" i="12"/>
  <c r="I27" i="12" s="1"/>
  <c r="BG40" i="12" l="1"/>
  <c r="BI40" i="12" s="1"/>
  <c r="BM40" i="12"/>
  <c r="BM38" i="12" s="1"/>
  <c r="BM41" i="12" s="1"/>
  <c r="J11" i="12" l="1"/>
  <c r="BH11" i="12" l="1"/>
  <c r="BM11" i="12"/>
  <c r="BG11" i="12"/>
  <c r="J12" i="12"/>
  <c r="I12" i="12"/>
  <c r="I13" i="12" s="1"/>
  <c r="BI11" i="12" l="1"/>
  <c r="X5" i="12"/>
  <c r="AB5" i="12" s="1"/>
  <c r="W5" i="12"/>
  <c r="AA5" i="12" s="1"/>
  <c r="V19" i="12"/>
  <c r="X19" i="12" s="1"/>
  <c r="AB19" i="12" s="1"/>
  <c r="BM5" i="12" l="1"/>
  <c r="BG5" i="12"/>
  <c r="W19" i="12"/>
  <c r="AA19" i="12" s="1"/>
  <c r="BM19" i="12" s="1"/>
  <c r="AB12" i="12"/>
  <c r="BH5" i="12"/>
  <c r="BM6" i="12"/>
  <c r="AB26" i="12"/>
  <c r="BH19" i="12"/>
  <c r="BM20" i="12"/>
  <c r="AA12" i="12"/>
  <c r="AA13" i="12" s="1"/>
  <c r="BM35" i="12"/>
  <c r="BM36" i="12" s="1"/>
  <c r="BM37" i="12" l="1"/>
  <c r="BM37" i="36"/>
  <c r="BG19" i="12"/>
  <c r="BI19" i="12" s="1"/>
  <c r="AA26" i="12"/>
  <c r="AA27" i="12" s="1"/>
  <c r="BM21" i="12"/>
  <c r="BM22" i="12" s="1"/>
  <c r="BH26" i="12"/>
  <c r="BI5" i="12"/>
  <c r="BH12" i="12"/>
  <c r="BM7" i="12"/>
  <c r="BM8" i="12" s="1"/>
  <c r="BM12" i="12"/>
  <c r="BM10" i="12" s="1"/>
  <c r="BM13" i="12" s="1"/>
  <c r="BG12" i="12"/>
  <c r="BM23" i="12" l="1"/>
  <c r="BM23" i="36"/>
  <c r="BM26" i="12"/>
  <c r="BM24" i="12" s="1"/>
  <c r="BM27" i="12" s="1"/>
  <c r="BM9" i="12"/>
  <c r="BM9" i="36"/>
  <c r="BG26" i="12"/>
  <c r="BI26" i="12" s="1"/>
  <c r="BI12" i="12"/>
</calcChain>
</file>

<file path=xl/sharedStrings.xml><?xml version="1.0" encoding="utf-8"?>
<sst xmlns="http://schemas.openxmlformats.org/spreadsheetml/2006/main" count="1476" uniqueCount="122">
  <si>
    <t>Curfew</t>
  </si>
  <si>
    <t xml:space="preserve">Minimum pax transfer time </t>
  </si>
  <si>
    <t>OPERATIONS</t>
  </si>
  <si>
    <t>/ 15 mn</t>
  </si>
  <si>
    <t>A1. Landing fees</t>
  </si>
  <si>
    <t xml:space="preserve">/ ton </t>
  </si>
  <si>
    <t>A1 to A5</t>
  </si>
  <si>
    <t>A1 to A4</t>
  </si>
  <si>
    <t>A1</t>
  </si>
  <si>
    <t>Yes</t>
  </si>
  <si>
    <t>AIRCRAFT FEES</t>
  </si>
  <si>
    <t>MAN</t>
  </si>
  <si>
    <t>DKR</t>
  </si>
  <si>
    <t>JNB</t>
  </si>
  <si>
    <t>OSL</t>
  </si>
  <si>
    <t>DME</t>
  </si>
  <si>
    <t>BKK</t>
  </si>
  <si>
    <t xml:space="preserve">FLIGHT TIME  to </t>
  </si>
  <si>
    <t>IST</t>
  </si>
  <si>
    <t>FCO</t>
  </si>
  <si>
    <t>Y</t>
  </si>
  <si>
    <t>J</t>
  </si>
  <si>
    <t>N/A</t>
  </si>
  <si>
    <t>Medium</t>
  </si>
  <si>
    <t>High</t>
  </si>
  <si>
    <t>PAX HANDLING PERFORMANCE</t>
  </si>
  <si>
    <t>Low</t>
  </si>
  <si>
    <t>MARKETING INCENTIVE SCHEME</t>
  </si>
  <si>
    <t>Airport fee incentive - Year 1</t>
  </si>
  <si>
    <t>Airport fee incentive - Year 2</t>
  </si>
  <si>
    <t>Airport fee incentive - Year 3</t>
  </si>
  <si>
    <t xml:space="preserve">Captive pax incentive </t>
  </si>
  <si>
    <t>Applicability</t>
  </si>
  <si>
    <t>B1. Departing / arriving PAX charge*</t>
  </si>
  <si>
    <t>(*) Applies to non connecting passengers</t>
  </si>
  <si>
    <t>JED</t>
  </si>
  <si>
    <t xml:space="preserve">Flight time </t>
  </si>
  <si>
    <t>Traffic 
J</t>
  </si>
  <si>
    <t>Traffic 
Y</t>
  </si>
  <si>
    <t xml:space="preserve">From </t>
  </si>
  <si>
    <t>TOTAL</t>
  </si>
  <si>
    <t>Hot</t>
  </si>
  <si>
    <t>A6. Handling fees (arrival by day)</t>
  </si>
  <si>
    <t>Incentive Level</t>
  </si>
  <si>
    <t xml:space="preserve">Transfer pax incentive </t>
  </si>
  <si>
    <t>transfer pax / day</t>
  </si>
  <si>
    <t xml:space="preserve">per pax Beyond : </t>
  </si>
  <si>
    <t xml:space="preserve">per pax spending more than </t>
  </si>
  <si>
    <t>at Airport</t>
  </si>
  <si>
    <t>Temperature</t>
  </si>
  <si>
    <t>Pax fees</t>
  </si>
  <si>
    <t>Tempered</t>
  </si>
  <si>
    <t xml:space="preserve">Incremental cost </t>
  </si>
  <si>
    <t>Night surcharge</t>
  </si>
  <si>
    <t>Congestion level</t>
  </si>
  <si>
    <t>No</t>
  </si>
  <si>
    <t>B2. Connecting PAX charge</t>
  </si>
  <si>
    <t>Revenue Index (J)</t>
  </si>
  <si>
    <t>Total revenue index</t>
  </si>
  <si>
    <t>Connecting pax</t>
  </si>
  <si>
    <t>Direct pax</t>
  </si>
  <si>
    <t>Total pax</t>
  </si>
  <si>
    <t>JED Hub</t>
  </si>
  <si>
    <t xml:space="preserve">To </t>
  </si>
  <si>
    <t xml:space="preserve">HUB </t>
  </si>
  <si>
    <t xml:space="preserve">HUC </t>
  </si>
  <si>
    <t>To &gt;&gt;</t>
  </si>
  <si>
    <t>JED  - Incentive scheme</t>
  </si>
  <si>
    <t>Revenue Index (Y)</t>
  </si>
  <si>
    <t>Check</t>
  </si>
  <si>
    <t>Results - JED</t>
  </si>
  <si>
    <t>Penalties
J</t>
  </si>
  <si>
    <t>Penalties
Y</t>
  </si>
  <si>
    <t>Optimal TTT</t>
  </si>
  <si>
    <t>Total revenue (€)</t>
  </si>
  <si>
    <t>IST Hub</t>
  </si>
  <si>
    <t>FCO Hub</t>
  </si>
  <si>
    <t>Demand 
J</t>
  </si>
  <si>
    <t>Demand 
Y</t>
  </si>
  <si>
    <t>Actual TTT</t>
  </si>
  <si>
    <t>Dem. J</t>
  </si>
  <si>
    <t>Dem. Y</t>
  </si>
  <si>
    <t>Pen. Y</t>
  </si>
  <si>
    <t>Pen. J</t>
  </si>
  <si>
    <t>A360 :  MTOW = 360t  Seating = 270Y + 70 J</t>
  </si>
  <si>
    <t>Year :</t>
  </si>
  <si>
    <t>Hub :</t>
  </si>
  <si>
    <t>Team :</t>
  </si>
  <si>
    <t>Baseline Cost</t>
  </si>
  <si>
    <t>PAX FEES 
No connecting traffic
80% Load i.e 272 pax</t>
  </si>
  <si>
    <t xml:space="preserve">AIRCRAFT FEES </t>
  </si>
  <si>
    <t>B1. Departing / Arriving PAX charge*</t>
  </si>
  <si>
    <t>Per additional hour at hub</t>
  </si>
  <si>
    <t xml:space="preserve">AIRCRAFT + PAX FEES 
</t>
  </si>
  <si>
    <t>3 h turn around</t>
  </si>
  <si>
    <t>Arrival by Day</t>
  </si>
  <si>
    <t>272 Pax</t>
  </si>
  <si>
    <t>100% connecting traffic</t>
  </si>
  <si>
    <t>Per  incremental 
direct pax</t>
  </si>
  <si>
    <t>Per  incremental  
connecting pax</t>
  </si>
  <si>
    <t>FCO - Airport Charges</t>
  </si>
  <si>
    <t>IST - Airport Charges</t>
  </si>
  <si>
    <t>JED - Airport Charges</t>
  </si>
  <si>
    <t>A2. Parking fees (first 2 hours free)</t>
  </si>
  <si>
    <t>A3. AirBridge use (constantly connected)</t>
  </si>
  <si>
    <t>A4. Lighting fees*</t>
  </si>
  <si>
    <t>A5. Noise fee *</t>
  </si>
  <si>
    <t>(*) Applies to NIGHT arrival i.e 22.00 - 06.00</t>
  </si>
  <si>
    <t>A6. Handling fees (arrival by night*)</t>
  </si>
  <si>
    <t>(*) Applies to NIGHT arrival i.e 00.00 - 06.00</t>
  </si>
  <si>
    <t>A2. Parking fees (first hour free)</t>
  </si>
  <si>
    <t>(*) Applies to NIGHT arrival i.e 20.00 - 22.00</t>
  </si>
  <si>
    <t>Results IST</t>
  </si>
  <si>
    <t>Results - IST</t>
  </si>
  <si>
    <t>Results - FCO</t>
  </si>
  <si>
    <t>/ pax</t>
  </si>
  <si>
    <t>/arrival</t>
  </si>
  <si>
    <t>PAX FEES 
100% connecting traffic
80% Load i.e 272 pax</t>
  </si>
  <si>
    <t>Pax fees - Connecting</t>
  </si>
  <si>
    <t>Pax fees - Direct</t>
  </si>
  <si>
    <t>Load Factor</t>
  </si>
  <si>
    <t>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</si>
</sst>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2" formatCode="_-* #,##0\ &quot;€&quot;_-;\-* #,##0\ &quot;€&quot;_-;_-* &quot;-&quot;\ &quot;€&quot;_-;_-@_-"/>
    <numFmt numFmtId="164" formatCode="0.0"/>
    <numFmt numFmtId="165" formatCode="#,##0\ &quot;€&quot;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>
      <alignment horizontal="center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4" fillId="0" borderId="11" xfId="0" applyFont="1" applyBorder="1"/>
    <xf numFmtId="0" fontId="1" fillId="5" borderId="7" xfId="0" applyFont="1" applyFill="1" applyBorder="1" applyAlignment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6" fillId="6" borderId="17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10" fillId="0" borderId="0" xfId="0" applyFont="1" applyBorder="1"/>
    <xf numFmtId="0" fontId="0" fillId="0" borderId="1" xfId="0" applyFill="1" applyBorder="1"/>
    <xf numFmtId="0" fontId="0" fillId="0" borderId="2" xfId="0" applyFill="1" applyBorder="1"/>
    <xf numFmtId="0" fontId="4" fillId="0" borderId="2" xfId="0" applyFont="1" applyBorder="1"/>
    <xf numFmtId="6" fontId="0" fillId="0" borderId="2" xfId="0" applyNumberFormat="1" applyBorder="1" applyAlignment="1">
      <alignment horizontal="right"/>
    </xf>
    <xf numFmtId="0" fontId="1" fillId="5" borderId="0" xfId="0" applyFont="1" applyFill="1" applyBorder="1" applyAlignme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20" fontId="0" fillId="0" borderId="0" xfId="0" applyNumberFormat="1" applyBorder="1"/>
    <xf numFmtId="6" fontId="0" fillId="0" borderId="7" xfId="0" applyNumberFormat="1" applyBorder="1"/>
    <xf numFmtId="0" fontId="3" fillId="0" borderId="7" xfId="0" applyFont="1" applyBorder="1" applyAlignment="1">
      <alignment horizontal="left"/>
    </xf>
    <xf numFmtId="20" fontId="0" fillId="0" borderId="7" xfId="0" applyNumberFormat="1" applyBorder="1"/>
    <xf numFmtId="0" fontId="3" fillId="0" borderId="8" xfId="0" applyFont="1" applyBorder="1" applyAlignment="1">
      <alignment horizontal="left"/>
    </xf>
    <xf numFmtId="0" fontId="1" fillId="5" borderId="20" xfId="0" applyFont="1" applyFill="1" applyBorder="1" applyAlignment="1"/>
    <xf numFmtId="0" fontId="0" fillId="0" borderId="21" xfId="0" applyBorder="1"/>
    <xf numFmtId="0" fontId="0" fillId="0" borderId="20" xfId="0" applyBorder="1"/>
    <xf numFmtId="0" fontId="11" fillId="3" borderId="0" xfId="0" applyFont="1" applyFill="1" applyBorder="1" applyAlignment="1">
      <alignment horizontal="center"/>
    </xf>
    <xf numFmtId="20" fontId="3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0" fontId="12" fillId="0" borderId="0" xfId="0" applyFont="1"/>
    <xf numFmtId="0" fontId="0" fillId="0" borderId="0" xfId="0" applyBorder="1" applyAlignment="1">
      <alignment horizontal="center"/>
    </xf>
    <xf numFmtId="0" fontId="12" fillId="0" borderId="0" xfId="0" applyFont="1" applyAlignment="1"/>
    <xf numFmtId="0" fontId="13" fillId="0" borderId="0" xfId="0" applyFont="1"/>
    <xf numFmtId="0" fontId="17" fillId="0" borderId="0" xfId="0" applyFont="1"/>
    <xf numFmtId="0" fontId="7" fillId="10" borderId="10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15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5" borderId="0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13" fillId="0" borderId="0" xfId="0" applyFont="1" applyBorder="1"/>
    <xf numFmtId="0" fontId="4" fillId="0" borderId="2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3" fillId="0" borderId="2" xfId="0" applyFont="1" applyBorder="1"/>
    <xf numFmtId="0" fontId="1" fillId="12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6" fillId="0" borderId="0" xfId="0" applyFont="1"/>
    <xf numFmtId="0" fontId="16" fillId="0" borderId="3" xfId="0" applyFont="1" applyBorder="1"/>
    <xf numFmtId="0" fontId="16" fillId="0" borderId="5" xfId="0" applyFont="1" applyBorder="1"/>
    <xf numFmtId="0" fontId="0" fillId="0" borderId="9" xfId="0" applyFill="1" applyBorder="1" applyAlignment="1" applyProtection="1">
      <alignment horizontal="center"/>
      <protection locked="0"/>
    </xf>
    <xf numFmtId="6" fontId="3" fillId="0" borderId="15" xfId="0" applyNumberFormat="1" applyFont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28" fillId="9" borderId="7" xfId="0" applyFont="1" applyFill="1" applyBorder="1" applyAlignment="1" applyProtection="1">
      <alignment vertical="center"/>
    </xf>
    <xf numFmtId="0" fontId="28" fillId="9" borderId="4" xfId="0" applyFont="1" applyFill="1" applyBorder="1" applyAlignment="1" applyProtection="1">
      <alignment vertical="center"/>
    </xf>
    <xf numFmtId="0" fontId="28" fillId="9" borderId="0" xfId="0" applyFont="1" applyFill="1" applyAlignment="1" applyProtection="1">
      <alignment vertical="center"/>
    </xf>
    <xf numFmtId="0" fontId="28" fillId="9" borderId="6" xfId="0" applyFont="1" applyFill="1" applyBorder="1" applyAlignment="1" applyProtection="1">
      <alignment vertical="center"/>
    </xf>
    <xf numFmtId="0" fontId="23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 wrapText="1"/>
    </xf>
    <xf numFmtId="0" fontId="7" fillId="10" borderId="10" xfId="0" applyFont="1" applyFill="1" applyBorder="1" applyAlignment="1" applyProtection="1">
      <alignment horizontal="center" vertical="center"/>
    </xf>
    <xf numFmtId="20" fontId="20" fillId="6" borderId="17" xfId="0" applyNumberFormat="1" applyFont="1" applyFill="1" applyBorder="1" applyAlignment="1" applyProtection="1">
      <alignment horizontal="center" vertical="center"/>
    </xf>
    <xf numFmtId="0" fontId="6" fillId="6" borderId="17" xfId="0" applyFont="1" applyFill="1" applyBorder="1" applyAlignment="1" applyProtection="1">
      <alignment horizontal="center" vertical="center"/>
    </xf>
    <xf numFmtId="0" fontId="7" fillId="16" borderId="13" xfId="0" applyFont="1" applyFill="1" applyBorder="1" applyAlignment="1" applyProtection="1">
      <alignment horizontal="center" vertical="center"/>
    </xf>
    <xf numFmtId="20" fontId="15" fillId="0" borderId="9" xfId="0" applyNumberFormat="1" applyFont="1" applyBorder="1" applyAlignment="1" applyProtection="1">
      <alignment horizontal="center" vertical="center"/>
    </xf>
    <xf numFmtId="0" fontId="7" fillId="4" borderId="13" xfId="0" applyFont="1" applyFill="1" applyBorder="1" applyAlignment="1" applyProtection="1">
      <alignment horizontal="center" vertical="center"/>
    </xf>
    <xf numFmtId="0" fontId="16" fillId="14" borderId="13" xfId="0" applyFont="1" applyFill="1" applyBorder="1" applyAlignment="1" applyProtection="1">
      <alignment horizontal="center" vertical="center"/>
    </xf>
    <xf numFmtId="0" fontId="16" fillId="2" borderId="13" xfId="0" applyFont="1" applyFill="1" applyBorder="1" applyAlignment="1" applyProtection="1">
      <alignment horizontal="center" vertical="center"/>
    </xf>
    <xf numFmtId="0" fontId="16" fillId="15" borderId="13" xfId="0" applyFont="1" applyFill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/>
    </xf>
    <xf numFmtId="0" fontId="15" fillId="7" borderId="9" xfId="0" applyFont="1" applyFill="1" applyBorder="1" applyAlignment="1" applyProtection="1">
      <alignment horizontal="center"/>
    </xf>
    <xf numFmtId="0" fontId="22" fillId="9" borderId="0" xfId="0" applyFont="1" applyFill="1" applyAlignment="1" applyProtection="1">
      <alignment horizontal="center" vertical="center"/>
    </xf>
    <xf numFmtId="0" fontId="25" fillId="9" borderId="0" xfId="0" applyFont="1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/>
    </xf>
    <xf numFmtId="0" fontId="0" fillId="0" borderId="0" xfId="0" applyProtection="1"/>
    <xf numFmtId="0" fontId="18" fillId="0" borderId="0" xfId="0" applyFont="1" applyProtection="1"/>
    <xf numFmtId="1" fontId="18" fillId="0" borderId="0" xfId="0" applyNumberFormat="1" applyFont="1" applyProtection="1"/>
    <xf numFmtId="1" fontId="19" fillId="0" borderId="0" xfId="0" applyNumberFormat="1" applyFont="1" applyProtection="1"/>
    <xf numFmtId="165" fontId="19" fillId="0" borderId="0" xfId="0" applyNumberFormat="1" applyFont="1" applyProtection="1"/>
    <xf numFmtId="0" fontId="0" fillId="9" borderId="0" xfId="0" applyFill="1" applyAlignment="1" applyProtection="1">
      <alignment horizontal="center"/>
    </xf>
    <xf numFmtId="1" fontId="0" fillId="0" borderId="0" xfId="0" applyNumberFormat="1" applyProtection="1"/>
    <xf numFmtId="0" fontId="0" fillId="9" borderId="0" xfId="0" applyFill="1" applyProtection="1"/>
    <xf numFmtId="0" fontId="7" fillId="12" borderId="13" xfId="0" applyFont="1" applyFill="1" applyBorder="1" applyAlignment="1" applyProtection="1">
      <alignment horizontal="center" vertical="center"/>
    </xf>
    <xf numFmtId="0" fontId="7" fillId="13" borderId="13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22" fillId="9" borderId="0" xfId="0" applyFont="1" applyFill="1" applyAlignment="1" applyProtection="1">
      <alignment horizontal="center" vertical="center"/>
      <protection locked="0"/>
    </xf>
    <xf numFmtId="0" fontId="25" fillId="9" borderId="0" xfId="0" applyFont="1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/>
      <protection locked="0"/>
    </xf>
    <xf numFmtId="20" fontId="20" fillId="6" borderId="17" xfId="0" applyNumberFormat="1" applyFont="1" applyFill="1" applyBorder="1" applyAlignment="1" applyProtection="1">
      <alignment horizontal="center" vertical="center"/>
      <protection locked="0"/>
    </xf>
    <xf numFmtId="20" fontId="15" fillId="0" borderId="9" xfId="0" applyNumberFormat="1" applyFont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/>
      <protection locked="0"/>
    </xf>
    <xf numFmtId="20" fontId="15" fillId="0" borderId="0" xfId="0" applyNumberFormat="1" applyFont="1" applyAlignment="1" applyProtection="1">
      <alignment horizont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15" fillId="0" borderId="9" xfId="0" applyNumberFormat="1" applyFont="1" applyBorder="1" applyAlignment="1" applyProtection="1">
      <alignment horizontal="center" vertical="center"/>
      <protection locked="0"/>
    </xf>
    <xf numFmtId="1" fontId="15" fillId="8" borderId="9" xfId="0" applyNumberFormat="1" applyFont="1" applyFill="1" applyBorder="1" applyAlignment="1" applyProtection="1">
      <alignment horizontal="center" vertical="center"/>
      <protection locked="0"/>
    </xf>
    <xf numFmtId="1" fontId="15" fillId="0" borderId="9" xfId="0" applyNumberFormat="1" applyFont="1" applyFill="1" applyBorder="1" applyAlignment="1" applyProtection="1">
      <alignment horizontal="center" vertical="center"/>
      <protection locked="0"/>
    </xf>
    <xf numFmtId="20" fontId="27" fillId="0" borderId="9" xfId="0" applyNumberFormat="1" applyFont="1" applyBorder="1" applyAlignment="1" applyProtection="1">
      <alignment horizontal="center" vertical="center"/>
      <protection locked="0"/>
    </xf>
    <xf numFmtId="20" fontId="15" fillId="0" borderId="9" xfId="0" applyNumberFormat="1" applyFont="1" applyBorder="1" applyAlignment="1" applyProtection="1">
      <alignment horizontal="center"/>
      <protection locked="0"/>
    </xf>
    <xf numFmtId="20" fontId="15" fillId="0" borderId="15" xfId="0" applyNumberFormat="1" applyFont="1" applyBorder="1" applyAlignment="1" applyProtection="1">
      <alignment horizontal="center" vertical="center"/>
      <protection locked="0"/>
    </xf>
    <xf numFmtId="2" fontId="15" fillId="0" borderId="12" xfId="0" applyNumberFormat="1" applyFont="1" applyBorder="1" applyAlignment="1" applyProtection="1">
      <alignment horizontal="center" vertical="center"/>
      <protection locked="0"/>
    </xf>
    <xf numFmtId="20" fontId="20" fillId="6" borderId="9" xfId="0" applyNumberFormat="1" applyFont="1" applyFill="1" applyBorder="1" applyAlignment="1" applyProtection="1">
      <alignment horizontal="center" vertical="center"/>
      <protection locked="0"/>
    </xf>
    <xf numFmtId="20" fontId="20" fillId="6" borderId="26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" fontId="15" fillId="8" borderId="9" xfId="0" applyNumberFormat="1" applyFont="1" applyFill="1" applyBorder="1" applyAlignment="1" applyProtection="1">
      <alignment horizontal="center" vertical="center"/>
    </xf>
    <xf numFmtId="1" fontId="15" fillId="0" borderId="9" xfId="0" applyNumberFormat="1" applyFont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" fontId="0" fillId="9" borderId="0" xfId="0" applyNumberFormat="1" applyFill="1" applyBorder="1" applyAlignment="1" applyProtection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29" fillId="0" borderId="0" xfId="0" applyFont="1" applyProtection="1">
      <protection locked="0"/>
    </xf>
    <xf numFmtId="0" fontId="31" fillId="0" borderId="28" xfId="0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25" fillId="9" borderId="0" xfId="0" applyFont="1" applyFill="1" applyBorder="1" applyAlignment="1" applyProtection="1">
      <alignment horizontal="center" vertical="center"/>
    </xf>
    <xf numFmtId="20" fontId="27" fillId="0" borderId="9" xfId="0" applyNumberFormat="1" applyFont="1" applyBorder="1" applyAlignment="1" applyProtection="1">
      <alignment horizontal="center" vertical="center"/>
    </xf>
    <xf numFmtId="20" fontId="15" fillId="0" borderId="0" xfId="0" applyNumberFormat="1" applyFont="1" applyAlignment="1" applyProtection="1">
      <alignment horizontal="center"/>
    </xf>
    <xf numFmtId="9" fontId="18" fillId="0" borderId="0" xfId="1" applyFont="1" applyProtection="1"/>
    <xf numFmtId="0" fontId="19" fillId="0" borderId="0" xfId="0" applyFont="1" applyProtection="1"/>
    <xf numFmtId="9" fontId="17" fillId="0" borderId="0" xfId="1" applyFont="1" applyProtection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30" fillId="0" borderId="0" xfId="0" applyNumberFormat="1" applyFont="1" applyAlignment="1" applyProtection="1">
      <alignment horizontal="right"/>
      <protection locked="0"/>
    </xf>
    <xf numFmtId="0" fontId="24" fillId="5" borderId="0" xfId="0" applyFont="1" applyFill="1" applyAlignment="1" applyProtection="1">
      <alignment horizontal="center" vertical="center"/>
    </xf>
    <xf numFmtId="0" fontId="17" fillId="15" borderId="13" xfId="0" applyFont="1" applyFill="1" applyBorder="1" applyAlignment="1" applyProtection="1">
      <alignment horizontal="center" vertical="center"/>
    </xf>
    <xf numFmtId="0" fontId="17" fillId="15" borderId="16" xfId="0" applyFont="1" applyFill="1" applyBorder="1" applyAlignment="1" applyProtection="1">
      <alignment horizontal="center" vertical="center"/>
    </xf>
    <xf numFmtId="0" fontId="17" fillId="15" borderId="14" xfId="0" applyFont="1" applyFill="1" applyBorder="1" applyAlignment="1" applyProtection="1">
      <alignment horizontal="center" vertical="center"/>
    </xf>
    <xf numFmtId="0" fontId="21" fillId="5" borderId="13" xfId="0" applyFont="1" applyFill="1" applyBorder="1" applyAlignment="1" applyProtection="1">
      <alignment horizontal="center" vertical="center"/>
    </xf>
    <xf numFmtId="0" fontId="21" fillId="5" borderId="16" xfId="0" applyFont="1" applyFill="1" applyBorder="1" applyAlignment="1" applyProtection="1">
      <alignment horizontal="center" vertical="center"/>
    </xf>
    <xf numFmtId="0" fontId="28" fillId="9" borderId="1" xfId="0" applyFont="1" applyFill="1" applyBorder="1" applyAlignment="1" applyProtection="1">
      <alignment horizontal="center" vertical="center"/>
    </xf>
    <xf numFmtId="0" fontId="28" fillId="9" borderId="3" xfId="0" applyFont="1" applyFill="1" applyBorder="1" applyAlignment="1" applyProtection="1">
      <alignment horizontal="center" vertical="center"/>
    </xf>
    <xf numFmtId="0" fontId="28" fillId="9" borderId="6" xfId="0" applyFont="1" applyFill="1" applyBorder="1" applyAlignment="1" applyProtection="1">
      <alignment horizontal="center" vertical="center"/>
    </xf>
    <xf numFmtId="0" fontId="28" fillId="9" borderId="8" xfId="0" applyFont="1" applyFill="1" applyBorder="1" applyAlignment="1" applyProtection="1">
      <alignment horizontal="center" vertical="center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28" fillId="9" borderId="3" xfId="0" applyFont="1" applyFill="1" applyBorder="1" applyAlignment="1" applyProtection="1">
      <alignment horizontal="center" vertical="center"/>
      <protection locked="0"/>
    </xf>
    <xf numFmtId="0" fontId="28" fillId="9" borderId="6" xfId="0" applyFont="1" applyFill="1" applyBorder="1" applyAlignment="1" applyProtection="1">
      <alignment horizontal="center" vertical="center"/>
      <protection locked="0"/>
    </xf>
    <xf numFmtId="0" fontId="28" fillId="9" borderId="8" xfId="0" applyFont="1" applyFill="1" applyBorder="1" applyAlignment="1" applyProtection="1">
      <alignment horizontal="center" vertical="center"/>
      <protection locked="0"/>
    </xf>
    <xf numFmtId="0" fontId="25" fillId="9" borderId="0" xfId="0" applyFont="1" applyFill="1" applyBorder="1" applyAlignment="1" applyProtection="1">
      <alignment horizontal="center" vertical="center"/>
    </xf>
    <xf numFmtId="0" fontId="21" fillId="10" borderId="6" xfId="0" applyFont="1" applyFill="1" applyBorder="1" applyAlignment="1" applyProtection="1">
      <alignment horizontal="center" vertical="center"/>
    </xf>
    <xf numFmtId="0" fontId="21" fillId="10" borderId="16" xfId="0" applyFont="1" applyFill="1" applyBorder="1" applyAlignment="1" applyProtection="1">
      <alignment horizontal="center" vertical="center"/>
    </xf>
    <xf numFmtId="0" fontId="21" fillId="10" borderId="14" xfId="0" applyFont="1" applyFill="1" applyBorder="1" applyAlignment="1" applyProtection="1">
      <alignment horizontal="center" vertical="center"/>
    </xf>
    <xf numFmtId="0" fontId="21" fillId="16" borderId="13" xfId="0" applyFont="1" applyFill="1" applyBorder="1" applyAlignment="1" applyProtection="1">
      <alignment horizontal="center" vertical="center"/>
    </xf>
    <xf numFmtId="0" fontId="21" fillId="16" borderId="16" xfId="0" applyFont="1" applyFill="1" applyBorder="1" applyAlignment="1" applyProtection="1">
      <alignment horizontal="center" vertical="center"/>
    </xf>
    <xf numFmtId="0" fontId="21" fillId="16" borderId="14" xfId="0" applyFont="1" applyFill="1" applyBorder="1" applyAlignment="1" applyProtection="1">
      <alignment horizontal="center" vertical="center"/>
    </xf>
    <xf numFmtId="0" fontId="21" fillId="4" borderId="13" xfId="0" applyFont="1" applyFill="1" applyBorder="1" applyAlignment="1" applyProtection="1">
      <alignment horizontal="center" vertical="center"/>
    </xf>
    <xf numFmtId="0" fontId="21" fillId="4" borderId="16" xfId="0" applyFont="1" applyFill="1" applyBorder="1" applyAlignment="1" applyProtection="1">
      <alignment horizontal="center" vertical="center"/>
    </xf>
    <xf numFmtId="0" fontId="21" fillId="4" borderId="14" xfId="0" applyFont="1" applyFill="1" applyBorder="1" applyAlignment="1" applyProtection="1">
      <alignment horizontal="center" vertical="center"/>
    </xf>
    <xf numFmtId="0" fontId="17" fillId="14" borderId="13" xfId="0" applyFont="1" applyFill="1" applyBorder="1" applyAlignment="1" applyProtection="1">
      <alignment horizontal="center" vertical="center"/>
    </xf>
    <xf numFmtId="0" fontId="17" fillId="14" borderId="16" xfId="0" applyFont="1" applyFill="1" applyBorder="1" applyAlignment="1" applyProtection="1">
      <alignment horizontal="center" vertical="center"/>
    </xf>
    <xf numFmtId="0" fontId="17" fillId="14" borderId="14" xfId="0" applyFont="1" applyFill="1" applyBorder="1" applyAlignment="1" applyProtection="1">
      <alignment horizontal="center" vertical="center"/>
    </xf>
    <xf numFmtId="0" fontId="17" fillId="2" borderId="13" xfId="0" applyFont="1" applyFill="1" applyBorder="1" applyAlignment="1" applyProtection="1">
      <alignment horizontal="center" vertical="center"/>
    </xf>
    <xf numFmtId="0" fontId="17" fillId="2" borderId="16" xfId="0" applyFont="1" applyFill="1" applyBorder="1" applyAlignment="1" applyProtection="1">
      <alignment horizontal="center" vertical="center"/>
    </xf>
    <xf numFmtId="0" fontId="17" fillId="2" borderId="14" xfId="0" applyFont="1" applyFill="1" applyBorder="1" applyAlignment="1" applyProtection="1">
      <alignment horizontal="center" vertical="center"/>
    </xf>
    <xf numFmtId="0" fontId="22" fillId="13" borderId="0" xfId="0" applyFont="1" applyFill="1" applyAlignment="1" applyProtection="1">
      <alignment horizontal="center" vertical="center"/>
    </xf>
    <xf numFmtId="0" fontId="24" fillId="13" borderId="0" xfId="0" applyFont="1" applyFill="1" applyAlignment="1" applyProtection="1">
      <alignment horizontal="center" vertical="center"/>
    </xf>
    <xf numFmtId="0" fontId="21" fillId="10" borderId="13" xfId="0" applyFont="1" applyFill="1" applyBorder="1" applyAlignment="1" applyProtection="1">
      <alignment horizontal="center" vertical="center"/>
    </xf>
    <xf numFmtId="0" fontId="21" fillId="13" borderId="13" xfId="0" applyFont="1" applyFill="1" applyBorder="1" applyAlignment="1" applyProtection="1">
      <alignment horizontal="center" vertical="center"/>
    </xf>
    <xf numFmtId="0" fontId="21" fillId="13" borderId="16" xfId="0" applyFont="1" applyFill="1" applyBorder="1" applyAlignment="1" applyProtection="1">
      <alignment horizontal="center" vertical="center"/>
    </xf>
    <xf numFmtId="0" fontId="22" fillId="12" borderId="0" xfId="0" applyFont="1" applyFill="1" applyAlignment="1" applyProtection="1">
      <alignment horizontal="center" vertical="center"/>
    </xf>
    <xf numFmtId="0" fontId="24" fillId="12" borderId="0" xfId="0" applyFont="1" applyFill="1" applyAlignment="1" applyProtection="1">
      <alignment horizontal="center" vertical="center"/>
    </xf>
    <xf numFmtId="0" fontId="21" fillId="12" borderId="13" xfId="0" applyFont="1" applyFill="1" applyBorder="1" applyAlignment="1" applyProtection="1">
      <alignment horizontal="center" vertical="center"/>
    </xf>
    <xf numFmtId="0" fontId="21" fillId="12" borderId="16" xfId="0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center" vertical="center"/>
    </xf>
    <xf numFmtId="20" fontId="18" fillId="17" borderId="22" xfId="0" applyNumberFormat="1" applyFont="1" applyFill="1" applyBorder="1" applyAlignment="1" applyProtection="1">
      <alignment horizontal="center" vertical="center"/>
      <protection locked="0"/>
    </xf>
    <xf numFmtId="20" fontId="18" fillId="17" borderId="24" xfId="0" applyNumberFormat="1" applyFont="1" applyFill="1" applyBorder="1" applyAlignment="1" applyProtection="1">
      <alignment horizontal="center" vertical="center"/>
      <protection locked="0"/>
    </xf>
    <xf numFmtId="20" fontId="18" fillId="17" borderId="20" xfId="0" applyNumberFormat="1" applyFont="1" applyFill="1" applyBorder="1" applyAlignment="1" applyProtection="1">
      <alignment horizontal="center" vertical="center"/>
      <protection locked="0"/>
    </xf>
    <xf numFmtId="20" fontId="18" fillId="17" borderId="7" xfId="0" applyNumberFormat="1" applyFont="1" applyFill="1" applyBorder="1" applyAlignment="1" applyProtection="1">
      <alignment horizontal="center" vertical="center"/>
      <protection locked="0"/>
    </xf>
    <xf numFmtId="9" fontId="18" fillId="17" borderId="22" xfId="0" applyNumberFormat="1" applyFont="1" applyFill="1" applyBorder="1" applyAlignment="1" applyProtection="1">
      <alignment horizontal="center" vertical="center"/>
      <protection locked="0"/>
    </xf>
    <xf numFmtId="9" fontId="18" fillId="17" borderId="24" xfId="0" applyNumberFormat="1" applyFont="1" applyFill="1" applyBorder="1" applyAlignment="1" applyProtection="1">
      <alignment horizontal="center" vertical="center"/>
      <protection locked="0"/>
    </xf>
    <xf numFmtId="0" fontId="22" fillId="13" borderId="25" xfId="0" applyFont="1" applyFill="1" applyBorder="1" applyAlignment="1" applyProtection="1">
      <alignment horizontal="center" vertical="center"/>
    </xf>
    <xf numFmtId="0" fontId="22" fillId="12" borderId="25" xfId="0" applyFont="1" applyFill="1" applyBorder="1" applyAlignment="1" applyProtection="1">
      <alignment horizontal="center" vertical="center"/>
    </xf>
    <xf numFmtId="0" fontId="22" fillId="5" borderId="25" xfId="0" applyFont="1" applyFill="1" applyBorder="1" applyAlignment="1" applyProtection="1">
      <alignment horizontal="center" vertical="center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" xfId="0" applyNumberFormat="1" applyFont="1" applyFill="1" applyBorder="1" applyAlignment="1">
      <alignment horizontal="center" vertical="center" wrapText="1"/>
    </xf>
    <xf numFmtId="165" fontId="6" fillId="13" borderId="4" xfId="0" applyNumberFormat="1" applyFont="1" applyFill="1" applyBorder="1" applyAlignment="1">
      <alignment horizontal="center" vertical="center" wrapText="1"/>
    </xf>
    <xf numFmtId="165" fontId="6" fillId="13" borderId="0" xfId="0" applyNumberFormat="1" applyFont="1" applyFill="1" applyBorder="1" applyAlignment="1">
      <alignment horizontal="center" vertical="center" wrapText="1"/>
    </xf>
    <xf numFmtId="42" fontId="17" fillId="0" borderId="1" xfId="0" applyNumberFormat="1" applyFont="1" applyBorder="1" applyAlignment="1">
      <alignment horizontal="center"/>
    </xf>
    <xf numFmtId="42" fontId="17" fillId="0" borderId="3" xfId="0" applyNumberFormat="1" applyFont="1" applyBorder="1" applyAlignment="1">
      <alignment horizontal="center"/>
    </xf>
    <xf numFmtId="42" fontId="17" fillId="0" borderId="6" xfId="0" applyNumberFormat="1" applyFont="1" applyBorder="1" applyAlignment="1">
      <alignment horizontal="center"/>
    </xf>
    <xf numFmtId="42" fontId="17" fillId="0" borderId="8" xfId="0" applyNumberFormat="1" applyFont="1" applyBorder="1" applyAlignment="1">
      <alignment horizontal="center"/>
    </xf>
    <xf numFmtId="6" fontId="16" fillId="0" borderId="18" xfId="0" applyNumberFormat="1" applyFont="1" applyBorder="1" applyAlignment="1">
      <alignment horizontal="center" vertical="center"/>
    </xf>
    <xf numFmtId="42" fontId="16" fillId="0" borderId="19" xfId="0" applyNumberFormat="1" applyFont="1" applyBorder="1" applyAlignment="1">
      <alignment horizontal="center" vertical="center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0" xfId="0" applyNumberFormat="1" applyFont="1" applyFill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164" fontId="26" fillId="0" borderId="3" xfId="0" applyNumberFormat="1" applyFont="1" applyFill="1" applyBorder="1" applyAlignment="1">
      <alignment horizontal="center" vertical="center" wrapText="1"/>
    </xf>
    <xf numFmtId="164" fontId="26" fillId="0" borderId="4" xfId="0" applyNumberFormat="1" applyFont="1" applyFill="1" applyBorder="1" applyAlignment="1">
      <alignment horizontal="center" vertical="center" wrapText="1"/>
    </xf>
    <xf numFmtId="164" fontId="26" fillId="0" borderId="5" xfId="0" applyNumberFormat="1" applyFont="1" applyFill="1" applyBorder="1" applyAlignment="1">
      <alignment horizontal="center" vertical="center" wrapText="1"/>
    </xf>
    <xf numFmtId="165" fontId="6" fillId="13" borderId="5" xfId="0" applyNumberFormat="1" applyFont="1" applyFill="1" applyBorder="1" applyAlignment="1">
      <alignment horizontal="center" vertical="center" wrapText="1"/>
    </xf>
    <xf numFmtId="42" fontId="17" fillId="0" borderId="1" xfId="0" applyNumberFormat="1" applyFont="1" applyBorder="1" applyAlignment="1">
      <alignment horizontal="center" vertical="center"/>
    </xf>
    <xf numFmtId="42" fontId="17" fillId="0" borderId="3" xfId="0" applyNumberFormat="1" applyFont="1" applyBorder="1" applyAlignment="1">
      <alignment horizontal="center" vertical="center"/>
    </xf>
    <xf numFmtId="42" fontId="17" fillId="0" borderId="4" xfId="0" applyNumberFormat="1" applyFont="1" applyBorder="1" applyAlignment="1">
      <alignment horizontal="center" vertical="center"/>
    </xf>
    <xf numFmtId="42" fontId="17" fillId="0" borderId="5" xfId="0" applyNumberFormat="1" applyFont="1" applyBorder="1" applyAlignment="1">
      <alignment horizontal="center" vertical="center"/>
    </xf>
    <xf numFmtId="42" fontId="17" fillId="0" borderId="6" xfId="0" applyNumberFormat="1" applyFont="1" applyBorder="1" applyAlignment="1">
      <alignment horizontal="center" vertical="center"/>
    </xf>
    <xf numFmtId="42" fontId="17" fillId="0" borderId="8" xfId="0" applyNumberFormat="1" applyFont="1" applyBorder="1" applyAlignment="1">
      <alignment horizontal="center" vertical="center"/>
    </xf>
    <xf numFmtId="165" fontId="14" fillId="13" borderId="18" xfId="0" applyNumberFormat="1" applyFont="1" applyFill="1" applyBorder="1" applyAlignment="1">
      <alignment horizontal="center" vertical="center" wrapText="1"/>
    </xf>
    <xf numFmtId="165" fontId="14" fillId="13" borderId="23" xfId="0" applyNumberFormat="1" applyFont="1" applyFill="1" applyBorder="1" applyAlignment="1">
      <alignment horizontal="center" vertical="center" wrapText="1"/>
    </xf>
    <xf numFmtId="42" fontId="16" fillId="0" borderId="18" xfId="0" applyNumberFormat="1" applyFont="1" applyBorder="1" applyAlignment="1">
      <alignment horizontal="center" vertical="center"/>
    </xf>
    <xf numFmtId="42" fontId="16" fillId="0" borderId="23" xfId="0" applyNumberFormat="1" applyFont="1" applyBorder="1" applyAlignment="1">
      <alignment horizontal="center" vertical="center"/>
    </xf>
    <xf numFmtId="165" fontId="14" fillId="5" borderId="18" xfId="0" applyNumberFormat="1" applyFont="1" applyFill="1" applyBorder="1" applyAlignment="1">
      <alignment horizontal="center" vertical="center" wrapText="1"/>
    </xf>
    <xf numFmtId="165" fontId="14" fillId="5" borderId="19" xfId="0" applyNumberFormat="1" applyFont="1" applyFill="1" applyBorder="1" applyAlignment="1">
      <alignment horizontal="center" vertical="center" wrapText="1"/>
    </xf>
    <xf numFmtId="165" fontId="6" fillId="12" borderId="5" xfId="0" applyNumberFormat="1" applyFont="1" applyFill="1" applyBorder="1" applyAlignment="1">
      <alignment horizontal="center" vertical="center" wrapText="1"/>
    </xf>
    <xf numFmtId="165" fontId="14" fillId="12" borderId="18" xfId="0" applyNumberFormat="1" applyFont="1" applyFill="1" applyBorder="1" applyAlignment="1">
      <alignment horizontal="center" vertical="center" wrapText="1"/>
    </xf>
    <xf numFmtId="165" fontId="14" fillId="12" borderId="23" xfId="0" applyNumberFormat="1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left"/>
    </xf>
    <xf numFmtId="42" fontId="17" fillId="0" borderId="4" xfId="0" applyNumberFormat="1" applyFont="1" applyBorder="1" applyAlignment="1">
      <alignment horizontal="center"/>
    </xf>
    <xf numFmtId="42" fontId="17" fillId="0" borderId="5" xfId="0" applyNumberFormat="1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 wrapText="1"/>
    </xf>
    <xf numFmtId="165" fontId="6" fillId="5" borderId="2" xfId="0" applyNumberFormat="1" applyFont="1" applyFill="1" applyBorder="1" applyAlignment="1">
      <alignment horizontal="center" vertical="center" wrapText="1"/>
    </xf>
    <xf numFmtId="165" fontId="6" fillId="5" borderId="4" xfId="0" applyNumberFormat="1" applyFont="1" applyFill="1" applyBorder="1" applyAlignment="1">
      <alignment horizontal="center" vertical="center" wrapText="1"/>
    </xf>
    <xf numFmtId="165" fontId="6" fillId="5" borderId="0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165" fontId="14" fillId="5" borderId="23" xfId="0" applyNumberFormat="1" applyFont="1" applyFill="1" applyBorder="1" applyAlignment="1">
      <alignment horizontal="center" vertical="center" wrapText="1"/>
    </xf>
    <xf numFmtId="42" fontId="17" fillId="0" borderId="1" xfId="0" applyNumberFormat="1" applyFont="1" applyBorder="1" applyAlignment="1">
      <alignment horizontal="left" vertical="center"/>
    </xf>
    <xf numFmtId="42" fontId="17" fillId="0" borderId="3" xfId="0" applyNumberFormat="1" applyFont="1" applyBorder="1" applyAlignment="1">
      <alignment horizontal="left" vertical="center"/>
    </xf>
    <xf numFmtId="42" fontId="17" fillId="0" borderId="6" xfId="0" applyNumberFormat="1" applyFont="1" applyBorder="1" applyAlignment="1">
      <alignment horizontal="left" vertical="center"/>
    </xf>
    <xf numFmtId="42" fontId="17" fillId="0" borderId="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/>
    </xf>
    <xf numFmtId="0" fontId="3" fillId="0" borderId="3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21" fillId="13" borderId="16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6" borderId="16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17" fillId="14" borderId="14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21" fillId="5" borderId="16" xfId="0" applyFont="1" applyFill="1" applyBorder="1" applyAlignment="1">
      <alignment horizontal="center" vertical="center"/>
    </xf>
    <xf numFmtId="0" fontId="21" fillId="12" borderId="1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4"/>
  <sheetViews>
    <sheetView zoomScale="60" zoomScaleNormal="60" workbookViewId="0">
      <selection activeCell="H5" sqref="H5"/>
    </sheetView>
  </sheetViews>
  <sheetFormatPr baseColWidth="10" defaultColWidth="8.88671875" defaultRowHeight="15.6" x14ac:dyDescent="0.3"/>
  <cols>
    <col min="1" max="1" width="19.5546875" style="105" bestFit="1" customWidth="1"/>
    <col min="2" max="2" width="9.109375" style="107"/>
    <col min="3" max="4" width="8.88671875" style="101"/>
    <col min="5" max="5" width="9.109375" style="107"/>
    <col min="6" max="7" width="8.88671875" style="101"/>
    <col min="8" max="8" width="9.109375" style="107"/>
    <col min="9" max="10" width="8.88671875" style="101"/>
    <col min="11" max="11" width="9.109375" style="107"/>
    <col min="12" max="13" width="8.88671875" style="101"/>
    <col min="14" max="14" width="9.109375" style="107"/>
    <col min="15" max="16" width="8.88671875" style="101"/>
    <col min="17" max="17" width="9.109375" style="107"/>
    <col min="18" max="19" width="8.88671875" style="101"/>
    <col min="20" max="20" width="9.109375" style="107"/>
    <col min="21" max="22" width="8.88671875" style="101"/>
    <col min="23" max="25" width="9.109375" style="108"/>
    <col min="26" max="26" width="36.44140625" style="101" bestFit="1" customWidth="1"/>
    <col min="27" max="27" width="8.88671875" style="101"/>
    <col min="28" max="28" width="4.5546875" style="101" bestFit="1" customWidth="1"/>
    <col min="29" max="29" width="23.44140625" style="101" customWidth="1"/>
    <col min="30" max="30" width="8.88671875" style="101"/>
    <col min="31" max="31" width="13.44140625" style="101" bestFit="1" customWidth="1"/>
    <col min="32" max="33" width="8.88671875" style="101"/>
    <col min="34" max="16384" width="8.88671875" style="106"/>
  </cols>
  <sheetData>
    <row r="1" spans="1:34" s="102" customFormat="1" ht="23.25" customHeight="1" x14ac:dyDescent="0.3">
      <c r="A1" s="192" t="s">
        <v>85</v>
      </c>
      <c r="B1" s="193"/>
      <c r="C1" s="196">
        <v>1</v>
      </c>
      <c r="D1" s="197"/>
      <c r="E1" s="192" t="s">
        <v>86</v>
      </c>
      <c r="F1" s="193"/>
      <c r="G1" s="196" t="s">
        <v>35</v>
      </c>
      <c r="H1" s="197"/>
      <c r="I1" s="110"/>
      <c r="J1" s="111"/>
      <c r="K1" s="111"/>
      <c r="L1" s="111"/>
      <c r="M1" s="111"/>
      <c r="N1" s="111"/>
      <c r="O1" s="111"/>
      <c r="P1" s="111"/>
      <c r="Q1" s="111"/>
      <c r="R1" s="111"/>
      <c r="S1" s="192" t="s">
        <v>87</v>
      </c>
      <c r="T1" s="193"/>
      <c r="U1" s="196"/>
      <c r="V1" s="197"/>
      <c r="W1" s="131"/>
      <c r="X1" s="131"/>
      <c r="Y1" s="131"/>
      <c r="Z1" s="186" t="s">
        <v>70</v>
      </c>
      <c r="AA1" s="186"/>
      <c r="AB1" s="186"/>
      <c r="AC1" s="186"/>
      <c r="AD1" s="101"/>
      <c r="AE1" s="101"/>
      <c r="AF1" s="101"/>
      <c r="AG1" s="101"/>
    </row>
    <row r="2" spans="1:34" s="102" customFormat="1" ht="24" customHeight="1" thickBot="1" x14ac:dyDescent="0.35">
      <c r="A2" s="194"/>
      <c r="B2" s="195"/>
      <c r="C2" s="198"/>
      <c r="D2" s="199"/>
      <c r="E2" s="194"/>
      <c r="F2" s="195"/>
      <c r="G2" s="198"/>
      <c r="H2" s="199"/>
      <c r="I2" s="112"/>
      <c r="J2" s="109"/>
      <c r="K2" s="109"/>
      <c r="L2" s="109"/>
      <c r="M2" s="109"/>
      <c r="N2" s="109"/>
      <c r="O2" s="109"/>
      <c r="P2" s="109"/>
      <c r="Q2" s="109"/>
      <c r="R2" s="109"/>
      <c r="S2" s="194"/>
      <c r="T2" s="195"/>
      <c r="U2" s="198"/>
      <c r="V2" s="199"/>
      <c r="W2" s="131"/>
      <c r="X2" s="131"/>
      <c r="Y2" s="131"/>
      <c r="Z2" s="186"/>
      <c r="AA2" s="186"/>
      <c r="AB2" s="186"/>
      <c r="AC2" s="186"/>
      <c r="AD2" s="101"/>
      <c r="AE2" s="101"/>
      <c r="AF2" s="101"/>
      <c r="AG2" s="101"/>
    </row>
    <row r="3" spans="1:34" s="104" customFormat="1" ht="26.4" thickBot="1" x14ac:dyDescent="0.55000000000000004">
      <c r="A3" s="113" t="s">
        <v>66</v>
      </c>
      <c r="B3" s="201" t="s">
        <v>11</v>
      </c>
      <c r="C3" s="202"/>
      <c r="D3" s="203"/>
      <c r="E3" s="204" t="s">
        <v>12</v>
      </c>
      <c r="F3" s="205"/>
      <c r="G3" s="206"/>
      <c r="H3" s="207" t="s">
        <v>15</v>
      </c>
      <c r="I3" s="208"/>
      <c r="J3" s="209"/>
      <c r="K3" s="210" t="s">
        <v>13</v>
      </c>
      <c r="L3" s="211"/>
      <c r="M3" s="212"/>
      <c r="N3" s="213" t="s">
        <v>16</v>
      </c>
      <c r="O3" s="214"/>
      <c r="P3" s="215"/>
      <c r="Q3" s="187" t="s">
        <v>14</v>
      </c>
      <c r="R3" s="188"/>
      <c r="S3" s="189"/>
      <c r="T3" s="190" t="s">
        <v>35</v>
      </c>
      <c r="U3" s="191"/>
      <c r="V3" s="191"/>
      <c r="W3" s="200" t="s">
        <v>69</v>
      </c>
      <c r="X3" s="200"/>
      <c r="Y3" s="200"/>
      <c r="Z3" s="186"/>
      <c r="AA3" s="186"/>
      <c r="AB3" s="186"/>
      <c r="AC3" s="186"/>
      <c r="AD3" s="103"/>
      <c r="AE3" s="103"/>
      <c r="AF3" s="103"/>
      <c r="AG3" s="103"/>
    </row>
    <row r="4" spans="1:34" ht="31.8" thickBot="1" x14ac:dyDescent="0.35">
      <c r="A4" s="113" t="s">
        <v>39</v>
      </c>
      <c r="B4" s="114" t="s">
        <v>36</v>
      </c>
      <c r="C4" s="115" t="s">
        <v>21</v>
      </c>
      <c r="D4" s="116" t="s">
        <v>20</v>
      </c>
      <c r="E4" s="114" t="s">
        <v>36</v>
      </c>
      <c r="F4" s="115" t="s">
        <v>21</v>
      </c>
      <c r="G4" s="116" t="s">
        <v>20</v>
      </c>
      <c r="H4" s="114" t="s">
        <v>36</v>
      </c>
      <c r="I4" s="115" t="s">
        <v>21</v>
      </c>
      <c r="J4" s="116" t="s">
        <v>20</v>
      </c>
      <c r="K4" s="114" t="s">
        <v>36</v>
      </c>
      <c r="L4" s="117" t="s">
        <v>21</v>
      </c>
      <c r="M4" s="117" t="s">
        <v>20</v>
      </c>
      <c r="N4" s="114" t="s">
        <v>36</v>
      </c>
      <c r="O4" s="115" t="s">
        <v>21</v>
      </c>
      <c r="P4" s="116" t="s">
        <v>20</v>
      </c>
      <c r="Q4" s="114" t="s">
        <v>36</v>
      </c>
      <c r="R4" s="115" t="s">
        <v>21</v>
      </c>
      <c r="S4" s="116" t="s">
        <v>20</v>
      </c>
      <c r="T4" s="114" t="s">
        <v>36</v>
      </c>
      <c r="U4" s="115" t="s">
        <v>21</v>
      </c>
      <c r="V4" s="116" t="s">
        <v>20</v>
      </c>
      <c r="W4" s="133" t="s">
        <v>21</v>
      </c>
      <c r="X4" s="133" t="s">
        <v>20</v>
      </c>
      <c r="Y4" s="133"/>
      <c r="Z4" s="134"/>
      <c r="AA4" s="134"/>
      <c r="AB4" s="134"/>
      <c r="AC4" s="134"/>
    </row>
    <row r="5" spans="1:34" ht="29.4" thickBot="1" x14ac:dyDescent="0.6">
      <c r="A5" s="118" t="s">
        <v>11</v>
      </c>
      <c r="B5" s="119">
        <v>0</v>
      </c>
      <c r="C5" s="120">
        <v>0</v>
      </c>
      <c r="D5" s="120">
        <v>0</v>
      </c>
      <c r="E5" s="122">
        <v>0.50694444444444442</v>
      </c>
      <c r="F5" s="99"/>
      <c r="G5" s="99"/>
      <c r="H5" s="122">
        <v>0.40972222222222227</v>
      </c>
      <c r="I5" s="99">
        <v>20</v>
      </c>
      <c r="J5" s="99">
        <v>60</v>
      </c>
      <c r="K5" s="122">
        <v>0.47916666666666669</v>
      </c>
      <c r="L5" s="99"/>
      <c r="M5" s="99"/>
      <c r="N5" s="122">
        <v>0.53472222222222221</v>
      </c>
      <c r="O5" s="99"/>
      <c r="P5" s="99"/>
      <c r="Q5" s="122">
        <v>0.45833333333333331</v>
      </c>
      <c r="R5" s="99">
        <v>5</v>
      </c>
      <c r="S5" s="99">
        <v>30</v>
      </c>
      <c r="T5" s="122">
        <v>0.22916666666666666</v>
      </c>
      <c r="U5" s="99">
        <v>20</v>
      </c>
      <c r="V5" s="99">
        <v>60</v>
      </c>
      <c r="W5" s="133">
        <f>C5+F5+I5+L5+O5+R5+U5</f>
        <v>45</v>
      </c>
      <c r="X5" s="133">
        <f>D5+G5+J5+M5+P5+S5+V5</f>
        <v>150</v>
      </c>
      <c r="Y5" s="115" t="str">
        <f>IF(OR(W5&gt;70,X5&gt;270),"PB","OK")</f>
        <v>OK</v>
      </c>
      <c r="Z5" s="135" t="s">
        <v>57</v>
      </c>
      <c r="AA5" s="135"/>
      <c r="AB5" s="135"/>
      <c r="AC5" s="136">
        <f>1440/60*4*(SUMPRODUCT($B$5:$B$11,C5:C11)+SUMPRODUCT($E$5:$E$11,F5:F11)+SUMPRODUCT($H$5:$H$11,I5:I11)+SUMPRODUCT($K$5:$K$11,L5:L11)+SUMPRODUCT($N$5:$N$11,O5:O11)+SUMPRODUCT($Q$5:$Q$11,R5:R11)+SUMPRODUCT($T$5:$T$11,U5:U11))</f>
        <v>4231.333333333333</v>
      </c>
    </row>
    <row r="6" spans="1:34" ht="29.4" thickBot="1" x14ac:dyDescent="0.6">
      <c r="A6" s="121" t="s">
        <v>12</v>
      </c>
      <c r="B6" s="122">
        <v>0.50694444444444442</v>
      </c>
      <c r="C6" s="99"/>
      <c r="D6" s="99"/>
      <c r="E6" s="119">
        <v>0</v>
      </c>
      <c r="F6" s="120">
        <v>0</v>
      </c>
      <c r="G6" s="120">
        <v>0</v>
      </c>
      <c r="H6" s="122">
        <v>0.45833333333333331</v>
      </c>
      <c r="I6" s="99">
        <v>10</v>
      </c>
      <c r="J6" s="99">
        <v>30</v>
      </c>
      <c r="K6" s="122">
        <v>0.52777777777777779</v>
      </c>
      <c r="L6" s="99"/>
      <c r="M6" s="99"/>
      <c r="N6" s="122">
        <v>0.58333333333333337</v>
      </c>
      <c r="O6" s="99"/>
      <c r="P6" s="99"/>
      <c r="Q6" s="122">
        <v>0.50694444444444442</v>
      </c>
      <c r="R6" s="99">
        <v>5</v>
      </c>
      <c r="S6" s="99">
        <v>50</v>
      </c>
      <c r="T6" s="122">
        <v>0.27777777777777779</v>
      </c>
      <c r="U6" s="99">
        <v>3</v>
      </c>
      <c r="V6" s="99">
        <v>10</v>
      </c>
      <c r="W6" s="133">
        <f t="shared" ref="W6:X12" si="0">C6+F6+I6+L6+O6+R6+U6</f>
        <v>18</v>
      </c>
      <c r="X6" s="133">
        <f t="shared" si="0"/>
        <v>90</v>
      </c>
      <c r="Y6" s="115" t="str">
        <f t="shared" ref="Y6:Y12" si="1">IF(OR(W6&gt;70,X6&gt;270),"PB","OK")</f>
        <v>OK</v>
      </c>
      <c r="Z6" s="135" t="s">
        <v>68</v>
      </c>
      <c r="AA6" s="135"/>
      <c r="AB6" s="135"/>
      <c r="AC6" s="136">
        <f>1440/60*(SUMPRODUCT($B$5:$B$11,D5:D11)+SUMPRODUCT($E$5:$E$11,G5:G11)+SUMPRODUCT($H$5:$H$11,J5:J11)+SUMPRODUCT($K$5:$K$11,M5:M11)+SUMPRODUCT($N$5:$N$11,P5:P11)+SUMPRODUCT($Q$5:$Q$11,S5:S11)+SUMPRODUCT($T$5:$T$11,V5:V11))</f>
        <v>3668.3333333333339</v>
      </c>
    </row>
    <row r="7" spans="1:34" ht="29.4" thickBot="1" x14ac:dyDescent="0.6">
      <c r="A7" s="123" t="s">
        <v>15</v>
      </c>
      <c r="B7" s="122">
        <v>0.40972222222222227</v>
      </c>
      <c r="C7" s="99"/>
      <c r="D7" s="99"/>
      <c r="E7" s="122">
        <v>0.45833333333333331</v>
      </c>
      <c r="F7" s="99"/>
      <c r="G7" s="99"/>
      <c r="H7" s="119">
        <v>0</v>
      </c>
      <c r="I7" s="120">
        <v>0</v>
      </c>
      <c r="J7" s="120">
        <v>0</v>
      </c>
      <c r="K7" s="122">
        <v>0.43055555555555558</v>
      </c>
      <c r="L7" s="99"/>
      <c r="M7" s="99"/>
      <c r="N7" s="122">
        <v>0.4861111111111111</v>
      </c>
      <c r="O7" s="99"/>
      <c r="P7" s="99"/>
      <c r="Q7" s="122">
        <v>0.40972222222222227</v>
      </c>
      <c r="R7" s="99"/>
      <c r="S7" s="99"/>
      <c r="T7" s="122">
        <v>0.18055555555555555</v>
      </c>
      <c r="U7" s="99"/>
      <c r="V7" s="99"/>
      <c r="W7" s="133">
        <f t="shared" si="0"/>
        <v>0</v>
      </c>
      <c r="X7" s="133">
        <f t="shared" si="0"/>
        <v>0</v>
      </c>
      <c r="Y7" s="115" t="str">
        <f t="shared" si="1"/>
        <v>OK</v>
      </c>
      <c r="Z7" s="135" t="s">
        <v>58</v>
      </c>
      <c r="AA7" s="135"/>
      <c r="AB7" s="135"/>
      <c r="AC7" s="137">
        <f>AC5+AC6</f>
        <v>7899.666666666667</v>
      </c>
    </row>
    <row r="8" spans="1:34" ht="29.4" thickBot="1" x14ac:dyDescent="0.6">
      <c r="A8" s="124" t="s">
        <v>13</v>
      </c>
      <c r="B8" s="122">
        <v>0.47916666666666669</v>
      </c>
      <c r="C8" s="99"/>
      <c r="D8" s="99"/>
      <c r="E8" s="122">
        <v>0.52777777777777779</v>
      </c>
      <c r="F8" s="99"/>
      <c r="G8" s="99"/>
      <c r="H8" s="122">
        <v>0.43055555555555558</v>
      </c>
      <c r="I8" s="99"/>
      <c r="J8" s="99"/>
      <c r="K8" s="119">
        <v>0</v>
      </c>
      <c r="L8" s="120">
        <v>0</v>
      </c>
      <c r="M8" s="120">
        <v>0</v>
      </c>
      <c r="N8" s="122">
        <v>0.55555555555555558</v>
      </c>
      <c r="O8" s="99"/>
      <c r="P8" s="99"/>
      <c r="Q8" s="122">
        <v>0.47916666666666669</v>
      </c>
      <c r="R8" s="99"/>
      <c r="S8" s="99"/>
      <c r="T8" s="122">
        <v>0.25</v>
      </c>
      <c r="U8" s="99"/>
      <c r="V8" s="99"/>
      <c r="W8" s="133">
        <f t="shared" si="0"/>
        <v>0</v>
      </c>
      <c r="X8" s="133">
        <f t="shared" si="0"/>
        <v>0</v>
      </c>
      <c r="Y8" s="115" t="str">
        <f t="shared" si="1"/>
        <v>OK</v>
      </c>
      <c r="Z8" s="181" t="s">
        <v>74</v>
      </c>
      <c r="AA8" s="135"/>
      <c r="AB8" s="135"/>
      <c r="AC8" s="138">
        <f>35*AC7</f>
        <v>276488.33333333337</v>
      </c>
    </row>
    <row r="9" spans="1:34" ht="29.4" thickBot="1" x14ac:dyDescent="0.6">
      <c r="A9" s="125" t="s">
        <v>16</v>
      </c>
      <c r="B9" s="122">
        <v>0.53472222222222221</v>
      </c>
      <c r="C9" s="99"/>
      <c r="D9" s="99"/>
      <c r="E9" s="122">
        <v>0.58333333333333337</v>
      </c>
      <c r="F9" s="99"/>
      <c r="G9" s="99"/>
      <c r="H9" s="122">
        <v>0.4861111111111111</v>
      </c>
      <c r="I9" s="99">
        <v>10</v>
      </c>
      <c r="J9" s="99">
        <v>40</v>
      </c>
      <c r="K9" s="122">
        <v>0.55555555555555558</v>
      </c>
      <c r="L9" s="99"/>
      <c r="M9" s="99"/>
      <c r="N9" s="119">
        <v>0</v>
      </c>
      <c r="O9" s="120">
        <v>0</v>
      </c>
      <c r="P9" s="120">
        <v>0</v>
      </c>
      <c r="Q9" s="122">
        <v>0.53472222222222221</v>
      </c>
      <c r="R9" s="99"/>
      <c r="S9" s="99"/>
      <c r="T9" s="122">
        <v>0.30555555555555552</v>
      </c>
      <c r="U9" s="99">
        <v>3</v>
      </c>
      <c r="V9" s="99">
        <v>10</v>
      </c>
      <c r="W9" s="133">
        <f t="shared" si="0"/>
        <v>13</v>
      </c>
      <c r="X9" s="133">
        <f t="shared" si="0"/>
        <v>50</v>
      </c>
      <c r="Y9" s="115" t="str">
        <f t="shared" si="1"/>
        <v>OK</v>
      </c>
      <c r="Z9" s="135"/>
      <c r="AA9" s="135"/>
      <c r="AB9" s="135"/>
      <c r="AC9" s="134"/>
    </row>
    <row r="10" spans="1:34" ht="29.4" thickBot="1" x14ac:dyDescent="0.6">
      <c r="A10" s="126" t="s">
        <v>14</v>
      </c>
      <c r="B10" s="122">
        <v>0.45833333333333331</v>
      </c>
      <c r="C10" s="99"/>
      <c r="D10" s="99"/>
      <c r="E10" s="122">
        <v>0.50694444444444442</v>
      </c>
      <c r="F10" s="99"/>
      <c r="G10" s="99"/>
      <c r="H10" s="122">
        <v>0.40972222222222227</v>
      </c>
      <c r="I10" s="99"/>
      <c r="J10" s="99"/>
      <c r="K10" s="122">
        <v>0.47916666666666669</v>
      </c>
      <c r="L10" s="99"/>
      <c r="M10" s="99"/>
      <c r="N10" s="122">
        <v>0.53472222222222221</v>
      </c>
      <c r="O10" s="99"/>
      <c r="P10" s="99"/>
      <c r="Q10" s="119">
        <v>0</v>
      </c>
      <c r="R10" s="120">
        <v>0</v>
      </c>
      <c r="S10" s="120">
        <v>0</v>
      </c>
      <c r="T10" s="122">
        <v>0.22916666666666666</v>
      </c>
      <c r="U10" s="99"/>
      <c r="V10" s="99"/>
      <c r="W10" s="133">
        <f t="shared" si="0"/>
        <v>0</v>
      </c>
      <c r="X10" s="133">
        <f t="shared" si="0"/>
        <v>0</v>
      </c>
      <c r="Y10" s="115" t="str">
        <f t="shared" si="1"/>
        <v>OK</v>
      </c>
      <c r="Z10" s="135" t="s">
        <v>59</v>
      </c>
      <c r="AA10" s="135"/>
      <c r="AB10" s="135"/>
      <c r="AC10" s="136">
        <f>AC12-AC11</f>
        <v>260</v>
      </c>
      <c r="AE10" s="172" t="s">
        <v>118</v>
      </c>
      <c r="AF10" s="172"/>
      <c r="AG10" s="185">
        <f>7*AC10</f>
        <v>1820</v>
      </c>
      <c r="AH10" s="185"/>
    </row>
    <row r="11" spans="1:34" ht="29.4" thickBot="1" x14ac:dyDescent="0.6">
      <c r="A11" s="127" t="s">
        <v>35</v>
      </c>
      <c r="B11" s="122">
        <v>0.22916666666666666</v>
      </c>
      <c r="C11" s="99"/>
      <c r="D11" s="99"/>
      <c r="E11" s="122">
        <v>0.27777777777777779</v>
      </c>
      <c r="F11" s="99"/>
      <c r="G11" s="99"/>
      <c r="H11" s="122">
        <v>0.18055555555555555</v>
      </c>
      <c r="I11" s="99">
        <v>5</v>
      </c>
      <c r="J11" s="99">
        <v>10</v>
      </c>
      <c r="K11" s="122">
        <v>0.25</v>
      </c>
      <c r="L11" s="99">
        <v>30</v>
      </c>
      <c r="M11" s="99">
        <v>120</v>
      </c>
      <c r="N11" s="122">
        <v>0.30555555555555552</v>
      </c>
      <c r="O11" s="99"/>
      <c r="P11" s="99"/>
      <c r="Q11" s="122">
        <v>0.22916666666666666</v>
      </c>
      <c r="R11" s="99">
        <v>30</v>
      </c>
      <c r="S11" s="99">
        <v>20</v>
      </c>
      <c r="T11" s="119">
        <v>0</v>
      </c>
      <c r="U11" s="120">
        <v>0</v>
      </c>
      <c r="V11" s="120">
        <v>0</v>
      </c>
      <c r="W11" s="133">
        <f t="shared" si="0"/>
        <v>65</v>
      </c>
      <c r="X11" s="133">
        <f t="shared" si="0"/>
        <v>150</v>
      </c>
      <c r="Y11" s="115" t="str">
        <f t="shared" si="1"/>
        <v>OK</v>
      </c>
      <c r="Z11" s="135" t="s">
        <v>60</v>
      </c>
      <c r="AA11" s="135"/>
      <c r="AB11" s="135"/>
      <c r="AC11" s="136">
        <f>SUM(U5:V10)+C11+D11+F11+G11+I11+J11+L11+M11+O11+P11+R11+S11</f>
        <v>321</v>
      </c>
      <c r="AE11" s="172" t="s">
        <v>119</v>
      </c>
      <c r="AF11" s="172"/>
      <c r="AG11" s="185">
        <f>7*AC11</f>
        <v>2247</v>
      </c>
      <c r="AH11" s="185"/>
    </row>
    <row r="12" spans="1:34" ht="29.4" thickBot="1" x14ac:dyDescent="0.6">
      <c r="A12" s="128" t="s">
        <v>40</v>
      </c>
      <c r="B12" s="122"/>
      <c r="C12" s="129">
        <f>SUM(C5:C11)</f>
        <v>0</v>
      </c>
      <c r="D12" s="129">
        <f>SUM(D5:D11)</f>
        <v>0</v>
      </c>
      <c r="E12" s="130"/>
      <c r="F12" s="129">
        <f>SUM(F5:F11)</f>
        <v>0</v>
      </c>
      <c r="G12" s="129">
        <f>SUM(G5:G11)</f>
        <v>0</v>
      </c>
      <c r="H12" s="130"/>
      <c r="I12" s="129">
        <f>SUM(I5:I11)</f>
        <v>45</v>
      </c>
      <c r="J12" s="129">
        <f>SUM(J5:J11)</f>
        <v>140</v>
      </c>
      <c r="K12" s="130"/>
      <c r="L12" s="129">
        <f>SUM(L5:L11)</f>
        <v>30</v>
      </c>
      <c r="M12" s="129">
        <f>SUM(M5:M11)</f>
        <v>120</v>
      </c>
      <c r="N12" s="130"/>
      <c r="O12" s="129">
        <f>SUM(O5:O11)</f>
        <v>0</v>
      </c>
      <c r="P12" s="129">
        <f>SUM(P5:P11)</f>
        <v>0</v>
      </c>
      <c r="Q12" s="130"/>
      <c r="R12" s="129">
        <f>SUM(R5:R11)</f>
        <v>40</v>
      </c>
      <c r="S12" s="129">
        <f>SUM(S5:S11)</f>
        <v>100</v>
      </c>
      <c r="T12" s="130"/>
      <c r="U12" s="129">
        <f>SUM(U5:U11)</f>
        <v>26</v>
      </c>
      <c r="V12" s="129">
        <f>SUM(V5:V11)</f>
        <v>80</v>
      </c>
      <c r="W12" s="133">
        <f t="shared" si="0"/>
        <v>141</v>
      </c>
      <c r="X12" s="133">
        <f t="shared" si="0"/>
        <v>440</v>
      </c>
      <c r="Y12" s="115" t="str">
        <f t="shared" si="1"/>
        <v>PB</v>
      </c>
      <c r="Z12" s="181" t="s">
        <v>61</v>
      </c>
      <c r="AA12" s="135"/>
      <c r="AB12" s="135"/>
      <c r="AC12" s="136">
        <f>SUM(B12:V12)</f>
        <v>581</v>
      </c>
    </row>
    <row r="13" spans="1:34" ht="14.4" x14ac:dyDescent="0.3">
      <c r="B13" s="105"/>
      <c r="C13" s="115" t="str">
        <f>+IF(C4="Y",IF(C12&gt;270,"PB","OK"),IF(C12&gt;70,"PB","OK"))</f>
        <v>OK</v>
      </c>
      <c r="D13" s="115" t="str">
        <f t="shared" ref="D13" si="2">+IF(D4="Y",IF(D12&gt;270,"PB","ok"),IF(D12&gt;70,"PB","OK"))</f>
        <v>ok</v>
      </c>
      <c r="E13" s="115"/>
      <c r="F13" s="115" t="str">
        <f t="shared" ref="F13" si="3">+IF(F4="Y",IF(F12&gt;270,"PB","ok"),IF(F12&gt;70,"PB","OK"))</f>
        <v>OK</v>
      </c>
      <c r="G13" s="115" t="str">
        <f t="shared" ref="G13" si="4">+IF(G4="Y",IF(G12&gt;270,"PB","ok"),IF(G12&gt;70,"PB","OK"))</f>
        <v>ok</v>
      </c>
      <c r="H13" s="115"/>
      <c r="I13" s="115" t="str">
        <f t="shared" ref="I13" si="5">+IF(I4="Y",IF(I12&gt;270,"PB","ok"),IF(I12&gt;70,"PB","OK"))</f>
        <v>OK</v>
      </c>
      <c r="J13" s="115" t="str">
        <f>+IF(J4="Y",IF(J12&gt;270,"PB","OK"),IF(J12&gt;70,"PB","OK"))</f>
        <v>OK</v>
      </c>
      <c r="K13" s="115"/>
      <c r="L13" s="115" t="str">
        <f t="shared" ref="L13" si="6">+IF(L4="Y",IF(L12&gt;270,"PB","ok"),IF(L12&gt;70,"PB","OK"))</f>
        <v>OK</v>
      </c>
      <c r="M13" s="115" t="str">
        <f t="shared" ref="M13" si="7">+IF(M4="Y",IF(M12&gt;270,"PB","ok"),IF(M12&gt;70,"PB","OK"))</f>
        <v>ok</v>
      </c>
      <c r="N13" s="115"/>
      <c r="O13" s="115" t="str">
        <f t="shared" ref="O13" si="8">+IF(O4="Y",IF(O12&gt;270,"PB","ok"),IF(O12&gt;70,"PB","OK"))</f>
        <v>OK</v>
      </c>
      <c r="P13" s="115" t="str">
        <f>+IF(P4="Y",IF(P12&gt;270,"PB","OK"),IF(P12&gt;70,"PB","OK"))</f>
        <v>OK</v>
      </c>
      <c r="Q13" s="115"/>
      <c r="R13" s="115" t="str">
        <f t="shared" ref="R13" si="9">+IF(R4="Y",IF(R12&gt;270,"PB","ok"),IF(R12&gt;70,"PB","OK"))</f>
        <v>OK</v>
      </c>
      <c r="S13" s="115" t="str">
        <f>+IF(S4="Y",IF(S12&gt;270,"PB","OK"),IF(S12&gt;70,"PB","OK"))</f>
        <v>OK</v>
      </c>
      <c r="T13" s="115"/>
      <c r="U13" s="115" t="str">
        <f>+IF(U4="Y",IF(U12&gt;270,"PB","OK"),IF(U12&gt;70,"PB","OK"))</f>
        <v>OK</v>
      </c>
      <c r="V13" s="115" t="str">
        <f>+IF(V4="Y",IF(V12&gt;270,"PB","OK"),IF(V12&gt;70,"PB","OK"))</f>
        <v>OK</v>
      </c>
      <c r="W13" s="139"/>
      <c r="X13" s="139"/>
      <c r="Y13" s="139"/>
      <c r="Z13" s="140"/>
      <c r="AA13" s="140"/>
      <c r="AB13" s="134"/>
      <c r="AC13" s="134"/>
    </row>
    <row r="14" spans="1:34" ht="28.8" x14ac:dyDescent="0.55000000000000004">
      <c r="Z14" s="181" t="s">
        <v>120</v>
      </c>
      <c r="AA14" s="135"/>
      <c r="AB14" s="135"/>
      <c r="AC14" s="180">
        <f>(2*AC10+AC11)/2040</f>
        <v>0.41225490196078429</v>
      </c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A1:Y1048576 AI1:XFD1048576 Z1:AH9 Z17:AH1048576 Z10:AC13 AD10:AF16 AG12:AH16 AG10:AG11" name="Range1"/>
    <protectedRange algorithmName="SHA-512" hashValue="O3nVqS4WLk4xSwel02S7eaXy8tGCWXJyK2lfu+biOYQmABDVg5zp9yhHMIQgyZW+O3EzpAVmz3gg0T+9nAeyTA==" saltValue="wbZmK8/bm/bSkq9ih+cKbA==" spinCount="100000" sqref="Z14:AC14" name="Range1_1"/>
  </protectedRanges>
  <mergeCells count="17">
    <mergeCell ref="A1:B2"/>
    <mergeCell ref="C1:D2"/>
    <mergeCell ref="E1:F2"/>
    <mergeCell ref="G1:H2"/>
    <mergeCell ref="W3:Y3"/>
    <mergeCell ref="B3:D3"/>
    <mergeCell ref="E3:G3"/>
    <mergeCell ref="H3:J3"/>
    <mergeCell ref="K3:M3"/>
    <mergeCell ref="N3:P3"/>
    <mergeCell ref="S1:T2"/>
    <mergeCell ref="U1:V2"/>
    <mergeCell ref="AG10:AH10"/>
    <mergeCell ref="AG11:AH11"/>
    <mergeCell ref="Z1:AC3"/>
    <mergeCell ref="Q3:S3"/>
    <mergeCell ref="T3:V3"/>
  </mergeCells>
  <conditionalFormatting sqref="A12:V13">
    <cfRule type="cellIs" dxfId="104" priority="8" operator="equal">
      <formula>"PB"</formula>
    </cfRule>
  </conditionalFormatting>
  <conditionalFormatting sqref="Y5:Y12">
    <cfRule type="cellIs" dxfId="103" priority="4" operator="equal">
      <formula>"PB"</formula>
    </cfRule>
  </conditionalFormatting>
  <dataValidations count="2">
    <dataValidation type="whole" allowBlank="1" showInputMessage="1" showErrorMessage="1" sqref="C6:D11" xr:uid="{00000000-0002-0000-0000-000000000000}">
      <formula1>0</formula1>
      <formula2>5000</formula2>
    </dataValidation>
    <dataValidation type="whole" allowBlank="1" showInputMessage="1" showErrorMessage="1" sqref="F5:G5 F7:G11 I5:J6 I8:J11 L5:M7 L9:M11 O5:P8 O10:P11 R5:S9 R11:S11 U5:V10" xr:uid="{00000000-0002-0000-0000-000001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2"/>
  <sheetViews>
    <sheetView zoomScale="85" zoomScaleNormal="85" workbookViewId="0">
      <selection activeCell="B16" sqref="B16:O24"/>
    </sheetView>
  </sheetViews>
  <sheetFormatPr baseColWidth="10" defaultColWidth="8.88671875" defaultRowHeight="14.4" x14ac:dyDescent="0.3"/>
  <cols>
    <col min="1" max="1" width="19.5546875" style="24" bestFit="1" customWidth="1"/>
  </cols>
  <sheetData>
    <row r="1" spans="1:19" s="59" customFormat="1" ht="26.4" thickBot="1" x14ac:dyDescent="0.55000000000000004">
      <c r="A1" s="67" t="s">
        <v>66</v>
      </c>
      <c r="B1" s="323" t="s">
        <v>11</v>
      </c>
      <c r="C1" s="324"/>
      <c r="D1" s="325" t="s">
        <v>12</v>
      </c>
      <c r="E1" s="326"/>
      <c r="F1" s="331" t="s">
        <v>15</v>
      </c>
      <c r="G1" s="332"/>
      <c r="H1" s="327" t="s">
        <v>13</v>
      </c>
      <c r="I1" s="328"/>
      <c r="J1" s="333" t="s">
        <v>16</v>
      </c>
      <c r="K1" s="334"/>
      <c r="L1" s="329" t="s">
        <v>14</v>
      </c>
      <c r="M1" s="330"/>
      <c r="N1" s="335" t="s">
        <v>35</v>
      </c>
      <c r="O1" s="335"/>
      <c r="P1" s="336" t="s">
        <v>18</v>
      </c>
      <c r="Q1" s="336"/>
      <c r="R1" s="322" t="s">
        <v>19</v>
      </c>
      <c r="S1" s="322"/>
    </row>
    <row r="2" spans="1:19" ht="29.4" thickBot="1" x14ac:dyDescent="0.35">
      <c r="A2" s="67" t="s">
        <v>39</v>
      </c>
      <c r="B2" s="30" t="s">
        <v>37</v>
      </c>
      <c r="C2" s="30" t="s">
        <v>38</v>
      </c>
      <c r="D2" s="30" t="s">
        <v>37</v>
      </c>
      <c r="E2" s="30" t="s">
        <v>38</v>
      </c>
      <c r="F2" s="24" t="s">
        <v>21</v>
      </c>
      <c r="G2" s="16" t="s">
        <v>20</v>
      </c>
      <c r="H2" s="30" t="s">
        <v>37</v>
      </c>
      <c r="I2" s="30" t="s">
        <v>38</v>
      </c>
      <c r="J2" s="24" t="s">
        <v>21</v>
      </c>
      <c r="K2" s="16" t="s">
        <v>20</v>
      </c>
      <c r="L2" s="24" t="s">
        <v>21</v>
      </c>
      <c r="M2" s="16" t="s">
        <v>20</v>
      </c>
      <c r="N2" s="24" t="s">
        <v>21</v>
      </c>
      <c r="O2" s="16" t="s">
        <v>20</v>
      </c>
      <c r="P2" s="70" t="s">
        <v>21</v>
      </c>
      <c r="Q2" s="56" t="s">
        <v>20</v>
      </c>
      <c r="R2" s="70" t="s">
        <v>21</v>
      </c>
      <c r="S2" s="56" t="s">
        <v>20</v>
      </c>
    </row>
    <row r="3" spans="1:19" ht="24" thickBot="1" x14ac:dyDescent="0.35">
      <c r="A3" s="60" t="s">
        <v>11</v>
      </c>
      <c r="B3" s="31">
        <v>0</v>
      </c>
      <c r="C3" s="31">
        <v>0</v>
      </c>
      <c r="D3" s="32">
        <v>10</v>
      </c>
      <c r="E3" s="33">
        <v>90</v>
      </c>
      <c r="F3" s="32">
        <v>20</v>
      </c>
      <c r="G3" s="33">
        <v>60</v>
      </c>
      <c r="H3" s="32">
        <v>50</v>
      </c>
      <c r="I3" s="33">
        <v>130</v>
      </c>
      <c r="J3" s="32">
        <v>4</v>
      </c>
      <c r="K3" s="33">
        <v>180</v>
      </c>
      <c r="L3" s="32">
        <v>5</v>
      </c>
      <c r="M3" s="33">
        <v>30</v>
      </c>
      <c r="N3" s="32">
        <v>20</v>
      </c>
      <c r="O3" s="33">
        <v>60</v>
      </c>
      <c r="P3" s="32">
        <v>15</v>
      </c>
      <c r="Q3" s="33">
        <v>200</v>
      </c>
      <c r="R3" s="32">
        <v>10</v>
      </c>
      <c r="S3" s="33">
        <v>220</v>
      </c>
    </row>
    <row r="4" spans="1:19" ht="24" thickBot="1" x14ac:dyDescent="0.35">
      <c r="A4" s="61" t="s">
        <v>12</v>
      </c>
      <c r="B4" s="32">
        <v>10</v>
      </c>
      <c r="C4" s="33">
        <v>30</v>
      </c>
      <c r="D4" s="321" t="s">
        <v>22</v>
      </c>
      <c r="E4" s="321"/>
      <c r="F4" s="32">
        <v>10</v>
      </c>
      <c r="G4" s="33">
        <v>30</v>
      </c>
      <c r="H4" s="32">
        <v>20</v>
      </c>
      <c r="I4" s="33">
        <v>40</v>
      </c>
      <c r="J4" s="32">
        <v>20</v>
      </c>
      <c r="K4" s="33">
        <v>140</v>
      </c>
      <c r="L4" s="32">
        <v>5</v>
      </c>
      <c r="M4" s="33">
        <v>50</v>
      </c>
      <c r="N4" s="32">
        <v>10</v>
      </c>
      <c r="O4" s="33">
        <v>250</v>
      </c>
      <c r="P4" s="32">
        <v>20</v>
      </c>
      <c r="Q4" s="33">
        <v>120</v>
      </c>
      <c r="R4" s="32">
        <v>20</v>
      </c>
      <c r="S4" s="33">
        <v>150</v>
      </c>
    </row>
    <row r="5" spans="1:19" ht="24" thickBot="1" x14ac:dyDescent="0.35">
      <c r="A5" s="62" t="s">
        <v>15</v>
      </c>
      <c r="B5" s="32">
        <v>20</v>
      </c>
      <c r="C5" s="33">
        <v>50</v>
      </c>
      <c r="D5" s="32">
        <v>20</v>
      </c>
      <c r="E5" s="33">
        <v>10</v>
      </c>
      <c r="F5" s="321" t="s">
        <v>22</v>
      </c>
      <c r="G5" s="321"/>
      <c r="H5" s="32">
        <v>30</v>
      </c>
      <c r="I5" s="33">
        <v>100</v>
      </c>
      <c r="J5" s="32">
        <v>10</v>
      </c>
      <c r="K5" s="33">
        <v>150</v>
      </c>
      <c r="L5" s="32">
        <v>5</v>
      </c>
      <c r="M5" s="33">
        <v>20</v>
      </c>
      <c r="N5" s="32">
        <v>20</v>
      </c>
      <c r="O5" s="33">
        <v>10</v>
      </c>
      <c r="P5" s="32">
        <v>20</v>
      </c>
      <c r="Q5" s="33">
        <v>80</v>
      </c>
      <c r="R5" s="32">
        <v>20</v>
      </c>
      <c r="S5" s="33">
        <v>160</v>
      </c>
    </row>
    <row r="6" spans="1:19" ht="24" thickBot="1" x14ac:dyDescent="0.35">
      <c r="A6" s="63" t="s">
        <v>13</v>
      </c>
      <c r="B6" s="32">
        <v>50</v>
      </c>
      <c r="C6" s="33">
        <v>130</v>
      </c>
      <c r="D6" s="32">
        <v>10</v>
      </c>
      <c r="E6" s="33">
        <v>20</v>
      </c>
      <c r="F6" s="32">
        <v>15</v>
      </c>
      <c r="G6" s="33">
        <v>100</v>
      </c>
      <c r="H6" s="321" t="s">
        <v>22</v>
      </c>
      <c r="I6" s="321"/>
      <c r="J6" s="32">
        <v>15</v>
      </c>
      <c r="K6" s="33">
        <v>100</v>
      </c>
      <c r="L6" s="32">
        <v>5</v>
      </c>
      <c r="M6" s="33">
        <v>80</v>
      </c>
      <c r="N6" s="32">
        <v>3</v>
      </c>
      <c r="O6" s="33">
        <v>10</v>
      </c>
      <c r="P6" s="32">
        <v>10</v>
      </c>
      <c r="Q6" s="33">
        <v>60</v>
      </c>
      <c r="R6" s="32">
        <v>15</v>
      </c>
      <c r="S6" s="33">
        <v>100</v>
      </c>
    </row>
    <row r="7" spans="1:19" ht="24" thickBot="1" x14ac:dyDescent="0.35">
      <c r="A7" s="64" t="s">
        <v>16</v>
      </c>
      <c r="B7" s="32">
        <v>10</v>
      </c>
      <c r="C7" s="33">
        <v>100</v>
      </c>
      <c r="D7" s="32">
        <v>5</v>
      </c>
      <c r="E7" s="33">
        <v>10</v>
      </c>
      <c r="F7" s="32">
        <v>10</v>
      </c>
      <c r="G7" s="33">
        <v>40</v>
      </c>
      <c r="H7" s="32">
        <v>10</v>
      </c>
      <c r="I7" s="33">
        <v>20</v>
      </c>
      <c r="J7" s="321" t="s">
        <v>22</v>
      </c>
      <c r="K7" s="321"/>
      <c r="L7" s="32">
        <v>10</v>
      </c>
      <c r="M7" s="33">
        <v>30</v>
      </c>
      <c r="N7" s="32">
        <v>3</v>
      </c>
      <c r="O7" s="33">
        <v>10</v>
      </c>
      <c r="P7" s="32">
        <v>10</v>
      </c>
      <c r="Q7" s="33">
        <v>30</v>
      </c>
      <c r="R7" s="32">
        <v>30</v>
      </c>
      <c r="S7" s="33">
        <v>170</v>
      </c>
    </row>
    <row r="8" spans="1:19" ht="24" thickBot="1" x14ac:dyDescent="0.35">
      <c r="A8" s="65" t="s">
        <v>14</v>
      </c>
      <c r="B8" s="32">
        <v>5</v>
      </c>
      <c r="C8" s="33">
        <v>30</v>
      </c>
      <c r="D8" s="32">
        <v>5</v>
      </c>
      <c r="E8" s="33">
        <v>50</v>
      </c>
      <c r="F8" s="32">
        <v>10</v>
      </c>
      <c r="G8" s="33">
        <v>30</v>
      </c>
      <c r="H8" s="32">
        <v>20</v>
      </c>
      <c r="I8" s="33">
        <v>160</v>
      </c>
      <c r="J8" s="32">
        <v>4</v>
      </c>
      <c r="K8" s="33">
        <v>150</v>
      </c>
      <c r="L8" s="321" t="s">
        <v>22</v>
      </c>
      <c r="M8" s="321"/>
      <c r="N8" s="32">
        <v>3</v>
      </c>
      <c r="O8" s="33">
        <v>10</v>
      </c>
      <c r="P8" s="32">
        <v>10</v>
      </c>
      <c r="Q8" s="33">
        <v>120</v>
      </c>
      <c r="R8" s="32">
        <v>10</v>
      </c>
      <c r="S8" s="33">
        <v>180</v>
      </c>
    </row>
    <row r="9" spans="1:19" ht="24" thickBot="1" x14ac:dyDescent="0.35">
      <c r="A9" s="66" t="s">
        <v>35</v>
      </c>
      <c r="B9" s="32">
        <v>40</v>
      </c>
      <c r="C9" s="33">
        <v>50</v>
      </c>
      <c r="D9" s="32">
        <v>5</v>
      </c>
      <c r="E9" s="33">
        <v>10</v>
      </c>
      <c r="F9" s="32">
        <v>5</v>
      </c>
      <c r="G9" s="33">
        <v>10</v>
      </c>
      <c r="H9" s="32">
        <v>30</v>
      </c>
      <c r="I9" s="33">
        <v>120</v>
      </c>
      <c r="J9" s="32">
        <v>20</v>
      </c>
      <c r="K9" s="33">
        <v>60</v>
      </c>
      <c r="L9" s="32">
        <v>30</v>
      </c>
      <c r="M9" s="33">
        <v>20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</row>
    <row r="10" spans="1:19" ht="24" thickBot="1" x14ac:dyDescent="0.35">
      <c r="A10" s="68" t="s">
        <v>18</v>
      </c>
      <c r="B10" s="32">
        <v>20</v>
      </c>
      <c r="C10" s="33">
        <v>40</v>
      </c>
      <c r="D10" s="32">
        <v>5</v>
      </c>
      <c r="E10" s="33">
        <v>10</v>
      </c>
      <c r="F10" s="32">
        <v>10</v>
      </c>
      <c r="G10" s="33">
        <v>40</v>
      </c>
      <c r="H10" s="32">
        <v>10</v>
      </c>
      <c r="I10" s="33">
        <v>120</v>
      </c>
      <c r="J10" s="32">
        <v>4</v>
      </c>
      <c r="K10" s="33">
        <v>150</v>
      </c>
      <c r="L10" s="32">
        <v>5</v>
      </c>
      <c r="M10" s="33">
        <v>50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</row>
    <row r="11" spans="1:19" ht="24" thickBot="1" x14ac:dyDescent="0.35">
      <c r="A11" s="69" t="s">
        <v>19</v>
      </c>
      <c r="B11" s="32">
        <v>20</v>
      </c>
      <c r="C11" s="33">
        <v>30</v>
      </c>
      <c r="D11" s="32">
        <v>5</v>
      </c>
      <c r="E11" s="33">
        <v>80</v>
      </c>
      <c r="F11" s="32">
        <v>5</v>
      </c>
      <c r="G11" s="33">
        <v>30</v>
      </c>
      <c r="H11" s="32">
        <v>5</v>
      </c>
      <c r="I11" s="33">
        <v>100</v>
      </c>
      <c r="J11" s="32">
        <v>10</v>
      </c>
      <c r="K11" s="33">
        <v>150</v>
      </c>
      <c r="L11" s="32">
        <v>5</v>
      </c>
      <c r="M11" s="33">
        <v>80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</row>
    <row r="12" spans="1:19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70"/>
      <c r="Q12" s="70"/>
      <c r="R12" s="70"/>
      <c r="S12" s="70"/>
    </row>
  </sheetData>
  <sheetProtection password="CC0A" sheet="1" objects="1" scenarios="1"/>
  <mergeCells count="14">
    <mergeCell ref="L8:M8"/>
    <mergeCell ref="R1:S1"/>
    <mergeCell ref="B1:C1"/>
    <mergeCell ref="D1:E1"/>
    <mergeCell ref="H1:I1"/>
    <mergeCell ref="L1:M1"/>
    <mergeCell ref="F1:G1"/>
    <mergeCell ref="J1:K1"/>
    <mergeCell ref="N1:O1"/>
    <mergeCell ref="P1:Q1"/>
    <mergeCell ref="D4:E4"/>
    <mergeCell ref="F5:G5"/>
    <mergeCell ref="H6:I6"/>
    <mergeCell ref="J7:K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D57-4C33-483F-9121-70921163B4EC}">
  <sheetPr>
    <pageSetUpPr fitToPage="1"/>
  </sheetPr>
  <dimension ref="A1:S12"/>
  <sheetViews>
    <sheetView zoomScale="85" zoomScaleNormal="85" workbookViewId="0">
      <selection activeCell="B4" sqref="B4"/>
    </sheetView>
  </sheetViews>
  <sheetFormatPr baseColWidth="10" defaultColWidth="8.88671875" defaultRowHeight="14.4" x14ac:dyDescent="0.3"/>
  <cols>
    <col min="1" max="1" width="19.5546875" style="184" bestFit="1" customWidth="1"/>
  </cols>
  <sheetData>
    <row r="1" spans="1:19" s="59" customFormat="1" ht="26.4" thickBot="1" x14ac:dyDescent="0.55000000000000004">
      <c r="A1" s="67" t="s">
        <v>66</v>
      </c>
      <c r="B1" s="323" t="s">
        <v>11</v>
      </c>
      <c r="C1" s="324"/>
      <c r="D1" s="325" t="s">
        <v>12</v>
      </c>
      <c r="E1" s="326"/>
      <c r="F1" s="331" t="s">
        <v>15</v>
      </c>
      <c r="G1" s="332"/>
      <c r="H1" s="327" t="s">
        <v>13</v>
      </c>
      <c r="I1" s="328"/>
      <c r="J1" s="333" t="s">
        <v>16</v>
      </c>
      <c r="K1" s="334"/>
      <c r="L1" s="329" t="s">
        <v>14</v>
      </c>
      <c r="M1" s="330"/>
      <c r="N1" s="335" t="s">
        <v>35</v>
      </c>
      <c r="O1" s="335"/>
      <c r="P1" s="336" t="s">
        <v>18</v>
      </c>
      <c r="Q1" s="336"/>
      <c r="R1" s="322" t="s">
        <v>19</v>
      </c>
      <c r="S1" s="322"/>
    </row>
    <row r="2" spans="1:19" ht="29.4" thickBot="1" x14ac:dyDescent="0.35">
      <c r="A2" s="67" t="s">
        <v>39</v>
      </c>
      <c r="B2" s="30" t="s">
        <v>37</v>
      </c>
      <c r="C2" s="30" t="s">
        <v>38</v>
      </c>
      <c r="D2" s="30" t="s">
        <v>37</v>
      </c>
      <c r="E2" s="30" t="s">
        <v>38</v>
      </c>
      <c r="F2" s="184" t="s">
        <v>21</v>
      </c>
      <c r="G2" s="183" t="s">
        <v>20</v>
      </c>
      <c r="H2" s="30" t="s">
        <v>37</v>
      </c>
      <c r="I2" s="30" t="s">
        <v>38</v>
      </c>
      <c r="J2" s="184" t="s">
        <v>21</v>
      </c>
      <c r="K2" s="183" t="s">
        <v>20</v>
      </c>
      <c r="L2" s="184" t="s">
        <v>21</v>
      </c>
      <c r="M2" s="183" t="s">
        <v>20</v>
      </c>
      <c r="N2" s="184" t="s">
        <v>21</v>
      </c>
      <c r="O2" s="183" t="s">
        <v>20</v>
      </c>
      <c r="P2" s="184" t="s">
        <v>21</v>
      </c>
      <c r="Q2" s="183" t="s">
        <v>20</v>
      </c>
      <c r="R2" s="184" t="s">
        <v>21</v>
      </c>
      <c r="S2" s="183" t="s">
        <v>20</v>
      </c>
    </row>
    <row r="3" spans="1:19" ht="24" thickBot="1" x14ac:dyDescent="0.35">
      <c r="A3" s="60" t="s">
        <v>11</v>
      </c>
      <c r="B3" s="31">
        <v>0</v>
      </c>
      <c r="C3" s="31">
        <v>0</v>
      </c>
      <c r="D3" s="32">
        <v>10</v>
      </c>
      <c r="E3" s="33">
        <v>90</v>
      </c>
      <c r="F3" s="32">
        <v>20</v>
      </c>
      <c r="G3" s="33">
        <v>60</v>
      </c>
      <c r="H3" s="32">
        <v>50</v>
      </c>
      <c r="I3" s="33">
        <v>130</v>
      </c>
      <c r="J3" s="32">
        <v>4</v>
      </c>
      <c r="K3" s="33">
        <v>180</v>
      </c>
      <c r="L3" s="32">
        <v>5</v>
      </c>
      <c r="M3" s="33">
        <v>30</v>
      </c>
      <c r="N3" s="32">
        <v>20</v>
      </c>
      <c r="O3" s="33">
        <v>60</v>
      </c>
      <c r="P3" s="32">
        <v>15</v>
      </c>
      <c r="Q3" s="33">
        <v>200</v>
      </c>
      <c r="R3" s="32">
        <v>10</v>
      </c>
      <c r="S3" s="33">
        <v>220</v>
      </c>
    </row>
    <row r="4" spans="1:19" ht="24" thickBot="1" x14ac:dyDescent="0.35">
      <c r="A4" s="61" t="s">
        <v>12</v>
      </c>
      <c r="B4" s="32">
        <v>10</v>
      </c>
      <c r="C4" s="33">
        <v>30</v>
      </c>
      <c r="D4" s="321" t="s">
        <v>22</v>
      </c>
      <c r="E4" s="321"/>
      <c r="F4" s="32">
        <v>10</v>
      </c>
      <c r="G4" s="33">
        <v>30</v>
      </c>
      <c r="H4" s="32">
        <v>20</v>
      </c>
      <c r="I4" s="33">
        <v>40</v>
      </c>
      <c r="J4" s="32">
        <v>20</v>
      </c>
      <c r="K4" s="33">
        <v>140</v>
      </c>
      <c r="L4" s="32">
        <v>5</v>
      </c>
      <c r="M4" s="33">
        <v>50</v>
      </c>
      <c r="N4" s="32">
        <v>10</v>
      </c>
      <c r="O4" s="33">
        <v>250</v>
      </c>
      <c r="P4" s="32">
        <v>20</v>
      </c>
      <c r="Q4" s="33">
        <v>120</v>
      </c>
      <c r="R4" s="32">
        <v>20</v>
      </c>
      <c r="S4" s="33">
        <v>150</v>
      </c>
    </row>
    <row r="5" spans="1:19" ht="24" thickBot="1" x14ac:dyDescent="0.35">
      <c r="A5" s="62" t="s">
        <v>15</v>
      </c>
      <c r="B5" s="32">
        <v>20</v>
      </c>
      <c r="C5" s="33">
        <v>50</v>
      </c>
      <c r="D5" s="32">
        <v>20</v>
      </c>
      <c r="E5" s="33">
        <v>10</v>
      </c>
      <c r="F5" s="321" t="s">
        <v>22</v>
      </c>
      <c r="G5" s="321"/>
      <c r="H5" s="32">
        <v>30</v>
      </c>
      <c r="I5" s="33">
        <v>100</v>
      </c>
      <c r="J5" s="32">
        <v>10</v>
      </c>
      <c r="K5" s="33">
        <v>150</v>
      </c>
      <c r="L5" s="32">
        <v>5</v>
      </c>
      <c r="M5" s="33">
        <v>20</v>
      </c>
      <c r="N5" s="32">
        <v>20</v>
      </c>
      <c r="O5" s="33">
        <v>10</v>
      </c>
      <c r="P5" s="32">
        <v>20</v>
      </c>
      <c r="Q5" s="33">
        <v>80</v>
      </c>
      <c r="R5" s="32">
        <v>20</v>
      </c>
      <c r="S5" s="33">
        <v>160</v>
      </c>
    </row>
    <row r="6" spans="1:19" ht="24" thickBot="1" x14ac:dyDescent="0.35">
      <c r="A6" s="63" t="s">
        <v>13</v>
      </c>
      <c r="B6" s="32">
        <v>50</v>
      </c>
      <c r="C6" s="33">
        <v>130</v>
      </c>
      <c r="D6" s="32">
        <v>10</v>
      </c>
      <c r="E6" s="33">
        <v>20</v>
      </c>
      <c r="F6" s="32">
        <v>15</v>
      </c>
      <c r="G6" s="33">
        <v>100</v>
      </c>
      <c r="H6" s="321" t="s">
        <v>22</v>
      </c>
      <c r="I6" s="321"/>
      <c r="J6" s="32">
        <v>15</v>
      </c>
      <c r="K6" s="33">
        <v>100</v>
      </c>
      <c r="L6" s="32">
        <v>5</v>
      </c>
      <c r="M6" s="33">
        <v>80</v>
      </c>
      <c r="N6" s="32">
        <v>3</v>
      </c>
      <c r="O6" s="33">
        <v>10</v>
      </c>
      <c r="P6" s="32">
        <v>10</v>
      </c>
      <c r="Q6" s="33">
        <v>60</v>
      </c>
      <c r="R6" s="32">
        <v>15</v>
      </c>
      <c r="S6" s="33">
        <v>100</v>
      </c>
    </row>
    <row r="7" spans="1:19" ht="24" thickBot="1" x14ac:dyDescent="0.35">
      <c r="A7" s="64" t="s">
        <v>16</v>
      </c>
      <c r="B7" s="32">
        <v>10</v>
      </c>
      <c r="C7" s="33">
        <v>100</v>
      </c>
      <c r="D7" s="32">
        <v>5</v>
      </c>
      <c r="E7" s="33">
        <v>10</v>
      </c>
      <c r="F7" s="32">
        <v>10</v>
      </c>
      <c r="G7" s="33">
        <v>40</v>
      </c>
      <c r="H7" s="32">
        <v>10</v>
      </c>
      <c r="I7" s="33">
        <v>20</v>
      </c>
      <c r="J7" s="321" t="s">
        <v>22</v>
      </c>
      <c r="K7" s="321"/>
      <c r="L7" s="32">
        <v>10</v>
      </c>
      <c r="M7" s="33">
        <v>30</v>
      </c>
      <c r="N7" s="32">
        <v>3</v>
      </c>
      <c r="O7" s="33">
        <v>10</v>
      </c>
      <c r="P7" s="32">
        <v>10</v>
      </c>
      <c r="Q7" s="33">
        <v>30</v>
      </c>
      <c r="R7" s="32">
        <v>30</v>
      </c>
      <c r="S7" s="33">
        <v>170</v>
      </c>
    </row>
    <row r="8" spans="1:19" ht="24" thickBot="1" x14ac:dyDescent="0.35">
      <c r="A8" s="65" t="s">
        <v>14</v>
      </c>
      <c r="B8" s="32">
        <v>5</v>
      </c>
      <c r="C8" s="33">
        <v>30</v>
      </c>
      <c r="D8" s="32">
        <v>5</v>
      </c>
      <c r="E8" s="33">
        <v>50</v>
      </c>
      <c r="F8" s="32">
        <v>10</v>
      </c>
      <c r="G8" s="33">
        <v>30</v>
      </c>
      <c r="H8" s="32">
        <v>20</v>
      </c>
      <c r="I8" s="33">
        <v>160</v>
      </c>
      <c r="J8" s="32">
        <v>4</v>
      </c>
      <c r="K8" s="33">
        <v>150</v>
      </c>
      <c r="L8" s="321" t="s">
        <v>22</v>
      </c>
      <c r="M8" s="321"/>
      <c r="N8" s="32">
        <v>3</v>
      </c>
      <c r="O8" s="33">
        <v>10</v>
      </c>
      <c r="P8" s="32">
        <v>10</v>
      </c>
      <c r="Q8" s="33">
        <v>120</v>
      </c>
      <c r="R8" s="32">
        <v>10</v>
      </c>
      <c r="S8" s="33">
        <v>180</v>
      </c>
    </row>
    <row r="9" spans="1:19" ht="24" thickBot="1" x14ac:dyDescent="0.35">
      <c r="A9" s="66" t="s">
        <v>35</v>
      </c>
      <c r="B9" s="32">
        <v>40</v>
      </c>
      <c r="C9" s="33">
        <v>50</v>
      </c>
      <c r="D9" s="32">
        <v>5</v>
      </c>
      <c r="E9" s="33">
        <v>10</v>
      </c>
      <c r="F9" s="32">
        <v>5</v>
      </c>
      <c r="G9" s="33">
        <v>10</v>
      </c>
      <c r="H9" s="32">
        <v>30</v>
      </c>
      <c r="I9" s="33">
        <v>120</v>
      </c>
      <c r="J9" s="32">
        <v>20</v>
      </c>
      <c r="K9" s="33">
        <v>60</v>
      </c>
      <c r="L9" s="32">
        <v>30</v>
      </c>
      <c r="M9" s="33">
        <v>20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</row>
    <row r="10" spans="1:19" ht="24" thickBot="1" x14ac:dyDescent="0.35">
      <c r="A10" s="68" t="s">
        <v>18</v>
      </c>
      <c r="B10" s="32">
        <v>20</v>
      </c>
      <c r="C10" s="33">
        <v>40</v>
      </c>
      <c r="D10" s="32">
        <v>5</v>
      </c>
      <c r="E10" s="33">
        <v>10</v>
      </c>
      <c r="F10" s="32">
        <v>10</v>
      </c>
      <c r="G10" s="33">
        <v>40</v>
      </c>
      <c r="H10" s="32">
        <v>10</v>
      </c>
      <c r="I10" s="33">
        <v>120</v>
      </c>
      <c r="J10" s="32">
        <v>4</v>
      </c>
      <c r="K10" s="33">
        <v>150</v>
      </c>
      <c r="L10" s="32">
        <v>5</v>
      </c>
      <c r="M10" s="33">
        <v>50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</row>
    <row r="11" spans="1:19" ht="24" thickBot="1" x14ac:dyDescent="0.35">
      <c r="A11" s="69" t="s">
        <v>19</v>
      </c>
      <c r="B11" s="32">
        <v>20</v>
      </c>
      <c r="C11" s="33">
        <v>30</v>
      </c>
      <c r="D11" s="32">
        <v>5</v>
      </c>
      <c r="E11" s="33">
        <v>80</v>
      </c>
      <c r="F11" s="32">
        <v>5</v>
      </c>
      <c r="G11" s="33">
        <v>30</v>
      </c>
      <c r="H11" s="32">
        <v>5</v>
      </c>
      <c r="I11" s="33">
        <v>100</v>
      </c>
      <c r="J11" s="32">
        <v>10</v>
      </c>
      <c r="K11" s="33">
        <v>150</v>
      </c>
      <c r="L11" s="32">
        <v>5</v>
      </c>
      <c r="M11" s="33">
        <v>80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</row>
    <row r="12" spans="1:19" x14ac:dyDescent="0.3"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</row>
  </sheetData>
  <sheetProtection password="CC0A" sheet="1" objects="1" scenarios="1"/>
  <mergeCells count="14">
    <mergeCell ref="J7:K7"/>
    <mergeCell ref="L8:M8"/>
    <mergeCell ref="N1:O1"/>
    <mergeCell ref="P1:Q1"/>
    <mergeCell ref="R1:S1"/>
    <mergeCell ref="D4:E4"/>
    <mergeCell ref="F5:G5"/>
    <mergeCell ref="H6:I6"/>
    <mergeCell ref="B1:C1"/>
    <mergeCell ref="D1:E1"/>
    <mergeCell ref="F1:G1"/>
    <mergeCell ref="H1:I1"/>
    <mergeCell ref="J1:K1"/>
    <mergeCell ref="L1:M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14"/>
  <sheetViews>
    <sheetView zoomScale="60" zoomScaleNormal="60" workbookViewId="0">
      <selection activeCell="K24" sqref="K24"/>
    </sheetView>
  </sheetViews>
  <sheetFormatPr baseColWidth="10" defaultColWidth="8.88671875" defaultRowHeight="15.6" x14ac:dyDescent="0.3"/>
  <cols>
    <col min="1" max="1" width="19.5546875" style="105" bestFit="1" customWidth="1"/>
    <col min="2" max="2" width="8.88671875" style="107"/>
    <col min="3" max="4" width="8.88671875" style="101"/>
    <col min="5" max="5" width="8.88671875" style="107"/>
    <col min="6" max="7" width="8.88671875" style="101"/>
    <col min="8" max="8" width="8.88671875" style="107"/>
    <col min="9" max="10" width="8.88671875" style="101"/>
    <col min="11" max="11" width="8.88671875" style="107"/>
    <col min="12" max="13" width="8.88671875" style="101"/>
    <col min="14" max="14" width="8.88671875" style="107"/>
    <col min="15" max="16" width="8.88671875" style="101"/>
    <col min="17" max="17" width="8.88671875" style="107"/>
    <col min="18" max="19" width="8.88671875" style="101"/>
    <col min="20" max="20" width="8.88671875" style="107"/>
    <col min="21" max="22" width="8.88671875" style="101"/>
    <col min="23" max="25" width="8.88671875" style="108"/>
    <col min="26" max="26" width="36.44140625" style="101" bestFit="1" customWidth="1"/>
    <col min="27" max="27" width="8.88671875" style="101"/>
    <col min="28" max="28" width="4.5546875" style="101" bestFit="1" customWidth="1"/>
    <col min="29" max="29" width="24.44140625" style="101" customWidth="1"/>
    <col min="30" max="30" width="8.88671875" style="101"/>
    <col min="31" max="31" width="13.44140625" style="101" bestFit="1" customWidth="1"/>
    <col min="32" max="33" width="8.88671875" style="101"/>
    <col min="34" max="16384" width="8.88671875" style="106"/>
  </cols>
  <sheetData>
    <row r="1" spans="1:34" s="102" customFormat="1" ht="23.25" customHeight="1" x14ac:dyDescent="0.3">
      <c r="A1" s="192" t="s">
        <v>85</v>
      </c>
      <c r="B1" s="193"/>
      <c r="C1" s="196">
        <v>2</v>
      </c>
      <c r="D1" s="197"/>
      <c r="E1" s="192" t="s">
        <v>86</v>
      </c>
      <c r="F1" s="193"/>
      <c r="G1" s="196" t="s">
        <v>35</v>
      </c>
      <c r="H1" s="197"/>
      <c r="I1" s="110"/>
      <c r="J1" s="111"/>
      <c r="K1" s="111"/>
      <c r="L1" s="111"/>
      <c r="M1" s="111"/>
      <c r="N1" s="111"/>
      <c r="O1" s="111"/>
      <c r="P1" s="111"/>
      <c r="Q1" s="111"/>
      <c r="R1" s="111"/>
      <c r="S1" s="192" t="s">
        <v>87</v>
      </c>
      <c r="T1" s="193"/>
      <c r="U1" s="196"/>
      <c r="V1" s="197"/>
      <c r="W1" s="131"/>
      <c r="X1" s="131"/>
      <c r="Y1" s="131"/>
      <c r="Z1" s="186" t="s">
        <v>70</v>
      </c>
      <c r="AA1" s="186"/>
      <c r="AB1" s="186"/>
      <c r="AC1" s="186"/>
      <c r="AD1" s="101"/>
      <c r="AE1" s="101"/>
      <c r="AF1" s="101"/>
      <c r="AG1" s="101"/>
    </row>
    <row r="2" spans="1:34" s="102" customFormat="1" ht="24" customHeight="1" thickBot="1" x14ac:dyDescent="0.35">
      <c r="A2" s="194"/>
      <c r="B2" s="195"/>
      <c r="C2" s="198"/>
      <c r="D2" s="199"/>
      <c r="E2" s="194"/>
      <c r="F2" s="195"/>
      <c r="G2" s="198"/>
      <c r="H2" s="199"/>
      <c r="I2" s="112"/>
      <c r="J2" s="109"/>
      <c r="K2" s="109"/>
      <c r="L2" s="109"/>
      <c r="M2" s="109"/>
      <c r="N2" s="109"/>
      <c r="O2" s="109"/>
      <c r="P2" s="109"/>
      <c r="Q2" s="109"/>
      <c r="R2" s="109"/>
      <c r="S2" s="194"/>
      <c r="T2" s="195"/>
      <c r="U2" s="198"/>
      <c r="V2" s="199"/>
      <c r="W2" s="131"/>
      <c r="X2" s="131"/>
      <c r="Y2" s="131"/>
      <c r="Z2" s="186"/>
      <c r="AA2" s="186"/>
      <c r="AB2" s="186"/>
      <c r="AC2" s="186"/>
      <c r="AD2" s="101"/>
      <c r="AE2" s="101"/>
      <c r="AF2" s="101"/>
      <c r="AG2" s="101"/>
    </row>
    <row r="3" spans="1:34" s="104" customFormat="1" ht="26.4" thickBot="1" x14ac:dyDescent="0.55000000000000004">
      <c r="A3" s="113" t="s">
        <v>66</v>
      </c>
      <c r="B3" s="201" t="s">
        <v>11</v>
      </c>
      <c r="C3" s="202"/>
      <c r="D3" s="203"/>
      <c r="E3" s="204" t="s">
        <v>12</v>
      </c>
      <c r="F3" s="205"/>
      <c r="G3" s="206"/>
      <c r="H3" s="207" t="s">
        <v>15</v>
      </c>
      <c r="I3" s="208"/>
      <c r="J3" s="209"/>
      <c r="K3" s="210" t="s">
        <v>13</v>
      </c>
      <c r="L3" s="211"/>
      <c r="M3" s="212"/>
      <c r="N3" s="213" t="s">
        <v>16</v>
      </c>
      <c r="O3" s="214"/>
      <c r="P3" s="215"/>
      <c r="Q3" s="187" t="s">
        <v>14</v>
      </c>
      <c r="R3" s="188"/>
      <c r="S3" s="189"/>
      <c r="T3" s="190" t="s">
        <v>35</v>
      </c>
      <c r="U3" s="191"/>
      <c r="V3" s="191"/>
      <c r="W3" s="200" t="s">
        <v>69</v>
      </c>
      <c r="X3" s="200"/>
      <c r="Y3" s="200"/>
      <c r="Z3" s="186"/>
      <c r="AA3" s="186"/>
      <c r="AB3" s="186"/>
      <c r="AC3" s="186"/>
      <c r="AD3" s="103"/>
      <c r="AE3" s="103"/>
      <c r="AF3" s="103"/>
      <c r="AG3" s="103"/>
    </row>
    <row r="4" spans="1:34" ht="31.8" thickBot="1" x14ac:dyDescent="0.35">
      <c r="A4" s="113" t="s">
        <v>39</v>
      </c>
      <c r="B4" s="114" t="s">
        <v>36</v>
      </c>
      <c r="C4" s="115" t="s">
        <v>21</v>
      </c>
      <c r="D4" s="116" t="s">
        <v>20</v>
      </c>
      <c r="E4" s="114" t="s">
        <v>36</v>
      </c>
      <c r="F4" s="115" t="s">
        <v>21</v>
      </c>
      <c r="G4" s="116" t="s">
        <v>20</v>
      </c>
      <c r="H4" s="114" t="s">
        <v>36</v>
      </c>
      <c r="I4" s="115" t="s">
        <v>21</v>
      </c>
      <c r="J4" s="116" t="s">
        <v>20</v>
      </c>
      <c r="K4" s="114" t="s">
        <v>36</v>
      </c>
      <c r="L4" s="117" t="s">
        <v>21</v>
      </c>
      <c r="M4" s="117" t="s">
        <v>20</v>
      </c>
      <c r="N4" s="114" t="s">
        <v>36</v>
      </c>
      <c r="O4" s="115" t="s">
        <v>21</v>
      </c>
      <c r="P4" s="116" t="s">
        <v>20</v>
      </c>
      <c r="Q4" s="114" t="s">
        <v>36</v>
      </c>
      <c r="R4" s="115" t="s">
        <v>21</v>
      </c>
      <c r="S4" s="116" t="s">
        <v>20</v>
      </c>
      <c r="T4" s="114" t="s">
        <v>36</v>
      </c>
      <c r="U4" s="115" t="s">
        <v>21</v>
      </c>
      <c r="V4" s="116" t="s">
        <v>20</v>
      </c>
      <c r="W4" s="133" t="s">
        <v>21</v>
      </c>
      <c r="X4" s="133" t="s">
        <v>20</v>
      </c>
      <c r="Y4" s="133"/>
      <c r="Z4" s="134"/>
      <c r="AA4" s="134"/>
      <c r="AB4" s="134"/>
      <c r="AC4" s="134"/>
    </row>
    <row r="5" spans="1:34" ht="29.4" thickBot="1" x14ac:dyDescent="0.6">
      <c r="A5" s="118" t="s">
        <v>11</v>
      </c>
      <c r="B5" s="119">
        <v>0</v>
      </c>
      <c r="C5" s="120">
        <v>0</v>
      </c>
      <c r="D5" s="120">
        <v>0</v>
      </c>
      <c r="E5" s="122">
        <v>0.50694444444444442</v>
      </c>
      <c r="F5" s="99"/>
      <c r="G5" s="99"/>
      <c r="H5" s="122">
        <v>0.40972222222222227</v>
      </c>
      <c r="I5" s="99">
        <v>20</v>
      </c>
      <c r="J5" s="99">
        <v>60</v>
      </c>
      <c r="K5" s="122">
        <v>0.47916666666666669</v>
      </c>
      <c r="L5" s="99"/>
      <c r="M5" s="99"/>
      <c r="N5" s="122">
        <v>0.53472222222222221</v>
      </c>
      <c r="O5" s="99"/>
      <c r="P5" s="99"/>
      <c r="Q5" s="122">
        <v>0.45833333333333331</v>
      </c>
      <c r="R5" s="99">
        <v>5</v>
      </c>
      <c r="S5" s="99">
        <v>30</v>
      </c>
      <c r="T5" s="122">
        <v>0.22916666666666666</v>
      </c>
      <c r="U5" s="99">
        <v>20</v>
      </c>
      <c r="V5" s="99">
        <v>60</v>
      </c>
      <c r="W5" s="133">
        <f>C5+F5+I5+L5+O5+R5+U5</f>
        <v>45</v>
      </c>
      <c r="X5" s="133">
        <f>D5+G5+J5+M5+P5+S5+V5</f>
        <v>150</v>
      </c>
      <c r="Y5" s="115" t="str">
        <f>IF(OR(W5&gt;70,X5&gt;270),"PB","OK")</f>
        <v>OK</v>
      </c>
      <c r="Z5" s="135" t="s">
        <v>57</v>
      </c>
      <c r="AA5" s="135"/>
      <c r="AB5" s="135"/>
      <c r="AC5" s="136">
        <f>1440/60*4*(SUMPRODUCT($B$5:$B$11,C5:C11)+SUMPRODUCT($E$5:$E$11,F5:F11)+SUMPRODUCT($H$5:$H$11,I5:I11)+SUMPRODUCT($K$5:$K$11,L5:L11)+SUMPRODUCT($N$5:$N$11,O5:O11)+SUMPRODUCT($Q$5:$Q$11,R5:R11)+SUMPRODUCT($T$5:$T$11,U5:U11))</f>
        <v>6291.3333333333321</v>
      </c>
    </row>
    <row r="6" spans="1:34" ht="29.4" thickBot="1" x14ac:dyDescent="0.6">
      <c r="A6" s="121" t="s">
        <v>12</v>
      </c>
      <c r="B6" s="122">
        <v>0.50694444444444442</v>
      </c>
      <c r="C6" s="99"/>
      <c r="D6" s="99"/>
      <c r="E6" s="119">
        <v>0</v>
      </c>
      <c r="F6" s="120">
        <v>0</v>
      </c>
      <c r="G6" s="120">
        <v>0</v>
      </c>
      <c r="H6" s="122">
        <v>0.45833333333333331</v>
      </c>
      <c r="I6" s="99">
        <v>10</v>
      </c>
      <c r="J6" s="99">
        <v>30</v>
      </c>
      <c r="K6" s="122">
        <v>0.52777777777777779</v>
      </c>
      <c r="L6" s="99">
        <v>20</v>
      </c>
      <c r="M6" s="99">
        <v>40</v>
      </c>
      <c r="N6" s="122">
        <v>0.58333333333333337</v>
      </c>
      <c r="O6" s="99"/>
      <c r="P6" s="99"/>
      <c r="Q6" s="122">
        <v>0.50694444444444442</v>
      </c>
      <c r="R6" s="99">
        <v>5</v>
      </c>
      <c r="S6" s="99">
        <v>50</v>
      </c>
      <c r="T6" s="122">
        <v>0.27777777777777779</v>
      </c>
      <c r="U6" s="99">
        <v>3</v>
      </c>
      <c r="V6" s="99">
        <v>10</v>
      </c>
      <c r="W6" s="133">
        <f t="shared" ref="W6:X12" si="0">C6+F6+I6+L6+O6+R6+U6</f>
        <v>38</v>
      </c>
      <c r="X6" s="133">
        <f t="shared" si="0"/>
        <v>130</v>
      </c>
      <c r="Y6" s="115" t="str">
        <f t="shared" ref="Y6:Y12" si="1">IF(OR(W6&gt;70,X6&gt;270),"PB","OK")</f>
        <v>OK</v>
      </c>
      <c r="Z6" s="135" t="s">
        <v>68</v>
      </c>
      <c r="AA6" s="135"/>
      <c r="AB6" s="135"/>
      <c r="AC6" s="136">
        <f>1440/60*(SUMPRODUCT($B$5:$B$11,D5:D11)+SUMPRODUCT($E$5:$E$11,G5:G11)+SUMPRODUCT($H$5:$H$11,J5:J11)+SUMPRODUCT($K$5:$K$11,M5:M11)+SUMPRODUCT($N$5:$N$11,P5:P11)+SUMPRODUCT($Q$5:$Q$11,S5:S11)+SUMPRODUCT($T$5:$T$11,V5:V11))</f>
        <v>4826.666666666667</v>
      </c>
    </row>
    <row r="7" spans="1:34" ht="29.4" thickBot="1" x14ac:dyDescent="0.6">
      <c r="A7" s="123" t="s">
        <v>15</v>
      </c>
      <c r="B7" s="122">
        <v>0.40972222222222227</v>
      </c>
      <c r="C7" s="99"/>
      <c r="D7" s="99"/>
      <c r="E7" s="122">
        <v>0.45833333333333331</v>
      </c>
      <c r="F7" s="99"/>
      <c r="G7" s="99"/>
      <c r="H7" s="119">
        <v>0</v>
      </c>
      <c r="I7" s="120">
        <v>0</v>
      </c>
      <c r="J7" s="120">
        <v>0</v>
      </c>
      <c r="K7" s="122">
        <v>0.43055555555555558</v>
      </c>
      <c r="L7" s="99"/>
      <c r="M7" s="99"/>
      <c r="N7" s="122">
        <v>0.4861111111111111</v>
      </c>
      <c r="O7" s="99"/>
      <c r="P7" s="99"/>
      <c r="Q7" s="122">
        <v>0.40972222222222227</v>
      </c>
      <c r="R7" s="99"/>
      <c r="S7" s="99"/>
      <c r="T7" s="122">
        <v>0.18055555555555555</v>
      </c>
      <c r="U7" s="99"/>
      <c r="V7" s="99"/>
      <c r="W7" s="133">
        <f t="shared" si="0"/>
        <v>0</v>
      </c>
      <c r="X7" s="133">
        <f t="shared" si="0"/>
        <v>0</v>
      </c>
      <c r="Y7" s="115" t="str">
        <f t="shared" si="1"/>
        <v>OK</v>
      </c>
      <c r="Z7" s="135" t="s">
        <v>58</v>
      </c>
      <c r="AA7" s="135"/>
      <c r="AB7" s="135"/>
      <c r="AC7" s="136">
        <f>AC5+AC6</f>
        <v>11118</v>
      </c>
    </row>
    <row r="8" spans="1:34" ht="29.4" thickBot="1" x14ac:dyDescent="0.6">
      <c r="A8" s="124" t="s">
        <v>13</v>
      </c>
      <c r="B8" s="122">
        <v>0.47916666666666669</v>
      </c>
      <c r="C8" s="99"/>
      <c r="D8" s="99"/>
      <c r="E8" s="122">
        <v>0.52777777777777779</v>
      </c>
      <c r="F8" s="99"/>
      <c r="G8" s="99"/>
      <c r="H8" s="122">
        <v>0.43055555555555558</v>
      </c>
      <c r="I8" s="99"/>
      <c r="J8" s="99"/>
      <c r="K8" s="119">
        <v>0</v>
      </c>
      <c r="L8" s="120">
        <v>0</v>
      </c>
      <c r="M8" s="120">
        <v>0</v>
      </c>
      <c r="N8" s="122">
        <v>0.55555555555555558</v>
      </c>
      <c r="O8" s="99"/>
      <c r="P8" s="99"/>
      <c r="Q8" s="122">
        <v>0.47916666666666669</v>
      </c>
      <c r="R8" s="99"/>
      <c r="S8" s="99"/>
      <c r="T8" s="122">
        <v>0.25</v>
      </c>
      <c r="U8" s="99"/>
      <c r="V8" s="99"/>
      <c r="W8" s="133">
        <f t="shared" si="0"/>
        <v>0</v>
      </c>
      <c r="X8" s="133">
        <f t="shared" si="0"/>
        <v>0</v>
      </c>
      <c r="Y8" s="115" t="str">
        <f t="shared" si="1"/>
        <v>OK</v>
      </c>
      <c r="Z8" s="181" t="s">
        <v>74</v>
      </c>
      <c r="AA8" s="135"/>
      <c r="AB8" s="135"/>
      <c r="AC8" s="138">
        <f>35*AC7</f>
        <v>389130</v>
      </c>
    </row>
    <row r="9" spans="1:34" ht="29.4" thickBot="1" x14ac:dyDescent="0.6">
      <c r="A9" s="125" t="s">
        <v>16</v>
      </c>
      <c r="B9" s="122">
        <v>0.53472222222222221</v>
      </c>
      <c r="C9" s="99"/>
      <c r="D9" s="99"/>
      <c r="E9" s="122">
        <v>0.58333333333333337</v>
      </c>
      <c r="F9" s="99"/>
      <c r="G9" s="99"/>
      <c r="H9" s="122">
        <v>0.4861111111111111</v>
      </c>
      <c r="I9" s="99">
        <v>10</v>
      </c>
      <c r="J9" s="99">
        <v>40</v>
      </c>
      <c r="K9" s="122">
        <v>0.55555555555555558</v>
      </c>
      <c r="L9" s="99">
        <v>10</v>
      </c>
      <c r="M9" s="99">
        <v>20</v>
      </c>
      <c r="N9" s="119">
        <v>0</v>
      </c>
      <c r="O9" s="120">
        <v>0</v>
      </c>
      <c r="P9" s="120">
        <v>0</v>
      </c>
      <c r="Q9" s="122">
        <v>0.53472222222222221</v>
      </c>
      <c r="R9" s="99">
        <v>10</v>
      </c>
      <c r="S9" s="99">
        <v>30</v>
      </c>
      <c r="T9" s="122">
        <v>0.30555555555555552</v>
      </c>
      <c r="U9" s="99">
        <v>3</v>
      </c>
      <c r="V9" s="99">
        <v>10</v>
      </c>
      <c r="W9" s="133">
        <f t="shared" si="0"/>
        <v>33</v>
      </c>
      <c r="X9" s="133">
        <f t="shared" si="0"/>
        <v>100</v>
      </c>
      <c r="Y9" s="115" t="str">
        <f t="shared" si="1"/>
        <v>OK</v>
      </c>
      <c r="Z9" s="135"/>
      <c r="AA9" s="135" t="s">
        <v>121</v>
      </c>
      <c r="AB9" s="135"/>
      <c r="AC9" s="182">
        <f>(AC8/'Revenue - Year 1'!AC8)-1</f>
        <v>0.40740115616692663</v>
      </c>
    </row>
    <row r="10" spans="1:34" ht="29.4" thickBot="1" x14ac:dyDescent="0.6">
      <c r="A10" s="126" t="s">
        <v>14</v>
      </c>
      <c r="B10" s="122">
        <v>0.45833333333333331</v>
      </c>
      <c r="C10" s="99"/>
      <c r="D10" s="99"/>
      <c r="E10" s="122">
        <v>0.50694444444444442</v>
      </c>
      <c r="F10" s="99"/>
      <c r="G10" s="99"/>
      <c r="H10" s="122">
        <v>0.40972222222222227</v>
      </c>
      <c r="I10" s="99"/>
      <c r="J10" s="99"/>
      <c r="K10" s="122">
        <v>0.47916666666666669</v>
      </c>
      <c r="L10" s="99"/>
      <c r="M10" s="99"/>
      <c r="N10" s="122">
        <v>0.53472222222222221</v>
      </c>
      <c r="O10" s="99"/>
      <c r="P10" s="99"/>
      <c r="Q10" s="119">
        <v>0</v>
      </c>
      <c r="R10" s="120">
        <v>0</v>
      </c>
      <c r="S10" s="120">
        <v>0</v>
      </c>
      <c r="T10" s="122">
        <v>0.22916666666666666</v>
      </c>
      <c r="U10" s="99"/>
      <c r="V10" s="99"/>
      <c r="W10" s="133">
        <f t="shared" si="0"/>
        <v>0</v>
      </c>
      <c r="X10" s="133">
        <f t="shared" si="0"/>
        <v>0</v>
      </c>
      <c r="Y10" s="115" t="str">
        <f t="shared" si="1"/>
        <v>OK</v>
      </c>
      <c r="Z10" s="135" t="s">
        <v>59</v>
      </c>
      <c r="AA10" s="135"/>
      <c r="AB10" s="135"/>
      <c r="AC10" s="136">
        <f>AC12-AC11</f>
        <v>390</v>
      </c>
      <c r="AE10" s="172" t="s">
        <v>118</v>
      </c>
      <c r="AF10" s="172"/>
      <c r="AG10" s="185">
        <f>7*AC10</f>
        <v>2730</v>
      </c>
      <c r="AH10" s="185"/>
    </row>
    <row r="11" spans="1:34" ht="29.4" thickBot="1" x14ac:dyDescent="0.6">
      <c r="A11" s="127" t="s">
        <v>35</v>
      </c>
      <c r="B11" s="122">
        <v>0.22916666666666666</v>
      </c>
      <c r="C11" s="99"/>
      <c r="D11" s="99"/>
      <c r="E11" s="122">
        <v>0.27777777777777779</v>
      </c>
      <c r="F11" s="99"/>
      <c r="G11" s="99"/>
      <c r="H11" s="122">
        <v>0.18055555555555555</v>
      </c>
      <c r="I11" s="99">
        <v>5</v>
      </c>
      <c r="J11" s="99">
        <v>10</v>
      </c>
      <c r="K11" s="122">
        <v>0.25</v>
      </c>
      <c r="L11" s="99">
        <v>30</v>
      </c>
      <c r="M11" s="99">
        <v>120</v>
      </c>
      <c r="N11" s="122">
        <v>0.30555555555555552</v>
      </c>
      <c r="O11" s="99"/>
      <c r="P11" s="99"/>
      <c r="Q11" s="122">
        <v>0.22916666666666666</v>
      </c>
      <c r="R11" s="99">
        <v>30</v>
      </c>
      <c r="S11" s="99">
        <v>20</v>
      </c>
      <c r="T11" s="119">
        <v>0</v>
      </c>
      <c r="U11" s="120">
        <v>0</v>
      </c>
      <c r="V11" s="120">
        <v>0</v>
      </c>
      <c r="W11" s="133">
        <f t="shared" si="0"/>
        <v>65</v>
      </c>
      <c r="X11" s="133">
        <f t="shared" si="0"/>
        <v>150</v>
      </c>
      <c r="Y11" s="115" t="str">
        <f t="shared" si="1"/>
        <v>OK</v>
      </c>
      <c r="Z11" s="135" t="s">
        <v>60</v>
      </c>
      <c r="AA11" s="135"/>
      <c r="AB11" s="135"/>
      <c r="AC11" s="136">
        <f>SUM(U5:V10)+C11+D11+F11+G11+I11+J11+L11+M11+O11+P11+R11+S11</f>
        <v>321</v>
      </c>
      <c r="AE11" s="172" t="s">
        <v>119</v>
      </c>
      <c r="AF11" s="172"/>
      <c r="AG11" s="185">
        <f>7*AC11</f>
        <v>2247</v>
      </c>
      <c r="AH11" s="185"/>
    </row>
    <row r="12" spans="1:34" ht="29.4" thickBot="1" x14ac:dyDescent="0.6">
      <c r="A12" s="128" t="s">
        <v>40</v>
      </c>
      <c r="B12" s="122"/>
      <c r="C12" s="129">
        <f>SUM(C5:C11)</f>
        <v>0</v>
      </c>
      <c r="D12" s="129">
        <f>SUM(D5:D11)</f>
        <v>0</v>
      </c>
      <c r="E12" s="130"/>
      <c r="F12" s="129">
        <f>SUM(F5:F11)</f>
        <v>0</v>
      </c>
      <c r="G12" s="129">
        <f>SUM(G5:G11)</f>
        <v>0</v>
      </c>
      <c r="H12" s="130"/>
      <c r="I12" s="129">
        <f>SUM(I5:I11)</f>
        <v>45</v>
      </c>
      <c r="J12" s="129">
        <f>SUM(J5:J11)</f>
        <v>140</v>
      </c>
      <c r="K12" s="130"/>
      <c r="L12" s="129">
        <f>SUM(L5:L11)</f>
        <v>60</v>
      </c>
      <c r="M12" s="129">
        <f>SUM(M5:M11)</f>
        <v>180</v>
      </c>
      <c r="N12" s="130"/>
      <c r="O12" s="129">
        <f>SUM(O5:O11)</f>
        <v>0</v>
      </c>
      <c r="P12" s="129">
        <f>SUM(P5:P11)</f>
        <v>0</v>
      </c>
      <c r="Q12" s="130"/>
      <c r="R12" s="129">
        <f>SUM(R5:R11)</f>
        <v>50</v>
      </c>
      <c r="S12" s="129">
        <f>SUM(S5:S11)</f>
        <v>130</v>
      </c>
      <c r="T12" s="130"/>
      <c r="U12" s="129">
        <f>SUM(U5:U11)</f>
        <v>26</v>
      </c>
      <c r="V12" s="129">
        <f>SUM(V5:V11)</f>
        <v>80</v>
      </c>
      <c r="W12" s="133">
        <f t="shared" si="0"/>
        <v>181</v>
      </c>
      <c r="X12" s="133">
        <f t="shared" si="0"/>
        <v>530</v>
      </c>
      <c r="Y12" s="115" t="str">
        <f t="shared" si="1"/>
        <v>PB</v>
      </c>
      <c r="Z12" s="181" t="s">
        <v>61</v>
      </c>
      <c r="AA12" s="135"/>
      <c r="AB12" s="135"/>
      <c r="AC12" s="136">
        <f>SUM(B12:V12)</f>
        <v>711</v>
      </c>
    </row>
    <row r="13" spans="1:34" ht="14.4" x14ac:dyDescent="0.3">
      <c r="B13" s="105"/>
      <c r="C13" s="115" t="str">
        <f>+IF(C4="Y",IF(C12&gt;270,"PB","OK"),IF(C12&gt;70,"PB","OK"))</f>
        <v>OK</v>
      </c>
      <c r="D13" s="115" t="str">
        <f>+IF(D4="Y",IF(D12&gt;270,"PB","OK"),IF(D12&gt;70,"PB","OK"))</f>
        <v>OK</v>
      </c>
      <c r="E13" s="115"/>
      <c r="F13" s="115" t="str">
        <f t="shared" ref="F13" si="2">+IF(F4="Y",IF(F12&gt;270,"PB","ok"),IF(F12&gt;70,"PB","OK"))</f>
        <v>OK</v>
      </c>
      <c r="G13" s="115" t="str">
        <f>+IF(G4="Y",IF(G12&gt;270,"PB","OK"),IF(G12&gt;70,"PB","OK"))</f>
        <v>OK</v>
      </c>
      <c r="H13" s="115"/>
      <c r="I13" s="115" t="str">
        <f t="shared" ref="I13" si="3">+IF(I4="Y",IF(I12&gt;270,"PB","ok"),IF(I12&gt;70,"PB","OK"))</f>
        <v>OK</v>
      </c>
      <c r="J13" s="115" t="str">
        <f>+IF(J4="Y",IF(J12&gt;270,"PB","OK"),IF(J12&gt;70,"PB","OK"))</f>
        <v>OK</v>
      </c>
      <c r="K13" s="115"/>
      <c r="L13" s="115" t="str">
        <f t="shared" ref="L13" si="4">+IF(L4="Y",IF(L12&gt;270,"PB","ok"),IF(L12&gt;70,"PB","OK"))</f>
        <v>OK</v>
      </c>
      <c r="M13" s="115" t="str">
        <f>+IF(M4="Y",IF(M12&gt;270,"PB","OK"),IF(M12&gt;70,"PB","OK"))</f>
        <v>OK</v>
      </c>
      <c r="N13" s="115"/>
      <c r="O13" s="115" t="str">
        <f t="shared" ref="O13" si="5">+IF(O4="Y",IF(O12&gt;270,"PB","ok"),IF(O12&gt;70,"PB","OK"))</f>
        <v>OK</v>
      </c>
      <c r="P13" s="115" t="str">
        <f>+IF(P4="Y",IF(P12&gt;270,"PB","OK"),IF(P12&gt;70,"PB","OK"))</f>
        <v>OK</v>
      </c>
      <c r="Q13" s="115"/>
      <c r="R13" s="115" t="str">
        <f t="shared" ref="R13" si="6">+IF(R4="Y",IF(R12&gt;270,"PB","ok"),IF(R12&gt;70,"PB","OK"))</f>
        <v>OK</v>
      </c>
      <c r="S13" s="115" t="str">
        <f>+IF(S4="Y",IF(S12&gt;270,"PB","OK"),IF(S12&gt;70,"PB","OK"))</f>
        <v>OK</v>
      </c>
      <c r="T13" s="115"/>
      <c r="U13" s="115" t="str">
        <f>+IF(U4="Y",IF(U12&gt;270,"PB","OK"),IF(U12&gt;70,"PB","OK"))</f>
        <v>OK</v>
      </c>
      <c r="V13" s="115" t="str">
        <f>+IF(V4="Y",IF(V12&gt;270,"PB","OK"),IF(V12&gt;70,"PB","OK"))</f>
        <v>OK</v>
      </c>
      <c r="W13" s="139"/>
      <c r="X13" s="139"/>
      <c r="Y13" s="139"/>
    </row>
    <row r="14" spans="1:34" ht="28.8" x14ac:dyDescent="0.55000000000000004">
      <c r="Z14" s="181" t="s">
        <v>120</v>
      </c>
      <c r="AA14" s="135"/>
      <c r="AB14" s="135"/>
      <c r="AC14" s="180">
        <f>(2*AC10+AC11)/2040</f>
        <v>0.53970588235294115</v>
      </c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A1:Y1048576 AD1:XFD1048576 Z1:AC12 Z14:AC1048576" name="Range1"/>
  </protectedRanges>
  <mergeCells count="17">
    <mergeCell ref="A1:B2"/>
    <mergeCell ref="C1:D2"/>
    <mergeCell ref="E1:F2"/>
    <mergeCell ref="G1:H2"/>
    <mergeCell ref="B3:D3"/>
    <mergeCell ref="E3:G3"/>
    <mergeCell ref="H3:J3"/>
    <mergeCell ref="K3:M3"/>
    <mergeCell ref="N3:P3"/>
    <mergeCell ref="S1:T2"/>
    <mergeCell ref="U1:V2"/>
    <mergeCell ref="AG10:AH10"/>
    <mergeCell ref="AG11:AH11"/>
    <mergeCell ref="Z1:AC3"/>
    <mergeCell ref="Q3:S3"/>
    <mergeCell ref="T3:V3"/>
    <mergeCell ref="W3:Y3"/>
  </mergeCells>
  <conditionalFormatting sqref="A12:V13">
    <cfRule type="cellIs" dxfId="102" priority="2" operator="equal">
      <formula>"PB"</formula>
    </cfRule>
  </conditionalFormatting>
  <conditionalFormatting sqref="Y5:Y12">
    <cfRule type="cellIs" dxfId="101" priority="1" operator="equal">
      <formula>"PB"</formula>
    </cfRule>
  </conditionalFormatting>
  <dataValidations count="2">
    <dataValidation type="whole" allowBlank="1" showInputMessage="1" showErrorMessage="1" sqref="F5:G5 F7:G11 I5:J6 I8:J11 L5:M7 L9:M11 O5:P8 O10:P11 R5:S9 R11:S11 U5:V10" xr:uid="{00000000-0002-0000-0100-000000000000}">
      <formula1>0</formula1>
      <formula2>500</formula2>
    </dataValidation>
    <dataValidation type="whole" allowBlank="1" showInputMessage="1" showErrorMessage="1" sqref="C6:D11" xr:uid="{00000000-0002-0000-0100-000001000000}">
      <formula1>0</formula1>
      <formula2>5000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14"/>
  <sheetViews>
    <sheetView tabSelected="1" zoomScale="60" zoomScaleNormal="60" workbookViewId="0">
      <selection activeCell="AC21" sqref="AC21"/>
    </sheetView>
  </sheetViews>
  <sheetFormatPr baseColWidth="10" defaultColWidth="8.88671875" defaultRowHeight="15.6" x14ac:dyDescent="0.3"/>
  <cols>
    <col min="1" max="1" width="19.5546875" style="105" bestFit="1" customWidth="1"/>
    <col min="2" max="2" width="8.88671875" style="107"/>
    <col min="3" max="4" width="8.88671875" style="101"/>
    <col min="5" max="5" width="8.88671875" style="107"/>
    <col min="6" max="7" width="8.88671875" style="101"/>
    <col min="8" max="8" width="8.88671875" style="107"/>
    <col min="9" max="10" width="8.88671875" style="101"/>
    <col min="11" max="11" width="8.88671875" style="107"/>
    <col min="12" max="13" width="8.88671875" style="101"/>
    <col min="14" max="14" width="8.88671875" style="107"/>
    <col min="15" max="16" width="8.88671875" style="101"/>
    <col min="17" max="17" width="8.88671875" style="107"/>
    <col min="18" max="19" width="8.88671875" style="101"/>
    <col min="20" max="20" width="8.88671875" style="107"/>
    <col min="21" max="22" width="8.88671875" style="101"/>
    <col min="23" max="25" width="8.88671875" style="108"/>
    <col min="26" max="26" width="36.44140625" style="101" bestFit="1" customWidth="1"/>
    <col min="27" max="27" width="8.88671875" style="101"/>
    <col min="28" max="28" width="4.5546875" style="101" bestFit="1" customWidth="1"/>
    <col min="29" max="29" width="22.6640625" style="101" customWidth="1"/>
    <col min="30" max="30" width="8.88671875" style="101"/>
    <col min="31" max="31" width="13.44140625" style="101" bestFit="1" customWidth="1"/>
    <col min="32" max="33" width="8.88671875" style="101"/>
    <col min="34" max="16384" width="8.88671875" style="106"/>
  </cols>
  <sheetData>
    <row r="1" spans="1:34" s="102" customFormat="1" ht="23.25" customHeight="1" x14ac:dyDescent="0.3">
      <c r="A1" s="192" t="s">
        <v>85</v>
      </c>
      <c r="B1" s="193"/>
      <c r="C1" s="196">
        <v>3</v>
      </c>
      <c r="D1" s="197"/>
      <c r="E1" s="192" t="s">
        <v>86</v>
      </c>
      <c r="F1" s="193"/>
      <c r="G1" s="196" t="s">
        <v>35</v>
      </c>
      <c r="H1" s="197"/>
      <c r="I1" s="110"/>
      <c r="J1" s="111"/>
      <c r="K1" s="111"/>
      <c r="L1" s="111"/>
      <c r="M1" s="111"/>
      <c r="N1" s="111"/>
      <c r="O1" s="111"/>
      <c r="P1" s="111"/>
      <c r="Q1" s="111"/>
      <c r="R1" s="111"/>
      <c r="S1" s="192" t="s">
        <v>87</v>
      </c>
      <c r="T1" s="193"/>
      <c r="U1" s="196"/>
      <c r="V1" s="197"/>
      <c r="W1" s="131"/>
      <c r="X1" s="131"/>
      <c r="Y1" s="131"/>
      <c r="Z1" s="186" t="s">
        <v>70</v>
      </c>
      <c r="AA1" s="186"/>
      <c r="AB1" s="186"/>
      <c r="AC1" s="186"/>
      <c r="AD1" s="101"/>
      <c r="AE1" s="101"/>
      <c r="AF1" s="101"/>
      <c r="AG1" s="101"/>
    </row>
    <row r="2" spans="1:34" s="102" customFormat="1" ht="24" customHeight="1" thickBot="1" x14ac:dyDescent="0.35">
      <c r="A2" s="194"/>
      <c r="B2" s="195"/>
      <c r="C2" s="198"/>
      <c r="D2" s="199"/>
      <c r="E2" s="194"/>
      <c r="F2" s="195"/>
      <c r="G2" s="198"/>
      <c r="H2" s="199"/>
      <c r="I2" s="112"/>
      <c r="J2" s="109"/>
      <c r="K2" s="109"/>
      <c r="L2" s="109"/>
      <c r="M2" s="109"/>
      <c r="N2" s="109"/>
      <c r="O2" s="109"/>
      <c r="P2" s="109"/>
      <c r="Q2" s="109"/>
      <c r="R2" s="109"/>
      <c r="S2" s="194"/>
      <c r="T2" s="195"/>
      <c r="U2" s="198"/>
      <c r="V2" s="199"/>
      <c r="W2" s="131"/>
      <c r="X2" s="131"/>
      <c r="Y2" s="131"/>
      <c r="Z2" s="186"/>
      <c r="AA2" s="186"/>
      <c r="AB2" s="186"/>
      <c r="AC2" s="186"/>
      <c r="AD2" s="101"/>
      <c r="AE2" s="101"/>
      <c r="AF2" s="101"/>
      <c r="AG2" s="101"/>
    </row>
    <row r="3" spans="1:34" s="104" customFormat="1" ht="26.4" thickBot="1" x14ac:dyDescent="0.55000000000000004">
      <c r="A3" s="113" t="s">
        <v>66</v>
      </c>
      <c r="B3" s="201" t="s">
        <v>11</v>
      </c>
      <c r="C3" s="202"/>
      <c r="D3" s="203"/>
      <c r="E3" s="204" t="s">
        <v>12</v>
      </c>
      <c r="F3" s="205"/>
      <c r="G3" s="206"/>
      <c r="H3" s="207" t="s">
        <v>15</v>
      </c>
      <c r="I3" s="208"/>
      <c r="J3" s="209"/>
      <c r="K3" s="210" t="s">
        <v>13</v>
      </c>
      <c r="L3" s="211"/>
      <c r="M3" s="212"/>
      <c r="N3" s="213" t="s">
        <v>16</v>
      </c>
      <c r="O3" s="214"/>
      <c r="P3" s="215"/>
      <c r="Q3" s="187" t="s">
        <v>14</v>
      </c>
      <c r="R3" s="188"/>
      <c r="S3" s="189"/>
      <c r="T3" s="190" t="s">
        <v>35</v>
      </c>
      <c r="U3" s="191"/>
      <c r="V3" s="191"/>
      <c r="W3" s="200" t="s">
        <v>69</v>
      </c>
      <c r="X3" s="200"/>
      <c r="Y3" s="200"/>
      <c r="Z3" s="186"/>
      <c r="AA3" s="186"/>
      <c r="AB3" s="186"/>
      <c r="AC3" s="186"/>
      <c r="AD3" s="103"/>
      <c r="AE3" s="103"/>
      <c r="AF3" s="103"/>
      <c r="AG3" s="103"/>
    </row>
    <row r="4" spans="1:34" ht="31.8" thickBot="1" x14ac:dyDescent="0.35">
      <c r="A4" s="113" t="s">
        <v>39</v>
      </c>
      <c r="B4" s="114" t="s">
        <v>36</v>
      </c>
      <c r="C4" s="115" t="s">
        <v>21</v>
      </c>
      <c r="D4" s="116" t="s">
        <v>20</v>
      </c>
      <c r="E4" s="114" t="s">
        <v>36</v>
      </c>
      <c r="F4" s="115" t="s">
        <v>21</v>
      </c>
      <c r="G4" s="116" t="s">
        <v>20</v>
      </c>
      <c r="H4" s="114" t="s">
        <v>36</v>
      </c>
      <c r="I4" s="115" t="s">
        <v>21</v>
      </c>
      <c r="J4" s="116" t="s">
        <v>20</v>
      </c>
      <c r="K4" s="114" t="s">
        <v>36</v>
      </c>
      <c r="L4" s="117" t="s">
        <v>21</v>
      </c>
      <c r="M4" s="117" t="s">
        <v>20</v>
      </c>
      <c r="N4" s="114" t="s">
        <v>36</v>
      </c>
      <c r="O4" s="115" t="s">
        <v>21</v>
      </c>
      <c r="P4" s="116" t="s">
        <v>20</v>
      </c>
      <c r="Q4" s="114" t="s">
        <v>36</v>
      </c>
      <c r="R4" s="115" t="s">
        <v>21</v>
      </c>
      <c r="S4" s="116" t="s">
        <v>20</v>
      </c>
      <c r="T4" s="114" t="s">
        <v>36</v>
      </c>
      <c r="U4" s="115" t="s">
        <v>21</v>
      </c>
      <c r="V4" s="116" t="s">
        <v>20</v>
      </c>
      <c r="W4" s="133" t="s">
        <v>21</v>
      </c>
      <c r="X4" s="133" t="s">
        <v>20</v>
      </c>
      <c r="Y4" s="133"/>
      <c r="Z4" s="134"/>
      <c r="AA4" s="134"/>
      <c r="AB4" s="134"/>
      <c r="AC4" s="134"/>
    </row>
    <row r="5" spans="1:34" ht="29.4" thickBot="1" x14ac:dyDescent="0.6">
      <c r="A5" s="118" t="s">
        <v>11</v>
      </c>
      <c r="B5" s="119">
        <v>0</v>
      </c>
      <c r="C5" s="120">
        <v>0</v>
      </c>
      <c r="D5" s="120">
        <v>0</v>
      </c>
      <c r="E5" s="122">
        <v>0.50694444444444442</v>
      </c>
      <c r="F5" s="99"/>
      <c r="G5" s="99"/>
      <c r="H5" s="122">
        <v>0.40972222222222227</v>
      </c>
      <c r="I5" s="99"/>
      <c r="J5" s="99"/>
      <c r="K5" s="122">
        <v>0.47916666666666669</v>
      </c>
      <c r="L5" s="99"/>
      <c r="M5" s="99"/>
      <c r="N5" s="122">
        <v>0.53472222222222221</v>
      </c>
      <c r="O5" s="99"/>
      <c r="P5" s="99"/>
      <c r="Q5" s="122">
        <v>0.45833333333333331</v>
      </c>
      <c r="R5" s="99"/>
      <c r="S5" s="99"/>
      <c r="T5" s="122">
        <v>0.22916666666666666</v>
      </c>
      <c r="U5" s="99"/>
      <c r="V5" s="99"/>
      <c r="W5" s="133">
        <f>C5+F5+I5+L5+O5+R5+U5</f>
        <v>0</v>
      </c>
      <c r="X5" s="133">
        <f>D5+G5+J5+M5+P5+S5+V5</f>
        <v>0</v>
      </c>
      <c r="Y5" s="115" t="str">
        <f>IF(OR(W5&gt;70,X5&gt;270),"PB","OK")</f>
        <v>OK</v>
      </c>
      <c r="Z5" s="135" t="s">
        <v>57</v>
      </c>
      <c r="AA5" s="135"/>
      <c r="AB5" s="135"/>
      <c r="AC5" s="136">
        <f>1440/60*4*(SUMPRODUCT($B$5:$B$11,C5:C11)+SUMPRODUCT($E$5:$E$11,F5:F11)+SUMPRODUCT($H$5:$H$11,I5:I11)+SUMPRODUCT($K$5:$K$11,L5:L11)+SUMPRODUCT($N$5:$N$11,O5:O11)+SUMPRODUCT($Q$5:$Q$11,R5:R11)+SUMPRODUCT($T$5:$T$11,U5:U11))</f>
        <v>6778.666666666667</v>
      </c>
    </row>
    <row r="6" spans="1:34" ht="29.4" thickBot="1" x14ac:dyDescent="0.6">
      <c r="A6" s="121" t="s">
        <v>12</v>
      </c>
      <c r="B6" s="122">
        <v>0.50694444444444442</v>
      </c>
      <c r="C6" s="99">
        <v>10</v>
      </c>
      <c r="D6" s="99">
        <v>30</v>
      </c>
      <c r="E6" s="119">
        <v>0</v>
      </c>
      <c r="F6" s="120">
        <v>0</v>
      </c>
      <c r="G6" s="120">
        <v>0</v>
      </c>
      <c r="H6" s="122">
        <v>0.45833333333333331</v>
      </c>
      <c r="I6" s="99"/>
      <c r="J6" s="99"/>
      <c r="K6" s="122">
        <v>0.52777777777777779</v>
      </c>
      <c r="L6" s="99"/>
      <c r="M6" s="99"/>
      <c r="N6" s="122">
        <v>0.58333333333333337</v>
      </c>
      <c r="O6" s="99">
        <v>20</v>
      </c>
      <c r="P6" s="99">
        <v>140</v>
      </c>
      <c r="Q6" s="122">
        <v>0.50694444444444442</v>
      </c>
      <c r="R6" s="99"/>
      <c r="S6" s="99"/>
      <c r="T6" s="122">
        <v>0.27777777777777779</v>
      </c>
      <c r="U6" s="99">
        <v>3</v>
      </c>
      <c r="V6" s="99">
        <v>10</v>
      </c>
      <c r="W6" s="133">
        <f t="shared" ref="W6:X12" si="0">C6+F6+I6+L6+O6+R6+U6</f>
        <v>33</v>
      </c>
      <c r="X6" s="133">
        <f t="shared" si="0"/>
        <v>180</v>
      </c>
      <c r="Y6" s="115" t="str">
        <f t="shared" ref="Y6:Y12" si="1">IF(OR(W6&gt;70,X6&gt;270),"PB","OK")</f>
        <v>OK</v>
      </c>
      <c r="Z6" s="135" t="s">
        <v>68</v>
      </c>
      <c r="AA6" s="135"/>
      <c r="AB6" s="135"/>
      <c r="AC6" s="136">
        <f>1440/60*(SUMPRODUCT($B$5:$B$11,D5:D11)+SUMPRODUCT($E$5:$E$11,G5:G11)+SUMPRODUCT($H$5:$H$11,J5:J11)+SUMPRODUCT($K$5:$K$11,M5:M11)+SUMPRODUCT($N$5:$N$11,P5:P11)+SUMPRODUCT($Q$5:$Q$11,S5:S11)+SUMPRODUCT($T$5:$T$11,V5:V11))</f>
        <v>6789.9999999999991</v>
      </c>
    </row>
    <row r="7" spans="1:34" ht="29.4" thickBot="1" x14ac:dyDescent="0.6">
      <c r="A7" s="123" t="s">
        <v>15</v>
      </c>
      <c r="B7" s="122">
        <v>0.40972222222222227</v>
      </c>
      <c r="C7" s="99"/>
      <c r="D7" s="99"/>
      <c r="E7" s="122">
        <v>0.45833333333333331</v>
      </c>
      <c r="F7" s="99"/>
      <c r="G7" s="99"/>
      <c r="H7" s="119">
        <v>0</v>
      </c>
      <c r="I7" s="120">
        <v>0</v>
      </c>
      <c r="J7" s="120">
        <v>0</v>
      </c>
      <c r="K7" s="122">
        <v>0.43055555555555558</v>
      </c>
      <c r="L7" s="99">
        <v>30</v>
      </c>
      <c r="M7" s="99">
        <v>100</v>
      </c>
      <c r="N7" s="122">
        <v>0.4861111111111111</v>
      </c>
      <c r="O7" s="99"/>
      <c r="P7" s="99"/>
      <c r="Q7" s="122">
        <v>0.40972222222222227</v>
      </c>
      <c r="R7" s="99"/>
      <c r="S7" s="99"/>
      <c r="T7" s="122">
        <v>0.18055555555555555</v>
      </c>
      <c r="U7" s="99">
        <v>10</v>
      </c>
      <c r="V7" s="99">
        <v>150</v>
      </c>
      <c r="W7" s="133">
        <f t="shared" si="0"/>
        <v>40</v>
      </c>
      <c r="X7" s="133">
        <f t="shared" si="0"/>
        <v>250</v>
      </c>
      <c r="Y7" s="115" t="str">
        <f t="shared" si="1"/>
        <v>OK</v>
      </c>
      <c r="Z7" s="135" t="s">
        <v>58</v>
      </c>
      <c r="AA7" s="135"/>
      <c r="AB7" s="135"/>
      <c r="AC7" s="137">
        <f>AC5+AC6</f>
        <v>13568.666666666666</v>
      </c>
    </row>
    <row r="8" spans="1:34" ht="29.4" thickBot="1" x14ac:dyDescent="0.6">
      <c r="A8" s="124" t="s">
        <v>13</v>
      </c>
      <c r="B8" s="122">
        <v>0.47916666666666669</v>
      </c>
      <c r="C8" s="99">
        <v>50</v>
      </c>
      <c r="D8" s="99">
        <v>130</v>
      </c>
      <c r="E8" s="122">
        <v>0.52777777777777779</v>
      </c>
      <c r="F8" s="99"/>
      <c r="G8" s="99"/>
      <c r="H8" s="122">
        <v>0.43055555555555558</v>
      </c>
      <c r="I8" s="99"/>
      <c r="J8" s="99"/>
      <c r="K8" s="119">
        <v>0</v>
      </c>
      <c r="L8" s="120">
        <v>0</v>
      </c>
      <c r="M8" s="120">
        <v>0</v>
      </c>
      <c r="N8" s="122">
        <v>0.55555555555555558</v>
      </c>
      <c r="O8" s="99"/>
      <c r="P8" s="99"/>
      <c r="Q8" s="122">
        <v>0.47916666666666669</v>
      </c>
      <c r="R8" s="99"/>
      <c r="S8" s="99"/>
      <c r="T8" s="122">
        <v>0.25</v>
      </c>
      <c r="U8" s="99">
        <v>3</v>
      </c>
      <c r="V8" s="99">
        <v>10</v>
      </c>
      <c r="W8" s="133">
        <f t="shared" si="0"/>
        <v>53</v>
      </c>
      <c r="X8" s="133">
        <f t="shared" si="0"/>
        <v>140</v>
      </c>
      <c r="Y8" s="115" t="str">
        <f t="shared" si="1"/>
        <v>OK</v>
      </c>
      <c r="Z8" s="181" t="s">
        <v>74</v>
      </c>
      <c r="AA8" s="135"/>
      <c r="AB8" s="135"/>
      <c r="AC8" s="138">
        <f>35*AC7</f>
        <v>474903.33333333331</v>
      </c>
    </row>
    <row r="9" spans="1:34" ht="29.4" thickBot="1" x14ac:dyDescent="0.6">
      <c r="A9" s="125" t="s">
        <v>16</v>
      </c>
      <c r="B9" s="122">
        <v>0.53472222222222221</v>
      </c>
      <c r="C9" s="99"/>
      <c r="D9" s="99"/>
      <c r="E9" s="122">
        <v>0.58333333333333337</v>
      </c>
      <c r="F9" s="99"/>
      <c r="G9" s="99"/>
      <c r="H9" s="122">
        <v>0.4861111111111111</v>
      </c>
      <c r="I9" s="99"/>
      <c r="J9" s="99"/>
      <c r="K9" s="122">
        <v>0.55555555555555558</v>
      </c>
      <c r="L9" s="99"/>
      <c r="M9" s="99"/>
      <c r="N9" s="119">
        <v>0</v>
      </c>
      <c r="O9" s="120">
        <v>0</v>
      </c>
      <c r="P9" s="120">
        <v>0</v>
      </c>
      <c r="Q9" s="122">
        <v>0.53472222222222221</v>
      </c>
      <c r="R9" s="99"/>
      <c r="S9" s="99"/>
      <c r="T9" s="122">
        <v>0.30555555555555552</v>
      </c>
      <c r="U9" s="99"/>
      <c r="V9" s="99"/>
      <c r="W9" s="133">
        <f t="shared" si="0"/>
        <v>0</v>
      </c>
      <c r="X9" s="133">
        <f t="shared" si="0"/>
        <v>0</v>
      </c>
      <c r="Y9" s="115" t="str">
        <f t="shared" si="1"/>
        <v>OK</v>
      </c>
      <c r="Z9" s="135"/>
      <c r="AA9" s="135" t="s">
        <v>121</v>
      </c>
      <c r="AB9" s="135"/>
      <c r="AC9" s="182">
        <f>(AC8/'Revenue - Year 2'!AC8)-1</f>
        <v>0.22042333753073096</v>
      </c>
    </row>
    <row r="10" spans="1:34" ht="29.4" thickBot="1" x14ac:dyDescent="0.6">
      <c r="A10" s="126" t="s">
        <v>14</v>
      </c>
      <c r="B10" s="122">
        <v>0.45833333333333331</v>
      </c>
      <c r="C10" s="99"/>
      <c r="D10" s="99"/>
      <c r="E10" s="122">
        <v>0.50694444444444442</v>
      </c>
      <c r="F10" s="99"/>
      <c r="G10" s="99"/>
      <c r="H10" s="122">
        <v>0.40972222222222227</v>
      </c>
      <c r="I10" s="99"/>
      <c r="J10" s="99"/>
      <c r="K10" s="122">
        <v>0.47916666666666669</v>
      </c>
      <c r="L10" s="99"/>
      <c r="M10" s="99"/>
      <c r="N10" s="122">
        <v>0.53472222222222221</v>
      </c>
      <c r="O10" s="99"/>
      <c r="P10" s="99"/>
      <c r="Q10" s="119">
        <v>0</v>
      </c>
      <c r="R10" s="120">
        <v>0</v>
      </c>
      <c r="S10" s="120">
        <v>0</v>
      </c>
      <c r="T10" s="122">
        <v>0.22916666666666666</v>
      </c>
      <c r="U10" s="99"/>
      <c r="V10" s="99"/>
      <c r="W10" s="133">
        <f t="shared" si="0"/>
        <v>0</v>
      </c>
      <c r="X10" s="133">
        <f t="shared" si="0"/>
        <v>0</v>
      </c>
      <c r="Y10" s="115" t="str">
        <f t="shared" si="1"/>
        <v>OK</v>
      </c>
      <c r="Z10" s="135" t="s">
        <v>59</v>
      </c>
      <c r="AA10" s="135"/>
      <c r="AB10" s="135"/>
      <c r="AC10" s="136">
        <f>AC12-AC11</f>
        <v>510</v>
      </c>
      <c r="AE10" s="172" t="s">
        <v>118</v>
      </c>
      <c r="AF10" s="172"/>
      <c r="AG10" s="185">
        <f>7*AC10</f>
        <v>3570</v>
      </c>
      <c r="AH10" s="185"/>
    </row>
    <row r="11" spans="1:34" ht="29.4" thickBot="1" x14ac:dyDescent="0.6">
      <c r="A11" s="127" t="s">
        <v>35</v>
      </c>
      <c r="B11" s="122">
        <v>0.22916666666666666</v>
      </c>
      <c r="C11" s="99"/>
      <c r="D11" s="99"/>
      <c r="E11" s="122">
        <v>0.27777777777777779</v>
      </c>
      <c r="F11" s="99"/>
      <c r="G11" s="99"/>
      <c r="H11" s="122">
        <v>0.18055555555555555</v>
      </c>
      <c r="I11" s="99"/>
      <c r="J11" s="99"/>
      <c r="K11" s="122">
        <v>0.25</v>
      </c>
      <c r="L11" s="99">
        <v>30</v>
      </c>
      <c r="M11" s="99">
        <v>120</v>
      </c>
      <c r="N11" s="122">
        <v>0.30555555555555552</v>
      </c>
      <c r="O11" s="99">
        <v>20</v>
      </c>
      <c r="P11" s="99">
        <v>60</v>
      </c>
      <c r="Q11" s="122">
        <v>0.22916666666666666</v>
      </c>
      <c r="R11" s="99"/>
      <c r="S11" s="99"/>
      <c r="T11" s="119">
        <v>0</v>
      </c>
      <c r="U11" s="120">
        <v>0</v>
      </c>
      <c r="V11" s="120">
        <v>0</v>
      </c>
      <c r="W11" s="133">
        <f t="shared" si="0"/>
        <v>50</v>
      </c>
      <c r="X11" s="133">
        <f t="shared" si="0"/>
        <v>180</v>
      </c>
      <c r="Y11" s="115" t="str">
        <f t="shared" si="1"/>
        <v>OK</v>
      </c>
      <c r="Z11" s="135" t="s">
        <v>60</v>
      </c>
      <c r="AA11" s="135"/>
      <c r="AB11" s="135"/>
      <c r="AC11" s="136">
        <f>SUM(U5:V10)+C11+D11+F11+G11+I11+J11+L11+M11+O11+P11+R11+S11</f>
        <v>416</v>
      </c>
      <c r="AE11" s="172" t="s">
        <v>119</v>
      </c>
      <c r="AF11" s="172"/>
      <c r="AG11" s="185">
        <f>7*AC11</f>
        <v>2912</v>
      </c>
      <c r="AH11" s="185"/>
    </row>
    <row r="12" spans="1:34" ht="29.4" thickBot="1" x14ac:dyDescent="0.6">
      <c r="A12" s="128" t="s">
        <v>40</v>
      </c>
      <c r="B12" s="122"/>
      <c r="C12" s="129">
        <f>SUM(C5:C11)</f>
        <v>60</v>
      </c>
      <c r="D12" s="129">
        <f>SUM(D5:D11)</f>
        <v>160</v>
      </c>
      <c r="E12" s="130"/>
      <c r="F12" s="129">
        <f>SUM(F5:F11)</f>
        <v>0</v>
      </c>
      <c r="G12" s="129">
        <f>SUM(G5:G11)</f>
        <v>0</v>
      </c>
      <c r="H12" s="130"/>
      <c r="I12" s="129">
        <f>SUM(I5:I11)</f>
        <v>0</v>
      </c>
      <c r="J12" s="129">
        <f>SUM(J5:J11)</f>
        <v>0</v>
      </c>
      <c r="K12" s="130"/>
      <c r="L12" s="129">
        <f>SUM(L5:L11)</f>
        <v>60</v>
      </c>
      <c r="M12" s="129">
        <f>SUM(M5:M11)</f>
        <v>220</v>
      </c>
      <c r="N12" s="130"/>
      <c r="O12" s="129">
        <f>SUM(O5:O11)</f>
        <v>40</v>
      </c>
      <c r="P12" s="129">
        <f>SUM(P5:P11)</f>
        <v>200</v>
      </c>
      <c r="Q12" s="130"/>
      <c r="R12" s="129">
        <f>SUM(R5:R11)</f>
        <v>0</v>
      </c>
      <c r="S12" s="129">
        <f>SUM(S5:S11)</f>
        <v>0</v>
      </c>
      <c r="T12" s="130"/>
      <c r="U12" s="129">
        <f>SUM(U5:U11)</f>
        <v>16</v>
      </c>
      <c r="V12" s="129">
        <f>SUM(V5:V11)</f>
        <v>170</v>
      </c>
      <c r="W12" s="133">
        <f t="shared" si="0"/>
        <v>176</v>
      </c>
      <c r="X12" s="133">
        <f t="shared" si="0"/>
        <v>750</v>
      </c>
      <c r="Y12" s="115" t="str">
        <f t="shared" si="1"/>
        <v>PB</v>
      </c>
      <c r="Z12" s="181" t="s">
        <v>61</v>
      </c>
      <c r="AA12" s="135"/>
      <c r="AB12" s="135"/>
      <c r="AC12" s="136">
        <f>SUM(B12:V12)</f>
        <v>926</v>
      </c>
    </row>
    <row r="13" spans="1:34" ht="14.4" x14ac:dyDescent="0.3">
      <c r="B13" s="105"/>
      <c r="C13" s="115" t="str">
        <f>+IF(C4="Y",IF(C12&gt;270,"PB","OK"),IF(C12&gt;70,"PB","OK"))</f>
        <v>OK</v>
      </c>
      <c r="D13" s="115" t="str">
        <f>+IF(D4="Y",IF(D12&gt;270,"PB","OK"),IF(D12&gt;70,"PB","OK"))</f>
        <v>OK</v>
      </c>
      <c r="E13" s="115"/>
      <c r="F13" s="115" t="str">
        <f t="shared" ref="F13" si="2">+IF(F4="Y",IF(F12&gt;270,"PB","ok"),IF(F12&gt;70,"PB","OK"))</f>
        <v>OK</v>
      </c>
      <c r="G13" s="115" t="str">
        <f>+IF(G4="Y",IF(G12&gt;270,"PB","OK"),IF(G12&gt;70,"PB","OK"))</f>
        <v>OK</v>
      </c>
      <c r="H13" s="115"/>
      <c r="I13" s="115" t="str">
        <f t="shared" ref="I13" si="3">+IF(I4="Y",IF(I12&gt;270,"PB","ok"),IF(I12&gt;70,"PB","OK"))</f>
        <v>OK</v>
      </c>
      <c r="J13" s="115" t="str">
        <f>+IF(J4="Y",IF(J12&gt;270,"PB","OK"),IF(J12&gt;70,"PB","OK"))</f>
        <v>OK</v>
      </c>
      <c r="K13" s="115"/>
      <c r="L13" s="115" t="str">
        <f t="shared" ref="L13" si="4">+IF(L4="Y",IF(L12&gt;270,"PB","ok"),IF(L12&gt;70,"PB","OK"))</f>
        <v>OK</v>
      </c>
      <c r="M13" s="115" t="str">
        <f>+IF(M4="Y",IF(M12&gt;270,"PB","OK"),IF(M12&gt;70,"PB","OK"))</f>
        <v>OK</v>
      </c>
      <c r="N13" s="115"/>
      <c r="O13" s="115" t="str">
        <f t="shared" ref="O13" si="5">+IF(O4="Y",IF(O12&gt;270,"PB","ok"),IF(O12&gt;70,"PB","OK"))</f>
        <v>OK</v>
      </c>
      <c r="P13" s="115" t="str">
        <f>+IF(P4="Y",IF(P12&gt;270,"PB","OK"),IF(P12&gt;70,"PB","OK"))</f>
        <v>OK</v>
      </c>
      <c r="Q13" s="115"/>
      <c r="R13" s="115" t="str">
        <f t="shared" ref="R13" si="6">+IF(R4="Y",IF(R12&gt;270,"PB","ok"),IF(R12&gt;70,"PB","OK"))</f>
        <v>OK</v>
      </c>
      <c r="S13" s="115" t="str">
        <f>+IF(S4="Y",IF(S12&gt;270,"PB","OK"),IF(S12&gt;70,"PB","OK"))</f>
        <v>OK</v>
      </c>
      <c r="T13" s="115"/>
      <c r="U13" s="115" t="str">
        <f>+IF(U4="Y",IF(U12&gt;270,"PB","OK"),IF(U12&gt;70,"PB","OK"))</f>
        <v>OK</v>
      </c>
      <c r="V13" s="115" t="str">
        <f>+IF(V4="Y",IF(V12&gt;270,"PB","OK"),IF(V12&gt;70,"PB","OK"))</f>
        <v>OK</v>
      </c>
      <c r="W13" s="139"/>
      <c r="X13" s="139"/>
      <c r="Y13" s="139"/>
      <c r="Z13" s="140"/>
      <c r="AA13" s="140"/>
      <c r="AB13" s="134"/>
      <c r="AC13" s="134"/>
    </row>
    <row r="14" spans="1:34" ht="28.8" x14ac:dyDescent="0.55000000000000004">
      <c r="Z14" s="181" t="s">
        <v>120</v>
      </c>
      <c r="AA14" s="135"/>
      <c r="AB14" s="135"/>
      <c r="AC14" s="180">
        <f>(2*AC10+AC11)/2040</f>
        <v>0.70392156862745103</v>
      </c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A1:XFD8 A10:XFD13 A9:Z9 AD9:XFD9 A15:XFD1048576 A14:Y14 AD14:XFD14" name="Range1"/>
    <protectedRange algorithmName="SHA-512" hashValue="O3nVqS4WLk4xSwel02S7eaXy8tGCWXJyK2lfu+biOYQmABDVg5zp9yhHMIQgyZW+O3EzpAVmz3gg0T+9nAeyTA==" saltValue="wbZmK8/bm/bSkq9ih+cKbA==" spinCount="100000" sqref="AA9:AC9" name="Range1_2"/>
    <protectedRange algorithmName="SHA-512" hashValue="O3nVqS4WLk4xSwel02S7eaXy8tGCWXJyK2lfu+biOYQmABDVg5zp9yhHMIQgyZW+O3EzpAVmz3gg0T+9nAeyTA==" saltValue="wbZmK8/bm/bSkq9ih+cKbA==" spinCount="100000" sqref="Z14:AC14" name="Range1_3"/>
  </protectedRanges>
  <mergeCells count="17">
    <mergeCell ref="A1:B2"/>
    <mergeCell ref="C1:D2"/>
    <mergeCell ref="E1:F2"/>
    <mergeCell ref="G1:H2"/>
    <mergeCell ref="B3:D3"/>
    <mergeCell ref="E3:G3"/>
    <mergeCell ref="H3:J3"/>
    <mergeCell ref="K3:M3"/>
    <mergeCell ref="N3:P3"/>
    <mergeCell ref="S1:T2"/>
    <mergeCell ref="U1:V2"/>
    <mergeCell ref="AG10:AH10"/>
    <mergeCell ref="AG11:AH11"/>
    <mergeCell ref="Z1:AC3"/>
    <mergeCell ref="Q3:S3"/>
    <mergeCell ref="T3:V3"/>
    <mergeCell ref="W3:Y3"/>
  </mergeCells>
  <conditionalFormatting sqref="A12:V13">
    <cfRule type="cellIs" dxfId="100" priority="2" operator="equal">
      <formula>"PB"</formula>
    </cfRule>
  </conditionalFormatting>
  <conditionalFormatting sqref="Y5:Y12">
    <cfRule type="cellIs" dxfId="99" priority="1" operator="equal">
      <formula>"PB"</formula>
    </cfRule>
  </conditionalFormatting>
  <dataValidations count="2">
    <dataValidation type="whole" allowBlank="1" showInputMessage="1" showErrorMessage="1" sqref="C6:D11" xr:uid="{00000000-0002-0000-0200-000000000000}">
      <formula1>0</formula1>
      <formula2>5000</formula2>
    </dataValidation>
    <dataValidation type="whole" allowBlank="1" showInputMessage="1" showErrorMessage="1" sqref="F5:G5 F7:G11 I5:J6 I8:J11 L5:M7 L9:M11 O5:P8 O10:P11 R5:S9 R11:S11 U5:V10" xr:uid="{00000000-0002-0000-0200-000001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14"/>
  <sheetViews>
    <sheetView zoomScale="60" zoomScaleNormal="60" workbookViewId="0">
      <selection activeCell="A5" sqref="A5"/>
    </sheetView>
  </sheetViews>
  <sheetFormatPr baseColWidth="10" defaultColWidth="8.88671875" defaultRowHeight="15.6" x14ac:dyDescent="0.3"/>
  <cols>
    <col min="1" max="1" width="19.5546875" style="105" bestFit="1" customWidth="1"/>
    <col min="2" max="2" width="8.88671875" style="107"/>
    <col min="3" max="4" width="8.88671875" style="101"/>
    <col min="5" max="5" width="8.88671875" style="107"/>
    <col min="6" max="7" width="8.88671875" style="101"/>
    <col min="8" max="8" width="8.88671875" style="107"/>
    <col min="9" max="10" width="8.88671875" style="101"/>
    <col min="11" max="11" width="8.88671875" style="107"/>
    <col min="12" max="13" width="8.88671875" style="101"/>
    <col min="14" max="14" width="8.88671875" style="107"/>
    <col min="15" max="16" width="8.88671875" style="101"/>
    <col min="17" max="17" width="8.88671875" style="107"/>
    <col min="18" max="19" width="8.88671875" style="101"/>
    <col min="20" max="20" width="8.88671875" style="107"/>
    <col min="21" max="22" width="8.88671875" style="101"/>
    <col min="23" max="25" width="8.88671875" style="108"/>
    <col min="26" max="26" width="36.44140625" style="101" bestFit="1" customWidth="1"/>
    <col min="27" max="27" width="8.88671875" style="101"/>
    <col min="28" max="28" width="4.5546875" style="101" bestFit="1" customWidth="1"/>
    <col min="29" max="29" width="28.5546875" style="101" customWidth="1"/>
    <col min="30" max="30" width="8.88671875" style="101"/>
    <col min="31" max="31" width="13.44140625" style="101" bestFit="1" customWidth="1"/>
    <col min="32" max="33" width="8.88671875" style="101"/>
    <col min="34" max="16384" width="8.88671875" style="106"/>
  </cols>
  <sheetData>
    <row r="1" spans="1:34" s="102" customFormat="1" ht="23.25" customHeight="1" x14ac:dyDescent="0.3">
      <c r="A1" s="192" t="s">
        <v>85</v>
      </c>
      <c r="B1" s="193"/>
      <c r="C1" s="196">
        <v>4</v>
      </c>
      <c r="D1" s="197"/>
      <c r="E1" s="192" t="s">
        <v>86</v>
      </c>
      <c r="F1" s="193"/>
      <c r="G1" s="196" t="s">
        <v>35</v>
      </c>
      <c r="H1" s="197"/>
      <c r="I1" s="110"/>
      <c r="J1" s="111"/>
      <c r="K1" s="111"/>
      <c r="L1" s="111"/>
      <c r="M1" s="111"/>
      <c r="N1" s="111"/>
      <c r="O1" s="111"/>
      <c r="P1" s="111"/>
      <c r="Q1" s="111"/>
      <c r="R1" s="111"/>
      <c r="S1" s="192" t="s">
        <v>87</v>
      </c>
      <c r="T1" s="193"/>
      <c r="U1" s="196"/>
      <c r="V1" s="197"/>
      <c r="W1" s="131"/>
      <c r="X1" s="131"/>
      <c r="Y1" s="131"/>
      <c r="Z1" s="186" t="s">
        <v>70</v>
      </c>
      <c r="AA1" s="186"/>
      <c r="AB1" s="186"/>
      <c r="AC1" s="186"/>
      <c r="AD1" s="101"/>
      <c r="AE1" s="101"/>
      <c r="AF1" s="101"/>
      <c r="AG1" s="101"/>
    </row>
    <row r="2" spans="1:34" s="102" customFormat="1" ht="24" customHeight="1" thickBot="1" x14ac:dyDescent="0.35">
      <c r="A2" s="194"/>
      <c r="B2" s="195"/>
      <c r="C2" s="198"/>
      <c r="D2" s="199"/>
      <c r="E2" s="194"/>
      <c r="F2" s="195"/>
      <c r="G2" s="198"/>
      <c r="H2" s="199"/>
      <c r="I2" s="112"/>
      <c r="J2" s="109"/>
      <c r="K2" s="109"/>
      <c r="L2" s="109"/>
      <c r="M2" s="109"/>
      <c r="N2" s="109"/>
      <c r="O2" s="109"/>
      <c r="P2" s="109"/>
      <c r="Q2" s="109"/>
      <c r="R2" s="109"/>
      <c r="S2" s="194"/>
      <c r="T2" s="195"/>
      <c r="U2" s="198"/>
      <c r="V2" s="199"/>
      <c r="W2" s="131"/>
      <c r="X2" s="131"/>
      <c r="Y2" s="131"/>
      <c r="Z2" s="186"/>
      <c r="AA2" s="186"/>
      <c r="AB2" s="186"/>
      <c r="AC2" s="186"/>
      <c r="AD2" s="101"/>
      <c r="AE2" s="101"/>
      <c r="AF2" s="101"/>
      <c r="AG2" s="101"/>
    </row>
    <row r="3" spans="1:34" s="104" customFormat="1" ht="26.4" thickBot="1" x14ac:dyDescent="0.55000000000000004">
      <c r="A3" s="113" t="s">
        <v>66</v>
      </c>
      <c r="B3" s="201" t="s">
        <v>11</v>
      </c>
      <c r="C3" s="202"/>
      <c r="D3" s="203"/>
      <c r="E3" s="204" t="s">
        <v>12</v>
      </c>
      <c r="F3" s="205"/>
      <c r="G3" s="206"/>
      <c r="H3" s="207" t="s">
        <v>15</v>
      </c>
      <c r="I3" s="208"/>
      <c r="J3" s="209"/>
      <c r="K3" s="210" t="s">
        <v>13</v>
      </c>
      <c r="L3" s="211"/>
      <c r="M3" s="212"/>
      <c r="N3" s="213" t="s">
        <v>16</v>
      </c>
      <c r="O3" s="214"/>
      <c r="P3" s="215"/>
      <c r="Q3" s="187" t="s">
        <v>14</v>
      </c>
      <c r="R3" s="188"/>
      <c r="S3" s="189"/>
      <c r="T3" s="190" t="s">
        <v>35</v>
      </c>
      <c r="U3" s="191"/>
      <c r="V3" s="191"/>
      <c r="W3" s="200" t="s">
        <v>69</v>
      </c>
      <c r="X3" s="200"/>
      <c r="Y3" s="200"/>
      <c r="Z3" s="186"/>
      <c r="AA3" s="186"/>
      <c r="AB3" s="186"/>
      <c r="AC3" s="186"/>
      <c r="AD3" s="103"/>
      <c r="AE3" s="103"/>
      <c r="AF3" s="103"/>
      <c r="AG3" s="103"/>
    </row>
    <row r="4" spans="1:34" ht="31.8" thickBot="1" x14ac:dyDescent="0.35">
      <c r="A4" s="113" t="s">
        <v>39</v>
      </c>
      <c r="B4" s="114" t="s">
        <v>36</v>
      </c>
      <c r="C4" s="115" t="s">
        <v>21</v>
      </c>
      <c r="D4" s="116" t="s">
        <v>20</v>
      </c>
      <c r="E4" s="114" t="s">
        <v>36</v>
      </c>
      <c r="F4" s="115" t="s">
        <v>21</v>
      </c>
      <c r="G4" s="116" t="s">
        <v>20</v>
      </c>
      <c r="H4" s="114" t="s">
        <v>36</v>
      </c>
      <c r="I4" s="115" t="s">
        <v>21</v>
      </c>
      <c r="J4" s="116" t="s">
        <v>20</v>
      </c>
      <c r="K4" s="114" t="s">
        <v>36</v>
      </c>
      <c r="L4" s="117" t="s">
        <v>21</v>
      </c>
      <c r="M4" s="117" t="s">
        <v>20</v>
      </c>
      <c r="N4" s="114" t="s">
        <v>36</v>
      </c>
      <c r="O4" s="115" t="s">
        <v>21</v>
      </c>
      <c r="P4" s="116" t="s">
        <v>20</v>
      </c>
      <c r="Q4" s="114" t="s">
        <v>36</v>
      </c>
      <c r="R4" s="115" t="s">
        <v>21</v>
      </c>
      <c r="S4" s="116" t="s">
        <v>20</v>
      </c>
      <c r="T4" s="114" t="s">
        <v>36</v>
      </c>
      <c r="U4" s="115" t="s">
        <v>21</v>
      </c>
      <c r="V4" s="116" t="s">
        <v>20</v>
      </c>
      <c r="W4" s="133" t="s">
        <v>21</v>
      </c>
      <c r="X4" s="133" t="s">
        <v>20</v>
      </c>
      <c r="Y4" s="133"/>
      <c r="Z4" s="134"/>
      <c r="AA4" s="134"/>
      <c r="AB4" s="134"/>
      <c r="AC4" s="134"/>
    </row>
    <row r="5" spans="1:34" ht="29.4" thickBot="1" x14ac:dyDescent="0.6">
      <c r="A5" s="118" t="s">
        <v>11</v>
      </c>
      <c r="B5" s="119">
        <v>0</v>
      </c>
      <c r="C5" s="120">
        <v>0</v>
      </c>
      <c r="D5" s="120">
        <v>0</v>
      </c>
      <c r="E5" s="122">
        <v>0.50694444444444442</v>
      </c>
      <c r="F5" s="99"/>
      <c r="G5" s="99"/>
      <c r="H5" s="122">
        <v>0.40972222222222227</v>
      </c>
      <c r="I5" s="99"/>
      <c r="J5" s="99"/>
      <c r="K5" s="122">
        <v>0.47916666666666669</v>
      </c>
      <c r="L5" s="99"/>
      <c r="M5" s="99"/>
      <c r="N5" s="122">
        <v>0.53472222222222221</v>
      </c>
      <c r="O5" s="99"/>
      <c r="P5" s="99"/>
      <c r="Q5" s="122">
        <v>0.45833333333333331</v>
      </c>
      <c r="R5" s="99"/>
      <c r="S5" s="99"/>
      <c r="T5" s="122">
        <v>0.22916666666666666</v>
      </c>
      <c r="U5" s="99"/>
      <c r="V5" s="99"/>
      <c r="W5" s="133">
        <f>C5+F5+I5+L5+O5+R5+U5</f>
        <v>0</v>
      </c>
      <c r="X5" s="133">
        <f>D5+G5+J5+M5+P5+S5+V5</f>
        <v>0</v>
      </c>
      <c r="Y5" s="115" t="str">
        <f>IF(OR(W5&gt;70,X5&gt;270),"PB","OK")</f>
        <v>OK</v>
      </c>
      <c r="Z5" s="135" t="s">
        <v>57</v>
      </c>
      <c r="AA5" s="135"/>
      <c r="AB5" s="135"/>
      <c r="AC5" s="136">
        <f>1440/60*4*(SUMPRODUCT($B$5:$B$11,C5:C11)+SUMPRODUCT($E$5:$E$11,F5:F11)+SUMPRODUCT($H$5:$H$11,I5:I11)+SUMPRODUCT($K$5:$K$11,L5:L11)+SUMPRODUCT($N$5:$N$11,O5:O11)+SUMPRODUCT($Q$5:$Q$11,R5:R11)+SUMPRODUCT($T$5:$T$11,U5:U11))</f>
        <v>0</v>
      </c>
    </row>
    <row r="6" spans="1:34" ht="29.4" thickBot="1" x14ac:dyDescent="0.6">
      <c r="A6" s="121" t="s">
        <v>12</v>
      </c>
      <c r="B6" s="122">
        <v>0.50694444444444442</v>
      </c>
      <c r="C6" s="99"/>
      <c r="D6" s="99"/>
      <c r="E6" s="119">
        <v>0</v>
      </c>
      <c r="F6" s="120">
        <v>0</v>
      </c>
      <c r="G6" s="120">
        <v>0</v>
      </c>
      <c r="H6" s="122">
        <v>0.45833333333333331</v>
      </c>
      <c r="I6" s="99"/>
      <c r="J6" s="99"/>
      <c r="K6" s="122">
        <v>0.52777777777777779</v>
      </c>
      <c r="L6" s="99"/>
      <c r="M6" s="99"/>
      <c r="N6" s="122">
        <v>0.58333333333333337</v>
      </c>
      <c r="O6" s="99"/>
      <c r="P6" s="99"/>
      <c r="Q6" s="122">
        <v>0.50694444444444442</v>
      </c>
      <c r="R6" s="99"/>
      <c r="S6" s="99"/>
      <c r="T6" s="122">
        <v>0.27777777777777779</v>
      </c>
      <c r="U6" s="99"/>
      <c r="V6" s="99"/>
      <c r="W6" s="133">
        <f t="shared" ref="W6:X12" si="0">C6+F6+I6+L6+O6+R6+U6</f>
        <v>0</v>
      </c>
      <c r="X6" s="133">
        <f t="shared" si="0"/>
        <v>0</v>
      </c>
      <c r="Y6" s="115" t="str">
        <f t="shared" ref="Y6:Y12" si="1">IF(OR(W6&gt;70,X6&gt;270),"PB","OK")</f>
        <v>OK</v>
      </c>
      <c r="Z6" s="135" t="s">
        <v>68</v>
      </c>
      <c r="AA6" s="135"/>
      <c r="AB6" s="135"/>
      <c r="AC6" s="136">
        <f>1440/60*(SUMPRODUCT($B$5:$B$11,D5:D11)+SUMPRODUCT($E$5:$E$11,G5:G11)+SUMPRODUCT($H$5:$H$11,J5:J11)+SUMPRODUCT($K$5:$K$11,M5:M11)+SUMPRODUCT($N$5:$N$11,P5:P11)+SUMPRODUCT($Q$5:$Q$11,S5:S11)+SUMPRODUCT($T$5:$T$11,V5:V11))</f>
        <v>0</v>
      </c>
    </row>
    <row r="7" spans="1:34" ht="29.4" thickBot="1" x14ac:dyDescent="0.6">
      <c r="A7" s="123" t="s">
        <v>15</v>
      </c>
      <c r="B7" s="122">
        <v>0.40972222222222227</v>
      </c>
      <c r="C7" s="99"/>
      <c r="D7" s="99"/>
      <c r="E7" s="122">
        <v>0.45833333333333331</v>
      </c>
      <c r="F7" s="99"/>
      <c r="G7" s="99"/>
      <c r="H7" s="119">
        <v>0</v>
      </c>
      <c r="I7" s="120">
        <v>0</v>
      </c>
      <c r="J7" s="120">
        <v>0</v>
      </c>
      <c r="K7" s="122">
        <v>0.43055555555555558</v>
      </c>
      <c r="L7" s="99"/>
      <c r="M7" s="99"/>
      <c r="N7" s="122">
        <v>0.4861111111111111</v>
      </c>
      <c r="O7" s="99"/>
      <c r="P7" s="99"/>
      <c r="Q7" s="122">
        <v>0.40972222222222227</v>
      </c>
      <c r="R7" s="99"/>
      <c r="S7" s="99"/>
      <c r="T7" s="122">
        <v>0.18055555555555555</v>
      </c>
      <c r="U7" s="99"/>
      <c r="V7" s="99"/>
      <c r="W7" s="133">
        <f t="shared" si="0"/>
        <v>0</v>
      </c>
      <c r="X7" s="133">
        <f t="shared" si="0"/>
        <v>0</v>
      </c>
      <c r="Y7" s="115" t="str">
        <f t="shared" si="1"/>
        <v>OK</v>
      </c>
      <c r="Z7" s="135" t="s">
        <v>58</v>
      </c>
      <c r="AA7" s="135"/>
      <c r="AB7" s="135"/>
      <c r="AC7" s="137">
        <f>AC5+AC6</f>
        <v>0</v>
      </c>
    </row>
    <row r="8" spans="1:34" ht="29.4" thickBot="1" x14ac:dyDescent="0.6">
      <c r="A8" s="124" t="s">
        <v>13</v>
      </c>
      <c r="B8" s="122">
        <v>0.47916666666666669</v>
      </c>
      <c r="C8" s="99"/>
      <c r="D8" s="99"/>
      <c r="E8" s="122">
        <v>0.52777777777777779</v>
      </c>
      <c r="F8" s="99"/>
      <c r="G8" s="99"/>
      <c r="H8" s="122">
        <v>0.43055555555555558</v>
      </c>
      <c r="I8" s="99"/>
      <c r="J8" s="99"/>
      <c r="K8" s="119">
        <v>0</v>
      </c>
      <c r="L8" s="120">
        <v>0</v>
      </c>
      <c r="M8" s="120">
        <v>0</v>
      </c>
      <c r="N8" s="122">
        <v>0.55555555555555558</v>
      </c>
      <c r="O8" s="99"/>
      <c r="P8" s="99"/>
      <c r="Q8" s="122">
        <v>0.47916666666666669</v>
      </c>
      <c r="R8" s="99"/>
      <c r="S8" s="99"/>
      <c r="T8" s="122">
        <v>0.25</v>
      </c>
      <c r="U8" s="99"/>
      <c r="V8" s="99"/>
      <c r="W8" s="133">
        <f t="shared" si="0"/>
        <v>0</v>
      </c>
      <c r="X8" s="133">
        <f t="shared" si="0"/>
        <v>0</v>
      </c>
      <c r="Y8" s="115" t="str">
        <f t="shared" si="1"/>
        <v>OK</v>
      </c>
      <c r="Z8" s="181" t="s">
        <v>74</v>
      </c>
      <c r="AA8" s="135"/>
      <c r="AB8" s="135"/>
      <c r="AC8" s="138">
        <f>35*AC7</f>
        <v>0</v>
      </c>
    </row>
    <row r="9" spans="1:34" ht="29.4" thickBot="1" x14ac:dyDescent="0.6">
      <c r="A9" s="125" t="s">
        <v>16</v>
      </c>
      <c r="B9" s="122">
        <v>0.53472222222222221</v>
      </c>
      <c r="C9" s="99"/>
      <c r="D9" s="99"/>
      <c r="E9" s="122">
        <v>0.58333333333333337</v>
      </c>
      <c r="F9" s="99"/>
      <c r="G9" s="99"/>
      <c r="H9" s="122">
        <v>0.4861111111111111</v>
      </c>
      <c r="I9" s="99"/>
      <c r="J9" s="99"/>
      <c r="K9" s="122">
        <v>0.55555555555555558</v>
      </c>
      <c r="L9" s="99"/>
      <c r="M9" s="99"/>
      <c r="N9" s="119">
        <v>0</v>
      </c>
      <c r="O9" s="120">
        <v>0</v>
      </c>
      <c r="P9" s="120">
        <v>0</v>
      </c>
      <c r="Q9" s="122">
        <v>0.53472222222222221</v>
      </c>
      <c r="R9" s="99"/>
      <c r="S9" s="99"/>
      <c r="T9" s="122">
        <v>0.30555555555555552</v>
      </c>
      <c r="U9" s="99"/>
      <c r="V9" s="99"/>
      <c r="W9" s="133">
        <f t="shared" si="0"/>
        <v>0</v>
      </c>
      <c r="X9" s="133">
        <f t="shared" si="0"/>
        <v>0</v>
      </c>
      <c r="Y9" s="115" t="str">
        <f t="shared" si="1"/>
        <v>OK</v>
      </c>
      <c r="Z9" s="135"/>
      <c r="AA9" s="135" t="s">
        <v>121</v>
      </c>
      <c r="AB9" s="135"/>
      <c r="AC9" s="182">
        <f>(AC8/'Revenue - Year 3'!AC8)-1</f>
        <v>-1</v>
      </c>
    </row>
    <row r="10" spans="1:34" ht="29.4" thickBot="1" x14ac:dyDescent="0.6">
      <c r="A10" s="126" t="s">
        <v>14</v>
      </c>
      <c r="B10" s="122">
        <v>0.45833333333333331</v>
      </c>
      <c r="C10" s="99"/>
      <c r="D10" s="99"/>
      <c r="E10" s="122">
        <v>0.50694444444444442</v>
      </c>
      <c r="F10" s="99"/>
      <c r="G10" s="99"/>
      <c r="H10" s="122">
        <v>0.40972222222222227</v>
      </c>
      <c r="I10" s="99"/>
      <c r="J10" s="99"/>
      <c r="K10" s="122">
        <v>0.47916666666666669</v>
      </c>
      <c r="L10" s="99"/>
      <c r="M10" s="99"/>
      <c r="N10" s="122">
        <v>0.53472222222222221</v>
      </c>
      <c r="O10" s="99"/>
      <c r="P10" s="99"/>
      <c r="Q10" s="119">
        <v>0</v>
      </c>
      <c r="R10" s="120">
        <v>0</v>
      </c>
      <c r="S10" s="120">
        <v>0</v>
      </c>
      <c r="T10" s="122">
        <v>0.22916666666666666</v>
      </c>
      <c r="U10" s="99"/>
      <c r="V10" s="99"/>
      <c r="W10" s="133">
        <f t="shared" si="0"/>
        <v>0</v>
      </c>
      <c r="X10" s="133">
        <f t="shared" si="0"/>
        <v>0</v>
      </c>
      <c r="Y10" s="115" t="str">
        <f t="shared" si="1"/>
        <v>OK</v>
      </c>
      <c r="Z10" s="135" t="s">
        <v>59</v>
      </c>
      <c r="AA10" s="135"/>
      <c r="AB10" s="135"/>
      <c r="AC10" s="136">
        <f>AC12-AC11</f>
        <v>0</v>
      </c>
      <c r="AE10" s="172" t="s">
        <v>118</v>
      </c>
      <c r="AF10" s="172"/>
      <c r="AG10" s="185">
        <f>7*AC10</f>
        <v>0</v>
      </c>
      <c r="AH10" s="185"/>
    </row>
    <row r="11" spans="1:34" ht="29.4" thickBot="1" x14ac:dyDescent="0.6">
      <c r="A11" s="127" t="s">
        <v>35</v>
      </c>
      <c r="B11" s="122">
        <v>0.22916666666666666</v>
      </c>
      <c r="C11" s="99"/>
      <c r="D11" s="99"/>
      <c r="E11" s="122">
        <v>0.27777777777777779</v>
      </c>
      <c r="F11" s="99"/>
      <c r="G11" s="99"/>
      <c r="H11" s="122">
        <v>0.18055555555555555</v>
      </c>
      <c r="I11" s="99"/>
      <c r="J11" s="99"/>
      <c r="K11" s="122">
        <v>0.25</v>
      </c>
      <c r="L11" s="99"/>
      <c r="M11" s="99"/>
      <c r="N11" s="122">
        <v>0.30555555555555552</v>
      </c>
      <c r="O11" s="99"/>
      <c r="P11" s="99"/>
      <c r="Q11" s="122">
        <v>0.22916666666666666</v>
      </c>
      <c r="R11" s="99"/>
      <c r="S11" s="99"/>
      <c r="T11" s="119">
        <v>0</v>
      </c>
      <c r="U11" s="120">
        <v>0</v>
      </c>
      <c r="V11" s="120">
        <v>0</v>
      </c>
      <c r="W11" s="133">
        <f t="shared" si="0"/>
        <v>0</v>
      </c>
      <c r="X11" s="133">
        <f t="shared" si="0"/>
        <v>0</v>
      </c>
      <c r="Y11" s="115" t="str">
        <f t="shared" si="1"/>
        <v>OK</v>
      </c>
      <c r="Z11" s="135" t="s">
        <v>60</v>
      </c>
      <c r="AA11" s="135"/>
      <c r="AB11" s="135"/>
      <c r="AC11" s="136">
        <f>SUM(U5:V10)+C11+D11+F11+G11+I11+J11+L11+M11+O11+P11+R11+S11</f>
        <v>0</v>
      </c>
      <c r="AE11" s="172" t="s">
        <v>119</v>
      </c>
      <c r="AF11" s="172"/>
      <c r="AG11" s="185">
        <f>IF(AG12&gt;0,7*(AC11-100),0)</f>
        <v>0</v>
      </c>
      <c r="AH11" s="185"/>
    </row>
    <row r="12" spans="1:34" ht="29.4" thickBot="1" x14ac:dyDescent="0.6">
      <c r="A12" s="128" t="s">
        <v>40</v>
      </c>
      <c r="B12" s="122"/>
      <c r="C12" s="129">
        <f>SUM(C5:C11)</f>
        <v>0</v>
      </c>
      <c r="D12" s="129">
        <f>SUM(D5:D11)</f>
        <v>0</v>
      </c>
      <c r="E12" s="130"/>
      <c r="F12" s="129">
        <f>SUM(F5:F11)</f>
        <v>0</v>
      </c>
      <c r="G12" s="129">
        <f>SUM(G5:G11)</f>
        <v>0</v>
      </c>
      <c r="H12" s="130"/>
      <c r="I12" s="129">
        <f>SUM(I5:I11)</f>
        <v>0</v>
      </c>
      <c r="J12" s="129">
        <f>SUM(J5:J11)</f>
        <v>0</v>
      </c>
      <c r="K12" s="130"/>
      <c r="L12" s="129">
        <f>SUM(L5:L11)</f>
        <v>0</v>
      </c>
      <c r="M12" s="129">
        <f>SUM(M5:M11)</f>
        <v>0</v>
      </c>
      <c r="N12" s="130"/>
      <c r="O12" s="129">
        <f>SUM(O5:O11)</f>
        <v>0</v>
      </c>
      <c r="P12" s="129">
        <f>SUM(P5:P11)</f>
        <v>0</v>
      </c>
      <c r="Q12" s="130"/>
      <c r="R12" s="129">
        <f>SUM(R5:R11)</f>
        <v>0</v>
      </c>
      <c r="S12" s="129">
        <f>SUM(S5:S11)</f>
        <v>0</v>
      </c>
      <c r="T12" s="130"/>
      <c r="U12" s="129">
        <f>SUM(U5:U11)</f>
        <v>0</v>
      </c>
      <c r="V12" s="129">
        <f>SUM(V5:V11)</f>
        <v>0</v>
      </c>
      <c r="W12" s="133">
        <f t="shared" si="0"/>
        <v>0</v>
      </c>
      <c r="X12" s="133">
        <f t="shared" si="0"/>
        <v>0</v>
      </c>
      <c r="Y12" s="115" t="str">
        <f t="shared" si="1"/>
        <v>OK</v>
      </c>
      <c r="Z12" s="181" t="s">
        <v>61</v>
      </c>
      <c r="AA12" s="135"/>
      <c r="AB12" s="135"/>
      <c r="AC12" s="136">
        <f>SUM(B12:V12)</f>
        <v>0</v>
      </c>
    </row>
    <row r="13" spans="1:34" ht="14.4" x14ac:dyDescent="0.3">
      <c r="B13" s="105"/>
      <c r="C13" s="115" t="str">
        <f>+IF(C4="Y",IF(C12&gt;270,"PB","OK"),IF(C12&gt;70,"PB","OK"))</f>
        <v>OK</v>
      </c>
      <c r="D13" s="115" t="str">
        <f t="shared" ref="D13" si="2">+IF(D4="Y",IF(D12&gt;270,"PB","ok"),IF(D12&gt;70,"PB","OK"))</f>
        <v>ok</v>
      </c>
      <c r="E13" s="115"/>
      <c r="F13" s="115" t="str">
        <f t="shared" ref="F13:G13" si="3">+IF(F4="Y",IF(F12&gt;270,"PB","ok"),IF(F12&gt;70,"PB","OK"))</f>
        <v>OK</v>
      </c>
      <c r="G13" s="115" t="str">
        <f t="shared" si="3"/>
        <v>ok</v>
      </c>
      <c r="H13" s="115"/>
      <c r="I13" s="115" t="str">
        <f t="shared" ref="I13" si="4">+IF(I4="Y",IF(I12&gt;270,"PB","ok"),IF(I12&gt;70,"PB","OK"))</f>
        <v>OK</v>
      </c>
      <c r="J13" s="115" t="str">
        <f>+IF(J4="Y",IF(J12&gt;270,"PB","OK"),IF(J12&gt;70,"PB","OK"))</f>
        <v>OK</v>
      </c>
      <c r="K13" s="115"/>
      <c r="L13" s="115" t="str">
        <f t="shared" ref="L13:M13" si="5">+IF(L4="Y",IF(L12&gt;270,"PB","ok"),IF(L12&gt;70,"PB","OK"))</f>
        <v>OK</v>
      </c>
      <c r="M13" s="115" t="str">
        <f t="shared" si="5"/>
        <v>ok</v>
      </c>
      <c r="N13" s="115"/>
      <c r="O13" s="115" t="str">
        <f t="shared" ref="O13" si="6">+IF(O4="Y",IF(O12&gt;270,"PB","ok"),IF(O12&gt;70,"PB","OK"))</f>
        <v>OK</v>
      </c>
      <c r="P13" s="115" t="str">
        <f>+IF(P4="Y",IF(P12&gt;270,"PB","OK"),IF(P12&gt;70,"PB","OK"))</f>
        <v>OK</v>
      </c>
      <c r="Q13" s="115"/>
      <c r="R13" s="115" t="str">
        <f t="shared" ref="R13" si="7">+IF(R4="Y",IF(R12&gt;270,"PB","ok"),IF(R12&gt;70,"PB","OK"))</f>
        <v>OK</v>
      </c>
      <c r="S13" s="115" t="str">
        <f>+IF(S4="Y",IF(S12&gt;270,"PB","OK"),IF(S12&gt;70,"PB","OK"))</f>
        <v>OK</v>
      </c>
      <c r="T13" s="115"/>
      <c r="U13" s="115" t="str">
        <f>+IF(U4="Y",IF(U12&gt;270,"PB","OK"),IF(U12&gt;70,"PB","OK"))</f>
        <v>OK</v>
      </c>
      <c r="V13" s="115" t="str">
        <f>+IF(V4="Y",IF(V12&gt;270,"PB","OK"),IF(V12&gt;70,"PB","OK"))</f>
        <v>OK</v>
      </c>
      <c r="W13" s="139"/>
      <c r="X13" s="139"/>
      <c r="Y13" s="139"/>
      <c r="Z13" s="140"/>
      <c r="AA13" s="140"/>
      <c r="AB13" s="134"/>
      <c r="AC13" s="134"/>
    </row>
    <row r="14" spans="1:34" ht="28.8" x14ac:dyDescent="0.55000000000000004">
      <c r="Z14" s="181" t="s">
        <v>120</v>
      </c>
      <c r="AA14" s="135"/>
      <c r="AB14" s="135"/>
      <c r="AC14" s="180">
        <f>(2*AC10+AC11)/2040</f>
        <v>0</v>
      </c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A1:XFD8 A10:XFD13 A9:Z9 AD9:XFD9 A15:XFD1048576 A14:Y14 AD14:XFD14" name="Range1"/>
    <protectedRange algorithmName="SHA-512" hashValue="O3nVqS4WLk4xSwel02S7eaXy8tGCWXJyK2lfu+biOYQmABDVg5zp9yhHMIQgyZW+O3EzpAVmz3gg0T+9nAeyTA==" saltValue="wbZmK8/bm/bSkq9ih+cKbA==" spinCount="100000" sqref="AA9:AC9" name="Range1_2"/>
    <protectedRange algorithmName="SHA-512" hashValue="O3nVqS4WLk4xSwel02S7eaXy8tGCWXJyK2lfu+biOYQmABDVg5zp9yhHMIQgyZW+O3EzpAVmz3gg0T+9nAeyTA==" saltValue="wbZmK8/bm/bSkq9ih+cKbA==" spinCount="100000" sqref="Z14:AC14" name="Range1_3"/>
  </protectedRanges>
  <mergeCells count="17">
    <mergeCell ref="A1:B2"/>
    <mergeCell ref="C1:D2"/>
    <mergeCell ref="E1:F2"/>
    <mergeCell ref="G1:H2"/>
    <mergeCell ref="B3:D3"/>
    <mergeCell ref="E3:G3"/>
    <mergeCell ref="H3:J3"/>
    <mergeCell ref="K3:M3"/>
    <mergeCell ref="N3:P3"/>
    <mergeCell ref="S1:T2"/>
    <mergeCell ref="U1:V2"/>
    <mergeCell ref="AG10:AH10"/>
    <mergeCell ref="AG11:AH11"/>
    <mergeCell ref="Z1:AC3"/>
    <mergeCell ref="Q3:S3"/>
    <mergeCell ref="T3:V3"/>
    <mergeCell ref="W3:Y3"/>
  </mergeCells>
  <conditionalFormatting sqref="A12:V13">
    <cfRule type="cellIs" dxfId="98" priority="2" operator="equal">
      <formula>"PB"</formula>
    </cfRule>
  </conditionalFormatting>
  <conditionalFormatting sqref="Y5:Y12">
    <cfRule type="cellIs" dxfId="97" priority="1" operator="equal">
      <formula>"PB"</formula>
    </cfRule>
  </conditionalFormatting>
  <dataValidations count="2">
    <dataValidation type="whole" allowBlank="1" showInputMessage="1" showErrorMessage="1" sqref="F5:G5 F7:G11 I5:J6 I8:J11 L5:M7 L9:M11 O5:P8 O10:P11 R5:S9 R11:S11 U5:V10" xr:uid="{00000000-0002-0000-0300-000000000000}">
      <formula1>0</formula1>
      <formula2>500</formula2>
    </dataValidation>
    <dataValidation type="whole" allowBlank="1" showInputMessage="1" showErrorMessage="1" sqref="C6:D11" xr:uid="{00000000-0002-0000-0300-000001000000}">
      <formula1>0</formula1>
      <formula2>5000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55"/>
  <sheetViews>
    <sheetView topLeftCell="A13" zoomScale="50" zoomScaleNormal="50" workbookViewId="0">
      <selection activeCell="AC41" sqref="AC41"/>
    </sheetView>
  </sheetViews>
  <sheetFormatPr baseColWidth="10" defaultColWidth="8.88671875" defaultRowHeight="15.6" x14ac:dyDescent="0.3"/>
  <cols>
    <col min="1" max="1" width="19.5546875" style="105" bestFit="1" customWidth="1"/>
    <col min="2" max="2" width="9.109375" style="107"/>
    <col min="3" max="4" width="8.88671875" style="101"/>
    <col min="5" max="5" width="9.109375" style="107"/>
    <col min="6" max="7" width="8.88671875" style="101"/>
    <col min="8" max="8" width="9.109375" style="107"/>
    <col min="9" max="10" width="8.88671875" style="101"/>
    <col min="11" max="11" width="9.109375" style="107"/>
    <col min="12" max="13" width="8.88671875" style="101"/>
    <col min="14" max="14" width="9.109375" style="107"/>
    <col min="15" max="16" width="8.88671875" style="101"/>
    <col min="17" max="17" width="9.109375" style="107"/>
    <col min="18" max="19" width="8.88671875" style="101"/>
    <col min="20" max="20" width="9.109375" style="107"/>
    <col min="21" max="22" width="8.88671875" style="101"/>
    <col min="23" max="25" width="9.109375" style="108"/>
    <col min="26" max="26" width="36.44140625" style="101" bestFit="1" customWidth="1"/>
    <col min="27" max="27" width="8.88671875" style="101"/>
    <col min="28" max="28" width="4.5546875" style="101" bestFit="1" customWidth="1"/>
    <col min="29" max="29" width="40.5546875" style="101" customWidth="1"/>
    <col min="30" max="31" width="8.88671875" style="101"/>
    <col min="32" max="16384" width="8.88671875" style="106"/>
  </cols>
  <sheetData>
    <row r="1" spans="1:34" s="102" customFormat="1" ht="23.25" customHeight="1" x14ac:dyDescent="0.3">
      <c r="A1" s="225" t="s">
        <v>62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131"/>
      <c r="X1" s="131"/>
      <c r="Y1" s="131"/>
      <c r="Z1" s="186" t="s">
        <v>70</v>
      </c>
      <c r="AA1" s="186"/>
      <c r="AB1" s="186"/>
      <c r="AC1" s="186"/>
      <c r="AD1" s="101"/>
      <c r="AE1" s="101"/>
      <c r="AF1" s="106"/>
      <c r="AG1" s="106"/>
    </row>
    <row r="2" spans="1:34" s="102" customFormat="1" ht="24" customHeight="1" thickBot="1" x14ac:dyDescent="0.3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131"/>
      <c r="X2" s="131"/>
      <c r="Y2" s="131"/>
      <c r="Z2" s="186"/>
      <c r="AA2" s="186"/>
      <c r="AB2" s="186"/>
      <c r="AC2" s="186"/>
      <c r="AD2" s="101"/>
      <c r="AE2" s="101"/>
      <c r="AF2" s="106"/>
      <c r="AG2" s="106"/>
    </row>
    <row r="3" spans="1:34" s="104" customFormat="1" ht="26.4" thickBot="1" x14ac:dyDescent="0.55000000000000004">
      <c r="A3" s="113" t="s">
        <v>66</v>
      </c>
      <c r="B3" s="218" t="s">
        <v>11</v>
      </c>
      <c r="C3" s="202"/>
      <c r="D3" s="203"/>
      <c r="E3" s="204" t="s">
        <v>12</v>
      </c>
      <c r="F3" s="205"/>
      <c r="G3" s="206"/>
      <c r="H3" s="207" t="s">
        <v>15</v>
      </c>
      <c r="I3" s="208"/>
      <c r="J3" s="209"/>
      <c r="K3" s="210" t="s">
        <v>13</v>
      </c>
      <c r="L3" s="211"/>
      <c r="M3" s="212"/>
      <c r="N3" s="213" t="s">
        <v>16</v>
      </c>
      <c r="O3" s="214"/>
      <c r="P3" s="215"/>
      <c r="Q3" s="187" t="s">
        <v>14</v>
      </c>
      <c r="R3" s="188"/>
      <c r="S3" s="189"/>
      <c r="T3" s="190" t="s">
        <v>35</v>
      </c>
      <c r="U3" s="191"/>
      <c r="V3" s="191"/>
      <c r="W3" s="200" t="s">
        <v>69</v>
      </c>
      <c r="X3" s="200"/>
      <c r="Y3" s="132"/>
      <c r="Z3" s="186"/>
      <c r="AA3" s="186"/>
      <c r="AB3" s="186"/>
      <c r="AC3" s="186"/>
      <c r="AD3" s="103"/>
      <c r="AE3" s="103"/>
    </row>
    <row r="4" spans="1:34" ht="31.8" thickBot="1" x14ac:dyDescent="0.35">
      <c r="A4" s="113" t="s">
        <v>39</v>
      </c>
      <c r="B4" s="114" t="s">
        <v>36</v>
      </c>
      <c r="C4" s="115" t="s">
        <v>21</v>
      </c>
      <c r="D4" s="116" t="s">
        <v>20</v>
      </c>
      <c r="E4" s="114" t="s">
        <v>36</v>
      </c>
      <c r="F4" s="115" t="s">
        <v>21</v>
      </c>
      <c r="G4" s="116" t="s">
        <v>20</v>
      </c>
      <c r="H4" s="114" t="s">
        <v>36</v>
      </c>
      <c r="I4" s="115" t="s">
        <v>21</v>
      </c>
      <c r="J4" s="116" t="s">
        <v>20</v>
      </c>
      <c r="K4" s="114" t="s">
        <v>36</v>
      </c>
      <c r="L4" s="115" t="s">
        <v>21</v>
      </c>
      <c r="M4" s="116" t="s">
        <v>20</v>
      </c>
      <c r="N4" s="114" t="s">
        <v>36</v>
      </c>
      <c r="O4" s="115" t="s">
        <v>21</v>
      </c>
      <c r="P4" s="116" t="s">
        <v>20</v>
      </c>
      <c r="Q4" s="114" t="s">
        <v>36</v>
      </c>
      <c r="R4" s="115" t="s">
        <v>21</v>
      </c>
      <c r="S4" s="116" t="s">
        <v>20</v>
      </c>
      <c r="T4" s="114" t="s">
        <v>36</v>
      </c>
      <c r="U4" s="115" t="s">
        <v>21</v>
      </c>
      <c r="V4" s="116" t="s">
        <v>20</v>
      </c>
      <c r="W4" s="133" t="s">
        <v>21</v>
      </c>
      <c r="X4" s="133" t="s">
        <v>20</v>
      </c>
      <c r="Y4" s="133"/>
      <c r="Z4" s="134"/>
      <c r="AA4" s="134"/>
      <c r="AB4" s="134"/>
      <c r="AC4" s="134"/>
    </row>
    <row r="5" spans="1:34" ht="29.4" thickBot="1" x14ac:dyDescent="0.6">
      <c r="A5" s="118" t="s">
        <v>11</v>
      </c>
      <c r="B5" s="119">
        <v>0</v>
      </c>
      <c r="C5" s="120">
        <v>0</v>
      </c>
      <c r="D5" s="120">
        <v>0</v>
      </c>
      <c r="E5" s="149">
        <v>0.50694444444444442</v>
      </c>
      <c r="F5" s="99"/>
      <c r="G5" s="99"/>
      <c r="H5" s="149">
        <v>0.40972222222222227</v>
      </c>
      <c r="I5" s="99"/>
      <c r="J5" s="99"/>
      <c r="K5" s="149">
        <v>0.47916666666666669</v>
      </c>
      <c r="L5" s="99"/>
      <c r="M5" s="99"/>
      <c r="N5" s="149">
        <v>0.53472222222222221</v>
      </c>
      <c r="O5" s="99"/>
      <c r="P5" s="99"/>
      <c r="Q5" s="149">
        <v>0.45833333333333331</v>
      </c>
      <c r="R5" s="99"/>
      <c r="S5" s="99"/>
      <c r="T5" s="149">
        <v>0.22916666666666666</v>
      </c>
      <c r="U5" s="99"/>
      <c r="V5" s="99"/>
      <c r="W5" s="133">
        <f t="shared" ref="W5:X9" si="0">C5+F5+I5+L5+O5+R5+U5</f>
        <v>0</v>
      </c>
      <c r="X5" s="133">
        <f t="shared" si="0"/>
        <v>0</v>
      </c>
      <c r="Y5" s="115" t="str">
        <f>IF(OR(W5&gt;70,X5&gt;270),"PB","OK")</f>
        <v>OK</v>
      </c>
      <c r="Z5" s="135" t="s">
        <v>57</v>
      </c>
      <c r="AA5" s="135"/>
      <c r="AB5" s="135"/>
      <c r="AC5" s="136">
        <f>1440/60*4*(SUMPRODUCT($B$5:$B$11,C5:C11)+SUMPRODUCT($E$5:$E$11,F5:F11)+SUMPRODUCT($H$5:$H$11,I5:I11)+SUMPRODUCT($K$5:$K$11,L5:L11)+SUMPRODUCT($N$5:$N$11,O5:O11)+SUMPRODUCT($Q$5:$Q$11,R5:R11)+SUMPRODUCT($T$5:$T$11,U5:U11))</f>
        <v>0</v>
      </c>
    </row>
    <row r="6" spans="1:34" ht="29.4" thickBot="1" x14ac:dyDescent="0.6">
      <c r="A6" s="121" t="s">
        <v>12</v>
      </c>
      <c r="B6" s="122">
        <v>0.50694444444444442</v>
      </c>
      <c r="C6" s="99"/>
      <c r="D6" s="99"/>
      <c r="E6" s="119">
        <v>0</v>
      </c>
      <c r="F6" s="120">
        <v>0</v>
      </c>
      <c r="G6" s="120">
        <v>0</v>
      </c>
      <c r="H6" s="149">
        <v>0.45833333333333331</v>
      </c>
      <c r="I6" s="99"/>
      <c r="J6" s="99"/>
      <c r="K6" s="149">
        <v>0.52777777777777779</v>
      </c>
      <c r="L6" s="99"/>
      <c r="M6" s="99"/>
      <c r="N6" s="149">
        <v>0.58333333333333337</v>
      </c>
      <c r="O6" s="99"/>
      <c r="P6" s="99"/>
      <c r="Q6" s="149">
        <v>0.50694444444444442</v>
      </c>
      <c r="R6" s="99"/>
      <c r="S6" s="99"/>
      <c r="T6" s="149">
        <v>0.27777777777777779</v>
      </c>
      <c r="U6" s="99"/>
      <c r="V6" s="99"/>
      <c r="W6" s="133">
        <f t="shared" si="0"/>
        <v>0</v>
      </c>
      <c r="X6" s="133">
        <f t="shared" si="0"/>
        <v>0</v>
      </c>
      <c r="Y6" s="115" t="str">
        <f t="shared" ref="Y6:Y12" si="1">IF(OR(W6&gt;70,X6&gt;270),"PB","OK")</f>
        <v>OK</v>
      </c>
      <c r="Z6" s="135" t="s">
        <v>68</v>
      </c>
      <c r="AA6" s="135"/>
      <c r="AB6" s="135"/>
      <c r="AC6" s="136">
        <f>1440/60*(SUMPRODUCT($B$5:$B$11,D5:D11)+SUMPRODUCT($E$5:$E$11,G5:G11)+SUMPRODUCT($H$5:$H$11,J5:J11)+SUMPRODUCT($K$5:$K$11,M5:M11)+SUMPRODUCT($N$5:$N$11,P5:P11)+SUMPRODUCT($Q$5:$Q$11,S5:S11)+SUMPRODUCT($T$5:$T$11,V5:V11))</f>
        <v>0</v>
      </c>
    </row>
    <row r="7" spans="1:34" ht="29.4" thickBot="1" x14ac:dyDescent="0.6">
      <c r="A7" s="123" t="s">
        <v>15</v>
      </c>
      <c r="B7" s="122">
        <v>0.40972222222222227</v>
      </c>
      <c r="C7" s="99"/>
      <c r="D7" s="99"/>
      <c r="E7" s="149">
        <v>0.45833333333333331</v>
      </c>
      <c r="F7" s="99"/>
      <c r="G7" s="99"/>
      <c r="H7" s="119">
        <v>0</v>
      </c>
      <c r="I7" s="120">
        <v>0</v>
      </c>
      <c r="J7" s="120">
        <v>0</v>
      </c>
      <c r="K7" s="149">
        <v>0.43055555555555558</v>
      </c>
      <c r="L7" s="99"/>
      <c r="M7" s="99"/>
      <c r="N7" s="149">
        <v>0.4861111111111111</v>
      </c>
      <c r="O7" s="99"/>
      <c r="P7" s="99"/>
      <c r="Q7" s="149">
        <v>0.40972222222222227</v>
      </c>
      <c r="R7" s="99"/>
      <c r="S7" s="99"/>
      <c r="T7" s="149">
        <v>0.18055555555555555</v>
      </c>
      <c r="U7" s="99"/>
      <c r="V7" s="99"/>
      <c r="W7" s="133">
        <f t="shared" si="0"/>
        <v>0</v>
      </c>
      <c r="X7" s="133">
        <f t="shared" si="0"/>
        <v>0</v>
      </c>
      <c r="Y7" s="115" t="str">
        <f t="shared" si="1"/>
        <v>OK</v>
      </c>
      <c r="Z7" s="135" t="s">
        <v>58</v>
      </c>
      <c r="AA7" s="135"/>
      <c r="AB7" s="135"/>
      <c r="AC7" s="137">
        <f>AC5+AC6</f>
        <v>0</v>
      </c>
    </row>
    <row r="8" spans="1:34" ht="29.4" thickBot="1" x14ac:dyDescent="0.6">
      <c r="A8" s="124" t="s">
        <v>13</v>
      </c>
      <c r="B8" s="122">
        <v>0.47916666666666669</v>
      </c>
      <c r="C8" s="99"/>
      <c r="D8" s="99"/>
      <c r="E8" s="149">
        <v>0.52777777777777779</v>
      </c>
      <c r="F8" s="99"/>
      <c r="G8" s="99"/>
      <c r="H8" s="149">
        <v>0.43055555555555558</v>
      </c>
      <c r="I8" s="99"/>
      <c r="J8" s="99"/>
      <c r="K8" s="119">
        <v>0</v>
      </c>
      <c r="L8" s="120">
        <v>0</v>
      </c>
      <c r="M8" s="120">
        <v>0</v>
      </c>
      <c r="N8" s="149">
        <v>0.55555555555555558</v>
      </c>
      <c r="O8" s="99"/>
      <c r="P8" s="99"/>
      <c r="Q8" s="149">
        <v>0.47916666666666669</v>
      </c>
      <c r="R8" s="99"/>
      <c r="S8" s="99"/>
      <c r="T8" s="149">
        <v>0.25</v>
      </c>
      <c r="U8" s="99"/>
      <c r="V8" s="99"/>
      <c r="W8" s="133">
        <f t="shared" si="0"/>
        <v>0</v>
      </c>
      <c r="X8" s="133">
        <f t="shared" si="0"/>
        <v>0</v>
      </c>
      <c r="Y8" s="115" t="str">
        <f t="shared" si="1"/>
        <v>OK</v>
      </c>
      <c r="Z8" s="181" t="s">
        <v>74</v>
      </c>
      <c r="AA8" s="135"/>
      <c r="AB8" s="135"/>
      <c r="AC8" s="138">
        <f>35*AC7</f>
        <v>0</v>
      </c>
    </row>
    <row r="9" spans="1:34" ht="29.4" thickBot="1" x14ac:dyDescent="0.6">
      <c r="A9" s="125" t="s">
        <v>16</v>
      </c>
      <c r="B9" s="122">
        <v>0.53472222222222221</v>
      </c>
      <c r="C9" s="99"/>
      <c r="D9" s="99"/>
      <c r="E9" s="149">
        <v>0.58333333333333337</v>
      </c>
      <c r="F9" s="99"/>
      <c r="G9" s="99"/>
      <c r="H9" s="149">
        <v>0.4861111111111111</v>
      </c>
      <c r="I9" s="99"/>
      <c r="J9" s="99"/>
      <c r="K9" s="149">
        <v>0.55555555555555558</v>
      </c>
      <c r="L9" s="99"/>
      <c r="M9" s="99"/>
      <c r="N9" s="119">
        <v>0</v>
      </c>
      <c r="O9" s="120">
        <v>0</v>
      </c>
      <c r="P9" s="120">
        <v>0</v>
      </c>
      <c r="Q9" s="149">
        <v>0.53472222222222221</v>
      </c>
      <c r="R9" s="99"/>
      <c r="S9" s="99"/>
      <c r="T9" s="149">
        <v>0.30555555555555552</v>
      </c>
      <c r="U9" s="99"/>
      <c r="V9" s="99"/>
      <c r="W9" s="133">
        <f t="shared" si="0"/>
        <v>0</v>
      </c>
      <c r="X9" s="133">
        <f t="shared" si="0"/>
        <v>0</v>
      </c>
      <c r="Y9" s="115" t="str">
        <f t="shared" si="1"/>
        <v>OK</v>
      </c>
      <c r="Z9" s="135"/>
      <c r="AA9" s="135" t="s">
        <v>121</v>
      </c>
      <c r="AB9" s="135"/>
      <c r="AC9" s="182" t="e">
        <f>(AC8/'Revenue - Year 4'!AC8)-1</f>
        <v>#DIV/0!</v>
      </c>
    </row>
    <row r="10" spans="1:34" ht="29.4" thickBot="1" x14ac:dyDescent="0.6">
      <c r="A10" s="126" t="s">
        <v>14</v>
      </c>
      <c r="B10" s="122">
        <v>0.45833333333333331</v>
      </c>
      <c r="C10" s="99"/>
      <c r="D10" s="99"/>
      <c r="E10" s="149">
        <v>0.50694444444444442</v>
      </c>
      <c r="F10" s="99"/>
      <c r="G10" s="99"/>
      <c r="H10" s="149">
        <v>0.40972222222222227</v>
      </c>
      <c r="I10" s="99"/>
      <c r="J10" s="99"/>
      <c r="K10" s="149">
        <v>0.47916666666666669</v>
      </c>
      <c r="L10" s="99"/>
      <c r="M10" s="99"/>
      <c r="N10" s="149">
        <v>0.53472222222222221</v>
      </c>
      <c r="O10" s="99"/>
      <c r="P10" s="99"/>
      <c r="Q10" s="119">
        <v>0</v>
      </c>
      <c r="R10" s="120">
        <v>0</v>
      </c>
      <c r="S10" s="120">
        <v>0</v>
      </c>
      <c r="T10" s="149">
        <v>0.22916666666666666</v>
      </c>
      <c r="U10" s="99"/>
      <c r="V10" s="99"/>
      <c r="W10" s="133">
        <f t="shared" ref="W10:X12" si="2">C10+F10+I10+L10+O10+R10+U10</f>
        <v>0</v>
      </c>
      <c r="X10" s="133">
        <f t="shared" si="2"/>
        <v>0</v>
      </c>
      <c r="Y10" s="115" t="str">
        <f t="shared" si="1"/>
        <v>OK</v>
      </c>
      <c r="Z10" s="135" t="s">
        <v>59</v>
      </c>
      <c r="AA10" s="135"/>
      <c r="AB10" s="135"/>
      <c r="AC10" s="136">
        <f>AC12-AC11</f>
        <v>0</v>
      </c>
      <c r="AE10" s="172" t="s">
        <v>118</v>
      </c>
      <c r="AF10" s="172"/>
      <c r="AG10" s="185">
        <f>7*AC10</f>
        <v>0</v>
      </c>
      <c r="AH10" s="185"/>
    </row>
    <row r="11" spans="1:34" ht="29.4" thickBot="1" x14ac:dyDescent="0.6">
      <c r="A11" s="127" t="s">
        <v>35</v>
      </c>
      <c r="B11" s="122">
        <v>0.22916666666666666</v>
      </c>
      <c r="C11" s="99"/>
      <c r="D11" s="99"/>
      <c r="E11" s="149">
        <v>0.27777777777777779</v>
      </c>
      <c r="F11" s="99"/>
      <c r="G11" s="99"/>
      <c r="H11" s="149">
        <v>0.18055555555555555</v>
      </c>
      <c r="I11" s="99"/>
      <c r="J11" s="99"/>
      <c r="K11" s="149">
        <v>0.25</v>
      </c>
      <c r="L11" s="99"/>
      <c r="M11" s="99"/>
      <c r="N11" s="149">
        <v>0.30555555555555552</v>
      </c>
      <c r="O11" s="99"/>
      <c r="P11" s="99"/>
      <c r="Q11" s="149">
        <v>0.22916666666666666</v>
      </c>
      <c r="R11" s="99"/>
      <c r="S11" s="99"/>
      <c r="T11" s="119">
        <v>0</v>
      </c>
      <c r="U11" s="120">
        <v>0</v>
      </c>
      <c r="V11" s="120">
        <v>0</v>
      </c>
      <c r="W11" s="133">
        <f t="shared" si="2"/>
        <v>0</v>
      </c>
      <c r="X11" s="133">
        <f t="shared" si="2"/>
        <v>0</v>
      </c>
      <c r="Y11" s="115" t="str">
        <f t="shared" si="1"/>
        <v>OK</v>
      </c>
      <c r="Z11" s="135" t="s">
        <v>60</v>
      </c>
      <c r="AA11" s="135"/>
      <c r="AB11" s="135"/>
      <c r="AC11" s="136">
        <f>SUM(U5:V10)+C11+D11+F11+G11+I11+J11+L11+M11+O11+P11+R11+S11</f>
        <v>0</v>
      </c>
      <c r="AE11" s="172" t="s">
        <v>119</v>
      </c>
      <c r="AF11" s="172"/>
      <c r="AG11" s="185">
        <f>IF(AG12&gt;0,7*(AC11-100),0)</f>
        <v>0</v>
      </c>
      <c r="AH11" s="185"/>
    </row>
    <row r="12" spans="1:34" ht="29.4" thickBot="1" x14ac:dyDescent="0.6">
      <c r="A12" s="128" t="s">
        <v>40</v>
      </c>
      <c r="B12" s="122"/>
      <c r="C12" s="129">
        <f>SUM(C5:C11)</f>
        <v>0</v>
      </c>
      <c r="D12" s="129">
        <f>SUM(D5:D11)</f>
        <v>0</v>
      </c>
      <c r="E12" s="130"/>
      <c r="F12" s="129">
        <f>SUM(F5:F11)</f>
        <v>0</v>
      </c>
      <c r="G12" s="129">
        <f>SUM(G5:G11)</f>
        <v>0</v>
      </c>
      <c r="H12" s="130"/>
      <c r="I12" s="129">
        <f>SUM(I5:I11)</f>
        <v>0</v>
      </c>
      <c r="J12" s="129">
        <f>SUM(J5:J11)</f>
        <v>0</v>
      </c>
      <c r="K12" s="130"/>
      <c r="L12" s="129">
        <f>SUM(L5:L11)</f>
        <v>0</v>
      </c>
      <c r="M12" s="129">
        <f>SUM(M5:M11)</f>
        <v>0</v>
      </c>
      <c r="N12" s="130"/>
      <c r="O12" s="129">
        <f>SUM(O5:O11)</f>
        <v>0</v>
      </c>
      <c r="P12" s="129">
        <f>SUM(P5:P11)</f>
        <v>0</v>
      </c>
      <c r="Q12" s="130"/>
      <c r="R12" s="129">
        <f>SUM(R5:R11)</f>
        <v>0</v>
      </c>
      <c r="S12" s="129">
        <f>SUM(S5:S11)</f>
        <v>0</v>
      </c>
      <c r="T12" s="130"/>
      <c r="U12" s="129">
        <f>SUM(U5:U11)</f>
        <v>0</v>
      </c>
      <c r="V12" s="129">
        <f>SUM(V5:V11)</f>
        <v>0</v>
      </c>
      <c r="W12" s="133">
        <f t="shared" si="2"/>
        <v>0</v>
      </c>
      <c r="X12" s="133">
        <f t="shared" si="2"/>
        <v>0</v>
      </c>
      <c r="Y12" s="115" t="str">
        <f t="shared" si="1"/>
        <v>OK</v>
      </c>
      <c r="Z12" s="181" t="s">
        <v>61</v>
      </c>
      <c r="AA12" s="135"/>
      <c r="AB12" s="135"/>
      <c r="AC12" s="136">
        <f>SUM(B12:V12)</f>
        <v>0</v>
      </c>
    </row>
    <row r="13" spans="1:34" ht="28.8" x14ac:dyDescent="0.55000000000000004">
      <c r="B13" s="105"/>
      <c r="C13" s="115" t="str">
        <f>+IF(C4="Y",IF(C12&gt;270,"PB","OK"),IF(C12&gt;70,"PB","OK"))</f>
        <v>OK</v>
      </c>
      <c r="D13" s="115" t="str">
        <f>+IF(D4="Y",IF(D12&gt;270,"PB","OK"),IF(D12&gt;70,"PB","OK"))</f>
        <v>OK</v>
      </c>
      <c r="E13" s="115"/>
      <c r="F13" s="115" t="str">
        <f>+IF(F4="Y",IF(F12&gt;270,"PB","OK"),IF(F12&gt;70,"PB","OK"))</f>
        <v>OK</v>
      </c>
      <c r="G13" s="115" t="str">
        <f>+IF(G4="Y",IF(G12&gt;270,"PB","OK"),IF(G12&gt;70,"PB","OK"))</f>
        <v>OK</v>
      </c>
      <c r="H13" s="115"/>
      <c r="I13" s="115" t="str">
        <f>+IF(I4="Y",IF(I12&gt;270,"PB","OK"),IF(I12&gt;70,"PB","OK"))</f>
        <v>OK</v>
      </c>
      <c r="J13" s="115" t="str">
        <f>+IF(J4="Y",IF(J12&gt;270,"PB","OK"),IF(J12&gt;70,"PB","OK"))</f>
        <v>OK</v>
      </c>
      <c r="K13" s="115"/>
      <c r="L13" s="115" t="str">
        <f>+IF(L4="Y",IF(L12&gt;270,"PB","OK"),IF(L12&gt;70,"PB","OK"))</f>
        <v>OK</v>
      </c>
      <c r="M13" s="115" t="str">
        <f>+IF(M4="Y",IF(M12&gt;270,"PB","OK"),IF(M12&gt;70,"PB","OK"))</f>
        <v>OK</v>
      </c>
      <c r="N13" s="115"/>
      <c r="O13" s="115" t="str">
        <f>+IF(O4="Y",IF(O12&gt;270,"PB","OK"),IF(O12&gt;70,"PB","OK"))</f>
        <v>OK</v>
      </c>
      <c r="P13" s="115" t="str">
        <f>+IF(P4="Y",IF(P12&gt;270,"PB","OK"),IF(P12&gt;70,"PB","OK"))</f>
        <v>OK</v>
      </c>
      <c r="Q13" s="115"/>
      <c r="R13" s="115" t="str">
        <f>+IF(R4="Y",IF(R12&gt;270,"PB","OK"),IF(R12&gt;70,"PB","OK"))</f>
        <v>OK</v>
      </c>
      <c r="S13" s="115" t="str">
        <f>+IF(S4="Y",IF(S12&gt;270,"PB","OK"),IF(S12&gt;70,"PB","OK"))</f>
        <v>OK</v>
      </c>
      <c r="T13" s="115"/>
      <c r="U13" s="115" t="str">
        <f>+IF(U4="Y",IF(U12&gt;270,"PB","OK"),IF(U12&gt;70,"PB","OK"))</f>
        <v>OK</v>
      </c>
      <c r="V13" s="115" t="str">
        <f>+IF(V4="Y",IF(V12&gt;270,"PB","OK"),IF(V12&gt;70,"PB","OK"))</f>
        <v>OK</v>
      </c>
      <c r="W13" s="139"/>
      <c r="X13" s="139"/>
      <c r="Y13" s="139"/>
      <c r="Z13" s="181" t="s">
        <v>120</v>
      </c>
      <c r="AA13" s="135"/>
      <c r="AB13" s="135"/>
      <c r="AC13" s="180">
        <f>(2*AC10+AC11)/2040</f>
        <v>0</v>
      </c>
    </row>
    <row r="14" spans="1:34" x14ac:dyDescent="0.3">
      <c r="C14" s="134"/>
      <c r="D14" s="134"/>
      <c r="E14" s="144"/>
      <c r="F14" s="134"/>
      <c r="G14" s="134"/>
      <c r="H14" s="144"/>
      <c r="I14" s="134"/>
      <c r="J14" s="134"/>
      <c r="K14" s="144"/>
      <c r="L14" s="134"/>
      <c r="M14" s="134"/>
      <c r="N14" s="144"/>
      <c r="O14" s="134"/>
      <c r="P14" s="134"/>
      <c r="Q14" s="144"/>
      <c r="R14" s="134"/>
      <c r="S14" s="134"/>
      <c r="T14" s="144"/>
      <c r="U14" s="134"/>
      <c r="V14" s="134"/>
      <c r="W14" s="141"/>
      <c r="X14" s="141"/>
      <c r="Y14" s="141"/>
      <c r="Z14" s="134"/>
      <c r="AA14" s="134"/>
      <c r="AB14" s="134"/>
      <c r="AC14" s="134"/>
    </row>
    <row r="15" spans="1:34" ht="28.8" x14ac:dyDescent="0.3">
      <c r="A15" s="221" t="s">
        <v>18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141"/>
      <c r="X15" s="141"/>
      <c r="Y15" s="131"/>
      <c r="Z15" s="222" t="s">
        <v>112</v>
      </c>
      <c r="AA15" s="222"/>
      <c r="AB15" s="222"/>
      <c r="AC15" s="222"/>
    </row>
    <row r="16" spans="1:34" ht="29.4" thickBot="1" x14ac:dyDescent="0.3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141"/>
      <c r="X16" s="141"/>
      <c r="Y16" s="131"/>
      <c r="Z16" s="222"/>
      <c r="AA16" s="222"/>
      <c r="AB16" s="222"/>
      <c r="AC16" s="222"/>
    </row>
    <row r="17" spans="1:34" ht="26.4" thickBot="1" x14ac:dyDescent="0.35">
      <c r="A17" s="113" t="s">
        <v>63</v>
      </c>
      <c r="B17" s="218" t="s">
        <v>11</v>
      </c>
      <c r="C17" s="202"/>
      <c r="D17" s="203"/>
      <c r="E17" s="204" t="s">
        <v>12</v>
      </c>
      <c r="F17" s="205"/>
      <c r="G17" s="206"/>
      <c r="H17" s="207" t="s">
        <v>15</v>
      </c>
      <c r="I17" s="208"/>
      <c r="J17" s="209"/>
      <c r="K17" s="210" t="s">
        <v>13</v>
      </c>
      <c r="L17" s="211"/>
      <c r="M17" s="212"/>
      <c r="N17" s="213" t="s">
        <v>16</v>
      </c>
      <c r="O17" s="214"/>
      <c r="P17" s="215"/>
      <c r="Q17" s="187" t="s">
        <v>14</v>
      </c>
      <c r="R17" s="188"/>
      <c r="S17" s="189"/>
      <c r="T17" s="223" t="s">
        <v>18</v>
      </c>
      <c r="U17" s="224"/>
      <c r="V17" s="224"/>
      <c r="W17" s="200" t="s">
        <v>69</v>
      </c>
      <c r="X17" s="200"/>
      <c r="Y17" s="132"/>
      <c r="Z17" s="222"/>
      <c r="AA17" s="222"/>
      <c r="AB17" s="222"/>
      <c r="AC17" s="222"/>
    </row>
    <row r="18" spans="1:34" ht="31.8" thickBot="1" x14ac:dyDescent="0.35">
      <c r="A18" s="113" t="s">
        <v>39</v>
      </c>
      <c r="B18" s="114" t="s">
        <v>36</v>
      </c>
      <c r="C18" s="115" t="s">
        <v>21</v>
      </c>
      <c r="D18" s="116" t="s">
        <v>20</v>
      </c>
      <c r="E18" s="114" t="s">
        <v>36</v>
      </c>
      <c r="F18" s="115" t="s">
        <v>21</v>
      </c>
      <c r="G18" s="116" t="s">
        <v>20</v>
      </c>
      <c r="H18" s="114" t="s">
        <v>36</v>
      </c>
      <c r="I18" s="115" t="s">
        <v>21</v>
      </c>
      <c r="J18" s="116" t="s">
        <v>20</v>
      </c>
      <c r="K18" s="114" t="s">
        <v>36</v>
      </c>
      <c r="L18" s="115" t="s">
        <v>21</v>
      </c>
      <c r="M18" s="116" t="s">
        <v>20</v>
      </c>
      <c r="N18" s="114" t="s">
        <v>36</v>
      </c>
      <c r="O18" s="115" t="s">
        <v>21</v>
      </c>
      <c r="P18" s="116" t="s">
        <v>20</v>
      </c>
      <c r="Q18" s="114" t="s">
        <v>36</v>
      </c>
      <c r="R18" s="115" t="s">
        <v>21</v>
      </c>
      <c r="S18" s="116" t="s">
        <v>20</v>
      </c>
      <c r="T18" s="114" t="s">
        <v>36</v>
      </c>
      <c r="U18" s="115" t="s">
        <v>21</v>
      </c>
      <c r="V18" s="116" t="s">
        <v>20</v>
      </c>
      <c r="W18" s="133" t="s">
        <v>21</v>
      </c>
      <c r="X18" s="133" t="s">
        <v>20</v>
      </c>
      <c r="Y18" s="133"/>
      <c r="Z18" s="134"/>
      <c r="AA18" s="134"/>
      <c r="AB18" s="134"/>
      <c r="AC18" s="134"/>
    </row>
    <row r="19" spans="1:34" ht="29.4" thickBot="1" x14ac:dyDescent="0.6">
      <c r="A19" s="118" t="s">
        <v>11</v>
      </c>
      <c r="B19" s="119">
        <v>0</v>
      </c>
      <c r="C19" s="120">
        <v>0</v>
      </c>
      <c r="D19" s="120">
        <v>0</v>
      </c>
      <c r="E19" s="149">
        <v>0.38194444444444442</v>
      </c>
      <c r="F19" s="99"/>
      <c r="G19" s="99"/>
      <c r="H19" s="149">
        <v>0.22222222222222221</v>
      </c>
      <c r="I19" s="99"/>
      <c r="J19" s="99"/>
      <c r="K19" s="149">
        <v>0.47222222222222227</v>
      </c>
      <c r="L19" s="99"/>
      <c r="M19" s="99"/>
      <c r="N19" s="149">
        <v>0.47569444444444442</v>
      </c>
      <c r="O19" s="99"/>
      <c r="P19" s="99"/>
      <c r="Q19" s="149">
        <v>0.25694444444444448</v>
      </c>
      <c r="R19" s="99"/>
      <c r="S19" s="99"/>
      <c r="T19" s="149">
        <v>0.13194444444444445</v>
      </c>
      <c r="U19" s="99"/>
      <c r="V19" s="99"/>
      <c r="W19" s="133">
        <f>C19+F19+I19+L19+O19+R19+U19</f>
        <v>0</v>
      </c>
      <c r="X19" s="133">
        <f>D19+G19+J19+M19+P19+S19+V19</f>
        <v>0</v>
      </c>
      <c r="Y19" s="115" t="str">
        <f t="shared" ref="Y19:Y26" si="3">IF(OR(W19&gt;70,X19&gt;270),"PB","OK")</f>
        <v>OK</v>
      </c>
      <c r="Z19" s="135" t="s">
        <v>57</v>
      </c>
      <c r="AA19" s="135"/>
      <c r="AB19" s="135"/>
      <c r="AC19" s="136">
        <f>1440/60*4*(SUMPRODUCT($B$19:$B$25,C19:C25)+SUMPRODUCT($E$19:$E$25,F19:F25)+SUMPRODUCT($H$19:$H$25,I19:I25)+SUMPRODUCT($K$19:$K$25,L19:L25)+SUMPRODUCT($N$19:$N$25,O19:O25)+SUMPRODUCT($Q$19:$Q$25,R19:R25)+SUMPRODUCT($T$19:$T$25,U19:U25))</f>
        <v>0</v>
      </c>
    </row>
    <row r="20" spans="1:34" ht="29.4" thickBot="1" x14ac:dyDescent="0.6">
      <c r="A20" s="121" t="s">
        <v>12</v>
      </c>
      <c r="B20" s="122">
        <f>E19</f>
        <v>0.38194444444444442</v>
      </c>
      <c r="C20" s="99"/>
      <c r="D20" s="99"/>
      <c r="E20" s="119">
        <v>0</v>
      </c>
      <c r="F20" s="120">
        <v>0</v>
      </c>
      <c r="G20" s="120">
        <v>0</v>
      </c>
      <c r="H20" s="149">
        <v>0.34027777777777773</v>
      </c>
      <c r="I20" s="99"/>
      <c r="J20" s="99"/>
      <c r="K20" s="149">
        <v>0.59027777777777779</v>
      </c>
      <c r="L20" s="99"/>
      <c r="M20" s="99"/>
      <c r="N20" s="149">
        <v>0.59375</v>
      </c>
      <c r="O20" s="99"/>
      <c r="P20" s="99"/>
      <c r="Q20" s="149">
        <v>0.375</v>
      </c>
      <c r="R20" s="99"/>
      <c r="S20" s="99"/>
      <c r="T20" s="149">
        <v>0.25</v>
      </c>
      <c r="U20" s="99"/>
      <c r="V20" s="99"/>
      <c r="W20" s="133">
        <f t="shared" ref="W20:X26" si="4">C20+F20+I20+L20+O20+R20+U20</f>
        <v>0</v>
      </c>
      <c r="X20" s="133">
        <f t="shared" si="4"/>
        <v>0</v>
      </c>
      <c r="Y20" s="115" t="str">
        <f t="shared" si="3"/>
        <v>OK</v>
      </c>
      <c r="Z20" s="135" t="s">
        <v>68</v>
      </c>
      <c r="AA20" s="135"/>
      <c r="AB20" s="135"/>
      <c r="AC20" s="136">
        <f>1440/60*(SUMPRODUCT($B$19:$B$25,D19:D25)+SUMPRODUCT($E$19:$E$25,G19:G25)+SUMPRODUCT($H$19:$H$25,J19:J25)+SUMPRODUCT($K$19:$K$25,M19:M25)+SUMPRODUCT($N$19:$N$25,P19:P25)+SUMPRODUCT($Q$19:$Q$25,S19:S25)+SUMPRODUCT($T$19:$T$25,V19:V25))</f>
        <v>0</v>
      </c>
    </row>
    <row r="21" spans="1:34" ht="29.4" thickBot="1" x14ac:dyDescent="0.6">
      <c r="A21" s="123" t="s">
        <v>15</v>
      </c>
      <c r="B21" s="122">
        <f>H19</f>
        <v>0.22222222222222221</v>
      </c>
      <c r="C21" s="99"/>
      <c r="D21" s="99"/>
      <c r="E21" s="149">
        <f>H20</f>
        <v>0.34027777777777773</v>
      </c>
      <c r="F21" s="99"/>
      <c r="G21" s="99"/>
      <c r="H21" s="119">
        <v>0</v>
      </c>
      <c r="I21" s="120">
        <v>0</v>
      </c>
      <c r="J21" s="120">
        <v>0</v>
      </c>
      <c r="K21" s="149">
        <v>0.43055555555555558</v>
      </c>
      <c r="L21" s="99"/>
      <c r="M21" s="99"/>
      <c r="N21" s="149">
        <v>0.43402777777777773</v>
      </c>
      <c r="O21" s="99"/>
      <c r="P21" s="99"/>
      <c r="Q21" s="149">
        <v>0.21527777777777779</v>
      </c>
      <c r="R21" s="99"/>
      <c r="S21" s="99"/>
      <c r="T21" s="149">
        <v>9.0277777777777776E-2</v>
      </c>
      <c r="U21" s="99"/>
      <c r="V21" s="99"/>
      <c r="W21" s="133">
        <f t="shared" si="4"/>
        <v>0</v>
      </c>
      <c r="X21" s="133">
        <f t="shared" si="4"/>
        <v>0</v>
      </c>
      <c r="Y21" s="115" t="str">
        <f t="shared" si="3"/>
        <v>OK</v>
      </c>
      <c r="Z21" s="135" t="s">
        <v>58</v>
      </c>
      <c r="AA21" s="135"/>
      <c r="AB21" s="135"/>
      <c r="AC21" s="137">
        <f>AC19+AC20</f>
        <v>0</v>
      </c>
    </row>
    <row r="22" spans="1:34" ht="29.4" thickBot="1" x14ac:dyDescent="0.6">
      <c r="A22" s="124" t="s">
        <v>13</v>
      </c>
      <c r="B22" s="122">
        <f>K19</f>
        <v>0.47222222222222227</v>
      </c>
      <c r="C22" s="99"/>
      <c r="D22" s="99"/>
      <c r="E22" s="149">
        <f>K20</f>
        <v>0.59027777777777779</v>
      </c>
      <c r="F22" s="99"/>
      <c r="G22" s="99"/>
      <c r="H22" s="149">
        <f>K21</f>
        <v>0.43055555555555558</v>
      </c>
      <c r="I22" s="99"/>
      <c r="J22" s="99"/>
      <c r="K22" s="119">
        <v>0</v>
      </c>
      <c r="L22" s="120">
        <v>0</v>
      </c>
      <c r="M22" s="120">
        <v>0</v>
      </c>
      <c r="N22" s="149">
        <v>0.68402777777777779</v>
      </c>
      <c r="O22" s="99"/>
      <c r="P22" s="99"/>
      <c r="Q22" s="149">
        <v>0.46527777777777773</v>
      </c>
      <c r="R22" s="99"/>
      <c r="S22" s="99"/>
      <c r="T22" s="149">
        <v>0.34027777777777773</v>
      </c>
      <c r="U22" s="99"/>
      <c r="V22" s="99"/>
      <c r="W22" s="133">
        <f t="shared" si="4"/>
        <v>0</v>
      </c>
      <c r="X22" s="133">
        <f t="shared" si="4"/>
        <v>0</v>
      </c>
      <c r="Y22" s="115" t="str">
        <f t="shared" si="3"/>
        <v>OK</v>
      </c>
      <c r="Z22" s="181" t="s">
        <v>74</v>
      </c>
      <c r="AA22" s="135"/>
      <c r="AB22" s="135"/>
      <c r="AC22" s="138">
        <f>35*AC21</f>
        <v>0</v>
      </c>
    </row>
    <row r="23" spans="1:34" ht="29.4" thickBot="1" x14ac:dyDescent="0.6">
      <c r="A23" s="125" t="s">
        <v>16</v>
      </c>
      <c r="B23" s="122">
        <f>N19</f>
        <v>0.47569444444444442</v>
      </c>
      <c r="C23" s="99"/>
      <c r="D23" s="99"/>
      <c r="E23" s="149">
        <f>N20</f>
        <v>0.59375</v>
      </c>
      <c r="F23" s="99"/>
      <c r="G23" s="99"/>
      <c r="H23" s="149">
        <f>N21</f>
        <v>0.43402777777777773</v>
      </c>
      <c r="I23" s="99"/>
      <c r="J23" s="99"/>
      <c r="K23" s="149">
        <f>N22</f>
        <v>0.68402777777777779</v>
      </c>
      <c r="L23" s="99"/>
      <c r="M23" s="99"/>
      <c r="N23" s="119">
        <v>0</v>
      </c>
      <c r="O23" s="120">
        <v>0</v>
      </c>
      <c r="P23" s="120">
        <v>0</v>
      </c>
      <c r="Q23" s="149">
        <v>0.46875</v>
      </c>
      <c r="R23" s="99"/>
      <c r="S23" s="99"/>
      <c r="T23" s="149">
        <v>0.34375</v>
      </c>
      <c r="U23" s="99"/>
      <c r="V23" s="99"/>
      <c r="W23" s="133">
        <f t="shared" si="4"/>
        <v>0</v>
      </c>
      <c r="X23" s="133">
        <f t="shared" si="4"/>
        <v>0</v>
      </c>
      <c r="Y23" s="115" t="str">
        <f t="shared" si="3"/>
        <v>OK</v>
      </c>
      <c r="Z23" s="135"/>
      <c r="AA23" s="135" t="s">
        <v>121</v>
      </c>
      <c r="AB23" s="135"/>
      <c r="AC23" s="182" t="e">
        <f>(AC22/'Revenue - Year 4'!AC22)-1</f>
        <v>#DIV/0!</v>
      </c>
    </row>
    <row r="24" spans="1:34" ht="29.4" thickBot="1" x14ac:dyDescent="0.6">
      <c r="A24" s="126" t="s">
        <v>14</v>
      </c>
      <c r="B24" s="122">
        <f>Q19</f>
        <v>0.25694444444444448</v>
      </c>
      <c r="C24" s="99"/>
      <c r="D24" s="99"/>
      <c r="E24" s="149">
        <f>Q20</f>
        <v>0.375</v>
      </c>
      <c r="F24" s="99"/>
      <c r="G24" s="99"/>
      <c r="H24" s="149">
        <f>Q21</f>
        <v>0.21527777777777779</v>
      </c>
      <c r="I24" s="99"/>
      <c r="J24" s="99"/>
      <c r="K24" s="149">
        <f>Q22</f>
        <v>0.46527777777777773</v>
      </c>
      <c r="L24" s="99"/>
      <c r="M24" s="99"/>
      <c r="N24" s="149">
        <f>Q23</f>
        <v>0.46875</v>
      </c>
      <c r="O24" s="99"/>
      <c r="P24" s="99"/>
      <c r="Q24" s="119">
        <v>0</v>
      </c>
      <c r="R24" s="120">
        <v>0</v>
      </c>
      <c r="S24" s="120">
        <v>0</v>
      </c>
      <c r="T24" s="149">
        <v>0.125</v>
      </c>
      <c r="U24" s="99"/>
      <c r="V24" s="99"/>
      <c r="W24" s="133">
        <f t="shared" si="4"/>
        <v>0</v>
      </c>
      <c r="X24" s="133">
        <f t="shared" si="4"/>
        <v>0</v>
      </c>
      <c r="Y24" s="115" t="str">
        <f t="shared" si="3"/>
        <v>OK</v>
      </c>
      <c r="Z24" s="135" t="s">
        <v>59</v>
      </c>
      <c r="AA24" s="135"/>
      <c r="AB24" s="135"/>
      <c r="AC24" s="136">
        <f>AC26-AC25</f>
        <v>0</v>
      </c>
      <c r="AE24" s="172" t="s">
        <v>118</v>
      </c>
      <c r="AF24" s="172"/>
      <c r="AG24" s="185">
        <f>5*AC24</f>
        <v>0</v>
      </c>
      <c r="AH24" s="185"/>
    </row>
    <row r="25" spans="1:34" ht="29.4" thickBot="1" x14ac:dyDescent="0.6">
      <c r="A25" s="142" t="s">
        <v>64</v>
      </c>
      <c r="B25" s="122">
        <f>T19</f>
        <v>0.13194444444444445</v>
      </c>
      <c r="C25" s="99"/>
      <c r="D25" s="99"/>
      <c r="E25" s="149">
        <f>T20</f>
        <v>0.25</v>
      </c>
      <c r="F25" s="99"/>
      <c r="G25" s="99"/>
      <c r="H25" s="149">
        <f>T21</f>
        <v>9.0277777777777776E-2</v>
      </c>
      <c r="I25" s="99"/>
      <c r="J25" s="99"/>
      <c r="K25" s="149">
        <f>T22</f>
        <v>0.34027777777777773</v>
      </c>
      <c r="L25" s="99"/>
      <c r="M25" s="99"/>
      <c r="N25" s="149">
        <f>T23</f>
        <v>0.34375</v>
      </c>
      <c r="O25" s="99"/>
      <c r="P25" s="99"/>
      <c r="Q25" s="149">
        <f>T24</f>
        <v>0.125</v>
      </c>
      <c r="R25" s="99"/>
      <c r="S25" s="99"/>
      <c r="T25" s="119">
        <v>0</v>
      </c>
      <c r="U25" s="120">
        <v>0</v>
      </c>
      <c r="V25" s="120">
        <v>0</v>
      </c>
      <c r="W25" s="133">
        <f t="shared" si="4"/>
        <v>0</v>
      </c>
      <c r="X25" s="133">
        <f t="shared" si="4"/>
        <v>0</v>
      </c>
      <c r="Y25" s="115" t="str">
        <f t="shared" si="3"/>
        <v>OK</v>
      </c>
      <c r="Z25" s="135" t="s">
        <v>60</v>
      </c>
      <c r="AA25" s="135"/>
      <c r="AB25" s="135"/>
      <c r="AC25" s="136">
        <f>SUM(U19:V24)+C25+D25+F25+G25+I25+J25+L25+M25+O25+P25+R25+S25</f>
        <v>0</v>
      </c>
      <c r="AE25" s="172" t="s">
        <v>119</v>
      </c>
      <c r="AF25" s="172"/>
      <c r="AG25" s="185">
        <f>15*(AC25)</f>
        <v>0</v>
      </c>
      <c r="AH25" s="185"/>
    </row>
    <row r="26" spans="1:34" ht="29.4" thickBot="1" x14ac:dyDescent="0.6">
      <c r="A26" s="128" t="s">
        <v>40</v>
      </c>
      <c r="B26" s="122"/>
      <c r="C26" s="129">
        <f>SUM(C19:C25)</f>
        <v>0</v>
      </c>
      <c r="D26" s="129">
        <f>SUM(D19:D25)</f>
        <v>0</v>
      </c>
      <c r="E26" s="130"/>
      <c r="F26" s="129">
        <f>SUM(F19:F25)</f>
        <v>0</v>
      </c>
      <c r="G26" s="129">
        <f>SUM(G19:G25)</f>
        <v>0</v>
      </c>
      <c r="H26" s="130"/>
      <c r="I26" s="129">
        <f>SUM(I19:I25)</f>
        <v>0</v>
      </c>
      <c r="J26" s="129">
        <f>SUM(J19:J25)</f>
        <v>0</v>
      </c>
      <c r="K26" s="130"/>
      <c r="L26" s="129">
        <f>SUM(L19:L25)</f>
        <v>0</v>
      </c>
      <c r="M26" s="129">
        <f>SUM(M19:M25)</f>
        <v>0</v>
      </c>
      <c r="N26" s="130"/>
      <c r="O26" s="129">
        <f>SUM(O19:O25)</f>
        <v>0</v>
      </c>
      <c r="P26" s="129">
        <f>SUM(P19:P25)</f>
        <v>0</v>
      </c>
      <c r="Q26" s="130"/>
      <c r="R26" s="129">
        <f>SUM(R19:R25)</f>
        <v>0</v>
      </c>
      <c r="S26" s="129">
        <f>SUM(S19:S25)</f>
        <v>0</v>
      </c>
      <c r="T26" s="130"/>
      <c r="U26" s="129">
        <f>SUM(U19:U25)</f>
        <v>0</v>
      </c>
      <c r="V26" s="129">
        <f>SUM(V19:V25)</f>
        <v>0</v>
      </c>
      <c r="W26" s="133">
        <f t="shared" si="4"/>
        <v>0</v>
      </c>
      <c r="X26" s="133">
        <f t="shared" si="4"/>
        <v>0</v>
      </c>
      <c r="Y26" s="115" t="str">
        <f t="shared" si="3"/>
        <v>OK</v>
      </c>
      <c r="Z26" s="181" t="s">
        <v>61</v>
      </c>
      <c r="AA26" s="135"/>
      <c r="AB26" s="135"/>
      <c r="AC26" s="136">
        <f>SUM(B26:V26)</f>
        <v>0</v>
      </c>
    </row>
    <row r="27" spans="1:34" ht="28.8" x14ac:dyDescent="0.55000000000000004">
      <c r="B27" s="105"/>
      <c r="C27" s="115" t="str">
        <f>+IF(C18="Y",IF(C26&gt;270,"PB","OK"),IF(C26&gt;70,"PB","OK"))</f>
        <v>OK</v>
      </c>
      <c r="D27" s="115" t="str">
        <f>+IF(D18="Y",IF(D26&gt;270,"PB","OK"),IF(D26&gt;70,"PB","OK"))</f>
        <v>OK</v>
      </c>
      <c r="E27" s="115"/>
      <c r="F27" s="115" t="str">
        <f>+IF(F18="Y",IF(F26&gt;270,"PB","OK"),IF(F26&gt;70,"PB","OK"))</f>
        <v>OK</v>
      </c>
      <c r="G27" s="115" t="str">
        <f>+IF(G18="Y",IF(G26&gt;270,"PB","OK"),IF(G26&gt;70,"PB","OK"))</f>
        <v>OK</v>
      </c>
      <c r="H27" s="115"/>
      <c r="I27" s="115" t="str">
        <f>+IF(I18="Y",IF(I26&gt;270,"PB","OK"),IF(I26&gt;70,"PB","OK"))</f>
        <v>OK</v>
      </c>
      <c r="J27" s="115" t="str">
        <f>+IF(J18="Y",IF(J26&gt;270,"PB","OK"),IF(J26&gt;70,"PB","OK"))</f>
        <v>OK</v>
      </c>
      <c r="K27" s="115"/>
      <c r="L27" s="115" t="str">
        <f>+IF(L18="Y",IF(L26&gt;270,"PB","OK"),IF(L26&gt;70,"PB","OK"))</f>
        <v>OK</v>
      </c>
      <c r="M27" s="115" t="str">
        <f>+IF(M18="Y",IF(M26&gt;270,"PB","OK"),IF(M26&gt;70,"PB","OK"))</f>
        <v>OK</v>
      </c>
      <c r="N27" s="115"/>
      <c r="O27" s="115" t="str">
        <f>+IF(O18="Y",IF(O26&gt;270,"PB","OK"),IF(O26&gt;70,"PB","OK"))</f>
        <v>OK</v>
      </c>
      <c r="P27" s="115" t="str">
        <f>+IF(P18="Y",IF(P26&gt;270,"PB","OK"),IF(P26&gt;70,"PB","OK"))</f>
        <v>OK</v>
      </c>
      <c r="Q27" s="115"/>
      <c r="R27" s="115" t="str">
        <f>+IF(R18="Y",IF(R26&gt;270,"PB","OK"),IF(R26&gt;70,"PB","OK"))</f>
        <v>OK</v>
      </c>
      <c r="S27" s="115" t="str">
        <f>+IF(S18="Y",IF(S26&gt;270,"PB","OK"),IF(S26&gt;70,"PB","OK"))</f>
        <v>OK</v>
      </c>
      <c r="T27" s="115"/>
      <c r="U27" s="115" t="str">
        <f>+IF(U18="Y",IF(U26&gt;270,"PB","OK"),IF(U26&gt;70,"PB","OK"))</f>
        <v>OK</v>
      </c>
      <c r="V27" s="115" t="str">
        <f>+IF(V18="Y",IF(V26&gt;270,"PB","OK"),IF(V26&gt;70,"PB","OK"))</f>
        <v>OK</v>
      </c>
      <c r="W27" s="139"/>
      <c r="X27" s="139"/>
      <c r="Y27" s="139"/>
      <c r="Z27" s="181" t="s">
        <v>120</v>
      </c>
      <c r="AA27" s="135"/>
      <c r="AB27" s="135"/>
      <c r="AC27" s="180">
        <f>(2*AC24+AC25)/2040</f>
        <v>0</v>
      </c>
    </row>
    <row r="28" spans="1:34" x14ac:dyDescent="0.3">
      <c r="W28" s="141"/>
      <c r="X28" s="141"/>
      <c r="Y28" s="141"/>
      <c r="Z28" s="134"/>
      <c r="AA28" s="134"/>
      <c r="AB28" s="134"/>
      <c r="AC28" s="134"/>
    </row>
    <row r="29" spans="1:34" ht="28.8" x14ac:dyDescent="0.3">
      <c r="A29" s="216" t="s">
        <v>19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141"/>
      <c r="X29" s="141"/>
      <c r="Y29" s="131"/>
      <c r="Z29" s="217" t="s">
        <v>19</v>
      </c>
      <c r="AA29" s="217"/>
      <c r="AB29" s="217"/>
      <c r="AC29" s="217"/>
    </row>
    <row r="30" spans="1:34" ht="29.4" thickBot="1" x14ac:dyDescent="0.35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141"/>
      <c r="X30" s="141"/>
      <c r="Y30" s="131"/>
      <c r="Z30" s="217"/>
      <c r="AA30" s="217"/>
      <c r="AB30" s="217"/>
      <c r="AC30" s="217"/>
    </row>
    <row r="31" spans="1:34" ht="26.4" thickBot="1" x14ac:dyDescent="0.35">
      <c r="A31" s="113" t="s">
        <v>63</v>
      </c>
      <c r="B31" s="218" t="s">
        <v>11</v>
      </c>
      <c r="C31" s="202"/>
      <c r="D31" s="203"/>
      <c r="E31" s="204" t="s">
        <v>12</v>
      </c>
      <c r="F31" s="205"/>
      <c r="G31" s="206"/>
      <c r="H31" s="207" t="s">
        <v>15</v>
      </c>
      <c r="I31" s="208"/>
      <c r="J31" s="209"/>
      <c r="K31" s="210" t="s">
        <v>13</v>
      </c>
      <c r="L31" s="211"/>
      <c r="M31" s="212"/>
      <c r="N31" s="213" t="s">
        <v>16</v>
      </c>
      <c r="O31" s="214"/>
      <c r="P31" s="215"/>
      <c r="Q31" s="187" t="s">
        <v>14</v>
      </c>
      <c r="R31" s="188"/>
      <c r="S31" s="189"/>
      <c r="T31" s="219" t="s">
        <v>19</v>
      </c>
      <c r="U31" s="220"/>
      <c r="V31" s="220"/>
      <c r="W31" s="200" t="s">
        <v>69</v>
      </c>
      <c r="X31" s="200"/>
      <c r="Y31" s="132"/>
      <c r="Z31" s="217"/>
      <c r="AA31" s="217"/>
      <c r="AB31" s="217"/>
      <c r="AC31" s="217"/>
    </row>
    <row r="32" spans="1:34" ht="31.8" thickBot="1" x14ac:dyDescent="0.35">
      <c r="A32" s="113" t="s">
        <v>39</v>
      </c>
      <c r="B32" s="114" t="s">
        <v>36</v>
      </c>
      <c r="C32" s="115" t="s">
        <v>21</v>
      </c>
      <c r="D32" s="116" t="s">
        <v>20</v>
      </c>
      <c r="E32" s="114" t="s">
        <v>36</v>
      </c>
      <c r="F32" s="115" t="s">
        <v>21</v>
      </c>
      <c r="G32" s="116" t="s">
        <v>20</v>
      </c>
      <c r="H32" s="114" t="s">
        <v>36</v>
      </c>
      <c r="I32" s="115" t="s">
        <v>21</v>
      </c>
      <c r="J32" s="116" t="s">
        <v>20</v>
      </c>
      <c r="K32" s="114" t="s">
        <v>36</v>
      </c>
      <c r="L32" s="115" t="s">
        <v>21</v>
      </c>
      <c r="M32" s="116" t="s">
        <v>20</v>
      </c>
      <c r="N32" s="114" t="s">
        <v>36</v>
      </c>
      <c r="O32" s="115" t="s">
        <v>21</v>
      </c>
      <c r="P32" s="116" t="s">
        <v>20</v>
      </c>
      <c r="Q32" s="114" t="s">
        <v>36</v>
      </c>
      <c r="R32" s="115" t="s">
        <v>21</v>
      </c>
      <c r="S32" s="116" t="s">
        <v>20</v>
      </c>
      <c r="T32" s="114" t="s">
        <v>36</v>
      </c>
      <c r="U32" s="115" t="s">
        <v>21</v>
      </c>
      <c r="V32" s="116" t="s">
        <v>20</v>
      </c>
      <c r="W32" s="133" t="s">
        <v>21</v>
      </c>
      <c r="X32" s="133" t="s">
        <v>20</v>
      </c>
      <c r="Y32" s="133"/>
      <c r="Z32" s="134"/>
      <c r="AA32" s="134"/>
      <c r="AB32" s="134"/>
      <c r="AC32" s="134"/>
    </row>
    <row r="33" spans="1:34" ht="29.4" thickBot="1" x14ac:dyDescent="0.6">
      <c r="A33" s="118" t="s">
        <v>11</v>
      </c>
      <c r="B33" s="119">
        <v>0</v>
      </c>
      <c r="C33" s="120">
        <v>0</v>
      </c>
      <c r="D33" s="120">
        <v>0</v>
      </c>
      <c r="E33" s="149">
        <v>0.34027777777777773</v>
      </c>
      <c r="F33" s="99"/>
      <c r="G33" s="99"/>
      <c r="H33" s="149">
        <v>0.28472222222222221</v>
      </c>
      <c r="I33" s="99"/>
      <c r="J33" s="99"/>
      <c r="K33" s="149">
        <v>0.44444444444444442</v>
      </c>
      <c r="L33" s="99"/>
      <c r="M33" s="99"/>
      <c r="N33" s="149">
        <v>0.49305555555555558</v>
      </c>
      <c r="O33" s="99"/>
      <c r="P33" s="99"/>
      <c r="Q33" s="149">
        <v>0.19444444444444445</v>
      </c>
      <c r="R33" s="99"/>
      <c r="S33" s="99"/>
      <c r="T33" s="149">
        <v>9.0277777777777776E-2</v>
      </c>
      <c r="U33" s="99"/>
      <c r="V33" s="99"/>
      <c r="W33" s="133">
        <f>C33+F33+I33+L33+O33+R33+U33</f>
        <v>0</v>
      </c>
      <c r="X33" s="133">
        <f>D33+G33+J33+M33+P33+S33+V33</f>
        <v>0</v>
      </c>
      <c r="Y33" s="115" t="str">
        <f t="shared" ref="Y33:Y40" si="5">IF(OR(W33&gt;70,X33&gt;270),"PB","OK")</f>
        <v>OK</v>
      </c>
      <c r="Z33" s="135" t="s">
        <v>57</v>
      </c>
      <c r="AA33" s="135"/>
      <c r="AB33" s="135"/>
      <c r="AC33" s="136">
        <f>1440/60*4*(SUMPRODUCT($B$33:$B$39,C33:C39)+SUMPRODUCT($E$33:$E$39,F33:F39)+SUMPRODUCT($H$33:$H$39,I33:I39)+SUMPRODUCT($K$33:$K$39,L33:L39)+SUMPRODUCT($N$33:$N$39,O33:O39)+SUMPRODUCT($Q$33:$Q$39,R33:R39)+SUMPRODUCT($T$33:$T$39,U33:U39))</f>
        <v>0</v>
      </c>
    </row>
    <row r="34" spans="1:34" ht="29.4" thickBot="1" x14ac:dyDescent="0.6">
      <c r="A34" s="121" t="s">
        <v>12</v>
      </c>
      <c r="B34" s="122">
        <f>E33</f>
        <v>0.34027777777777773</v>
      </c>
      <c r="C34" s="99"/>
      <c r="D34" s="99"/>
      <c r="E34" s="119">
        <v>0</v>
      </c>
      <c r="F34" s="120">
        <v>0</v>
      </c>
      <c r="G34" s="120">
        <v>0</v>
      </c>
      <c r="H34" s="149">
        <v>0.44444444444444442</v>
      </c>
      <c r="I34" s="99"/>
      <c r="J34" s="99"/>
      <c r="K34" s="151">
        <v>0.60416666666666663</v>
      </c>
      <c r="L34" s="99"/>
      <c r="M34" s="99"/>
      <c r="N34" s="149">
        <v>0.65277777777777779</v>
      </c>
      <c r="O34" s="99"/>
      <c r="P34" s="99"/>
      <c r="Q34" s="149">
        <v>0.35416666666666669</v>
      </c>
      <c r="R34" s="99"/>
      <c r="S34" s="99"/>
      <c r="T34" s="149">
        <v>0.25</v>
      </c>
      <c r="U34" s="99"/>
      <c r="V34" s="99"/>
      <c r="W34" s="133">
        <f t="shared" ref="W34:X40" si="6">C34+F34+I34+L34+O34+R34+U34</f>
        <v>0</v>
      </c>
      <c r="X34" s="133">
        <f t="shared" si="6"/>
        <v>0</v>
      </c>
      <c r="Y34" s="115" t="str">
        <f t="shared" si="5"/>
        <v>OK</v>
      </c>
      <c r="Z34" s="135" t="s">
        <v>68</v>
      </c>
      <c r="AA34" s="135"/>
      <c r="AB34" s="135"/>
      <c r="AC34" s="136">
        <f>1440/60*(SUMPRODUCT($B$33:$B$39,D33:D39)+SUMPRODUCT($E$33:$E$39,G33:G39)+SUMPRODUCT($H$33:$H$39,J33:J39)+SUMPRODUCT($K$33:$K$39,M33:M39)+SUMPRODUCT($N$33:$N$39,P33:P39)+SUMPRODUCT($Q$33:$Q$39,S33:S39)+SUMPRODUCT($T$33:$T$39,V33:V39))</f>
        <v>0</v>
      </c>
    </row>
    <row r="35" spans="1:34" ht="29.4" thickBot="1" x14ac:dyDescent="0.6">
      <c r="A35" s="123" t="s">
        <v>15</v>
      </c>
      <c r="B35" s="122">
        <f>H33</f>
        <v>0.28472222222222221</v>
      </c>
      <c r="C35" s="99"/>
      <c r="D35" s="99"/>
      <c r="E35" s="149">
        <f>H34</f>
        <v>0.44444444444444442</v>
      </c>
      <c r="F35" s="99"/>
      <c r="G35" s="99"/>
      <c r="H35" s="119">
        <v>0</v>
      </c>
      <c r="I35" s="120">
        <v>0</v>
      </c>
      <c r="J35" s="120">
        <v>0</v>
      </c>
      <c r="K35" s="149">
        <v>0.54861111111111105</v>
      </c>
      <c r="L35" s="99"/>
      <c r="M35" s="99"/>
      <c r="N35" s="149">
        <v>0.59722222222222221</v>
      </c>
      <c r="O35" s="99"/>
      <c r="P35" s="99"/>
      <c r="Q35" s="149">
        <v>0.2986111111111111</v>
      </c>
      <c r="R35" s="99"/>
      <c r="S35" s="99"/>
      <c r="T35" s="149">
        <v>0.19444444444444445</v>
      </c>
      <c r="U35" s="99"/>
      <c r="V35" s="99"/>
      <c r="W35" s="133">
        <f t="shared" si="6"/>
        <v>0</v>
      </c>
      <c r="X35" s="133">
        <f t="shared" si="6"/>
        <v>0</v>
      </c>
      <c r="Y35" s="115" t="str">
        <f t="shared" si="5"/>
        <v>OK</v>
      </c>
      <c r="Z35" s="135" t="s">
        <v>58</v>
      </c>
      <c r="AA35" s="135"/>
      <c r="AB35" s="135"/>
      <c r="AC35" s="137">
        <f>AC33+AC34</f>
        <v>0</v>
      </c>
    </row>
    <row r="36" spans="1:34" ht="29.4" thickBot="1" x14ac:dyDescent="0.6">
      <c r="A36" s="124" t="s">
        <v>13</v>
      </c>
      <c r="B36" s="122">
        <f>K33</f>
        <v>0.44444444444444442</v>
      </c>
      <c r="C36" s="99"/>
      <c r="D36" s="99"/>
      <c r="E36" s="149">
        <f>K34</f>
        <v>0.60416666666666663</v>
      </c>
      <c r="F36" s="99"/>
      <c r="G36" s="99"/>
      <c r="H36" s="149">
        <f>K35</f>
        <v>0.54861111111111105</v>
      </c>
      <c r="I36" s="99"/>
      <c r="J36" s="99"/>
      <c r="K36" s="119">
        <v>0</v>
      </c>
      <c r="L36" s="120">
        <v>0</v>
      </c>
      <c r="M36" s="120">
        <v>0</v>
      </c>
      <c r="N36" s="149">
        <v>0.75694444444444453</v>
      </c>
      <c r="O36" s="99"/>
      <c r="P36" s="99"/>
      <c r="Q36" s="149">
        <v>0.45833333333333331</v>
      </c>
      <c r="R36" s="99"/>
      <c r="S36" s="99"/>
      <c r="T36" s="149">
        <v>0.35416666666666669</v>
      </c>
      <c r="U36" s="99"/>
      <c r="V36" s="99"/>
      <c r="W36" s="133">
        <f t="shared" si="6"/>
        <v>0</v>
      </c>
      <c r="X36" s="133">
        <f t="shared" si="6"/>
        <v>0</v>
      </c>
      <c r="Y36" s="115" t="str">
        <f t="shared" si="5"/>
        <v>OK</v>
      </c>
      <c r="Z36" s="181" t="s">
        <v>74</v>
      </c>
      <c r="AA36" s="135"/>
      <c r="AB36" s="135"/>
      <c r="AC36" s="138">
        <f>35*AC35</f>
        <v>0</v>
      </c>
    </row>
    <row r="37" spans="1:34" ht="29.4" thickBot="1" x14ac:dyDescent="0.6">
      <c r="A37" s="125" t="s">
        <v>16</v>
      </c>
      <c r="B37" s="122">
        <f>N33</f>
        <v>0.49305555555555558</v>
      </c>
      <c r="C37" s="99"/>
      <c r="D37" s="99"/>
      <c r="E37" s="149">
        <f>N34</f>
        <v>0.65277777777777779</v>
      </c>
      <c r="F37" s="99"/>
      <c r="G37" s="99"/>
      <c r="H37" s="149">
        <f>N35</f>
        <v>0.59722222222222221</v>
      </c>
      <c r="I37" s="99"/>
      <c r="J37" s="99"/>
      <c r="K37" s="149">
        <f>N36</f>
        <v>0.75694444444444453</v>
      </c>
      <c r="L37" s="99"/>
      <c r="M37" s="99"/>
      <c r="N37" s="119">
        <v>0</v>
      </c>
      <c r="O37" s="120">
        <v>0</v>
      </c>
      <c r="P37" s="120">
        <v>0</v>
      </c>
      <c r="Q37" s="149">
        <v>0.50694444444444442</v>
      </c>
      <c r="R37" s="99"/>
      <c r="S37" s="99"/>
      <c r="T37" s="149">
        <v>0.40277777777777773</v>
      </c>
      <c r="U37" s="99"/>
      <c r="V37" s="99"/>
      <c r="W37" s="133">
        <f t="shared" si="6"/>
        <v>0</v>
      </c>
      <c r="X37" s="133">
        <f t="shared" si="6"/>
        <v>0</v>
      </c>
      <c r="Y37" s="115" t="str">
        <f t="shared" si="5"/>
        <v>OK</v>
      </c>
      <c r="Z37" s="135"/>
      <c r="AA37" s="135" t="s">
        <v>121</v>
      </c>
      <c r="AB37" s="135"/>
      <c r="AC37" s="182" t="e">
        <f>(AC36/'Revenue - Year 4'!AC36)-1</f>
        <v>#DIV/0!</v>
      </c>
    </row>
    <row r="38" spans="1:34" ht="29.4" thickBot="1" x14ac:dyDescent="0.6">
      <c r="A38" s="126" t="s">
        <v>14</v>
      </c>
      <c r="B38" s="122">
        <f>Q33</f>
        <v>0.19444444444444445</v>
      </c>
      <c r="C38" s="99"/>
      <c r="D38" s="99"/>
      <c r="E38" s="149">
        <f>Q34</f>
        <v>0.35416666666666669</v>
      </c>
      <c r="F38" s="99"/>
      <c r="G38" s="99"/>
      <c r="H38" s="149">
        <f>Q35</f>
        <v>0.2986111111111111</v>
      </c>
      <c r="I38" s="99"/>
      <c r="J38" s="99"/>
      <c r="K38" s="149">
        <f>Q36</f>
        <v>0.45833333333333331</v>
      </c>
      <c r="L38" s="99"/>
      <c r="M38" s="99"/>
      <c r="N38" s="149">
        <f>Q37</f>
        <v>0.50694444444444442</v>
      </c>
      <c r="O38" s="99"/>
      <c r="P38" s="99"/>
      <c r="Q38" s="119">
        <v>0</v>
      </c>
      <c r="R38" s="120">
        <v>0</v>
      </c>
      <c r="S38" s="120">
        <v>0</v>
      </c>
      <c r="T38" s="149">
        <v>0.10416666666666667</v>
      </c>
      <c r="U38" s="99"/>
      <c r="V38" s="99"/>
      <c r="W38" s="133">
        <f t="shared" si="6"/>
        <v>0</v>
      </c>
      <c r="X38" s="133">
        <f t="shared" si="6"/>
        <v>0</v>
      </c>
      <c r="Y38" s="115" t="str">
        <f t="shared" si="5"/>
        <v>OK</v>
      </c>
      <c r="Z38" s="135" t="s">
        <v>59</v>
      </c>
      <c r="AA38" s="135"/>
      <c r="AB38" s="135"/>
      <c r="AC38" s="136">
        <f>AC40-AC39</f>
        <v>0</v>
      </c>
      <c r="AE38" s="172" t="s">
        <v>118</v>
      </c>
      <c r="AF38" s="172"/>
      <c r="AG38" s="185">
        <f>12*AC38</f>
        <v>0</v>
      </c>
      <c r="AH38" s="185"/>
    </row>
    <row r="39" spans="1:34" ht="29.4" thickBot="1" x14ac:dyDescent="0.6">
      <c r="A39" s="143" t="s">
        <v>65</v>
      </c>
      <c r="B39" s="122">
        <f>T33</f>
        <v>9.0277777777777776E-2</v>
      </c>
      <c r="C39" s="99"/>
      <c r="D39" s="99"/>
      <c r="E39" s="149">
        <f>T34</f>
        <v>0.25</v>
      </c>
      <c r="F39" s="99"/>
      <c r="G39" s="99"/>
      <c r="H39" s="149">
        <f>T35</f>
        <v>0.19444444444444445</v>
      </c>
      <c r="I39" s="99"/>
      <c r="J39" s="99"/>
      <c r="K39" s="149">
        <f>T36</f>
        <v>0.35416666666666669</v>
      </c>
      <c r="L39" s="99"/>
      <c r="M39" s="99"/>
      <c r="N39" s="149">
        <f>T37</f>
        <v>0.40277777777777773</v>
      </c>
      <c r="O39" s="99"/>
      <c r="P39" s="99"/>
      <c r="Q39" s="149">
        <f>T38</f>
        <v>0.10416666666666667</v>
      </c>
      <c r="R39" s="99"/>
      <c r="S39" s="99"/>
      <c r="T39" s="119">
        <v>0</v>
      </c>
      <c r="U39" s="120">
        <v>0</v>
      </c>
      <c r="V39" s="120">
        <v>0</v>
      </c>
      <c r="W39" s="133">
        <f t="shared" si="6"/>
        <v>0</v>
      </c>
      <c r="X39" s="133">
        <f t="shared" si="6"/>
        <v>0</v>
      </c>
      <c r="Y39" s="115" t="str">
        <f t="shared" si="5"/>
        <v>OK</v>
      </c>
      <c r="Z39" s="135" t="s">
        <v>60</v>
      </c>
      <c r="AA39" s="135"/>
      <c r="AB39" s="135"/>
      <c r="AC39" s="136">
        <f>SUM(U33:V38)+C39+D39+F39+G39+I39+J39+L39+M39+O39+P39+R39+S39</f>
        <v>0</v>
      </c>
      <c r="AE39" s="172" t="s">
        <v>119</v>
      </c>
      <c r="AF39" s="172"/>
      <c r="AG39" s="185">
        <f>15*AC39</f>
        <v>0</v>
      </c>
      <c r="AH39" s="185"/>
    </row>
    <row r="40" spans="1:34" ht="29.4" thickBot="1" x14ac:dyDescent="0.6">
      <c r="A40" s="128" t="s">
        <v>40</v>
      </c>
      <c r="B40" s="122"/>
      <c r="C40" s="129">
        <f>SUM(C33:C39)</f>
        <v>0</v>
      </c>
      <c r="D40" s="129">
        <f>SUM(D33:D39)</f>
        <v>0</v>
      </c>
      <c r="E40" s="130"/>
      <c r="F40" s="129">
        <f>SUM(F33:F39)</f>
        <v>0</v>
      </c>
      <c r="G40" s="129">
        <f>SUM(G33:G39)</f>
        <v>0</v>
      </c>
      <c r="H40" s="130"/>
      <c r="I40" s="129">
        <f>SUM(I33:I39)</f>
        <v>0</v>
      </c>
      <c r="J40" s="129">
        <f>SUM(J33:J39)</f>
        <v>0</v>
      </c>
      <c r="K40" s="130"/>
      <c r="L40" s="129">
        <f>SUM(L33:L39)</f>
        <v>0</v>
      </c>
      <c r="M40" s="129">
        <f>SUM(M33:M39)</f>
        <v>0</v>
      </c>
      <c r="N40" s="130"/>
      <c r="O40" s="129">
        <f>SUM(O33:O39)</f>
        <v>0</v>
      </c>
      <c r="P40" s="129">
        <f>SUM(P33:P39)</f>
        <v>0</v>
      </c>
      <c r="Q40" s="130"/>
      <c r="R40" s="129">
        <f>SUM(R33:R39)</f>
        <v>0</v>
      </c>
      <c r="S40" s="129">
        <f>SUM(S33:S39)</f>
        <v>0</v>
      </c>
      <c r="T40" s="130"/>
      <c r="U40" s="129">
        <f>SUM(U33:U39)</f>
        <v>0</v>
      </c>
      <c r="V40" s="129">
        <f>SUM(V33:V39)</f>
        <v>0</v>
      </c>
      <c r="W40" s="133">
        <f t="shared" si="6"/>
        <v>0</v>
      </c>
      <c r="X40" s="133">
        <f t="shared" si="6"/>
        <v>0</v>
      </c>
      <c r="Y40" s="115" t="str">
        <f t="shared" si="5"/>
        <v>OK</v>
      </c>
      <c r="Z40" s="181" t="s">
        <v>61</v>
      </c>
      <c r="AA40" s="135"/>
      <c r="AB40" s="135"/>
      <c r="AC40" s="136">
        <f>SUM(B40:V40)</f>
        <v>0</v>
      </c>
    </row>
    <row r="41" spans="1:34" ht="28.8" x14ac:dyDescent="0.55000000000000004">
      <c r="B41" s="105"/>
      <c r="C41" s="115" t="str">
        <f>+IF(C32="Y",IF(C40&gt;270,"PB","OK"),IF(C40&gt;70,"PB","OK"))</f>
        <v>OK</v>
      </c>
      <c r="D41" s="115" t="str">
        <f>+IF(D32="Y",IF(D40&gt;270,"PB","OK"),IF(D40&gt;70,"PB","OK"))</f>
        <v>OK</v>
      </c>
      <c r="E41" s="115"/>
      <c r="F41" s="115" t="str">
        <f>+IF(F32="Y",IF(F40&gt;270,"PB","OK"),IF(F40&gt;70,"PB","OK"))</f>
        <v>OK</v>
      </c>
      <c r="G41" s="115" t="str">
        <f>+IF(G32="Y",IF(G40&gt;270,"PB","OK"),IF(G40&gt;70,"PB","OK"))</f>
        <v>OK</v>
      </c>
      <c r="H41" s="115"/>
      <c r="I41" s="115" t="str">
        <f>+IF(I32="Y",IF(I40&gt;270,"PB","OK"),IF(I40&gt;70,"PB","OK"))</f>
        <v>OK</v>
      </c>
      <c r="J41" s="115" t="str">
        <f>+IF(J32="Y",IF(J40&gt;270,"PB","OK"),IF(J40&gt;70,"PB","OK"))</f>
        <v>OK</v>
      </c>
      <c r="K41" s="115"/>
      <c r="L41" s="115" t="str">
        <f>+IF(L32="Y",IF(L40&gt;270,"PB","OK"),IF(L40&gt;70,"PB","OK"))</f>
        <v>OK</v>
      </c>
      <c r="M41" s="115" t="str">
        <f>+IF(M32="Y",IF(M40&gt;270,"PB","OK"),IF(M40&gt;70,"PB","OK"))</f>
        <v>OK</v>
      </c>
      <c r="N41" s="115"/>
      <c r="O41" s="115" t="str">
        <f>+IF(O32="Y",IF(O40&gt;270,"PB","OK"),IF(O40&gt;70,"PB","OK"))</f>
        <v>OK</v>
      </c>
      <c r="P41" s="115" t="str">
        <f>+IF(P32="Y",IF(P40&gt;270,"PB","OK"),IF(P40&gt;70,"PB","OK"))</f>
        <v>OK</v>
      </c>
      <c r="Q41" s="115"/>
      <c r="R41" s="115" t="str">
        <f>+IF(R32="Y",IF(R40&gt;270,"PB","OK"),IF(R40&gt;70,"PB","OK"))</f>
        <v>OK</v>
      </c>
      <c r="S41" s="115" t="str">
        <f>+IF(S32="Y",IF(S40&gt;270,"PB","OK"),IF(S40&gt;70,"PB","OK"))</f>
        <v>OK</v>
      </c>
      <c r="T41" s="115"/>
      <c r="U41" s="115" t="str">
        <f>+IF(U32="Y",IF(U40&gt;270,"PB","OK"),IF(U40&gt;70,"PB","OK"))</f>
        <v>OK</v>
      </c>
      <c r="V41" s="115" t="str">
        <f>+IF(V32="Y",IF(V40&gt;270,"PB","OK"),IF(V40&gt;70,"PB","OK"))</f>
        <v>OK</v>
      </c>
      <c r="W41" s="139"/>
      <c r="X41" s="139"/>
      <c r="Y41" s="139"/>
      <c r="Z41" s="181" t="s">
        <v>120</v>
      </c>
      <c r="AA41" s="135"/>
      <c r="AB41" s="135"/>
      <c r="AC41" s="180">
        <f>(AC39+2*AC38)/2040</f>
        <v>0</v>
      </c>
    </row>
    <row r="43" spans="1:34" ht="28.8" x14ac:dyDescent="0.3">
      <c r="Y43" s="145"/>
    </row>
    <row r="44" spans="1:34" ht="28.8" x14ac:dyDescent="0.3">
      <c r="Y44" s="145"/>
    </row>
    <row r="45" spans="1:34" ht="25.8" x14ac:dyDescent="0.3">
      <c r="Y45" s="146"/>
    </row>
    <row r="46" spans="1:34" x14ac:dyDescent="0.3">
      <c r="Y46" s="147"/>
    </row>
    <row r="47" spans="1:34" x14ac:dyDescent="0.3">
      <c r="Y47" s="105"/>
    </row>
    <row r="48" spans="1:34" x14ac:dyDescent="0.3">
      <c r="Y48" s="105"/>
    </row>
    <row r="49" spans="25:25" x14ac:dyDescent="0.3">
      <c r="Y49" s="105"/>
    </row>
    <row r="50" spans="25:25" x14ac:dyDescent="0.3">
      <c r="Y50" s="105"/>
    </row>
    <row r="51" spans="25:25" x14ac:dyDescent="0.3">
      <c r="Y51" s="105"/>
    </row>
    <row r="52" spans="25:25" x14ac:dyDescent="0.3">
      <c r="Y52" s="105"/>
    </row>
    <row r="53" spans="25:25" x14ac:dyDescent="0.3">
      <c r="Y53" s="105"/>
    </row>
    <row r="54" spans="25:25" x14ac:dyDescent="0.3">
      <c r="Y54" s="105"/>
    </row>
    <row r="55" spans="25:25" x14ac:dyDescent="0.3">
      <c r="Y55" s="150"/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Z8" name="Range1"/>
    <protectedRange algorithmName="SHA-512" hashValue="O3nVqS4WLk4xSwel02S7eaXy8tGCWXJyK2lfu+biOYQmABDVg5zp9yhHMIQgyZW+O3EzpAVmz3gg0T+9nAeyTA==" saltValue="wbZmK8/bm/bSkq9ih+cKbA==" spinCount="100000" sqref="Z22" name="Range1_1"/>
    <protectedRange algorithmName="SHA-512" hashValue="O3nVqS4WLk4xSwel02S7eaXy8tGCWXJyK2lfu+biOYQmABDVg5zp9yhHMIQgyZW+O3EzpAVmz3gg0T+9nAeyTA==" saltValue="wbZmK8/bm/bSkq9ih+cKbA==" spinCount="100000" sqref="Z36" name="Range1_2"/>
    <protectedRange algorithmName="SHA-512" hashValue="O3nVqS4WLk4xSwel02S7eaXy8tGCWXJyK2lfu+biOYQmABDVg5zp9yhHMIQgyZW+O3EzpAVmz3gg0T+9nAeyTA==" saltValue="wbZmK8/bm/bSkq9ih+cKbA==" spinCount="100000" sqref="Z13:AC13 Z27:AC27 Z41:AC41" name="Range1_3"/>
    <protectedRange algorithmName="SHA-512" hashValue="O3nVqS4WLk4xSwel02S7eaXy8tGCWXJyK2lfu+biOYQmABDVg5zp9yhHMIQgyZW+O3EzpAVmz3gg0T+9nAeyTA==" saltValue="wbZmK8/bm/bSkq9ih+cKbA==" spinCount="100000" sqref="AA9:AC9 AA23:AC23 AA37:AC37" name="Range1_2_2"/>
  </protectedRanges>
  <mergeCells count="36">
    <mergeCell ref="A1:V2"/>
    <mergeCell ref="Z1:AC3"/>
    <mergeCell ref="B3:D3"/>
    <mergeCell ref="E3:G3"/>
    <mergeCell ref="H3:J3"/>
    <mergeCell ref="K3:M3"/>
    <mergeCell ref="N3:P3"/>
    <mergeCell ref="Q3:S3"/>
    <mergeCell ref="T3:V3"/>
    <mergeCell ref="W3:X3"/>
    <mergeCell ref="A15:V16"/>
    <mergeCell ref="Z15:AC17"/>
    <mergeCell ref="B17:D17"/>
    <mergeCell ref="E17:G17"/>
    <mergeCell ref="H17:J17"/>
    <mergeCell ref="K17:M17"/>
    <mergeCell ref="N17:P17"/>
    <mergeCell ref="Q17:S17"/>
    <mergeCell ref="T17:V17"/>
    <mergeCell ref="W17:X17"/>
    <mergeCell ref="A29:V30"/>
    <mergeCell ref="Z29:AC31"/>
    <mergeCell ref="B31:D31"/>
    <mergeCell ref="E31:G31"/>
    <mergeCell ref="H31:J31"/>
    <mergeCell ref="K31:M31"/>
    <mergeCell ref="N31:P31"/>
    <mergeCell ref="Q31:S31"/>
    <mergeCell ref="T31:V31"/>
    <mergeCell ref="W31:X31"/>
    <mergeCell ref="AG25:AH25"/>
    <mergeCell ref="AG38:AH38"/>
    <mergeCell ref="AG39:AH39"/>
    <mergeCell ref="AG10:AH10"/>
    <mergeCell ref="AG11:AH11"/>
    <mergeCell ref="AG24:AH24"/>
  </mergeCells>
  <conditionalFormatting sqref="A27:V27">
    <cfRule type="cellIs" dxfId="96" priority="7" operator="equal">
      <formula>"PB"</formula>
    </cfRule>
  </conditionalFormatting>
  <conditionalFormatting sqref="A41:V41">
    <cfRule type="cellIs" dxfId="95" priority="5" operator="equal">
      <formula>"PB"</formula>
    </cfRule>
  </conditionalFormatting>
  <conditionalFormatting sqref="A13:V13">
    <cfRule type="cellIs" dxfId="94" priority="6" operator="equal">
      <formula>"PB"</formula>
    </cfRule>
  </conditionalFormatting>
  <conditionalFormatting sqref="Y47:Y54">
    <cfRule type="cellIs" dxfId="93" priority="1" operator="equal">
      <formula>"PB"</formula>
    </cfRule>
  </conditionalFormatting>
  <conditionalFormatting sqref="Y5:Y12">
    <cfRule type="cellIs" dxfId="92" priority="4" operator="equal">
      <formula>"PB"</formula>
    </cfRule>
  </conditionalFormatting>
  <conditionalFormatting sqref="Y19:Y26">
    <cfRule type="cellIs" dxfId="91" priority="3" operator="equal">
      <formula>"PB"</formula>
    </cfRule>
  </conditionalFormatting>
  <conditionalFormatting sqref="Y33:Y40">
    <cfRule type="cellIs" dxfId="90" priority="2" operator="equal">
      <formula>"PB"</formula>
    </cfRule>
  </conditionalFormatting>
  <dataValidations count="1">
    <dataValidation type="whole" allowBlank="1" showInputMessage="1" showErrorMessage="1" sqref="C6:D11 F5:G5 F7:G11 I5:J6 I8:J11 L5:M7 L9:M11 O5:P8 O10:P11 R5:S9 R11:S11 U5:V10 C20:D25 F19:G19 F21:G25 F33:G39 I19:J20 I22:J25 L19:M21 L23:M25 O19:P22 O24:P25 R19:S23 R25:S25 U19:V24 R39:S39 L33:M35 I33:J34 O33:P36 I36:J39 R33:S37 L37:M39 U33:V38 O38:P39 C34:D39" xr:uid="{00000000-0002-0000-0400-000000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Q61"/>
  <sheetViews>
    <sheetView topLeftCell="S1" zoomScale="50" zoomScaleNormal="50" workbookViewId="0">
      <selection activeCell="BM13" sqref="BM13"/>
    </sheetView>
  </sheetViews>
  <sheetFormatPr baseColWidth="10" defaultColWidth="8.88671875" defaultRowHeight="15.6" x14ac:dyDescent="0.3"/>
  <cols>
    <col min="1" max="1" width="19.5546875" style="105" bestFit="1" customWidth="1"/>
    <col min="2" max="2" width="9.109375" style="107"/>
    <col min="3" max="6" width="9.109375" style="107" hidden="1" customWidth="1"/>
    <col min="7" max="8" width="9.109375" style="101" customWidth="1"/>
    <col min="9" max="9" width="8.88671875" style="101"/>
    <col min="10" max="10" width="9.109375" style="101" customWidth="1"/>
    <col min="11" max="11" width="9.109375" style="107"/>
    <col min="12" max="15" width="9.109375" style="107" hidden="1" customWidth="1"/>
    <col min="16" max="17" width="9.109375" style="101" customWidth="1"/>
    <col min="18" max="18" width="8.88671875" style="101"/>
    <col min="19" max="19" width="9.109375" style="101" customWidth="1"/>
    <col min="20" max="20" width="9.109375" style="107"/>
    <col min="21" max="24" width="9.109375" style="107" hidden="1" customWidth="1"/>
    <col min="25" max="26" width="9.109375" style="101" customWidth="1"/>
    <col min="27" max="27" width="8.88671875" style="101"/>
    <col min="28" max="28" width="9.109375" style="101" customWidth="1"/>
    <col min="29" max="29" width="9.109375" style="107"/>
    <col min="30" max="33" width="9.109375" style="107" hidden="1" customWidth="1"/>
    <col min="34" max="35" width="9.109375" style="101" customWidth="1"/>
    <col min="36" max="36" width="8.88671875" style="101"/>
    <col min="37" max="37" width="9.109375" style="101" customWidth="1"/>
    <col min="38" max="38" width="9.109375" style="107"/>
    <col min="39" max="42" width="9.109375" style="107" hidden="1" customWidth="1"/>
    <col min="43" max="44" width="9.109375" style="101" customWidth="1"/>
    <col min="45" max="45" width="8.88671875" style="101"/>
    <col min="46" max="46" width="9.109375" style="101" customWidth="1"/>
    <col min="47" max="47" width="9.109375" style="107"/>
    <col min="48" max="51" width="9.109375" style="107" hidden="1" customWidth="1"/>
    <col min="52" max="53" width="9.109375" style="101" customWidth="1"/>
    <col min="54" max="54" width="8.88671875" style="101"/>
    <col min="55" max="55" width="9.109375" style="101" customWidth="1"/>
    <col min="56" max="56" width="9.109375" style="107"/>
    <col min="57" max="58" width="9.109375" style="101" customWidth="1"/>
    <col min="59" max="61" width="9.109375" style="108"/>
    <col min="62" max="62" width="36.44140625" style="101" bestFit="1" customWidth="1"/>
    <col min="63" max="63" width="8.88671875" style="101"/>
    <col min="64" max="64" width="4.5546875" style="101" bestFit="1" customWidth="1"/>
    <col min="65" max="65" width="26.33203125" style="101" customWidth="1"/>
    <col min="66" max="16384" width="8.88671875" style="101"/>
  </cols>
  <sheetData>
    <row r="1" spans="1:69" s="152" customFormat="1" ht="20.25" customHeight="1" x14ac:dyDescent="0.3">
      <c r="A1" s="225" t="s">
        <v>62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34"/>
      <c r="AL1" s="226">
        <v>0.125</v>
      </c>
      <c r="AM1" s="227"/>
      <c r="AN1" s="227"/>
      <c r="AO1" s="227"/>
      <c r="AP1" s="227"/>
      <c r="AQ1" s="227"/>
      <c r="AR1" s="227"/>
      <c r="AS1" s="227"/>
      <c r="AT1" s="227"/>
      <c r="AU1" s="230">
        <v>0.05</v>
      </c>
      <c r="AV1" s="231"/>
      <c r="AW1" s="231"/>
      <c r="AX1" s="231"/>
      <c r="AY1" s="231"/>
      <c r="AZ1" s="231"/>
      <c r="BA1" s="231"/>
      <c r="BB1" s="231"/>
      <c r="BC1" s="231"/>
      <c r="BD1" s="230">
        <v>0.02</v>
      </c>
      <c r="BE1" s="227"/>
      <c r="BF1" s="227"/>
      <c r="BG1" s="131"/>
      <c r="BH1" s="131"/>
      <c r="BI1" s="131"/>
      <c r="BJ1" s="186" t="s">
        <v>70</v>
      </c>
      <c r="BK1" s="186"/>
      <c r="BL1" s="186"/>
      <c r="BM1" s="186"/>
      <c r="BN1" s="101"/>
      <c r="BO1" s="101"/>
      <c r="BP1" s="101"/>
      <c r="BQ1" s="101"/>
    </row>
    <row r="2" spans="1:69" s="152" customFormat="1" ht="18.75" customHeight="1" thickBot="1" x14ac:dyDescent="0.3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34"/>
      <c r="AL2" s="228"/>
      <c r="AM2" s="229"/>
      <c r="AN2" s="229"/>
      <c r="AO2" s="229"/>
      <c r="AP2" s="229"/>
      <c r="AQ2" s="229"/>
      <c r="AR2" s="229"/>
      <c r="AS2" s="229"/>
      <c r="AT2" s="229"/>
      <c r="AU2" s="228"/>
      <c r="AV2" s="229"/>
      <c r="AW2" s="229"/>
      <c r="AX2" s="229"/>
      <c r="AY2" s="229"/>
      <c r="AZ2" s="229"/>
      <c r="BA2" s="229"/>
      <c r="BB2" s="229"/>
      <c r="BC2" s="229"/>
      <c r="BD2" s="228"/>
      <c r="BE2" s="229"/>
      <c r="BF2" s="229"/>
      <c r="BG2" s="131"/>
      <c r="BH2" s="131"/>
      <c r="BI2" s="131"/>
      <c r="BJ2" s="186"/>
      <c r="BK2" s="186"/>
      <c r="BL2" s="186"/>
      <c r="BM2" s="186"/>
      <c r="BN2" s="101"/>
      <c r="BO2" s="101"/>
      <c r="BP2" s="101"/>
      <c r="BQ2" s="101"/>
    </row>
    <row r="3" spans="1:69" s="103" customFormat="1" ht="26.4" thickBot="1" x14ac:dyDescent="0.55000000000000004">
      <c r="A3" s="113" t="s">
        <v>66</v>
      </c>
      <c r="B3" s="218" t="s">
        <v>11</v>
      </c>
      <c r="C3" s="202"/>
      <c r="D3" s="202"/>
      <c r="E3" s="202"/>
      <c r="F3" s="202"/>
      <c r="G3" s="202"/>
      <c r="H3" s="202"/>
      <c r="I3" s="202"/>
      <c r="J3" s="203"/>
      <c r="K3" s="204" t="s">
        <v>12</v>
      </c>
      <c r="L3" s="205"/>
      <c r="M3" s="205"/>
      <c r="N3" s="205"/>
      <c r="O3" s="205"/>
      <c r="P3" s="205"/>
      <c r="Q3" s="205"/>
      <c r="R3" s="205"/>
      <c r="S3" s="206"/>
      <c r="T3" s="207" t="s">
        <v>15</v>
      </c>
      <c r="U3" s="208"/>
      <c r="V3" s="208"/>
      <c r="W3" s="208"/>
      <c r="X3" s="208"/>
      <c r="Y3" s="208"/>
      <c r="Z3" s="208"/>
      <c r="AA3" s="208"/>
      <c r="AB3" s="208"/>
      <c r="AC3" s="210" t="s">
        <v>13</v>
      </c>
      <c r="AD3" s="211"/>
      <c r="AE3" s="211"/>
      <c r="AF3" s="211"/>
      <c r="AG3" s="211"/>
      <c r="AH3" s="211"/>
      <c r="AI3" s="211"/>
      <c r="AJ3" s="211"/>
      <c r="AK3" s="211"/>
      <c r="AL3" s="213" t="s">
        <v>16</v>
      </c>
      <c r="AM3" s="214"/>
      <c r="AN3" s="214"/>
      <c r="AO3" s="214"/>
      <c r="AP3" s="214"/>
      <c r="AQ3" s="214"/>
      <c r="AR3" s="214"/>
      <c r="AS3" s="214"/>
      <c r="AT3" s="214"/>
      <c r="AU3" s="187" t="s">
        <v>14</v>
      </c>
      <c r="AV3" s="188"/>
      <c r="AW3" s="188"/>
      <c r="AX3" s="188"/>
      <c r="AY3" s="188"/>
      <c r="AZ3" s="188"/>
      <c r="BA3" s="188"/>
      <c r="BB3" s="188"/>
      <c r="BC3" s="188"/>
      <c r="BD3" s="190" t="s">
        <v>35</v>
      </c>
      <c r="BE3" s="191"/>
      <c r="BF3" s="191"/>
      <c r="BG3" s="200" t="s">
        <v>69</v>
      </c>
      <c r="BH3" s="200"/>
      <c r="BI3" s="132"/>
      <c r="BJ3" s="186"/>
      <c r="BK3" s="186"/>
      <c r="BL3" s="186"/>
      <c r="BM3" s="186"/>
    </row>
    <row r="4" spans="1:69" s="153" customFormat="1" ht="31.8" thickBot="1" x14ac:dyDescent="0.35">
      <c r="A4" s="113" t="s">
        <v>39</v>
      </c>
      <c r="B4" s="114" t="s">
        <v>36</v>
      </c>
      <c r="C4" s="114" t="s">
        <v>79</v>
      </c>
      <c r="D4" s="114" t="s">
        <v>73</v>
      </c>
      <c r="E4" s="163" t="s">
        <v>83</v>
      </c>
      <c r="F4" s="163" t="s">
        <v>82</v>
      </c>
      <c r="G4" s="164" t="s">
        <v>80</v>
      </c>
      <c r="H4" s="164" t="s">
        <v>81</v>
      </c>
      <c r="I4" s="164" t="s">
        <v>37</v>
      </c>
      <c r="J4" s="164" t="s">
        <v>38</v>
      </c>
      <c r="K4" s="114" t="s">
        <v>36</v>
      </c>
      <c r="L4" s="114" t="s">
        <v>79</v>
      </c>
      <c r="M4" s="114" t="s">
        <v>73</v>
      </c>
      <c r="N4" s="163" t="s">
        <v>83</v>
      </c>
      <c r="O4" s="163" t="s">
        <v>82</v>
      </c>
      <c r="P4" s="164" t="s">
        <v>80</v>
      </c>
      <c r="Q4" s="164" t="s">
        <v>81</v>
      </c>
      <c r="R4" s="164" t="s">
        <v>37</v>
      </c>
      <c r="S4" s="164" t="s">
        <v>38</v>
      </c>
      <c r="T4" s="114" t="s">
        <v>36</v>
      </c>
      <c r="U4" s="114" t="s">
        <v>79</v>
      </c>
      <c r="V4" s="114" t="s">
        <v>73</v>
      </c>
      <c r="W4" s="163" t="s">
        <v>83</v>
      </c>
      <c r="X4" s="163" t="s">
        <v>82</v>
      </c>
      <c r="Y4" s="164" t="s">
        <v>80</v>
      </c>
      <c r="Z4" s="164" t="s">
        <v>81</v>
      </c>
      <c r="AA4" s="164" t="s">
        <v>37</v>
      </c>
      <c r="AB4" s="164" t="s">
        <v>38</v>
      </c>
      <c r="AC4" s="114" t="s">
        <v>36</v>
      </c>
      <c r="AD4" s="114" t="s">
        <v>79</v>
      </c>
      <c r="AE4" s="114" t="s">
        <v>73</v>
      </c>
      <c r="AF4" s="163" t="s">
        <v>83</v>
      </c>
      <c r="AG4" s="163" t="s">
        <v>82</v>
      </c>
      <c r="AH4" s="164" t="s">
        <v>80</v>
      </c>
      <c r="AI4" s="164" t="s">
        <v>81</v>
      </c>
      <c r="AJ4" s="164" t="s">
        <v>37</v>
      </c>
      <c r="AK4" s="164" t="s">
        <v>38</v>
      </c>
      <c r="AL4" s="114" t="s">
        <v>36</v>
      </c>
      <c r="AM4" s="114" t="s">
        <v>79</v>
      </c>
      <c r="AN4" s="114" t="s">
        <v>73</v>
      </c>
      <c r="AO4" s="163" t="s">
        <v>83</v>
      </c>
      <c r="AP4" s="163" t="s">
        <v>82</v>
      </c>
      <c r="AQ4" s="164" t="s">
        <v>80</v>
      </c>
      <c r="AR4" s="164" t="s">
        <v>81</v>
      </c>
      <c r="AS4" s="164" t="s">
        <v>37</v>
      </c>
      <c r="AT4" s="164" t="s">
        <v>38</v>
      </c>
      <c r="AU4" s="114" t="s">
        <v>36</v>
      </c>
      <c r="AV4" s="114" t="s">
        <v>79</v>
      </c>
      <c r="AW4" s="114" t="s">
        <v>73</v>
      </c>
      <c r="AX4" s="163" t="s">
        <v>83</v>
      </c>
      <c r="AY4" s="163" t="s">
        <v>82</v>
      </c>
      <c r="AZ4" s="164" t="s">
        <v>80</v>
      </c>
      <c r="BA4" s="164" t="s">
        <v>81</v>
      </c>
      <c r="BB4" s="164" t="s">
        <v>37</v>
      </c>
      <c r="BC4" s="164" t="s">
        <v>38</v>
      </c>
      <c r="BD4" s="114" t="s">
        <v>36</v>
      </c>
      <c r="BE4" s="164" t="s">
        <v>37</v>
      </c>
      <c r="BF4" s="164" t="s">
        <v>38</v>
      </c>
      <c r="BG4" s="167" t="s">
        <v>21</v>
      </c>
      <c r="BH4" s="167" t="s">
        <v>20</v>
      </c>
      <c r="BI4" s="133"/>
      <c r="BJ4" s="168"/>
      <c r="BK4" s="168"/>
      <c r="BL4" s="168"/>
      <c r="BM4" s="168"/>
    </row>
    <row r="5" spans="1:69" ht="29.4" thickBot="1" x14ac:dyDescent="0.6">
      <c r="A5" s="118" t="s">
        <v>11</v>
      </c>
      <c r="B5" s="119">
        <v>0</v>
      </c>
      <c r="C5" s="119"/>
      <c r="D5" s="119"/>
      <c r="E5" s="119"/>
      <c r="F5" s="119"/>
      <c r="G5" s="120">
        <v>0</v>
      </c>
      <c r="H5" s="120">
        <v>0</v>
      </c>
      <c r="I5" s="120">
        <v>0</v>
      </c>
      <c r="J5" s="120">
        <v>0</v>
      </c>
      <c r="K5" s="122">
        <v>0.50694444444444442</v>
      </c>
      <c r="L5" s="149">
        <f>K5+$AL$1</f>
        <v>0.63194444444444442</v>
      </c>
      <c r="M5" s="149">
        <f>MIN($L5,$L19,$L33)</f>
        <v>0.38194444444444442</v>
      </c>
      <c r="N5" s="154">
        <f t="shared" ref="N5" si="0">(L5/M5-1)*10*$AU$1</f>
        <v>0.32727272727272727</v>
      </c>
      <c r="O5" s="154">
        <f t="shared" ref="O5" si="1">(L5/M5-1)*10*$BD$1</f>
        <v>0.13090909090909089</v>
      </c>
      <c r="P5" s="155">
        <f>'Revenue - Year 5'!F5</f>
        <v>0</v>
      </c>
      <c r="Q5" s="155">
        <f>'Revenue - Year 5'!G5</f>
        <v>0</v>
      </c>
      <c r="R5" s="166">
        <f t="shared" ref="R5" si="2">ROUNDDOWN((1-N5)*P5,0)</f>
        <v>0</v>
      </c>
      <c r="S5" s="166">
        <f t="shared" ref="S5" si="3">ROUND((1-O5)*Q5,0)</f>
        <v>0</v>
      </c>
      <c r="T5" s="122">
        <v>0.40972222222222227</v>
      </c>
      <c r="U5" s="149">
        <f>T5+$AL$1</f>
        <v>0.53472222222222232</v>
      </c>
      <c r="V5" s="149">
        <f>MIN($U5,$U19,$U33)</f>
        <v>0.28472222222222221</v>
      </c>
      <c r="W5" s="154">
        <f t="shared" ref="W5" si="4">(U5/V5-1)*10*$AU$1</f>
        <v>0.43902439024390266</v>
      </c>
      <c r="X5" s="154">
        <f t="shared" ref="X5" si="5">(U5/V5-1)*10*$BD$1</f>
        <v>0.17560975609756108</v>
      </c>
      <c r="Y5" s="155">
        <f>'Revenue - Year 5'!I5</f>
        <v>0</v>
      </c>
      <c r="Z5" s="155">
        <f>'Revenue - Year 5'!J5</f>
        <v>0</v>
      </c>
      <c r="AA5" s="166">
        <f t="shared" ref="AA5" si="6">ROUNDDOWN((1-W5)*Y5,0)</f>
        <v>0</v>
      </c>
      <c r="AB5" s="166">
        <f t="shared" ref="AB5" si="7">ROUND((1-X5)*Z5,0)</f>
        <v>0</v>
      </c>
      <c r="AC5" s="122">
        <v>0.47916666666666669</v>
      </c>
      <c r="AD5" s="149">
        <f>AC5+$AL$1</f>
        <v>0.60416666666666674</v>
      </c>
      <c r="AE5" s="149">
        <f>MIN($AD5,$AD19,$AD33)</f>
        <v>0.4861111111111111</v>
      </c>
      <c r="AF5" s="154">
        <f>(AD5/AE5-1)*10*$AU$1</f>
        <v>0.12142857142857155</v>
      </c>
      <c r="AG5" s="154">
        <f>(AD5/AE5-1)*10*$BD$1</f>
        <v>4.857142857142862E-2</v>
      </c>
      <c r="AH5" s="155">
        <f>'Revenue - Year 5'!L5</f>
        <v>0</v>
      </c>
      <c r="AI5" s="155">
        <f>'Revenue - Year 5'!M5</f>
        <v>0</v>
      </c>
      <c r="AJ5" s="166">
        <f t="shared" ref="AJ5" si="8">ROUNDDOWN((1-AF5)*AH5,0)</f>
        <v>0</v>
      </c>
      <c r="AK5" s="166">
        <f t="shared" ref="AK5" si="9">ROUND((1-AG5)*AI5,0)</f>
        <v>0</v>
      </c>
      <c r="AL5" s="122">
        <v>0.53472222222222221</v>
      </c>
      <c r="AM5" s="149">
        <f>AL5+$AL$1</f>
        <v>0.65972222222222221</v>
      </c>
      <c r="AN5" s="149">
        <f>MIN($AM5,$AM19,$AM33)</f>
        <v>0.53472222222222221</v>
      </c>
      <c r="AO5" s="154">
        <f>(AM5/AN5-1)*10*$AU$1</f>
        <v>0.11688311688311692</v>
      </c>
      <c r="AP5" s="154">
        <f>(AM5/AN5-1)*10*$BD$1</f>
        <v>4.6753246753246769E-2</v>
      </c>
      <c r="AQ5" s="155">
        <f>'Revenue - Year 5'!O5</f>
        <v>0</v>
      </c>
      <c r="AR5" s="155">
        <f>'Revenue - Year 5'!P5</f>
        <v>0</v>
      </c>
      <c r="AS5" s="166">
        <f t="shared" ref="AS5" si="10">ROUNDDOWN((1-AO5)*AQ5,0)</f>
        <v>0</v>
      </c>
      <c r="AT5" s="166">
        <f t="shared" ref="AT5" si="11">ROUND((1-AP5)*AR5,0)</f>
        <v>0</v>
      </c>
      <c r="AU5" s="122">
        <v>0.45833333333333331</v>
      </c>
      <c r="AV5" s="149">
        <f>AU5+$AL$1</f>
        <v>0.58333333333333326</v>
      </c>
      <c r="AW5" s="149">
        <f>MIN($AV5,$AV19,$AV33)</f>
        <v>0.2361111111111111</v>
      </c>
      <c r="AX5" s="154">
        <f>(AV5/AW5-1)*10*$AU$1</f>
        <v>0.73529411764705876</v>
      </c>
      <c r="AY5" s="154">
        <f>(AV5/AW5-1)*10*$BD$1</f>
        <v>0.29411764705882348</v>
      </c>
      <c r="AZ5" s="155">
        <f>'Revenue - Year 5'!R5</f>
        <v>0</v>
      </c>
      <c r="BA5" s="155">
        <f>'Revenue - Year 5'!S5</f>
        <v>0</v>
      </c>
      <c r="BB5" s="166">
        <f t="shared" ref="BB5" si="12">ROUNDDOWN((1-AX5)*AZ5,0)</f>
        <v>0</v>
      </c>
      <c r="BC5" s="166">
        <f t="shared" ref="BC5" si="13">ROUND((1-AY5)*BA5,0)</f>
        <v>0</v>
      </c>
      <c r="BD5" s="122">
        <v>0.22916666666666666</v>
      </c>
      <c r="BE5" s="156">
        <f>'Revenue - Year 5'!U5</f>
        <v>0</v>
      </c>
      <c r="BF5" s="156">
        <f>'Revenue - Year 5'!V5</f>
        <v>0</v>
      </c>
      <c r="BG5" s="169">
        <f>I5+R5+AA5+AJ5+AS5+BB5+BE5</f>
        <v>0</v>
      </c>
      <c r="BH5" s="169">
        <f>J5+S5+AB5+AK5+AT5+BC5+BF5</f>
        <v>0</v>
      </c>
      <c r="BI5" s="115" t="str">
        <f>IF(OR(BG5&gt;70,BH5&gt;270),"PB","OK")</f>
        <v>OK</v>
      </c>
      <c r="BJ5" s="135" t="s">
        <v>57</v>
      </c>
      <c r="BK5" s="135"/>
      <c r="BL5" s="135"/>
      <c r="BM5" s="136">
        <f>1440/60*4*(SUMPRODUCT($B$5:$B$11,I5:I11)+SUMPRODUCT($K$5:$K$11,$R$5:$R$11)+SUMPRODUCT($T$5:$T$11,$AA$5:$AA$11)+SUMPRODUCT($AC$5:$AC$11,$AJ$5:$AJ$11)+SUMPRODUCT($AL$5:$AL$11,$AS$5:$AS$11)+SUMPRODUCT($AU$5:$AU$11,$BB$5:$BB$11)+SUMPRODUCT($BD$5:$BD$11,BE5:BE11))</f>
        <v>0</v>
      </c>
    </row>
    <row r="6" spans="1:69" ht="29.4" thickBot="1" x14ac:dyDescent="0.6">
      <c r="A6" s="121" t="s">
        <v>12</v>
      </c>
      <c r="B6" s="149">
        <v>0.50694444444444442</v>
      </c>
      <c r="C6" s="149">
        <f>B6+$AL$1</f>
        <v>0.63194444444444442</v>
      </c>
      <c r="D6" s="157">
        <f>MIN($C34,$C20,$C6)</f>
        <v>0.38194444444444442</v>
      </c>
      <c r="E6" s="154">
        <f>(C6/D6-1)*10*$AU$1</f>
        <v>0.32727272727272727</v>
      </c>
      <c r="F6" s="154">
        <f>(C6/D6-1)*10*$BD$1</f>
        <v>0.13090909090909089</v>
      </c>
      <c r="G6" s="155">
        <f>'Revenue - Year 5'!C6</f>
        <v>0</v>
      </c>
      <c r="H6" s="155">
        <f>'Revenue - Year 5'!D6</f>
        <v>0</v>
      </c>
      <c r="I6" s="166">
        <f>ROUNDDOWN((1-E6)*G6,0)</f>
        <v>0</v>
      </c>
      <c r="J6" s="166">
        <f>ROUND((1-F6)*H6,0)</f>
        <v>0</v>
      </c>
      <c r="K6" s="119">
        <v>0</v>
      </c>
      <c r="L6" s="148"/>
      <c r="M6" s="148"/>
      <c r="N6" s="148"/>
      <c r="O6" s="148"/>
      <c r="P6" s="120">
        <v>0</v>
      </c>
      <c r="Q6" s="120">
        <v>0</v>
      </c>
      <c r="R6" s="120">
        <v>0</v>
      </c>
      <c r="S6" s="120">
        <v>0</v>
      </c>
      <c r="T6" s="122">
        <v>0.45833333333333331</v>
      </c>
      <c r="U6" s="149">
        <f>T6+$AL$1</f>
        <v>0.58333333333333326</v>
      </c>
      <c r="V6" s="149">
        <f>MIN($U6,$U20,$U34)</f>
        <v>0.40277777777777773</v>
      </c>
      <c r="W6" s="154">
        <f t="shared" ref="W6" si="14">(U6/V6-1)*10*$AU$1</f>
        <v>0.22413793103448276</v>
      </c>
      <c r="X6" s="154">
        <f t="shared" ref="X6" si="15">(U6/V6-1)*10*$BD$1</f>
        <v>8.9655172413793102E-2</v>
      </c>
      <c r="Y6" s="155">
        <f>'Revenue - Year 5'!I6</f>
        <v>0</v>
      </c>
      <c r="Z6" s="155">
        <f>'Revenue - Year 5'!J6</f>
        <v>0</v>
      </c>
      <c r="AA6" s="166">
        <f t="shared" ref="AA6" si="16">ROUNDDOWN((1-W6)*Y6,0)</f>
        <v>0</v>
      </c>
      <c r="AB6" s="166">
        <f t="shared" ref="AB6" si="17">ROUND((1-X6)*Z6,0)</f>
        <v>0</v>
      </c>
      <c r="AC6" s="122">
        <v>0.52777777777777779</v>
      </c>
      <c r="AD6" s="149">
        <f>AC6+$AL$1</f>
        <v>0.65277777777777779</v>
      </c>
      <c r="AE6" s="149">
        <f>MIN($AD6,$AD20,$AD34)</f>
        <v>0.64583333333333326</v>
      </c>
      <c r="AF6" s="154">
        <f t="shared" ref="AF6:AF7" si="18">(AD6/AE6-1)*10*$AU$1</f>
        <v>5.3763440860216116E-3</v>
      </c>
      <c r="AG6" s="154">
        <f t="shared" ref="AG6:AG7" si="19">(AD6/AE6-1)*10*$BD$1</f>
        <v>2.1505376344086446E-3</v>
      </c>
      <c r="AH6" s="155">
        <f>'Revenue - Year 5'!L6</f>
        <v>0</v>
      </c>
      <c r="AI6" s="155">
        <f>'Revenue - Year 5'!M6</f>
        <v>0</v>
      </c>
      <c r="AJ6" s="166">
        <f t="shared" ref="AJ6:AJ7" si="20">ROUNDDOWN((1-AF6)*AH6,0)</f>
        <v>0</v>
      </c>
      <c r="AK6" s="166">
        <f t="shared" ref="AK6:AK7" si="21">ROUND((1-AG6)*AI6,0)</f>
        <v>0</v>
      </c>
      <c r="AL6" s="122">
        <v>0.58333333333333337</v>
      </c>
      <c r="AM6" s="149">
        <f>AL6+$AL$1</f>
        <v>0.70833333333333337</v>
      </c>
      <c r="AN6" s="149">
        <f>MIN($AM6,$AM20,$AM34)</f>
        <v>0.65625</v>
      </c>
      <c r="AO6" s="154">
        <f>(AM6/AN6-1)*10*$AU$1</f>
        <v>3.9682539682539764E-2</v>
      </c>
      <c r="AP6" s="154">
        <f>(AM6/AN6-1)*10*$BD$1</f>
        <v>1.5873015873015907E-2</v>
      </c>
      <c r="AQ6" s="155">
        <f>'Revenue - Year 5'!O6</f>
        <v>0</v>
      </c>
      <c r="AR6" s="155">
        <f>'Revenue - Year 5'!P6</f>
        <v>0</v>
      </c>
      <c r="AS6" s="166">
        <f t="shared" ref="AS6:AS8" si="22">ROUNDDOWN((1-AO6)*AQ6,0)</f>
        <v>0</v>
      </c>
      <c r="AT6" s="166">
        <f t="shared" ref="AT6:AT8" si="23">ROUND((1-AP6)*AR6,0)</f>
        <v>0</v>
      </c>
      <c r="AU6" s="122">
        <v>0.50694444444444442</v>
      </c>
      <c r="AV6" s="149">
        <f>AU6+$AL$1</f>
        <v>0.63194444444444442</v>
      </c>
      <c r="AW6" s="149">
        <f>MIN($AV6,$AV20,$AV34)</f>
        <v>0.39583333333333337</v>
      </c>
      <c r="AX6" s="154">
        <f>(AV6/AW6-1)*10*$AU$1</f>
        <v>0.2982456140350877</v>
      </c>
      <c r="AY6" s="154">
        <f>(AV6/AW6-1)*10*$BD$1</f>
        <v>0.11929824561403507</v>
      </c>
      <c r="AZ6" s="155">
        <f>'Revenue - Year 5'!R6</f>
        <v>0</v>
      </c>
      <c r="BA6" s="155">
        <f>'Revenue - Year 5'!S6</f>
        <v>0</v>
      </c>
      <c r="BB6" s="166">
        <f t="shared" ref="BB6:BB9" si="24">ROUNDDOWN((1-AX6)*AZ6,0)</f>
        <v>0</v>
      </c>
      <c r="BC6" s="166">
        <f t="shared" ref="BC6:BC9" si="25">ROUND((1-AY6)*BA6,0)</f>
        <v>0</v>
      </c>
      <c r="BD6" s="122">
        <v>0.27777777777777779</v>
      </c>
      <c r="BE6" s="156">
        <f>'Revenue - Year 5'!U6</f>
        <v>0</v>
      </c>
      <c r="BF6" s="156">
        <f>'Revenue - Year 5'!V6</f>
        <v>0</v>
      </c>
      <c r="BG6" s="169">
        <f t="shared" ref="BG6:BG12" si="26">I6+R6+AA6+AJ6+AS6+BB6+BE6</f>
        <v>0</v>
      </c>
      <c r="BH6" s="169">
        <f t="shared" ref="BH6:BH12" si="27">J6+S6+AB6+AK6+AT6+BC6+BF6</f>
        <v>0</v>
      </c>
      <c r="BI6" s="115" t="str">
        <f t="shared" ref="BI6:BI12" si="28">IF(OR(BG6&gt;70,BH6&gt;270),"PB","OK")</f>
        <v>OK</v>
      </c>
      <c r="BJ6" s="135" t="s">
        <v>68</v>
      </c>
      <c r="BK6" s="135"/>
      <c r="BL6" s="135"/>
      <c r="BM6" s="136">
        <f>1440/60*(SUMPRODUCT(B5:B11,J5:J11)+SUMPRODUCT(K5:K11,S5:S11)+SUMPRODUCT(T5:T11,AB5:AB11)+SUMPRODUCT(AC5:AC11,AK5:AK11)+SUMPRODUCT(AL5:AL11,AT5:AT11)+SUMPRODUCT(AU5:AU11,BC5:BC11)+SUMPRODUCT(BD5:BD11*BF5:BF11))</f>
        <v>0</v>
      </c>
    </row>
    <row r="7" spans="1:69" ht="29.4" thickBot="1" x14ac:dyDescent="0.6">
      <c r="A7" s="123" t="s">
        <v>15</v>
      </c>
      <c r="B7" s="149">
        <v>0.40972222222222227</v>
      </c>
      <c r="C7" s="149">
        <f>B7+$AL$1</f>
        <v>0.53472222222222232</v>
      </c>
      <c r="D7" s="157">
        <f>MIN($C35,$C21,$C7)</f>
        <v>0.28472222222222221</v>
      </c>
      <c r="E7" s="154">
        <f t="shared" ref="E7:E10" si="29">(C7/D7-1)*10*$AU$1</f>
        <v>0.43902439024390266</v>
      </c>
      <c r="F7" s="154">
        <f t="shared" ref="F7:F10" si="30">(C7/D7-1)*10*$BD$1</f>
        <v>0.17560975609756108</v>
      </c>
      <c r="G7" s="155">
        <f>'Revenue - Year 5'!C7</f>
        <v>0</v>
      </c>
      <c r="H7" s="155">
        <f>'Revenue - Year 5'!D7</f>
        <v>0</v>
      </c>
      <c r="I7" s="166">
        <f t="shared" ref="I7:I10" si="31">ROUNDDOWN((1-E7)*G7,0)</f>
        <v>0</v>
      </c>
      <c r="J7" s="166">
        <f t="shared" ref="J7:J10" si="32">ROUND((1-F7)*H7,0)</f>
        <v>0</v>
      </c>
      <c r="K7" s="122">
        <v>0.45833333333333331</v>
      </c>
      <c r="L7" s="149">
        <f>K7+$AL$1</f>
        <v>0.58333333333333326</v>
      </c>
      <c r="M7" s="158">
        <f>MIN($L7,$L21,$L35)</f>
        <v>0.40277777777777773</v>
      </c>
      <c r="N7" s="154">
        <f t="shared" ref="N7" si="33">(L7/M7-1)*10*$AU$1</f>
        <v>0.22413793103448276</v>
      </c>
      <c r="O7" s="154">
        <f t="shared" ref="O7" si="34">(L7/M7-1)*10*$BD$1</f>
        <v>8.9655172413793102E-2</v>
      </c>
      <c r="P7" s="155">
        <f>'Revenue - Year 5'!F7</f>
        <v>0</v>
      </c>
      <c r="Q7" s="155">
        <f>'Revenue - Year 5'!G7</f>
        <v>0</v>
      </c>
      <c r="R7" s="166">
        <f t="shared" ref="R7" si="35">ROUNDDOWN((1-N7)*P7,0)</f>
        <v>0</v>
      </c>
      <c r="S7" s="166">
        <f>ROUND((1-O7)*Q7,0)</f>
        <v>0</v>
      </c>
      <c r="T7" s="119">
        <v>0</v>
      </c>
      <c r="U7" s="148"/>
      <c r="V7" s="148"/>
      <c r="W7" s="148"/>
      <c r="X7" s="148"/>
      <c r="Y7" s="120">
        <v>0</v>
      </c>
      <c r="Z7" s="120">
        <v>0</v>
      </c>
      <c r="AA7" s="120">
        <v>0</v>
      </c>
      <c r="AB7" s="120">
        <v>0</v>
      </c>
      <c r="AC7" s="122">
        <v>0.43055555555555558</v>
      </c>
      <c r="AD7" s="149">
        <f>AC7+$AL$1</f>
        <v>0.55555555555555558</v>
      </c>
      <c r="AE7" s="149">
        <f>MIN($AD7,$AD21,$AD35)</f>
        <v>0.49305555555555558</v>
      </c>
      <c r="AF7" s="154">
        <f t="shared" si="18"/>
        <v>6.3380281690140872E-2</v>
      </c>
      <c r="AG7" s="154">
        <f t="shared" si="19"/>
        <v>2.5352112676056349E-2</v>
      </c>
      <c r="AH7" s="155">
        <f>'Revenue - Year 5'!L7</f>
        <v>0</v>
      </c>
      <c r="AI7" s="155">
        <f>'Revenue - Year 5'!M7</f>
        <v>0</v>
      </c>
      <c r="AJ7" s="166">
        <f t="shared" si="20"/>
        <v>0</v>
      </c>
      <c r="AK7" s="166">
        <f t="shared" si="21"/>
        <v>0</v>
      </c>
      <c r="AL7" s="122">
        <v>0.4861111111111111</v>
      </c>
      <c r="AM7" s="149">
        <f>AL7+$AL$1</f>
        <v>0.61111111111111116</v>
      </c>
      <c r="AN7" s="149">
        <f>MIN($AM7,$AM21,$AM35)</f>
        <v>0.49652777777777773</v>
      </c>
      <c r="AO7" s="154">
        <f>(AM7/AN7-1)*10*$AU$1</f>
        <v>0.11538461538461553</v>
      </c>
      <c r="AP7" s="154">
        <f>(AM7/AN7-1)*10*$BD$1</f>
        <v>4.6153846153846212E-2</v>
      </c>
      <c r="AQ7" s="155">
        <f>'Revenue - Year 5'!O7</f>
        <v>0</v>
      </c>
      <c r="AR7" s="155">
        <f>'Revenue - Year 5'!P7</f>
        <v>0</v>
      </c>
      <c r="AS7" s="166">
        <f t="shared" si="22"/>
        <v>0</v>
      </c>
      <c r="AT7" s="166">
        <f t="shared" si="23"/>
        <v>0</v>
      </c>
      <c r="AU7" s="122">
        <v>0.40972222222222227</v>
      </c>
      <c r="AV7" s="149">
        <f>AU7+$AL$1</f>
        <v>0.53472222222222232</v>
      </c>
      <c r="AW7" s="149">
        <f>MIN($AV7,$AV21,$AV35)</f>
        <v>0.27777777777777779</v>
      </c>
      <c r="AX7" s="154">
        <f>(AV7/AW7-1)*10*$AU$1</f>
        <v>0.46250000000000019</v>
      </c>
      <c r="AY7" s="154">
        <f>(AV7/AW7-1)*10*$BD$1</f>
        <v>0.18500000000000008</v>
      </c>
      <c r="AZ7" s="155">
        <f>'Revenue - Year 5'!R7</f>
        <v>0</v>
      </c>
      <c r="BA7" s="155">
        <f>'Revenue - Year 5'!S7</f>
        <v>0</v>
      </c>
      <c r="BB7" s="166">
        <f t="shared" si="24"/>
        <v>0</v>
      </c>
      <c r="BC7" s="166">
        <f t="shared" si="25"/>
        <v>0</v>
      </c>
      <c r="BD7" s="122">
        <v>0.18055555555555555</v>
      </c>
      <c r="BE7" s="156">
        <f>'Revenue - Year 5'!U7</f>
        <v>0</v>
      </c>
      <c r="BF7" s="156">
        <f>'Revenue - Year 5'!V7</f>
        <v>0</v>
      </c>
      <c r="BG7" s="169">
        <f t="shared" si="26"/>
        <v>0</v>
      </c>
      <c r="BH7" s="169">
        <f t="shared" si="27"/>
        <v>0</v>
      </c>
      <c r="BI7" s="115" t="str">
        <f t="shared" si="28"/>
        <v>OK</v>
      </c>
      <c r="BJ7" s="135" t="s">
        <v>58</v>
      </c>
      <c r="BK7" s="135"/>
      <c r="BL7" s="135"/>
      <c r="BM7" s="137">
        <f>BM5+BM6</f>
        <v>0</v>
      </c>
    </row>
    <row r="8" spans="1:69" ht="29.4" thickBot="1" x14ac:dyDescent="0.6">
      <c r="A8" s="124" t="s">
        <v>13</v>
      </c>
      <c r="B8" s="149">
        <v>0.47916666666666669</v>
      </c>
      <c r="C8" s="149">
        <f>B8+$AL$1</f>
        <v>0.60416666666666674</v>
      </c>
      <c r="D8" s="157">
        <f>MIN($C36,$C22,$C8)</f>
        <v>0.4861111111111111</v>
      </c>
      <c r="E8" s="154">
        <f t="shared" si="29"/>
        <v>0.12142857142857155</v>
      </c>
      <c r="F8" s="154">
        <f t="shared" si="30"/>
        <v>4.857142857142862E-2</v>
      </c>
      <c r="G8" s="155">
        <f>'Revenue - Year 5'!C8</f>
        <v>0</v>
      </c>
      <c r="H8" s="155">
        <f>'Revenue - Year 5'!D8</f>
        <v>0</v>
      </c>
      <c r="I8" s="166">
        <f t="shared" si="31"/>
        <v>0</v>
      </c>
      <c r="J8" s="166">
        <f t="shared" si="32"/>
        <v>0</v>
      </c>
      <c r="K8" s="122">
        <v>0.52777777777777779</v>
      </c>
      <c r="L8" s="149">
        <f>K8+$AL$1</f>
        <v>0.65277777777777779</v>
      </c>
      <c r="M8" s="158">
        <f>MIN($L8,$L22,$L36)</f>
        <v>0.64583333333333326</v>
      </c>
      <c r="N8" s="154">
        <f t="shared" ref="N8:N10" si="36">(L8/M8-1)*10*$AU$1</f>
        <v>5.3763440860216116E-3</v>
      </c>
      <c r="O8" s="154">
        <f t="shared" ref="O8:O10" si="37">(L8/M8-1)*10*$BD$1</f>
        <v>2.1505376344086446E-3</v>
      </c>
      <c r="P8" s="155">
        <f>'Revenue - Year 5'!F8</f>
        <v>0</v>
      </c>
      <c r="Q8" s="155">
        <f>'Revenue - Year 5'!G8</f>
        <v>0</v>
      </c>
      <c r="R8" s="166">
        <f t="shared" ref="R8:R10" si="38">ROUNDDOWN((1-N8)*P8,0)</f>
        <v>0</v>
      </c>
      <c r="S8" s="166">
        <f t="shared" ref="S8:S10" si="39">ROUND((1-O8)*Q8,0)</f>
        <v>0</v>
      </c>
      <c r="T8" s="122">
        <v>0.43055555555555558</v>
      </c>
      <c r="U8" s="149">
        <f>T8+$AL$1</f>
        <v>0.55555555555555558</v>
      </c>
      <c r="V8" s="149">
        <f>MIN($U8,$U22,$U36)</f>
        <v>0.49305555555555558</v>
      </c>
      <c r="W8" s="154">
        <f t="shared" ref="W8:W10" si="40">(U8/V8-1)*10*$AU$1</f>
        <v>6.3380281690140872E-2</v>
      </c>
      <c r="X8" s="154">
        <f t="shared" ref="X8:X10" si="41">(U8/V8-1)*10*$BD$1</f>
        <v>2.5352112676056349E-2</v>
      </c>
      <c r="Y8" s="155">
        <f>'Revenue - Year 5'!I8</f>
        <v>0</v>
      </c>
      <c r="Z8" s="155">
        <f>'Revenue - Year 5'!J8</f>
        <v>0</v>
      </c>
      <c r="AA8" s="166">
        <f t="shared" ref="AA8:AA10" si="42">ROUNDDOWN((1-W8)*Y8,0)</f>
        <v>0</v>
      </c>
      <c r="AB8" s="166">
        <f t="shared" ref="AB8:AB10" si="43">ROUND((1-X8)*Z8,0)</f>
        <v>0</v>
      </c>
      <c r="AC8" s="119">
        <v>0</v>
      </c>
      <c r="AD8" s="148"/>
      <c r="AE8" s="148"/>
      <c r="AF8" s="148"/>
      <c r="AG8" s="148"/>
      <c r="AH8" s="120">
        <v>0</v>
      </c>
      <c r="AI8" s="120">
        <v>0</v>
      </c>
      <c r="AJ8" s="120">
        <v>0</v>
      </c>
      <c r="AK8" s="120">
        <v>0</v>
      </c>
      <c r="AL8" s="122">
        <v>0.55555555555555558</v>
      </c>
      <c r="AM8" s="149">
        <f>AL8+$AL$1</f>
        <v>0.68055555555555558</v>
      </c>
      <c r="AN8" s="149">
        <f>MIN($AM8,$AM23,$AM37)</f>
        <v>0.68055555555555558</v>
      </c>
      <c r="AO8" s="154">
        <f>(AM8/AN8-1)*10*$AU$1</f>
        <v>0</v>
      </c>
      <c r="AP8" s="154">
        <f>(AM8/AN8-1)*10*$BD$1</f>
        <v>0</v>
      </c>
      <c r="AQ8" s="155">
        <f>'Revenue - Year 5'!O8</f>
        <v>0</v>
      </c>
      <c r="AR8" s="155">
        <f>'Revenue - Year 5'!P8</f>
        <v>0</v>
      </c>
      <c r="AS8" s="166">
        <f t="shared" si="22"/>
        <v>0</v>
      </c>
      <c r="AT8" s="166">
        <f t="shared" si="23"/>
        <v>0</v>
      </c>
      <c r="AU8" s="122">
        <v>0.47916666666666669</v>
      </c>
      <c r="AV8" s="149">
        <f>AU8+$AL$1</f>
        <v>0.60416666666666674</v>
      </c>
      <c r="AW8" s="149">
        <f>MIN($AV8,$AV22,$AV36)</f>
        <v>0.5</v>
      </c>
      <c r="AX8" s="154">
        <f>(AV8/AW8-1)*10*$AU$1</f>
        <v>0.10416666666666674</v>
      </c>
      <c r="AY8" s="154">
        <f>(AV8/AW8-1)*10*$BD$1</f>
        <v>4.1666666666666699E-2</v>
      </c>
      <c r="AZ8" s="155">
        <f>'Revenue - Year 5'!R8</f>
        <v>0</v>
      </c>
      <c r="BA8" s="155">
        <f>'Revenue - Year 5'!S8</f>
        <v>0</v>
      </c>
      <c r="BB8" s="166">
        <f t="shared" si="24"/>
        <v>0</v>
      </c>
      <c r="BC8" s="166">
        <f t="shared" si="25"/>
        <v>0</v>
      </c>
      <c r="BD8" s="122">
        <v>0.25</v>
      </c>
      <c r="BE8" s="156">
        <f>'Revenue - Year 5'!U8</f>
        <v>0</v>
      </c>
      <c r="BF8" s="156">
        <f>'Revenue - Year 5'!V8</f>
        <v>0</v>
      </c>
      <c r="BG8" s="169">
        <f t="shared" si="26"/>
        <v>0</v>
      </c>
      <c r="BH8" s="169">
        <f t="shared" si="27"/>
        <v>0</v>
      </c>
      <c r="BI8" s="115" t="str">
        <f t="shared" si="28"/>
        <v>OK</v>
      </c>
      <c r="BJ8" s="181" t="s">
        <v>74</v>
      </c>
      <c r="BK8" s="135"/>
      <c r="BL8" s="135"/>
      <c r="BM8" s="138">
        <f>35*BM7</f>
        <v>0</v>
      </c>
    </row>
    <row r="9" spans="1:69" ht="29.4" thickBot="1" x14ac:dyDescent="0.6">
      <c r="A9" s="125" t="s">
        <v>16</v>
      </c>
      <c r="B9" s="149">
        <v>0.53472222222222221</v>
      </c>
      <c r="C9" s="149">
        <f>B9+$AL$1</f>
        <v>0.65972222222222221</v>
      </c>
      <c r="D9" s="157">
        <f>MIN($C37,$C23,$C9)</f>
        <v>0.53472222222222221</v>
      </c>
      <c r="E9" s="154">
        <f t="shared" si="29"/>
        <v>0.11688311688311692</v>
      </c>
      <c r="F9" s="154">
        <f t="shared" si="30"/>
        <v>4.6753246753246769E-2</v>
      </c>
      <c r="G9" s="155">
        <f>'Revenue - Year 5'!C9</f>
        <v>0</v>
      </c>
      <c r="H9" s="155">
        <f>'Revenue - Year 5'!D9</f>
        <v>0</v>
      </c>
      <c r="I9" s="166">
        <f t="shared" si="31"/>
        <v>0</v>
      </c>
      <c r="J9" s="166">
        <f t="shared" si="32"/>
        <v>0</v>
      </c>
      <c r="K9" s="122">
        <v>0.58333333333333337</v>
      </c>
      <c r="L9" s="149">
        <f>K9+$AL$1</f>
        <v>0.70833333333333337</v>
      </c>
      <c r="M9" s="158">
        <f>MIN($L9,$L23,$L37)</f>
        <v>0.65625</v>
      </c>
      <c r="N9" s="154">
        <f t="shared" si="36"/>
        <v>3.9682539682539764E-2</v>
      </c>
      <c r="O9" s="154">
        <f t="shared" si="37"/>
        <v>1.5873015873015907E-2</v>
      </c>
      <c r="P9" s="155">
        <f>'Revenue - Year 5'!F9</f>
        <v>0</v>
      </c>
      <c r="Q9" s="155">
        <f>'Revenue - Year 5'!G9</f>
        <v>0</v>
      </c>
      <c r="R9" s="166">
        <f t="shared" si="38"/>
        <v>0</v>
      </c>
      <c r="S9" s="166">
        <f t="shared" si="39"/>
        <v>0</v>
      </c>
      <c r="T9" s="122">
        <v>0.4861111111111111</v>
      </c>
      <c r="U9" s="149">
        <f>T9+$AL$1</f>
        <v>0.61111111111111116</v>
      </c>
      <c r="V9" s="149">
        <f>MIN($U9,$U23,$U37)</f>
        <v>0.49652777777777773</v>
      </c>
      <c r="W9" s="154">
        <f t="shared" si="40"/>
        <v>0.11538461538461553</v>
      </c>
      <c r="X9" s="154">
        <f t="shared" si="41"/>
        <v>4.6153846153846212E-2</v>
      </c>
      <c r="Y9" s="155">
        <f>'Revenue - Year 5'!I9</f>
        <v>0</v>
      </c>
      <c r="Z9" s="155">
        <f>'Revenue - Year 5'!J9</f>
        <v>0</v>
      </c>
      <c r="AA9" s="166">
        <f t="shared" si="42"/>
        <v>0</v>
      </c>
      <c r="AB9" s="166">
        <f t="shared" si="43"/>
        <v>0</v>
      </c>
      <c r="AC9" s="122">
        <v>0.55555555555555558</v>
      </c>
      <c r="AD9" s="149">
        <f>AC9+$AL$1</f>
        <v>0.68055555555555558</v>
      </c>
      <c r="AE9" s="149">
        <f>MIN($AD9,$AD23,$AD37)</f>
        <v>0.68055555555555558</v>
      </c>
      <c r="AF9" s="154">
        <f t="shared" ref="AF9:AF10" si="44">(AD9/AE9-1)*10*$AU$1</f>
        <v>0</v>
      </c>
      <c r="AG9" s="154">
        <f t="shared" ref="AG9:AG10" si="45">(AD9/AE9-1)*10*$BD$1</f>
        <v>0</v>
      </c>
      <c r="AH9" s="155">
        <f>'Revenue - Year 5'!L9</f>
        <v>0</v>
      </c>
      <c r="AI9" s="155">
        <f>'Revenue - Year 5'!M9</f>
        <v>0</v>
      </c>
      <c r="AJ9" s="166">
        <f t="shared" ref="AJ9:AJ10" si="46">ROUNDDOWN((1-AF9)*AH9,0)</f>
        <v>0</v>
      </c>
      <c r="AK9" s="166">
        <f t="shared" ref="AK9:AK10" si="47">ROUND((1-AG9)*AI9,0)</f>
        <v>0</v>
      </c>
      <c r="AL9" s="119">
        <v>0</v>
      </c>
      <c r="AM9" s="148"/>
      <c r="AN9" s="148"/>
      <c r="AO9" s="148"/>
      <c r="AP9" s="148"/>
      <c r="AQ9" s="120">
        <v>0</v>
      </c>
      <c r="AR9" s="120">
        <v>0</v>
      </c>
      <c r="AS9" s="120">
        <v>0</v>
      </c>
      <c r="AT9" s="120">
        <v>0</v>
      </c>
      <c r="AU9" s="122">
        <v>0.53472222222222221</v>
      </c>
      <c r="AV9" s="149">
        <f>AU9+$AL$1</f>
        <v>0.65972222222222221</v>
      </c>
      <c r="AW9" s="149">
        <f>MIN($AV9,$AV23,$AV37)</f>
        <v>0.53125</v>
      </c>
      <c r="AX9" s="154">
        <f>(AV9/AW9-1)*10*$AU$1</f>
        <v>0.12091503267973858</v>
      </c>
      <c r="AY9" s="154">
        <f>(AV9/AW9-1)*10*$BD$1</f>
        <v>4.8366013071895433E-2</v>
      </c>
      <c r="AZ9" s="155">
        <f>'Revenue - Year 5'!R9</f>
        <v>0</v>
      </c>
      <c r="BA9" s="155">
        <f>'Revenue - Year 5'!S9</f>
        <v>0</v>
      </c>
      <c r="BB9" s="166">
        <f t="shared" si="24"/>
        <v>0</v>
      </c>
      <c r="BC9" s="166">
        <f t="shared" si="25"/>
        <v>0</v>
      </c>
      <c r="BD9" s="122">
        <v>0.30555555555555552</v>
      </c>
      <c r="BE9" s="156">
        <f>'Revenue - Year 5'!U9</f>
        <v>0</v>
      </c>
      <c r="BF9" s="156">
        <f>'Revenue - Year 5'!V9</f>
        <v>0</v>
      </c>
      <c r="BG9" s="169">
        <f t="shared" si="26"/>
        <v>0</v>
      </c>
      <c r="BH9" s="169">
        <f t="shared" si="27"/>
        <v>0</v>
      </c>
      <c r="BI9" s="115" t="str">
        <f t="shared" si="28"/>
        <v>OK</v>
      </c>
      <c r="BJ9" s="135"/>
      <c r="BK9" s="135" t="s">
        <v>121</v>
      </c>
      <c r="BL9" s="135"/>
      <c r="BM9" s="182" t="e">
        <f>(BM8/'Revenue - Year 5'!AC8)-1</f>
        <v>#DIV/0!</v>
      </c>
    </row>
    <row r="10" spans="1:69" ht="29.4" thickBot="1" x14ac:dyDescent="0.6">
      <c r="A10" s="126" t="s">
        <v>14</v>
      </c>
      <c r="B10" s="149">
        <v>0.45833333333333331</v>
      </c>
      <c r="C10" s="149">
        <f>B10+$AL$1</f>
        <v>0.58333333333333326</v>
      </c>
      <c r="D10" s="157">
        <f>MIN($C38,$C24,$C10)</f>
        <v>0.2361111111111111</v>
      </c>
      <c r="E10" s="154">
        <f t="shared" si="29"/>
        <v>0.73529411764705876</v>
      </c>
      <c r="F10" s="154">
        <f t="shared" si="30"/>
        <v>0.29411764705882348</v>
      </c>
      <c r="G10" s="155">
        <f>'Revenue - Year 5'!C10</f>
        <v>0</v>
      </c>
      <c r="H10" s="155">
        <f>'Revenue - Year 5'!D10</f>
        <v>0</v>
      </c>
      <c r="I10" s="166">
        <f t="shared" si="31"/>
        <v>0</v>
      </c>
      <c r="J10" s="166">
        <f t="shared" si="32"/>
        <v>0</v>
      </c>
      <c r="K10" s="122">
        <v>0.50694444444444442</v>
      </c>
      <c r="L10" s="149">
        <f>K10+$AL$1</f>
        <v>0.63194444444444442</v>
      </c>
      <c r="M10" s="158">
        <f>MIN($L10,$L24,$L38)</f>
        <v>0.39583333333333337</v>
      </c>
      <c r="N10" s="154">
        <f t="shared" si="36"/>
        <v>0.2982456140350877</v>
      </c>
      <c r="O10" s="154">
        <f t="shared" si="37"/>
        <v>0.11929824561403507</v>
      </c>
      <c r="P10" s="155">
        <f>'Revenue - Year 5'!F10</f>
        <v>0</v>
      </c>
      <c r="Q10" s="155">
        <f>'Revenue - Year 5'!G10</f>
        <v>0</v>
      </c>
      <c r="R10" s="166">
        <f t="shared" si="38"/>
        <v>0</v>
      </c>
      <c r="S10" s="166">
        <f t="shared" si="39"/>
        <v>0</v>
      </c>
      <c r="T10" s="122">
        <v>0.40972222222222227</v>
      </c>
      <c r="U10" s="149">
        <f>T10+$AL$1</f>
        <v>0.53472222222222232</v>
      </c>
      <c r="V10" s="149">
        <f>MIN($U10,$U24,$U38)</f>
        <v>0.27777777777777779</v>
      </c>
      <c r="W10" s="154">
        <f t="shared" si="40"/>
        <v>0.46250000000000019</v>
      </c>
      <c r="X10" s="154">
        <f t="shared" si="41"/>
        <v>0.18500000000000008</v>
      </c>
      <c r="Y10" s="155">
        <f>'Revenue - Year 5'!I10</f>
        <v>0</v>
      </c>
      <c r="Z10" s="155">
        <f>'Revenue - Year 5'!J10</f>
        <v>0</v>
      </c>
      <c r="AA10" s="166">
        <f t="shared" si="42"/>
        <v>0</v>
      </c>
      <c r="AB10" s="166">
        <f t="shared" si="43"/>
        <v>0</v>
      </c>
      <c r="AC10" s="122">
        <v>0.47916666666666669</v>
      </c>
      <c r="AD10" s="149">
        <f>AC10+$AL$1</f>
        <v>0.60416666666666674</v>
      </c>
      <c r="AE10" s="149">
        <f>MIN($AD10,$AD24,$AD38)</f>
        <v>0.5</v>
      </c>
      <c r="AF10" s="154">
        <f t="shared" si="44"/>
        <v>0.10416666666666674</v>
      </c>
      <c r="AG10" s="154">
        <f t="shared" si="45"/>
        <v>4.1666666666666699E-2</v>
      </c>
      <c r="AH10" s="155">
        <f>'Revenue - Year 5'!L10</f>
        <v>0</v>
      </c>
      <c r="AI10" s="155">
        <f>'Revenue - Year 5'!M10</f>
        <v>0</v>
      </c>
      <c r="AJ10" s="166">
        <f t="shared" si="46"/>
        <v>0</v>
      </c>
      <c r="AK10" s="166">
        <f t="shared" si="47"/>
        <v>0</v>
      </c>
      <c r="AL10" s="122">
        <v>0.53472222222222221</v>
      </c>
      <c r="AM10" s="149">
        <f>AL10+$AL$1</f>
        <v>0.65972222222222221</v>
      </c>
      <c r="AN10" s="149">
        <f>MIN($AM10,$AM24,$AM38)</f>
        <v>0.53125</v>
      </c>
      <c r="AO10" s="154">
        <f>(AM10/AN10-1)*10*$AU$1</f>
        <v>0.12091503267973858</v>
      </c>
      <c r="AP10" s="154">
        <f>(AM10/AN10-1)*10*$BD$1</f>
        <v>4.8366013071895433E-2</v>
      </c>
      <c r="AQ10" s="155">
        <f>'Revenue - Year 5'!O10</f>
        <v>0</v>
      </c>
      <c r="AR10" s="155">
        <f>'Revenue - Year 5'!P10</f>
        <v>0</v>
      </c>
      <c r="AS10" s="166">
        <f t="shared" ref="AS10" si="48">ROUNDDOWN((1-AO10)*AQ10,0)</f>
        <v>0</v>
      </c>
      <c r="AT10" s="166">
        <f t="shared" ref="AT10" si="49">ROUND((1-AP10)*AR10,0)</f>
        <v>0</v>
      </c>
      <c r="AU10" s="119">
        <v>0</v>
      </c>
      <c r="AV10" s="148"/>
      <c r="AW10" s="148"/>
      <c r="AX10" s="148"/>
      <c r="AY10" s="148"/>
      <c r="AZ10" s="120">
        <v>0</v>
      </c>
      <c r="BA10" s="120">
        <v>0</v>
      </c>
      <c r="BB10" s="120">
        <v>0</v>
      </c>
      <c r="BC10" s="120">
        <v>0</v>
      </c>
      <c r="BD10" s="122">
        <v>0.22916666666666666</v>
      </c>
      <c r="BE10" s="156">
        <f>'Revenue - Year 5'!U10</f>
        <v>0</v>
      </c>
      <c r="BF10" s="156">
        <f>'Revenue - Year 5'!V10</f>
        <v>0</v>
      </c>
      <c r="BG10" s="169">
        <f t="shared" si="26"/>
        <v>0</v>
      </c>
      <c r="BH10" s="169">
        <f t="shared" si="27"/>
        <v>0</v>
      </c>
      <c r="BI10" s="115" t="str">
        <f t="shared" si="28"/>
        <v>OK</v>
      </c>
      <c r="BJ10" s="135" t="s">
        <v>59</v>
      </c>
      <c r="BK10" s="135"/>
      <c r="BL10" s="135"/>
      <c r="BM10" s="136">
        <f>BM12-BM11</f>
        <v>0</v>
      </c>
    </row>
    <row r="11" spans="1:69" ht="29.4" thickBot="1" x14ac:dyDescent="0.6">
      <c r="A11" s="127" t="s">
        <v>35</v>
      </c>
      <c r="B11" s="149">
        <v>0.22916666666666666</v>
      </c>
      <c r="C11" s="149"/>
      <c r="D11" s="149"/>
      <c r="E11" s="154"/>
      <c r="F11" s="154"/>
      <c r="G11" s="155">
        <f>'Revenue - Year 5'!C11</f>
        <v>0</v>
      </c>
      <c r="H11" s="155">
        <f>'Revenue - Year 5'!D11</f>
        <v>0</v>
      </c>
      <c r="I11" s="166">
        <f t="shared" ref="I11" si="50">ROUNDDOWN((1-E11)*G11,0)</f>
        <v>0</v>
      </c>
      <c r="J11" s="166">
        <f t="shared" ref="J11" si="51">ROUND((1-F11)*H11,0)</f>
        <v>0</v>
      </c>
      <c r="K11" s="122">
        <v>0.27777777777777779</v>
      </c>
      <c r="L11" s="149"/>
      <c r="M11" s="149"/>
      <c r="N11" s="154"/>
      <c r="O11" s="154"/>
      <c r="P11" s="155">
        <f>'Revenue - Year 5'!F11</f>
        <v>0</v>
      </c>
      <c r="Q11" s="155">
        <f>'Revenue - Year 5'!G11</f>
        <v>0</v>
      </c>
      <c r="R11" s="166">
        <f t="shared" ref="R11" si="52">ROUNDDOWN((1-N11)*P11,0)</f>
        <v>0</v>
      </c>
      <c r="S11" s="166">
        <f t="shared" ref="S11" si="53">ROUND((1-O11)*Q11,0)</f>
        <v>0</v>
      </c>
      <c r="T11" s="122">
        <v>0.18055555555555555</v>
      </c>
      <c r="U11" s="149"/>
      <c r="V11" s="149"/>
      <c r="W11" s="154"/>
      <c r="X11" s="154"/>
      <c r="Y11" s="155">
        <f>'Revenue - Year 5'!I11</f>
        <v>0</v>
      </c>
      <c r="Z11" s="155">
        <f>'Revenue - Year 5'!J11</f>
        <v>0</v>
      </c>
      <c r="AA11" s="166">
        <f t="shared" ref="AA11" si="54">ROUNDDOWN((1-W11)*Y11,0)</f>
        <v>0</v>
      </c>
      <c r="AB11" s="166">
        <f t="shared" ref="AB11" si="55">ROUND((1-X11)*Z11,0)</f>
        <v>0</v>
      </c>
      <c r="AC11" s="122">
        <v>0.25</v>
      </c>
      <c r="AD11" s="149"/>
      <c r="AE11" s="149"/>
      <c r="AF11" s="154"/>
      <c r="AG11" s="154"/>
      <c r="AH11" s="155">
        <f>'Revenue - Year 5'!L11</f>
        <v>0</v>
      </c>
      <c r="AI11" s="155">
        <f>'Revenue - Year 5'!M11</f>
        <v>0</v>
      </c>
      <c r="AJ11" s="166">
        <f t="shared" ref="AJ11" si="56">ROUNDDOWN((1-AF11)*AH11,0)</f>
        <v>0</v>
      </c>
      <c r="AK11" s="166">
        <f t="shared" ref="AK11" si="57">ROUND((1-AG11)*AI11,0)</f>
        <v>0</v>
      </c>
      <c r="AL11" s="122">
        <v>0.30555555555555552</v>
      </c>
      <c r="AM11" s="149"/>
      <c r="AN11" s="149"/>
      <c r="AO11" s="154"/>
      <c r="AP11" s="154"/>
      <c r="AQ11" s="155">
        <f>'Revenue - Year 5'!O11</f>
        <v>0</v>
      </c>
      <c r="AR11" s="155">
        <f>'Revenue - Year 5'!P11</f>
        <v>0</v>
      </c>
      <c r="AS11" s="166">
        <f t="shared" ref="AS11" si="58">ROUNDDOWN((1-AO11)*AQ11,0)</f>
        <v>0</v>
      </c>
      <c r="AT11" s="166">
        <f t="shared" ref="AT11" si="59">ROUND((1-AP11)*AR11,0)</f>
        <v>0</v>
      </c>
      <c r="AU11" s="122">
        <v>0.22916666666666666</v>
      </c>
      <c r="AV11" s="149"/>
      <c r="AW11" s="149"/>
      <c r="AX11" s="154"/>
      <c r="AY11" s="154"/>
      <c r="AZ11" s="155">
        <f>'Revenue - Year 5'!R11</f>
        <v>0</v>
      </c>
      <c r="BA11" s="155">
        <f>'Revenue - Year 5'!S11</f>
        <v>0</v>
      </c>
      <c r="BB11" s="166">
        <f t="shared" ref="BB11" si="60">ROUNDDOWN((1-AX11)*AZ11,0)</f>
        <v>0</v>
      </c>
      <c r="BC11" s="166">
        <f t="shared" ref="BC11" si="61">ROUND((1-AY11)*BA11,0)</f>
        <v>0</v>
      </c>
      <c r="BD11" s="119">
        <v>0</v>
      </c>
      <c r="BE11" s="120">
        <v>0</v>
      </c>
      <c r="BF11" s="120">
        <v>0</v>
      </c>
      <c r="BG11" s="169">
        <f t="shared" si="26"/>
        <v>0</v>
      </c>
      <c r="BH11" s="169">
        <f t="shared" si="27"/>
        <v>0</v>
      </c>
      <c r="BI11" s="115" t="str">
        <f t="shared" si="28"/>
        <v>OK</v>
      </c>
      <c r="BJ11" s="135" t="s">
        <v>60</v>
      </c>
      <c r="BK11" s="135"/>
      <c r="BL11" s="135"/>
      <c r="BM11" s="136">
        <f>SUM(I11:J11,R11:S11,AA11:AB11,AJ11:AK11,AS11:AT11,BB11:BC11)+SUM(BE5:BF10)</f>
        <v>0</v>
      </c>
    </row>
    <row r="12" spans="1:69" ht="29.4" thickBot="1" x14ac:dyDescent="0.6">
      <c r="A12" s="128" t="s">
        <v>40</v>
      </c>
      <c r="B12" s="122"/>
      <c r="C12" s="122"/>
      <c r="D12" s="122"/>
      <c r="E12" s="122"/>
      <c r="F12" s="122"/>
      <c r="G12" s="165"/>
      <c r="H12" s="165"/>
      <c r="I12" s="129">
        <f>SUM(I5:I11)</f>
        <v>0</v>
      </c>
      <c r="J12" s="129">
        <f>SUM(J5:J11)</f>
        <v>0</v>
      </c>
      <c r="K12" s="122"/>
      <c r="L12" s="122"/>
      <c r="M12" s="122"/>
      <c r="N12" s="122"/>
      <c r="O12" s="122"/>
      <c r="P12" s="165"/>
      <c r="Q12" s="165"/>
      <c r="R12" s="129">
        <f>SUM(R5:R11)</f>
        <v>0</v>
      </c>
      <c r="S12" s="129">
        <f>SUM(S5:S11)</f>
        <v>0</v>
      </c>
      <c r="T12" s="122"/>
      <c r="U12" s="122"/>
      <c r="V12" s="122"/>
      <c r="W12" s="122"/>
      <c r="X12" s="122"/>
      <c r="Y12" s="165"/>
      <c r="Z12" s="165"/>
      <c r="AA12" s="129">
        <f>SUM(AA5:AA11)</f>
        <v>0</v>
      </c>
      <c r="AB12" s="129">
        <f>SUM(AB5:AB11)</f>
        <v>0</v>
      </c>
      <c r="AC12" s="122"/>
      <c r="AD12" s="122"/>
      <c r="AE12" s="122"/>
      <c r="AF12" s="122"/>
      <c r="AG12" s="122"/>
      <c r="AH12" s="165"/>
      <c r="AI12" s="165"/>
      <c r="AJ12" s="129">
        <f>SUM(AJ5:AJ11)</f>
        <v>0</v>
      </c>
      <c r="AK12" s="129">
        <f>SUM(AK5:AK11)</f>
        <v>0</v>
      </c>
      <c r="AL12" s="122"/>
      <c r="AM12" s="122"/>
      <c r="AN12" s="122"/>
      <c r="AO12" s="122"/>
      <c r="AP12" s="122"/>
      <c r="AQ12" s="165"/>
      <c r="AR12" s="165"/>
      <c r="AS12" s="129">
        <f>SUM(AS5:AS11)</f>
        <v>0</v>
      </c>
      <c r="AT12" s="129">
        <f>SUM(AT5:AT11)</f>
        <v>0</v>
      </c>
      <c r="AU12" s="122"/>
      <c r="AV12" s="122"/>
      <c r="AW12" s="122"/>
      <c r="AX12" s="122"/>
      <c r="AY12" s="122"/>
      <c r="AZ12" s="165"/>
      <c r="BA12" s="165"/>
      <c r="BB12" s="129">
        <f>SUM(BB5:BB11)</f>
        <v>0</v>
      </c>
      <c r="BC12" s="129">
        <f>SUM(BC5:BC11)</f>
        <v>0</v>
      </c>
      <c r="BD12" s="122"/>
      <c r="BE12" s="129">
        <f>SUM(BE5:BE11)</f>
        <v>0</v>
      </c>
      <c r="BF12" s="129">
        <f>SUM(BF5:BF11)</f>
        <v>0</v>
      </c>
      <c r="BG12" s="169">
        <f t="shared" si="26"/>
        <v>0</v>
      </c>
      <c r="BH12" s="169">
        <f t="shared" si="27"/>
        <v>0</v>
      </c>
      <c r="BI12" s="115" t="str">
        <f t="shared" si="28"/>
        <v>OK</v>
      </c>
      <c r="BJ12" s="181" t="s">
        <v>61</v>
      </c>
      <c r="BK12" s="135"/>
      <c r="BL12" s="135"/>
      <c r="BM12" s="136">
        <f>SUM(B12:BF12)</f>
        <v>0</v>
      </c>
    </row>
    <row r="13" spans="1:69" ht="28.8" x14ac:dyDescent="0.55000000000000004">
      <c r="A13" s="115"/>
      <c r="B13" s="115"/>
      <c r="C13" s="115" t="str">
        <f>+IF(C4="Y",IF(C12&gt;270,"PB","OK"),IF(C12&gt;70,"PB","OK"))</f>
        <v>OK</v>
      </c>
      <c r="D13" s="115" t="str">
        <f t="shared" ref="D13" si="62">+IF(D4="Y",IF(D12&gt;270,"PB","ok"),IF(D12&gt;70,"PB","OK"))</f>
        <v>OK</v>
      </c>
      <c r="E13" s="115"/>
      <c r="F13" s="115" t="str">
        <f t="shared" ref="F13" si="63">+IF(F4="Y",IF(F12&gt;270,"PB","ok"),IF(F12&gt;70,"PB","OK"))</f>
        <v>OK</v>
      </c>
      <c r="I13" s="115" t="str">
        <f>+IF(I4="Traffic Y",IF(I12&gt;270,"PB","OK"),IF(I12&gt;70,"PB","OK"))</f>
        <v>OK</v>
      </c>
      <c r="J13" s="115" t="str">
        <f>+IF(H4="Y",IF(H12&gt;270,"PB","ok"),IF(H12&gt;70,"PB","OK"))</f>
        <v>OK</v>
      </c>
      <c r="K13" s="115"/>
      <c r="L13" s="115" t="str">
        <f t="shared" ref="L13:M13" si="64">+IF(L4="Y",IF(L12&gt;270,"PB","ok"),IF(L12&gt;70,"PB","OK"))</f>
        <v>OK</v>
      </c>
      <c r="M13" s="115" t="str">
        <f t="shared" si="64"/>
        <v>OK</v>
      </c>
      <c r="N13" s="115"/>
      <c r="O13" s="115" t="str">
        <f t="shared" ref="O13" si="65">+IF(O4="Y",IF(O12&gt;270,"PB","ok"),IF(O12&gt;70,"PB","OK"))</f>
        <v>OK</v>
      </c>
      <c r="R13" s="115" t="str">
        <f>+IF(R4="Traffic Y",IF(R12&gt;270,"PB","OK"),IF(R12&gt;70,"PB","OK"))</f>
        <v>OK</v>
      </c>
      <c r="S13" s="115" t="str">
        <f>+IF(Q4="Y",IF(Q12&gt;270,"PB","ok"),IF(Q12&gt;70,"PB","OK"))</f>
        <v>OK</v>
      </c>
      <c r="T13" s="101"/>
      <c r="U13" s="101"/>
      <c r="V13" s="115" t="str">
        <f>+IF(V4="Traffic Y",IF(V12&gt;270,"PB","OK"),IF(V12&gt;70,"PB","OK"))</f>
        <v>OK</v>
      </c>
      <c r="W13" s="115" t="str">
        <f>+IF(U4="Y",IF(U12&gt;270,"PB","ok"),IF(U12&gt;70,"PB","OK"))</f>
        <v>OK</v>
      </c>
      <c r="X13" s="139"/>
      <c r="AA13" s="115" t="str">
        <f>+IF(AA4="Traffic Y",IF(AA12&gt;270,"PB","OK"),IF(AA12&gt;70,"PB","OK"))</f>
        <v>OK</v>
      </c>
      <c r="AB13" s="115" t="str">
        <f>+IF(Z4="Y",IF(Z12&gt;270,"PB","ok"),IF(Z12&gt;70,"PB","OK"))</f>
        <v>OK</v>
      </c>
      <c r="AC13" s="134"/>
      <c r="AD13" s="134"/>
      <c r="AE13" s="134"/>
      <c r="AF13" s="134"/>
      <c r="AG13" s="134"/>
      <c r="AJ13" s="115" t="str">
        <f>+IF(AJ4="Traffic Y",IF(AJ12&gt;270,"PB","OK"),IF(AJ12&gt;70,"PB","OK"))</f>
        <v>OK</v>
      </c>
      <c r="AK13" s="115" t="str">
        <f>+IF(AI4="Y",IF(AI12&gt;270,"PB","ok"),IF(AI12&gt;70,"PB","OK"))</f>
        <v>OK</v>
      </c>
      <c r="AL13" s="134"/>
      <c r="AM13" s="134"/>
      <c r="AN13" s="134"/>
      <c r="AO13" s="134"/>
      <c r="AP13" s="134"/>
      <c r="AS13" s="115" t="str">
        <f>+IF(AS4="Traffic Y",IF(AS12&gt;270,"PB","OK"),IF(AS12&gt;70,"PB","OK"))</f>
        <v>OK</v>
      </c>
      <c r="AT13" s="115" t="str">
        <f>+IF(AR4="Y",IF(AR12&gt;270,"PB","ok"),IF(AR12&gt;70,"PB","OK"))</f>
        <v>OK</v>
      </c>
      <c r="AU13" s="134"/>
      <c r="AV13" s="134"/>
      <c r="AW13" s="134"/>
      <c r="AX13" s="134"/>
      <c r="AY13" s="134"/>
      <c r="BB13" s="115" t="str">
        <f>+IF(BB4="Traffic Y",IF(BB12&gt;270,"PB","OK"),IF(BB12&gt;70,"PB","OK"))</f>
        <v>OK</v>
      </c>
      <c r="BC13" s="115" t="str">
        <f>+IF(BA4="Y",IF(BA12&gt;270,"PB","ok"),IF(BA12&gt;70,"PB","OK"))</f>
        <v>OK</v>
      </c>
      <c r="BD13" s="134"/>
      <c r="BE13" s="115" t="str">
        <f>+IF(BE4="Traffic Y",IF(BE12&gt;270,"PB","ok"),IF(BE12&gt;70,"PB","OK"))</f>
        <v>OK</v>
      </c>
      <c r="BF13" s="115" t="str">
        <f>+IF(BF4="Traffic Y",IF(BF12&gt;270,"PB","ok"),IF(BF12&gt;70,"PB","OK"))</f>
        <v>OK</v>
      </c>
      <c r="BG13" s="134"/>
      <c r="BH13" s="134"/>
      <c r="BI13" s="139"/>
      <c r="BJ13" s="181" t="s">
        <v>120</v>
      </c>
      <c r="BK13" s="135"/>
      <c r="BL13" s="135"/>
      <c r="BM13" s="180">
        <f>(2*BM10+BM11)/2040</f>
        <v>0</v>
      </c>
    </row>
    <row r="14" spans="1:69" x14ac:dyDescent="0.3">
      <c r="A14" s="115"/>
      <c r="B14" s="144"/>
      <c r="C14" s="144"/>
      <c r="D14" s="144"/>
      <c r="E14" s="144"/>
      <c r="F14" s="144"/>
      <c r="G14" s="134"/>
      <c r="H14" s="134"/>
      <c r="I14" s="134"/>
      <c r="J14" s="134"/>
      <c r="K14" s="144"/>
      <c r="L14" s="144"/>
      <c r="M14" s="144"/>
      <c r="N14" s="144"/>
      <c r="O14" s="144"/>
      <c r="P14" s="134"/>
      <c r="Q14" s="134"/>
      <c r="R14" s="134"/>
      <c r="S14" s="134"/>
      <c r="T14" s="144"/>
      <c r="U14" s="144"/>
      <c r="V14" s="144"/>
      <c r="W14" s="144"/>
      <c r="X14" s="144"/>
      <c r="Y14" s="134"/>
      <c r="Z14" s="134"/>
      <c r="AA14" s="134"/>
      <c r="AB14" s="134"/>
      <c r="AC14" s="144"/>
      <c r="AD14" s="144"/>
      <c r="AE14" s="144"/>
      <c r="AF14" s="144"/>
      <c r="AG14" s="144"/>
      <c r="AH14" s="134"/>
      <c r="AI14" s="134"/>
      <c r="AJ14" s="134"/>
      <c r="AK14" s="134"/>
      <c r="AL14" s="144"/>
      <c r="AM14" s="144"/>
      <c r="AN14" s="144"/>
      <c r="AO14" s="144"/>
      <c r="AP14" s="144"/>
      <c r="AQ14" s="134"/>
      <c r="AR14" s="134"/>
      <c r="AS14" s="134"/>
      <c r="AT14" s="134"/>
      <c r="AU14" s="144"/>
      <c r="AV14" s="144"/>
      <c r="AW14" s="144"/>
      <c r="AX14" s="144"/>
      <c r="AY14" s="144"/>
      <c r="AZ14" s="134"/>
      <c r="BA14" s="134"/>
      <c r="BB14" s="134"/>
      <c r="BC14" s="134"/>
      <c r="BD14" s="144"/>
      <c r="BE14" s="134"/>
      <c r="BF14" s="134"/>
      <c r="BG14" s="141"/>
      <c r="BH14" s="141"/>
      <c r="BI14" s="141"/>
      <c r="BJ14" s="134"/>
      <c r="BK14" s="134"/>
      <c r="BL14" s="134"/>
      <c r="BM14" s="134"/>
    </row>
    <row r="15" spans="1:69" ht="15" customHeight="1" x14ac:dyDescent="0.3">
      <c r="A15" s="221" t="s">
        <v>75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33"/>
      <c r="AL15" s="226">
        <v>6.25E-2</v>
      </c>
      <c r="AM15" s="227"/>
      <c r="AN15" s="227"/>
      <c r="AO15" s="227"/>
      <c r="AP15" s="227"/>
      <c r="AQ15" s="227"/>
      <c r="AR15" s="227"/>
      <c r="AS15" s="227"/>
      <c r="AT15" s="227"/>
      <c r="AU15" s="230">
        <v>0.05</v>
      </c>
      <c r="AV15" s="231"/>
      <c r="AW15" s="231"/>
      <c r="AX15" s="231"/>
      <c r="AY15" s="231"/>
      <c r="AZ15" s="231"/>
      <c r="BA15" s="231"/>
      <c r="BB15" s="231"/>
      <c r="BC15" s="231"/>
      <c r="BD15" s="230">
        <v>0.02</v>
      </c>
      <c r="BE15" s="227"/>
      <c r="BF15" s="227"/>
      <c r="BG15" s="131"/>
      <c r="BH15" s="131"/>
      <c r="BI15" s="131"/>
      <c r="BJ15" s="222" t="s">
        <v>113</v>
      </c>
      <c r="BK15" s="222"/>
      <c r="BL15" s="222"/>
      <c r="BM15" s="222"/>
    </row>
    <row r="16" spans="1:69" ht="15.75" customHeight="1" thickBot="1" x14ac:dyDescent="0.3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33"/>
      <c r="AL16" s="228"/>
      <c r="AM16" s="229"/>
      <c r="AN16" s="229"/>
      <c r="AO16" s="229"/>
      <c r="AP16" s="229"/>
      <c r="AQ16" s="229"/>
      <c r="AR16" s="229"/>
      <c r="AS16" s="229"/>
      <c r="AT16" s="229"/>
      <c r="AU16" s="228"/>
      <c r="AV16" s="229"/>
      <c r="AW16" s="229"/>
      <c r="AX16" s="229"/>
      <c r="AY16" s="229"/>
      <c r="AZ16" s="229"/>
      <c r="BA16" s="229"/>
      <c r="BB16" s="229"/>
      <c r="BC16" s="229"/>
      <c r="BD16" s="228"/>
      <c r="BE16" s="229"/>
      <c r="BF16" s="229"/>
      <c r="BG16" s="131"/>
      <c r="BH16" s="131"/>
      <c r="BI16" s="131"/>
      <c r="BJ16" s="222"/>
      <c r="BK16" s="222"/>
      <c r="BL16" s="222"/>
      <c r="BM16" s="222"/>
    </row>
    <row r="17" spans="1:65" ht="27" customHeight="1" thickBot="1" x14ac:dyDescent="0.35">
      <c r="A17" s="113" t="s">
        <v>63</v>
      </c>
      <c r="B17" s="218" t="s">
        <v>11</v>
      </c>
      <c r="C17" s="202"/>
      <c r="D17" s="202"/>
      <c r="E17" s="202"/>
      <c r="F17" s="202"/>
      <c r="G17" s="202"/>
      <c r="H17" s="202"/>
      <c r="I17" s="202"/>
      <c r="J17" s="203"/>
      <c r="K17" s="204" t="s">
        <v>12</v>
      </c>
      <c r="L17" s="205"/>
      <c r="M17" s="205"/>
      <c r="N17" s="205"/>
      <c r="O17" s="205"/>
      <c r="P17" s="205"/>
      <c r="Q17" s="205"/>
      <c r="R17" s="205"/>
      <c r="S17" s="206"/>
      <c r="T17" s="207" t="s">
        <v>15</v>
      </c>
      <c r="U17" s="208"/>
      <c r="V17" s="208"/>
      <c r="W17" s="208"/>
      <c r="X17" s="208"/>
      <c r="Y17" s="208"/>
      <c r="Z17" s="208"/>
      <c r="AA17" s="208"/>
      <c r="AB17" s="208"/>
      <c r="AC17" s="210" t="s">
        <v>13</v>
      </c>
      <c r="AD17" s="211"/>
      <c r="AE17" s="211"/>
      <c r="AF17" s="211"/>
      <c r="AG17" s="211"/>
      <c r="AH17" s="211"/>
      <c r="AI17" s="211"/>
      <c r="AJ17" s="211"/>
      <c r="AK17" s="211"/>
      <c r="AL17" s="213" t="s">
        <v>16</v>
      </c>
      <c r="AM17" s="214"/>
      <c r="AN17" s="214"/>
      <c r="AO17" s="214"/>
      <c r="AP17" s="214"/>
      <c r="AQ17" s="214"/>
      <c r="AR17" s="214"/>
      <c r="AS17" s="214"/>
      <c r="AT17" s="214"/>
      <c r="AU17" s="187" t="s">
        <v>14</v>
      </c>
      <c r="AV17" s="188"/>
      <c r="AW17" s="188"/>
      <c r="AX17" s="188"/>
      <c r="AY17" s="188"/>
      <c r="AZ17" s="188"/>
      <c r="BA17" s="188"/>
      <c r="BB17" s="188"/>
      <c r="BC17" s="188"/>
      <c r="BD17" s="223" t="s">
        <v>18</v>
      </c>
      <c r="BE17" s="224"/>
      <c r="BF17" s="224"/>
      <c r="BG17" s="200" t="s">
        <v>69</v>
      </c>
      <c r="BH17" s="200"/>
      <c r="BI17" s="132"/>
      <c r="BJ17" s="222"/>
      <c r="BK17" s="222"/>
      <c r="BL17" s="222"/>
      <c r="BM17" s="222"/>
    </row>
    <row r="18" spans="1:65" ht="31.8" thickBot="1" x14ac:dyDescent="0.35">
      <c r="A18" s="113" t="s">
        <v>39</v>
      </c>
      <c r="B18" s="114" t="s">
        <v>36</v>
      </c>
      <c r="C18" s="114" t="s">
        <v>79</v>
      </c>
      <c r="D18" s="114" t="s">
        <v>73</v>
      </c>
      <c r="E18" s="163" t="s">
        <v>71</v>
      </c>
      <c r="F18" s="163" t="s">
        <v>72</v>
      </c>
      <c r="G18" s="117" t="s">
        <v>77</v>
      </c>
      <c r="H18" s="117" t="s">
        <v>78</v>
      </c>
      <c r="I18" s="117" t="s">
        <v>37</v>
      </c>
      <c r="J18" s="117" t="s">
        <v>38</v>
      </c>
      <c r="K18" s="114" t="s">
        <v>36</v>
      </c>
      <c r="L18" s="114" t="s">
        <v>79</v>
      </c>
      <c r="M18" s="114" t="s">
        <v>73</v>
      </c>
      <c r="N18" s="163" t="s">
        <v>71</v>
      </c>
      <c r="O18" s="163" t="s">
        <v>72</v>
      </c>
      <c r="P18" s="117" t="s">
        <v>77</v>
      </c>
      <c r="Q18" s="117" t="s">
        <v>78</v>
      </c>
      <c r="R18" s="117" t="s">
        <v>37</v>
      </c>
      <c r="S18" s="117" t="s">
        <v>38</v>
      </c>
      <c r="T18" s="114" t="s">
        <v>36</v>
      </c>
      <c r="U18" s="114" t="s">
        <v>79</v>
      </c>
      <c r="V18" s="114" t="s">
        <v>73</v>
      </c>
      <c r="W18" s="163" t="s">
        <v>71</v>
      </c>
      <c r="X18" s="163" t="s">
        <v>72</v>
      </c>
      <c r="Y18" s="117" t="s">
        <v>77</v>
      </c>
      <c r="Z18" s="117" t="s">
        <v>78</v>
      </c>
      <c r="AA18" s="117" t="s">
        <v>37</v>
      </c>
      <c r="AB18" s="117" t="s">
        <v>38</v>
      </c>
      <c r="AC18" s="114" t="s">
        <v>36</v>
      </c>
      <c r="AD18" s="114" t="s">
        <v>79</v>
      </c>
      <c r="AE18" s="114" t="s">
        <v>73</v>
      </c>
      <c r="AF18" s="163" t="s">
        <v>71</v>
      </c>
      <c r="AG18" s="163" t="s">
        <v>72</v>
      </c>
      <c r="AH18" s="117" t="s">
        <v>77</v>
      </c>
      <c r="AI18" s="117" t="s">
        <v>78</v>
      </c>
      <c r="AJ18" s="117" t="s">
        <v>37</v>
      </c>
      <c r="AK18" s="117" t="s">
        <v>38</v>
      </c>
      <c r="AL18" s="114" t="s">
        <v>36</v>
      </c>
      <c r="AM18" s="114" t="s">
        <v>79</v>
      </c>
      <c r="AN18" s="114" t="s">
        <v>73</v>
      </c>
      <c r="AO18" s="163" t="s">
        <v>71</v>
      </c>
      <c r="AP18" s="163" t="s">
        <v>72</v>
      </c>
      <c r="AQ18" s="117" t="s">
        <v>77</v>
      </c>
      <c r="AR18" s="117" t="s">
        <v>78</v>
      </c>
      <c r="AS18" s="117" t="s">
        <v>37</v>
      </c>
      <c r="AT18" s="117" t="s">
        <v>38</v>
      </c>
      <c r="AU18" s="114" t="s">
        <v>36</v>
      </c>
      <c r="AV18" s="114" t="s">
        <v>79</v>
      </c>
      <c r="AW18" s="114" t="s">
        <v>73</v>
      </c>
      <c r="AX18" s="163" t="s">
        <v>71</v>
      </c>
      <c r="AY18" s="163" t="s">
        <v>72</v>
      </c>
      <c r="AZ18" s="117" t="s">
        <v>77</v>
      </c>
      <c r="BA18" s="117" t="s">
        <v>78</v>
      </c>
      <c r="BB18" s="117" t="s">
        <v>37</v>
      </c>
      <c r="BC18" s="117" t="s">
        <v>38</v>
      </c>
      <c r="BD18" s="114" t="s">
        <v>36</v>
      </c>
      <c r="BE18" s="164" t="s">
        <v>37</v>
      </c>
      <c r="BF18" s="164" t="s">
        <v>38</v>
      </c>
      <c r="BG18" s="167" t="s">
        <v>21</v>
      </c>
      <c r="BH18" s="167" t="s">
        <v>20</v>
      </c>
      <c r="BI18" s="133"/>
      <c r="BJ18" s="168"/>
      <c r="BK18" s="168"/>
      <c r="BL18" s="168"/>
      <c r="BM18" s="168"/>
    </row>
    <row r="19" spans="1:65" ht="29.4" thickBot="1" x14ac:dyDescent="0.6">
      <c r="A19" s="118" t="s">
        <v>11</v>
      </c>
      <c r="B19" s="119">
        <v>0</v>
      </c>
      <c r="C19" s="148"/>
      <c r="D19" s="148"/>
      <c r="E19" s="148"/>
      <c r="F19" s="148"/>
      <c r="G19" s="120">
        <v>0</v>
      </c>
      <c r="H19" s="120">
        <v>0</v>
      </c>
      <c r="I19" s="120">
        <v>0</v>
      </c>
      <c r="J19" s="120">
        <v>0</v>
      </c>
      <c r="K19" s="122">
        <v>0.38194444444444442</v>
      </c>
      <c r="L19" s="149">
        <f>K19+$AL$15</f>
        <v>0.44444444444444442</v>
      </c>
      <c r="M19" s="157">
        <f>M5</f>
        <v>0.38194444444444442</v>
      </c>
      <c r="N19" s="154">
        <f>(L19/M19-1)*10*$AU$1</f>
        <v>8.181818181818179E-2</v>
      </c>
      <c r="O19" s="154">
        <f>(L19/M19-1)*10*$BD$1</f>
        <v>3.2727272727272716E-2</v>
      </c>
      <c r="P19" s="155">
        <f>'Revenue - Year 5'!F19</f>
        <v>0</v>
      </c>
      <c r="Q19" s="155">
        <f>'Revenue - Year 5'!G19</f>
        <v>0</v>
      </c>
      <c r="R19" s="166">
        <f>ROUNDDOWN((1-N19)*P19,0)</f>
        <v>0</v>
      </c>
      <c r="S19" s="166">
        <f>ROUND((1-O19)*Q19,0)</f>
        <v>0</v>
      </c>
      <c r="T19" s="122">
        <v>0.22222222222222221</v>
      </c>
      <c r="U19" s="149">
        <f>T19+$AL$15</f>
        <v>0.28472222222222221</v>
      </c>
      <c r="V19" s="157">
        <f>V5</f>
        <v>0.28472222222222221</v>
      </c>
      <c r="W19" s="154">
        <f>(U19/V19-1)*10*$AU$1</f>
        <v>0</v>
      </c>
      <c r="X19" s="154">
        <f>(U19/V19-1)*10*$BD$1</f>
        <v>0</v>
      </c>
      <c r="Y19" s="155">
        <f>'Revenue - Year 5'!I19</f>
        <v>0</v>
      </c>
      <c r="Z19" s="155">
        <f>'Revenue - Year 5'!J19</f>
        <v>0</v>
      </c>
      <c r="AA19" s="166">
        <f>ROUNDDOWN((1-W19)*Y19,0)</f>
        <v>0</v>
      </c>
      <c r="AB19" s="166">
        <f>ROUND((1-X19)*Z19,0)</f>
        <v>0</v>
      </c>
      <c r="AC19" s="122">
        <v>0.47222222222222227</v>
      </c>
      <c r="AD19" s="149">
        <f>AC19+$AL$15</f>
        <v>0.53472222222222232</v>
      </c>
      <c r="AE19" s="149">
        <f>AE5</f>
        <v>0.4861111111111111</v>
      </c>
      <c r="AF19" s="154">
        <f t="shared" ref="AF19:AF20" si="66">(AD19/AE19-1)*10*$AU$1</f>
        <v>5.0000000000000155E-2</v>
      </c>
      <c r="AG19" s="154">
        <f t="shared" ref="AG19:AG20" si="67">(AD19/AE19-1)*10*$BD$1</f>
        <v>2.0000000000000063E-2</v>
      </c>
      <c r="AH19" s="155">
        <f>'Revenue - Year 5'!L19</f>
        <v>0</v>
      </c>
      <c r="AI19" s="155">
        <f>'Revenue - Year 5'!M19</f>
        <v>0</v>
      </c>
      <c r="AJ19" s="166">
        <f t="shared" ref="AJ19:AJ20" si="68">ROUNDDOWN((1-AF19)*AH19,0)</f>
        <v>0</v>
      </c>
      <c r="AK19" s="166">
        <f t="shared" ref="AK19:AK20" si="69">ROUND((1-AG19)*AI19,0)</f>
        <v>0</v>
      </c>
      <c r="AL19" s="122">
        <v>0.47569444444444442</v>
      </c>
      <c r="AM19" s="149">
        <f>AL19+$AL$15</f>
        <v>0.53819444444444442</v>
      </c>
      <c r="AN19" s="149">
        <f>AN5</f>
        <v>0.53472222222222221</v>
      </c>
      <c r="AO19" s="154">
        <f>(AM19/AN19-1)*10*$AU$1</f>
        <v>3.2467532467532756E-3</v>
      </c>
      <c r="AP19" s="154">
        <f>(AM19/AN19-1)*10*$BD$1</f>
        <v>1.2987012987013102E-3</v>
      </c>
      <c r="AQ19" s="155">
        <f>'Revenue - Year 5'!O19</f>
        <v>0</v>
      </c>
      <c r="AR19" s="155">
        <f>'Revenue - Year 5'!P19</f>
        <v>0</v>
      </c>
      <c r="AS19" s="166">
        <f t="shared" ref="AS19" si="70">ROUNDDOWN((1-AO19)*AQ19,0)</f>
        <v>0</v>
      </c>
      <c r="AT19" s="166">
        <f t="shared" ref="AT19" si="71">ROUND((1-AP19)*AR19,0)</f>
        <v>0</v>
      </c>
      <c r="AU19" s="122">
        <v>0.25694444444444448</v>
      </c>
      <c r="AV19" s="149">
        <f>AU19+$AL$15</f>
        <v>0.31944444444444448</v>
      </c>
      <c r="AW19" s="149">
        <f>AW5</f>
        <v>0.2361111111111111</v>
      </c>
      <c r="AX19" s="154">
        <f>(AV19/AW19-1)*10*$AU$1</f>
        <v>0.17647058823529416</v>
      </c>
      <c r="AY19" s="154">
        <f>(AV19/AW19-1)*10*$BD$1</f>
        <v>7.058823529411766E-2</v>
      </c>
      <c r="AZ19" s="155">
        <f>'Revenue - Year 5'!R19</f>
        <v>0</v>
      </c>
      <c r="BA19" s="155">
        <f>'Revenue - Year 5'!S19</f>
        <v>0</v>
      </c>
      <c r="BB19" s="166">
        <f t="shared" ref="BB19" si="72">ROUNDDOWN((1-AX19)*AZ19,0)</f>
        <v>0</v>
      </c>
      <c r="BC19" s="166">
        <f t="shared" ref="BC19" si="73">ROUND((1-AY19)*BA19,0)</f>
        <v>0</v>
      </c>
      <c r="BD19" s="122">
        <v>0.13194444444444445</v>
      </c>
      <c r="BE19" s="156">
        <f>'Revenue - Year 5'!U19</f>
        <v>0</v>
      </c>
      <c r="BF19" s="156">
        <f>'Revenue - Year 5'!V19</f>
        <v>0</v>
      </c>
      <c r="BG19" s="169">
        <f>I19+R19+AA19+AJ19+AS19+BB19+BE19</f>
        <v>0</v>
      </c>
      <c r="BH19" s="169">
        <f>J19+S19+AB19+AK19+AT19+BC19+BF19</f>
        <v>0</v>
      </c>
      <c r="BI19" s="115" t="str">
        <f t="shared" ref="BI19:BI26" si="74">IF(OR(BG19&gt;70,BH19&gt;270),"PB","OK")</f>
        <v>OK</v>
      </c>
      <c r="BJ19" s="135" t="s">
        <v>57</v>
      </c>
      <c r="BK19" s="135"/>
      <c r="BL19" s="135"/>
      <c r="BM19" s="136">
        <f>1440/60*4*(SUMPRODUCT($B$19:$B$25,I19:I25)+SUMPRODUCT($K$19:$K$25,$R$19:$R$25)+SUMPRODUCT($T$19:$T$25,$AA$19:$AA$25)+SUMPRODUCT($AC$19:$AC$25,$AJ$19:$AJ$25)+SUMPRODUCT($AL$19:$AL$25,$AS$19:$AS$25)+SUMPRODUCT($AU$19:$AU$25,$BB$19:$BB$25)+SUMPRODUCT($BD$19:$BD$25,BE19:BE25))</f>
        <v>0</v>
      </c>
    </row>
    <row r="20" spans="1:65" ht="29.4" thickBot="1" x14ac:dyDescent="0.6">
      <c r="A20" s="121" t="s">
        <v>12</v>
      </c>
      <c r="B20" s="122">
        <f>K19</f>
        <v>0.38194444444444442</v>
      </c>
      <c r="C20" s="149">
        <f>B20+$AL$15</f>
        <v>0.44444444444444442</v>
      </c>
      <c r="D20" s="157">
        <f>D6</f>
        <v>0.38194444444444442</v>
      </c>
      <c r="E20" s="154">
        <f>(C20/D20-1)*10*$AU$1</f>
        <v>8.181818181818179E-2</v>
      </c>
      <c r="F20" s="154">
        <f>(C20/D20-1)*10*$BD$1</f>
        <v>3.2727272727272716E-2</v>
      </c>
      <c r="G20" s="155">
        <f>'Revenue - Year 5'!C20</f>
        <v>0</v>
      </c>
      <c r="H20" s="155">
        <f>'Revenue - Year 5'!D20</f>
        <v>0</v>
      </c>
      <c r="I20" s="166">
        <f>ROUNDDOWN((1-E20)*G20,0)</f>
        <v>0</v>
      </c>
      <c r="J20" s="166">
        <f>ROUND((1-F20)*H20,0)</f>
        <v>0</v>
      </c>
      <c r="K20" s="119">
        <v>0</v>
      </c>
      <c r="L20" s="148"/>
      <c r="M20" s="148"/>
      <c r="N20" s="148"/>
      <c r="O20" s="148"/>
      <c r="P20" s="120">
        <v>0</v>
      </c>
      <c r="Q20" s="120">
        <v>0</v>
      </c>
      <c r="R20" s="120">
        <v>0</v>
      </c>
      <c r="S20" s="120">
        <v>0</v>
      </c>
      <c r="T20" s="122">
        <v>0.34027777777777773</v>
      </c>
      <c r="U20" s="149">
        <f>T20+$AL$15</f>
        <v>0.40277777777777773</v>
      </c>
      <c r="V20" s="157">
        <f>V6</f>
        <v>0.40277777777777773</v>
      </c>
      <c r="W20" s="154">
        <f>(U20/V20-1)*10*$AU$1</f>
        <v>0</v>
      </c>
      <c r="X20" s="154">
        <f>(U20/V20-1)*10*$BD$1</f>
        <v>0</v>
      </c>
      <c r="Y20" s="155">
        <f>'Revenue - Year 5'!I20</f>
        <v>0</v>
      </c>
      <c r="Z20" s="155">
        <f>'Revenue - Year 5'!J20</f>
        <v>0</v>
      </c>
      <c r="AA20" s="166">
        <f>ROUNDDOWN((1-W20)*Y20,0)</f>
        <v>0</v>
      </c>
      <c r="AB20" s="166">
        <f>ROUND((1-X20)*Z20,0)</f>
        <v>0</v>
      </c>
      <c r="AC20" s="122">
        <v>0.59027777777777779</v>
      </c>
      <c r="AD20" s="149">
        <f>AC20+$AL$15</f>
        <v>0.65277777777777779</v>
      </c>
      <c r="AE20" s="149">
        <f t="shared" ref="AE20:AE24" si="75">AE6</f>
        <v>0.64583333333333326</v>
      </c>
      <c r="AF20" s="154">
        <f t="shared" si="66"/>
        <v>5.3763440860216116E-3</v>
      </c>
      <c r="AG20" s="154">
        <f t="shared" si="67"/>
        <v>2.1505376344086446E-3</v>
      </c>
      <c r="AH20" s="155">
        <f>'Revenue - Year 5'!L20</f>
        <v>0</v>
      </c>
      <c r="AI20" s="155">
        <f>'Revenue - Year 5'!M20</f>
        <v>0</v>
      </c>
      <c r="AJ20" s="166">
        <f t="shared" si="68"/>
        <v>0</v>
      </c>
      <c r="AK20" s="166">
        <f t="shared" si="69"/>
        <v>0</v>
      </c>
      <c r="AL20" s="122">
        <v>0.59375</v>
      </c>
      <c r="AM20" s="149">
        <f>AL20+$AL$15</f>
        <v>0.65625</v>
      </c>
      <c r="AN20" s="149">
        <f>AN6</f>
        <v>0.65625</v>
      </c>
      <c r="AO20" s="154">
        <f>(AM20/AN20-1)*10*$AU$1</f>
        <v>0</v>
      </c>
      <c r="AP20" s="154">
        <f>(AM20/AN20-1)*10*$BD$1</f>
        <v>0</v>
      </c>
      <c r="AQ20" s="155">
        <f>'Revenue - Year 5'!O20</f>
        <v>0</v>
      </c>
      <c r="AR20" s="155">
        <f>'Revenue - Year 5'!P20</f>
        <v>0</v>
      </c>
      <c r="AS20" s="166">
        <f t="shared" ref="AS20:AS21" si="76">ROUNDDOWN((1-AO20)*AQ20,0)</f>
        <v>0</v>
      </c>
      <c r="AT20" s="166">
        <f t="shared" ref="AT20:AT21" si="77">ROUND((1-AP20)*AR20,0)</f>
        <v>0</v>
      </c>
      <c r="AU20" s="122">
        <v>0.375</v>
      </c>
      <c r="AV20" s="149">
        <f>AU20+$AL$15</f>
        <v>0.4375</v>
      </c>
      <c r="AW20" s="149">
        <f>AW6</f>
        <v>0.39583333333333337</v>
      </c>
      <c r="AX20" s="154">
        <f>(AV20/AW20-1)*10*$AU$1</f>
        <v>5.2631578947368363E-2</v>
      </c>
      <c r="AY20" s="154">
        <f>(AV20/AW20-1)*10*$BD$1</f>
        <v>2.1052631578947347E-2</v>
      </c>
      <c r="AZ20" s="155">
        <f>'Revenue - Year 5'!R20</f>
        <v>0</v>
      </c>
      <c r="BA20" s="155">
        <f>'Revenue - Year 5'!S20</f>
        <v>0</v>
      </c>
      <c r="BB20" s="166">
        <f t="shared" ref="BB20:BB23" si="78">ROUNDDOWN((1-AX20)*AZ20,0)</f>
        <v>0</v>
      </c>
      <c r="BC20" s="166">
        <f t="shared" ref="BC20:BC23" si="79">ROUND((1-AY20)*BA20,0)</f>
        <v>0</v>
      </c>
      <c r="BD20" s="122">
        <v>0.25</v>
      </c>
      <c r="BE20" s="156">
        <f>'Revenue - Year 5'!U20</f>
        <v>0</v>
      </c>
      <c r="BF20" s="156">
        <f>'Revenue - Year 5'!V20</f>
        <v>0</v>
      </c>
      <c r="BG20" s="169">
        <f t="shared" ref="BG20:BG26" si="80">I20+R20+AA20+AJ20+AS20+BB20+BE20</f>
        <v>0</v>
      </c>
      <c r="BH20" s="169">
        <f t="shared" ref="BH20:BH26" si="81">J20+S20+AB20+AK20+AT20+BC20+BF20</f>
        <v>0</v>
      </c>
      <c r="BI20" s="115" t="str">
        <f t="shared" si="74"/>
        <v>OK</v>
      </c>
      <c r="BJ20" s="135" t="s">
        <v>68</v>
      </c>
      <c r="BK20" s="135"/>
      <c r="BL20" s="135"/>
      <c r="BM20" s="136">
        <f>1440/60*(SUMPRODUCT(B19:B25,J19:J25)+SUMPRODUCT(K19:K25,S19:S25)+SUMPRODUCT(T19:T25,AB19:AB25)+SUMPRODUCT(AC19:AC25,AK19:AK25)+SUMPRODUCT(AL19:AL25,AT19:AT25)+SUMPRODUCT(AU19:AU25,BC19:BC25)+SUMPRODUCT(BD19:BD25*BF19:BF25))</f>
        <v>0</v>
      </c>
    </row>
    <row r="21" spans="1:65" ht="29.4" thickBot="1" x14ac:dyDescent="0.6">
      <c r="A21" s="123" t="s">
        <v>15</v>
      </c>
      <c r="B21" s="122">
        <f>T19</f>
        <v>0.22222222222222221</v>
      </c>
      <c r="C21" s="149">
        <f t="shared" ref="C21:C24" si="82">B21+$AL$15</f>
        <v>0.28472222222222221</v>
      </c>
      <c r="D21" s="157">
        <f t="shared" ref="D21:D24" si="83">D7</f>
        <v>0.28472222222222221</v>
      </c>
      <c r="E21" s="154">
        <f t="shared" ref="E21:E24" si="84">(C21/D21-1)*10*$AU$1</f>
        <v>0</v>
      </c>
      <c r="F21" s="154">
        <f t="shared" ref="F21:F24" si="85">(C21/D21-1)*10*$BD$1</f>
        <v>0</v>
      </c>
      <c r="G21" s="155">
        <f>'Revenue - Year 5'!C21</f>
        <v>0</v>
      </c>
      <c r="H21" s="155">
        <f>'Revenue - Year 5'!D21</f>
        <v>0</v>
      </c>
      <c r="I21" s="166">
        <f t="shared" ref="I21:I25" si="86">ROUNDDOWN((1-E21)*G21,0)</f>
        <v>0</v>
      </c>
      <c r="J21" s="166">
        <f t="shared" ref="J21:J25" si="87">ROUND((1-F21)*H21,0)</f>
        <v>0</v>
      </c>
      <c r="K21" s="122">
        <f>T20</f>
        <v>0.34027777777777773</v>
      </c>
      <c r="L21" s="149">
        <f>K21+$AL$15</f>
        <v>0.40277777777777773</v>
      </c>
      <c r="M21" s="157">
        <f>M7</f>
        <v>0.40277777777777773</v>
      </c>
      <c r="N21" s="154">
        <f>(L21/M21-1)*10*$AU$1</f>
        <v>0</v>
      </c>
      <c r="O21" s="154">
        <f>(L21/M21-1)*10*$BD$1</f>
        <v>0</v>
      </c>
      <c r="P21" s="155">
        <f>'Revenue - Year 5'!F21</f>
        <v>0</v>
      </c>
      <c r="Q21" s="155">
        <f>'Revenue - Year 5'!G21</f>
        <v>0</v>
      </c>
      <c r="R21" s="166">
        <f>ROUNDDOWN((1-N21)*P21,0)</f>
        <v>0</v>
      </c>
      <c r="S21" s="166">
        <f>ROUND((1-O21)*Q21,0)</f>
        <v>0</v>
      </c>
      <c r="T21" s="119">
        <v>0</v>
      </c>
      <c r="U21" s="148"/>
      <c r="V21" s="148"/>
      <c r="W21" s="148"/>
      <c r="X21" s="148"/>
      <c r="Y21" s="120">
        <v>0</v>
      </c>
      <c r="Z21" s="120">
        <v>0</v>
      </c>
      <c r="AA21" s="120">
        <v>0</v>
      </c>
      <c r="AB21" s="120">
        <v>0</v>
      </c>
      <c r="AC21" s="122">
        <v>0.43055555555555558</v>
      </c>
      <c r="AD21" s="149">
        <f>AC21+$AL$15</f>
        <v>0.49305555555555558</v>
      </c>
      <c r="AE21" s="149">
        <f t="shared" si="75"/>
        <v>0.49305555555555558</v>
      </c>
      <c r="AF21" s="154">
        <f t="shared" ref="AF21" si="88">(AD21/AE21-1)*10*$AU$1</f>
        <v>0</v>
      </c>
      <c r="AG21" s="154">
        <f t="shared" ref="AG21" si="89">(AD21/AE21-1)*10*$BD$1</f>
        <v>0</v>
      </c>
      <c r="AH21" s="155">
        <f>'Revenue - Year 5'!L21</f>
        <v>0</v>
      </c>
      <c r="AI21" s="155">
        <f>'Revenue - Year 5'!M21</f>
        <v>0</v>
      </c>
      <c r="AJ21" s="166">
        <f t="shared" ref="AJ21" si="90">ROUNDDOWN((1-AF21)*AH21,0)</f>
        <v>0</v>
      </c>
      <c r="AK21" s="166">
        <f t="shared" ref="AK21" si="91">ROUND((1-AG21)*AI21,0)</f>
        <v>0</v>
      </c>
      <c r="AL21" s="122">
        <v>0.43402777777777773</v>
      </c>
      <c r="AM21" s="149">
        <f>AL21+$AL$15</f>
        <v>0.49652777777777773</v>
      </c>
      <c r="AN21" s="149">
        <f>AN7</f>
        <v>0.49652777777777773</v>
      </c>
      <c r="AO21" s="154">
        <f>(AM21/AN21-1)*10*$AU$1</f>
        <v>0</v>
      </c>
      <c r="AP21" s="154">
        <f>(AM21/AN21-1)*10*$BD$1</f>
        <v>0</v>
      </c>
      <c r="AQ21" s="155">
        <f>'Revenue - Year 5'!O21</f>
        <v>0</v>
      </c>
      <c r="AR21" s="155">
        <f>'Revenue - Year 5'!P21</f>
        <v>0</v>
      </c>
      <c r="AS21" s="166">
        <f t="shared" si="76"/>
        <v>0</v>
      </c>
      <c r="AT21" s="166">
        <f t="shared" si="77"/>
        <v>0</v>
      </c>
      <c r="AU21" s="122">
        <v>0.21527777777777779</v>
      </c>
      <c r="AV21" s="149">
        <f>AU21+$AL$15</f>
        <v>0.27777777777777779</v>
      </c>
      <c r="AW21" s="149">
        <f>AW7</f>
        <v>0.27777777777777779</v>
      </c>
      <c r="AX21" s="154">
        <f>(AV21/AW21-1)*10*$AU$1</f>
        <v>0</v>
      </c>
      <c r="AY21" s="154">
        <f>(AV21/AW21-1)*10*$BD$1</f>
        <v>0</v>
      </c>
      <c r="AZ21" s="155">
        <f>'Revenue - Year 5'!R21</f>
        <v>0</v>
      </c>
      <c r="BA21" s="155">
        <f>'Revenue - Year 5'!S21</f>
        <v>0</v>
      </c>
      <c r="BB21" s="166">
        <f t="shared" si="78"/>
        <v>0</v>
      </c>
      <c r="BC21" s="166">
        <f t="shared" si="79"/>
        <v>0</v>
      </c>
      <c r="BD21" s="122">
        <v>9.0277777777777776E-2</v>
      </c>
      <c r="BE21" s="156">
        <f>'Revenue - Year 5'!U21</f>
        <v>0</v>
      </c>
      <c r="BF21" s="156">
        <f>'Revenue - Year 5'!V21</f>
        <v>0</v>
      </c>
      <c r="BG21" s="169">
        <f t="shared" si="80"/>
        <v>0</v>
      </c>
      <c r="BH21" s="169">
        <f t="shared" si="81"/>
        <v>0</v>
      </c>
      <c r="BI21" s="115" t="str">
        <f t="shared" si="74"/>
        <v>OK</v>
      </c>
      <c r="BJ21" s="135" t="s">
        <v>58</v>
      </c>
      <c r="BK21" s="135"/>
      <c r="BL21" s="135"/>
      <c r="BM21" s="137">
        <f>BM19+BM20</f>
        <v>0</v>
      </c>
    </row>
    <row r="22" spans="1:65" ht="29.4" thickBot="1" x14ac:dyDescent="0.6">
      <c r="A22" s="124" t="s">
        <v>13</v>
      </c>
      <c r="B22" s="122">
        <f>AC19</f>
        <v>0.47222222222222227</v>
      </c>
      <c r="C22" s="149">
        <f t="shared" si="82"/>
        <v>0.53472222222222232</v>
      </c>
      <c r="D22" s="157">
        <f t="shared" si="83"/>
        <v>0.4861111111111111</v>
      </c>
      <c r="E22" s="154">
        <f t="shared" si="84"/>
        <v>5.0000000000000155E-2</v>
      </c>
      <c r="F22" s="154">
        <f t="shared" si="85"/>
        <v>2.0000000000000063E-2</v>
      </c>
      <c r="G22" s="155">
        <f>'Revenue - Year 5'!C22</f>
        <v>0</v>
      </c>
      <c r="H22" s="155">
        <f>'Revenue - Year 5'!D22</f>
        <v>0</v>
      </c>
      <c r="I22" s="166">
        <f t="shared" si="86"/>
        <v>0</v>
      </c>
      <c r="J22" s="166">
        <f t="shared" si="87"/>
        <v>0</v>
      </c>
      <c r="K22" s="122">
        <f>AC20</f>
        <v>0.59027777777777779</v>
      </c>
      <c r="L22" s="149">
        <f>K22+$AL$15</f>
        <v>0.65277777777777779</v>
      </c>
      <c r="M22" s="157">
        <f>M8</f>
        <v>0.64583333333333326</v>
      </c>
      <c r="N22" s="154">
        <f>(L22/M22-1)*10*$AU$1</f>
        <v>5.3763440860216116E-3</v>
      </c>
      <c r="O22" s="154">
        <f>(L22/M22-1)*10*$BD$1</f>
        <v>2.1505376344086446E-3</v>
      </c>
      <c r="P22" s="155">
        <f>'Revenue - Year 5'!F22</f>
        <v>0</v>
      </c>
      <c r="Q22" s="155">
        <f>'Revenue - Year 5'!G22</f>
        <v>0</v>
      </c>
      <c r="R22" s="166">
        <f>ROUNDDOWN((1-N22)*P22,0)</f>
        <v>0</v>
      </c>
      <c r="S22" s="166">
        <f>ROUND((1-O22)*Q22,0)</f>
        <v>0</v>
      </c>
      <c r="T22" s="122">
        <f>AC21</f>
        <v>0.43055555555555558</v>
      </c>
      <c r="U22" s="149">
        <f>T22+$AL$15</f>
        <v>0.49305555555555558</v>
      </c>
      <c r="V22" s="157">
        <f>V8</f>
        <v>0.49305555555555558</v>
      </c>
      <c r="W22" s="154">
        <f>(U22/V22-1)*10*$AU$1</f>
        <v>0</v>
      </c>
      <c r="X22" s="154">
        <f>(U22/V22-1)*10*$BD$1</f>
        <v>0</v>
      </c>
      <c r="Y22" s="155">
        <f>'Revenue - Year 5'!I22</f>
        <v>0</v>
      </c>
      <c r="Z22" s="155">
        <f>'Revenue - Year 5'!J22</f>
        <v>0</v>
      </c>
      <c r="AA22" s="166">
        <f>ROUNDDOWN((1-W22)*Y22,0)</f>
        <v>0</v>
      </c>
      <c r="AB22" s="166">
        <f>ROUND((1-X22)*Z22,0)</f>
        <v>0</v>
      </c>
      <c r="AC22" s="119">
        <v>0</v>
      </c>
      <c r="AD22" s="148"/>
      <c r="AE22" s="148"/>
      <c r="AF22" s="148"/>
      <c r="AG22" s="148"/>
      <c r="AH22" s="120">
        <v>0</v>
      </c>
      <c r="AI22" s="120">
        <v>0</v>
      </c>
      <c r="AJ22" s="120">
        <v>0</v>
      </c>
      <c r="AK22" s="120">
        <v>0</v>
      </c>
      <c r="AL22" s="122">
        <v>0.68402777777777779</v>
      </c>
      <c r="AM22" s="149">
        <f>AL22+$AL$15</f>
        <v>0.74652777777777779</v>
      </c>
      <c r="AN22" s="149">
        <f>AN8</f>
        <v>0.68055555555555558</v>
      </c>
      <c r="AO22" s="154">
        <f>(AM22/AN22-1)*10*$AU$1</f>
        <v>4.8469387755102011E-2</v>
      </c>
      <c r="AP22" s="154">
        <f>(AM22/AN22-1)*10*$BD$1</f>
        <v>1.9387755102040806E-2</v>
      </c>
      <c r="AQ22" s="155">
        <f>'Revenue - Year 5'!O22</f>
        <v>0</v>
      </c>
      <c r="AR22" s="155">
        <f>'Revenue - Year 5'!P22</f>
        <v>0</v>
      </c>
      <c r="AS22" s="166">
        <f t="shared" ref="AS22" si="92">ROUNDDOWN((1-AO22)*AQ22,0)</f>
        <v>0</v>
      </c>
      <c r="AT22" s="166">
        <f t="shared" ref="AT22" si="93">ROUND((1-AP22)*AR22,0)</f>
        <v>0</v>
      </c>
      <c r="AU22" s="122">
        <v>0.46527777777777773</v>
      </c>
      <c r="AV22" s="149">
        <f>AU22+$AL$15</f>
        <v>0.52777777777777768</v>
      </c>
      <c r="AW22" s="149">
        <f>AW8</f>
        <v>0.5</v>
      </c>
      <c r="AX22" s="154">
        <f>(AV22/AW22-1)*10*$AU$1</f>
        <v>2.7777777777777679E-2</v>
      </c>
      <c r="AY22" s="154">
        <f>(AV22/AW22-1)*10*$BD$1</f>
        <v>1.1111111111111072E-2</v>
      </c>
      <c r="AZ22" s="155">
        <f>'Revenue - Year 5'!R22</f>
        <v>0</v>
      </c>
      <c r="BA22" s="155">
        <f>'Revenue - Year 5'!S22</f>
        <v>0</v>
      </c>
      <c r="BB22" s="166">
        <f t="shared" si="78"/>
        <v>0</v>
      </c>
      <c r="BC22" s="166">
        <f t="shared" si="79"/>
        <v>0</v>
      </c>
      <c r="BD22" s="122">
        <v>0.34027777777777773</v>
      </c>
      <c r="BE22" s="156">
        <f>'Revenue - Year 5'!U22</f>
        <v>0</v>
      </c>
      <c r="BF22" s="156">
        <f>'Revenue - Year 5'!V22</f>
        <v>0</v>
      </c>
      <c r="BG22" s="169">
        <f t="shared" si="80"/>
        <v>0</v>
      </c>
      <c r="BH22" s="169">
        <f t="shared" si="81"/>
        <v>0</v>
      </c>
      <c r="BI22" s="115" t="str">
        <f t="shared" si="74"/>
        <v>OK</v>
      </c>
      <c r="BJ22" s="181" t="s">
        <v>74</v>
      </c>
      <c r="BK22" s="135"/>
      <c r="BL22" s="135"/>
      <c r="BM22" s="138">
        <f>35*BM21</f>
        <v>0</v>
      </c>
    </row>
    <row r="23" spans="1:65" ht="29.4" thickBot="1" x14ac:dyDescent="0.6">
      <c r="A23" s="125" t="s">
        <v>16</v>
      </c>
      <c r="B23" s="122">
        <f>AL19</f>
        <v>0.47569444444444442</v>
      </c>
      <c r="C23" s="149">
        <f t="shared" si="82"/>
        <v>0.53819444444444442</v>
      </c>
      <c r="D23" s="157">
        <f t="shared" si="83"/>
        <v>0.53472222222222221</v>
      </c>
      <c r="E23" s="154">
        <f t="shared" si="84"/>
        <v>3.2467532467532756E-3</v>
      </c>
      <c r="F23" s="154">
        <f t="shared" si="85"/>
        <v>1.2987012987013102E-3</v>
      </c>
      <c r="G23" s="155">
        <f>'Revenue - Year 5'!C23</f>
        <v>0</v>
      </c>
      <c r="H23" s="155">
        <f>'Revenue - Year 5'!D23</f>
        <v>0</v>
      </c>
      <c r="I23" s="166">
        <f t="shared" si="86"/>
        <v>0</v>
      </c>
      <c r="J23" s="166">
        <f t="shared" si="87"/>
        <v>0</v>
      </c>
      <c r="K23" s="122">
        <f>AL20</f>
        <v>0.59375</v>
      </c>
      <c r="L23" s="149">
        <f>K23+$AL$15</f>
        <v>0.65625</v>
      </c>
      <c r="M23" s="157">
        <f>M9</f>
        <v>0.65625</v>
      </c>
      <c r="N23" s="154">
        <f>(L23/M23-1)*10*$AU$1</f>
        <v>0</v>
      </c>
      <c r="O23" s="154">
        <f>(L23/M23-1)*10*$BD$1</f>
        <v>0</v>
      </c>
      <c r="P23" s="155">
        <f>'Revenue - Year 5'!F23</f>
        <v>0</v>
      </c>
      <c r="Q23" s="155">
        <f>'Revenue - Year 5'!G23</f>
        <v>0</v>
      </c>
      <c r="R23" s="166">
        <f>ROUNDDOWN((1-N23)*P23,0)</f>
        <v>0</v>
      </c>
      <c r="S23" s="166">
        <f>ROUND((1-O23)*Q23,0)</f>
        <v>0</v>
      </c>
      <c r="T23" s="122">
        <f>AL21</f>
        <v>0.43402777777777773</v>
      </c>
      <c r="U23" s="149">
        <f>T23+$AL$15</f>
        <v>0.49652777777777773</v>
      </c>
      <c r="V23" s="157">
        <f>V9</f>
        <v>0.49652777777777773</v>
      </c>
      <c r="W23" s="154">
        <f>(U23/V23-1)*10*$AU$1</f>
        <v>0</v>
      </c>
      <c r="X23" s="154">
        <f>(U23/V23-1)*10*$BD$1</f>
        <v>0</v>
      </c>
      <c r="Y23" s="155">
        <f>'Revenue - Year 5'!I23</f>
        <v>0</v>
      </c>
      <c r="Z23" s="155">
        <f>'Revenue - Year 5'!J23</f>
        <v>0</v>
      </c>
      <c r="AA23" s="166">
        <f>ROUNDDOWN((1-W23)*Y23,0)</f>
        <v>0</v>
      </c>
      <c r="AB23" s="166">
        <f>ROUND((1-X23)*Z23,0)</f>
        <v>0</v>
      </c>
      <c r="AC23" s="122">
        <f>AL22</f>
        <v>0.68402777777777779</v>
      </c>
      <c r="AD23" s="149">
        <f>AC23+$AL$15</f>
        <v>0.74652777777777779</v>
      </c>
      <c r="AE23" s="149">
        <f t="shared" si="75"/>
        <v>0.68055555555555558</v>
      </c>
      <c r="AF23" s="154">
        <f t="shared" ref="AF23:AF24" si="94">(AD23/AE23-1)*10*$AU$1</f>
        <v>4.8469387755102011E-2</v>
      </c>
      <c r="AG23" s="154">
        <f t="shared" ref="AG23:AG24" si="95">(AD23/AE23-1)*10*$BD$1</f>
        <v>1.9387755102040806E-2</v>
      </c>
      <c r="AH23" s="155">
        <f>'Revenue - Year 5'!L23</f>
        <v>0</v>
      </c>
      <c r="AI23" s="155">
        <f>'Revenue - Year 5'!M23</f>
        <v>0</v>
      </c>
      <c r="AJ23" s="166">
        <f t="shared" ref="AJ23:AJ25" si="96">ROUNDDOWN((1-AF23)*AH23,0)</f>
        <v>0</v>
      </c>
      <c r="AK23" s="166">
        <f t="shared" ref="AK23:AK25" si="97">ROUND((1-AG23)*AI23,0)</f>
        <v>0</v>
      </c>
      <c r="AL23" s="119">
        <v>0</v>
      </c>
      <c r="AM23" s="148"/>
      <c r="AN23" s="148"/>
      <c r="AO23" s="148"/>
      <c r="AP23" s="148"/>
      <c r="AQ23" s="120">
        <v>0</v>
      </c>
      <c r="AR23" s="120">
        <v>0</v>
      </c>
      <c r="AS23" s="120">
        <v>0</v>
      </c>
      <c r="AT23" s="120">
        <v>0</v>
      </c>
      <c r="AU23" s="122">
        <v>0.46875</v>
      </c>
      <c r="AV23" s="149">
        <f>AU23+$AL$15</f>
        <v>0.53125</v>
      </c>
      <c r="AW23" s="149">
        <f>AW9</f>
        <v>0.53125</v>
      </c>
      <c r="AX23" s="154">
        <f>(AV23/AW23-1)*10*$AU$1</f>
        <v>0</v>
      </c>
      <c r="AY23" s="154">
        <f>(AV23/AW23-1)*10*$BD$1</f>
        <v>0</v>
      </c>
      <c r="AZ23" s="155">
        <f>'Revenue - Year 5'!R23</f>
        <v>0</v>
      </c>
      <c r="BA23" s="155">
        <f>'Revenue - Year 5'!S23</f>
        <v>0</v>
      </c>
      <c r="BB23" s="166">
        <f t="shared" si="78"/>
        <v>0</v>
      </c>
      <c r="BC23" s="166">
        <f t="shared" si="79"/>
        <v>0</v>
      </c>
      <c r="BD23" s="122">
        <v>0.34375</v>
      </c>
      <c r="BE23" s="156">
        <f>'Revenue - Year 5'!U23</f>
        <v>0</v>
      </c>
      <c r="BF23" s="156">
        <f>'Revenue - Year 5'!V23</f>
        <v>0</v>
      </c>
      <c r="BG23" s="169">
        <f t="shared" si="80"/>
        <v>0</v>
      </c>
      <c r="BH23" s="169">
        <f t="shared" si="81"/>
        <v>0</v>
      </c>
      <c r="BI23" s="115" t="str">
        <f t="shared" si="74"/>
        <v>OK</v>
      </c>
      <c r="BJ23" s="135"/>
      <c r="BK23" s="135" t="s">
        <v>121</v>
      </c>
      <c r="BL23" s="135"/>
      <c r="BM23" s="182" t="e">
        <f>(BM22/'Revenue - Year 5'!AC22)-1</f>
        <v>#DIV/0!</v>
      </c>
    </row>
    <row r="24" spans="1:65" ht="29.4" thickBot="1" x14ac:dyDescent="0.6">
      <c r="A24" s="126" t="s">
        <v>14</v>
      </c>
      <c r="B24" s="122">
        <f>AU19</f>
        <v>0.25694444444444448</v>
      </c>
      <c r="C24" s="149">
        <f t="shared" si="82"/>
        <v>0.31944444444444448</v>
      </c>
      <c r="D24" s="157">
        <f t="shared" si="83"/>
        <v>0.2361111111111111</v>
      </c>
      <c r="E24" s="154">
        <f t="shared" si="84"/>
        <v>0.17647058823529416</v>
      </c>
      <c r="F24" s="154">
        <f t="shared" si="85"/>
        <v>7.058823529411766E-2</v>
      </c>
      <c r="G24" s="155">
        <f>'Revenue - Year 5'!C24</f>
        <v>0</v>
      </c>
      <c r="H24" s="155">
        <f>'Revenue - Year 5'!D24</f>
        <v>0</v>
      </c>
      <c r="I24" s="166">
        <f t="shared" si="86"/>
        <v>0</v>
      </c>
      <c r="J24" s="166">
        <f t="shared" si="87"/>
        <v>0</v>
      </c>
      <c r="K24" s="122">
        <f>AU20</f>
        <v>0.375</v>
      </c>
      <c r="L24" s="149">
        <f>K24+$AL$15</f>
        <v>0.4375</v>
      </c>
      <c r="M24" s="157">
        <f>M10</f>
        <v>0.39583333333333337</v>
      </c>
      <c r="N24" s="154">
        <f>(L24/M24-1)*10*$AU$1</f>
        <v>5.2631578947368363E-2</v>
      </c>
      <c r="O24" s="154">
        <f>(L24/M24-1)*10*$BD$1</f>
        <v>2.1052631578947347E-2</v>
      </c>
      <c r="P24" s="155">
        <f>'Revenue - Year 5'!F24</f>
        <v>0</v>
      </c>
      <c r="Q24" s="155">
        <f>'Revenue - Year 5'!G24</f>
        <v>0</v>
      </c>
      <c r="R24" s="166">
        <f>ROUNDDOWN((1-N24)*P24,0)</f>
        <v>0</v>
      </c>
      <c r="S24" s="166">
        <f>ROUND((1-O24)*Q24,0)</f>
        <v>0</v>
      </c>
      <c r="T24" s="122">
        <f>AU21</f>
        <v>0.21527777777777779</v>
      </c>
      <c r="U24" s="149">
        <f>T24+$AL$15</f>
        <v>0.27777777777777779</v>
      </c>
      <c r="V24" s="157">
        <f>V10</f>
        <v>0.27777777777777779</v>
      </c>
      <c r="W24" s="154">
        <f>(U24/V24-1)*10*$AU$1</f>
        <v>0</v>
      </c>
      <c r="X24" s="154">
        <f>(U24/V24-1)*10*$BD$1</f>
        <v>0</v>
      </c>
      <c r="Y24" s="155">
        <f>'Revenue - Year 5'!I24</f>
        <v>0</v>
      </c>
      <c r="Z24" s="155">
        <f>'Revenue - Year 5'!J24</f>
        <v>0</v>
      </c>
      <c r="AA24" s="166">
        <f>ROUNDDOWN((1-W24)*Y24,0)</f>
        <v>0</v>
      </c>
      <c r="AB24" s="166">
        <f>ROUND((1-X24)*Z24,0)</f>
        <v>0</v>
      </c>
      <c r="AC24" s="122">
        <f>AU22</f>
        <v>0.46527777777777773</v>
      </c>
      <c r="AD24" s="149">
        <f>AC24+$AL$15</f>
        <v>0.52777777777777768</v>
      </c>
      <c r="AE24" s="149">
        <f t="shared" si="75"/>
        <v>0.5</v>
      </c>
      <c r="AF24" s="154">
        <f t="shared" si="94"/>
        <v>2.7777777777777679E-2</v>
      </c>
      <c r="AG24" s="154">
        <f t="shared" si="95"/>
        <v>1.1111111111111072E-2</v>
      </c>
      <c r="AH24" s="155">
        <f>'Revenue - Year 5'!L24</f>
        <v>0</v>
      </c>
      <c r="AI24" s="155">
        <f>'Revenue - Year 5'!M24</f>
        <v>0</v>
      </c>
      <c r="AJ24" s="166">
        <f t="shared" si="96"/>
        <v>0</v>
      </c>
      <c r="AK24" s="166">
        <f t="shared" si="97"/>
        <v>0</v>
      </c>
      <c r="AL24" s="122">
        <f>AU23</f>
        <v>0.46875</v>
      </c>
      <c r="AM24" s="149">
        <f>AL24+$AL$15</f>
        <v>0.53125</v>
      </c>
      <c r="AN24" s="149">
        <f>AN10</f>
        <v>0.53125</v>
      </c>
      <c r="AO24" s="154">
        <f>(AM24/AN24-1)*10*$AU$1</f>
        <v>0</v>
      </c>
      <c r="AP24" s="154">
        <f>(AM24/AN24-1)*10*$BD$1</f>
        <v>0</v>
      </c>
      <c r="AQ24" s="155">
        <f>'Revenue - Year 5'!O24</f>
        <v>0</v>
      </c>
      <c r="AR24" s="155">
        <f>'Revenue - Year 5'!P24</f>
        <v>0</v>
      </c>
      <c r="AS24" s="166">
        <f t="shared" ref="AS24" si="98">ROUNDDOWN((1-AO24)*AQ24,0)</f>
        <v>0</v>
      </c>
      <c r="AT24" s="166">
        <f t="shared" ref="AT24" si="99">ROUND((1-AP24)*AR24,0)</f>
        <v>0</v>
      </c>
      <c r="AU24" s="119">
        <v>0</v>
      </c>
      <c r="AV24" s="148"/>
      <c r="AW24" s="148"/>
      <c r="AX24" s="148"/>
      <c r="AY24" s="148"/>
      <c r="AZ24" s="120">
        <v>0</v>
      </c>
      <c r="BA24" s="120">
        <v>0</v>
      </c>
      <c r="BB24" s="120">
        <v>0</v>
      </c>
      <c r="BC24" s="120">
        <v>0</v>
      </c>
      <c r="BD24" s="122">
        <v>0.125</v>
      </c>
      <c r="BE24" s="156">
        <f>'Revenue - Year 5'!U24</f>
        <v>0</v>
      </c>
      <c r="BF24" s="156">
        <f>'Revenue - Year 5'!V24</f>
        <v>0</v>
      </c>
      <c r="BG24" s="169">
        <f t="shared" si="80"/>
        <v>0</v>
      </c>
      <c r="BH24" s="169">
        <f t="shared" si="81"/>
        <v>0</v>
      </c>
      <c r="BI24" s="115" t="str">
        <f t="shared" si="74"/>
        <v>OK</v>
      </c>
      <c r="BJ24" s="135" t="s">
        <v>59</v>
      </c>
      <c r="BK24" s="135"/>
      <c r="BL24" s="135"/>
      <c r="BM24" s="136">
        <f>BM26-BM25</f>
        <v>0</v>
      </c>
    </row>
    <row r="25" spans="1:65" ht="29.25" customHeight="1" thickBot="1" x14ac:dyDescent="0.6">
      <c r="A25" s="142" t="s">
        <v>18</v>
      </c>
      <c r="B25" s="122">
        <f>BD19</f>
        <v>0.13194444444444445</v>
      </c>
      <c r="C25" s="149"/>
      <c r="D25" s="157"/>
      <c r="E25" s="149"/>
      <c r="F25" s="149"/>
      <c r="G25" s="155">
        <f>'Revenue - Year 5'!C25</f>
        <v>0</v>
      </c>
      <c r="H25" s="155">
        <f>'Revenue - Year 5'!D25</f>
        <v>0</v>
      </c>
      <c r="I25" s="166">
        <f t="shared" si="86"/>
        <v>0</v>
      </c>
      <c r="J25" s="166">
        <f t="shared" si="87"/>
        <v>0</v>
      </c>
      <c r="K25" s="122">
        <f>BD20</f>
        <v>0.25</v>
      </c>
      <c r="L25" s="149"/>
      <c r="M25" s="157"/>
      <c r="N25" s="149"/>
      <c r="O25" s="149"/>
      <c r="P25" s="155">
        <f>'Revenue - Year 5'!F25</f>
        <v>0</v>
      </c>
      <c r="Q25" s="155">
        <f>'Revenue - Year 5'!G25</f>
        <v>0</v>
      </c>
      <c r="R25" s="166">
        <f t="shared" ref="R25" si="100">ROUNDDOWN((1-N25)*P25,0)</f>
        <v>0</v>
      </c>
      <c r="S25" s="166">
        <f t="shared" ref="S25" si="101">ROUND((1-O25)*Q25,0)</f>
        <v>0</v>
      </c>
      <c r="T25" s="122">
        <f>BD21</f>
        <v>9.0277777777777776E-2</v>
      </c>
      <c r="U25" s="149"/>
      <c r="V25" s="157"/>
      <c r="W25" s="149"/>
      <c r="X25" s="149"/>
      <c r="Y25" s="155">
        <f>'Revenue - Year 5'!I25</f>
        <v>0</v>
      </c>
      <c r="Z25" s="155">
        <f>'Revenue - Year 5'!J25</f>
        <v>0</v>
      </c>
      <c r="AA25" s="166">
        <f t="shared" ref="AA25" si="102">ROUNDDOWN((1-W25)*Y25,0)</f>
        <v>0</v>
      </c>
      <c r="AB25" s="166">
        <f t="shared" ref="AB25" si="103">ROUND((1-X25)*Z25,0)</f>
        <v>0</v>
      </c>
      <c r="AC25" s="122">
        <f>BD22</f>
        <v>0.34027777777777773</v>
      </c>
      <c r="AD25" s="149"/>
      <c r="AE25" s="157"/>
      <c r="AF25" s="149"/>
      <c r="AG25" s="149"/>
      <c r="AH25" s="155">
        <f>'Revenue - Year 5'!L25</f>
        <v>0</v>
      </c>
      <c r="AI25" s="155">
        <f>'Revenue - Year 5'!M25</f>
        <v>0</v>
      </c>
      <c r="AJ25" s="166">
        <f t="shared" si="96"/>
        <v>0</v>
      </c>
      <c r="AK25" s="166">
        <f t="shared" si="97"/>
        <v>0</v>
      </c>
      <c r="AL25" s="122">
        <f>BD23</f>
        <v>0.34375</v>
      </c>
      <c r="AM25" s="149"/>
      <c r="AN25" s="157"/>
      <c r="AO25" s="149"/>
      <c r="AP25" s="149"/>
      <c r="AQ25" s="155">
        <f>'Revenue - Year 5'!O25</f>
        <v>0</v>
      </c>
      <c r="AR25" s="155">
        <f>'Revenue - Year 5'!P25</f>
        <v>0</v>
      </c>
      <c r="AS25" s="166">
        <f t="shared" ref="AS25" si="104">ROUNDDOWN((1-AO25)*AQ25,0)</f>
        <v>0</v>
      </c>
      <c r="AT25" s="166">
        <f t="shared" ref="AT25" si="105">ROUND((1-AP25)*AR25,0)</f>
        <v>0</v>
      </c>
      <c r="AU25" s="122">
        <f>BD24</f>
        <v>0.125</v>
      </c>
      <c r="AV25" s="149"/>
      <c r="AW25" s="149"/>
      <c r="AX25" s="154"/>
      <c r="AY25" s="154"/>
      <c r="AZ25" s="155">
        <f>'Revenue - Year 5'!R25</f>
        <v>0</v>
      </c>
      <c r="BA25" s="155">
        <f>'Revenue - Year 5'!S25</f>
        <v>0</v>
      </c>
      <c r="BB25" s="166">
        <f t="shared" ref="BB25" si="106">ROUNDDOWN((1-AX25)*AZ25,0)</f>
        <v>0</v>
      </c>
      <c r="BC25" s="166">
        <f t="shared" ref="BC25" si="107">ROUND((1-AY25)*BA25,0)</f>
        <v>0</v>
      </c>
      <c r="BD25" s="119">
        <v>0</v>
      </c>
      <c r="BE25" s="120">
        <v>0</v>
      </c>
      <c r="BF25" s="120">
        <v>0</v>
      </c>
      <c r="BG25" s="169">
        <f t="shared" si="80"/>
        <v>0</v>
      </c>
      <c r="BH25" s="169">
        <f t="shared" si="81"/>
        <v>0</v>
      </c>
      <c r="BI25" s="115" t="str">
        <f t="shared" si="74"/>
        <v>OK</v>
      </c>
      <c r="BJ25" s="135" t="s">
        <v>60</v>
      </c>
      <c r="BK25" s="135"/>
      <c r="BL25" s="135"/>
      <c r="BM25" s="136">
        <f>SUM(I25:J25,R25:S25,AA25:AB25,AJ25:AK25,AS25:AT25,BB25:BC25)+SUM(BE19:BF24)</f>
        <v>0</v>
      </c>
    </row>
    <row r="26" spans="1:65" ht="29.4" thickBot="1" x14ac:dyDescent="0.6">
      <c r="A26" s="128" t="s">
        <v>40</v>
      </c>
      <c r="B26" s="122"/>
      <c r="C26" s="122"/>
      <c r="D26" s="122"/>
      <c r="E26" s="122"/>
      <c r="F26" s="122"/>
      <c r="G26" s="165"/>
      <c r="H26" s="165"/>
      <c r="I26" s="129">
        <f>SUM(I19:I25)</f>
        <v>0</v>
      </c>
      <c r="J26" s="129">
        <f>SUM(J19:J25)</f>
        <v>0</v>
      </c>
      <c r="K26" s="122"/>
      <c r="L26" s="122"/>
      <c r="M26" s="122"/>
      <c r="N26" s="122"/>
      <c r="O26" s="122"/>
      <c r="P26" s="165"/>
      <c r="Q26" s="165"/>
      <c r="R26" s="129">
        <f>SUM(R19:R25)</f>
        <v>0</v>
      </c>
      <c r="S26" s="129">
        <f>SUM(S19:S25)</f>
        <v>0</v>
      </c>
      <c r="T26" s="122"/>
      <c r="U26" s="122"/>
      <c r="V26" s="122"/>
      <c r="W26" s="122"/>
      <c r="X26" s="122"/>
      <c r="Y26" s="165"/>
      <c r="Z26" s="165"/>
      <c r="AA26" s="129">
        <f>SUM(AA19:AA25)</f>
        <v>0</v>
      </c>
      <c r="AB26" s="129">
        <f>SUM(AB19:AB25)</f>
        <v>0</v>
      </c>
      <c r="AC26" s="122"/>
      <c r="AD26" s="122"/>
      <c r="AE26" s="122"/>
      <c r="AF26" s="122"/>
      <c r="AG26" s="122"/>
      <c r="AH26" s="165"/>
      <c r="AI26" s="165"/>
      <c r="AJ26" s="129">
        <f>SUM(AJ19:AJ25)</f>
        <v>0</v>
      </c>
      <c r="AK26" s="129">
        <f>SUM(AK19:AK25)</f>
        <v>0</v>
      </c>
      <c r="AL26" s="122"/>
      <c r="AM26" s="122"/>
      <c r="AN26" s="122"/>
      <c r="AO26" s="122"/>
      <c r="AP26" s="122"/>
      <c r="AQ26" s="165"/>
      <c r="AR26" s="165"/>
      <c r="AS26" s="129">
        <f>SUM(AS19:AS25)</f>
        <v>0</v>
      </c>
      <c r="AT26" s="129">
        <f>SUM(AT19:AT25)</f>
        <v>0</v>
      </c>
      <c r="AU26" s="122"/>
      <c r="AV26" s="122"/>
      <c r="AW26" s="122"/>
      <c r="AX26" s="122"/>
      <c r="AY26" s="122"/>
      <c r="AZ26" s="165"/>
      <c r="BA26" s="165"/>
      <c r="BB26" s="129">
        <f>SUM(BB19:BB25)</f>
        <v>0</v>
      </c>
      <c r="BC26" s="129">
        <f>SUM(BC19:BC25)</f>
        <v>0</v>
      </c>
      <c r="BD26" s="122"/>
      <c r="BE26" s="129">
        <f>SUM(BE19:BE25)</f>
        <v>0</v>
      </c>
      <c r="BF26" s="129">
        <f>SUM(BF19:BF25)</f>
        <v>0</v>
      </c>
      <c r="BG26" s="169">
        <f t="shared" si="80"/>
        <v>0</v>
      </c>
      <c r="BH26" s="169">
        <f t="shared" si="81"/>
        <v>0</v>
      </c>
      <c r="BI26" s="115" t="str">
        <f t="shared" si="74"/>
        <v>OK</v>
      </c>
      <c r="BJ26" s="181" t="s">
        <v>61</v>
      </c>
      <c r="BK26" s="135"/>
      <c r="BL26" s="135"/>
      <c r="BM26" s="136">
        <f>SUM(B26:BF26)</f>
        <v>0</v>
      </c>
    </row>
    <row r="27" spans="1:65" ht="28.8" x14ac:dyDescent="0.55000000000000004">
      <c r="A27" s="115"/>
      <c r="B27" s="115"/>
      <c r="C27" s="115" t="str">
        <f>+IF(C18="Y",IF(C26&gt;270,"PB","OK"),IF(C26&gt;70,"PB","OK"))</f>
        <v>OK</v>
      </c>
      <c r="D27" s="115" t="str">
        <f t="shared" ref="D27" si="108">+IF(D18="Y",IF(D26&gt;270,"PB","ok"),IF(D26&gt;70,"PB","OK"))</f>
        <v>OK</v>
      </c>
      <c r="E27" s="115"/>
      <c r="F27" s="115" t="str">
        <f t="shared" ref="F27" si="109">+IF(F18="Y",IF(F26&gt;270,"PB","ok"),IF(F26&gt;70,"PB","OK"))</f>
        <v>OK</v>
      </c>
      <c r="I27" s="115" t="str">
        <f>+IF(I18="Traffic Y",IF(I26&gt;270,"PB","OK"),IF(I26&gt;70,"PB","OK"))</f>
        <v>OK</v>
      </c>
      <c r="J27" s="115" t="str">
        <f>+IF(H18="Y",IF(H26&gt;270,"PB","ok"),IF(H26&gt;70,"PB","OK"))</f>
        <v>OK</v>
      </c>
      <c r="K27" s="115"/>
      <c r="L27" s="115" t="str">
        <f t="shared" ref="L27" si="110">+IF(L18="Y",IF(L26&gt;270,"PB","ok"),IF(L26&gt;70,"PB","OK"))</f>
        <v>OK</v>
      </c>
      <c r="M27" s="115" t="str">
        <f t="shared" ref="M27" si="111">+IF(M18="Y",IF(M26&gt;270,"PB","ok"),IF(M26&gt;70,"PB","OK"))</f>
        <v>OK</v>
      </c>
      <c r="N27" s="115"/>
      <c r="O27" s="115" t="str">
        <f t="shared" ref="O27" si="112">+IF(O18="Y",IF(O26&gt;270,"PB","ok"),IF(O26&gt;70,"PB","OK"))</f>
        <v>OK</v>
      </c>
      <c r="R27" s="115" t="str">
        <f>+IF(R18="Traffic Y",IF(R26&gt;270,"PB","OK"),IF(R26&gt;70,"PB","OK"))</f>
        <v>OK</v>
      </c>
      <c r="S27" s="115" t="str">
        <f>+IF(Q18="Y",IF(Q26&gt;270,"PB","ok"),IF(Q26&gt;70,"PB","OK"))</f>
        <v>OK</v>
      </c>
      <c r="T27" s="115"/>
      <c r="U27" s="115" t="str">
        <f>+IF(U18="Y",IF(U26&gt;270,"PB","OK"),IF(U26&gt;70,"PB","OK"))</f>
        <v>OK</v>
      </c>
      <c r="V27" s="115" t="str">
        <f>+IF(V18="Y",IF(V26&gt;270,"PB","OK"),IF(V26&gt;70,"PB","OK"))</f>
        <v>OK</v>
      </c>
      <c r="W27" s="139"/>
      <c r="X27" s="139"/>
      <c r="AA27" s="115" t="str">
        <f>+IF(AA18="Traffic Y",IF(AA26&gt;270,"PB","OK"),IF(AA26&gt;70,"PB","OK"))</f>
        <v>OK</v>
      </c>
      <c r="AB27" s="115" t="str">
        <f>+IF(Z18="Y",IF(Z26&gt;270,"PB","ok"),IF(Z26&gt;70,"PB","OK"))</f>
        <v>OK</v>
      </c>
      <c r="AC27" s="134"/>
      <c r="AD27" s="134"/>
      <c r="AE27" s="134"/>
      <c r="AF27" s="134"/>
      <c r="AG27" s="134"/>
      <c r="AJ27" s="115" t="str">
        <f>+IF(AJ18="Traffic Y",IF(AJ26&gt;270,"PB","OK"),IF(AJ26&gt;70,"PB","OK"))</f>
        <v>OK</v>
      </c>
      <c r="AK27" s="115" t="str">
        <f>+IF(AI18="Y",IF(AI26&gt;270,"PB","ok"),IF(AI26&gt;70,"PB","OK"))</f>
        <v>OK</v>
      </c>
      <c r="AL27" s="134"/>
      <c r="AM27" s="134"/>
      <c r="AN27" s="134"/>
      <c r="AO27" s="134"/>
      <c r="AP27" s="134"/>
      <c r="AS27" s="115" t="str">
        <f>+IF(AS18="Traffic Y",IF(AS26&gt;270,"PB","OK"),IF(AS26&gt;70,"PB","OK"))</f>
        <v>OK</v>
      </c>
      <c r="AT27" s="115" t="str">
        <f>+IF(AR18="Y",IF(AR26&gt;270,"PB","ok"),IF(AR26&gt;70,"PB","OK"))</f>
        <v>OK</v>
      </c>
      <c r="AU27" s="134"/>
      <c r="AV27" s="134"/>
      <c r="AW27" s="134"/>
      <c r="AX27" s="134"/>
      <c r="AY27" s="134"/>
      <c r="BB27" s="115" t="str">
        <f>+IF(BB18="Traffic Y",IF(BB26&gt;270,"PB","OK"),IF(BB26&gt;70,"PB","OK"))</f>
        <v>OK</v>
      </c>
      <c r="BC27" s="115" t="str">
        <f>+IF(BA18="Y",IF(BA26&gt;270,"PB","ok"),IF(BA26&gt;70,"PB","OK"))</f>
        <v>OK</v>
      </c>
      <c r="BD27" s="134"/>
      <c r="BE27" s="115" t="str">
        <f>+IF(BE18="Traffic Y",IF(BE26&gt;270,"PB","ok"),IF(BE26&gt;70,"PB","OK"))</f>
        <v>OK</v>
      </c>
      <c r="BF27" s="115" t="str">
        <f>+IF(BF18="Traffic Y",IF(BF26&gt;270,"PB","ok"),IF(BF26&gt;70,"PB","OK"))</f>
        <v>OK</v>
      </c>
      <c r="BG27" s="134"/>
      <c r="BH27" s="134"/>
      <c r="BI27" s="139"/>
      <c r="BJ27" s="181" t="s">
        <v>120</v>
      </c>
      <c r="BK27" s="135"/>
      <c r="BL27" s="135"/>
      <c r="BM27" s="180">
        <f>(2*BM24+BM25)/2040</f>
        <v>0</v>
      </c>
    </row>
    <row r="28" spans="1:65" x14ac:dyDescent="0.3">
      <c r="A28" s="115"/>
      <c r="B28" s="144"/>
      <c r="C28" s="144"/>
      <c r="D28" s="144"/>
      <c r="E28" s="144"/>
      <c r="F28" s="144"/>
      <c r="G28" s="134"/>
      <c r="H28" s="134"/>
      <c r="I28" s="134"/>
      <c r="J28" s="134"/>
      <c r="K28" s="144"/>
      <c r="L28" s="144"/>
      <c r="M28" s="144"/>
      <c r="N28" s="144"/>
      <c r="O28" s="144"/>
      <c r="P28" s="134"/>
      <c r="Q28" s="134"/>
      <c r="R28" s="134"/>
      <c r="S28" s="134"/>
      <c r="T28" s="144"/>
      <c r="U28" s="144"/>
      <c r="V28" s="144"/>
      <c r="W28" s="144"/>
      <c r="X28" s="144"/>
      <c r="Y28" s="134"/>
      <c r="Z28" s="134"/>
      <c r="AA28" s="134"/>
      <c r="AB28" s="134"/>
      <c r="AC28" s="144"/>
      <c r="AD28" s="144"/>
      <c r="AE28" s="144"/>
      <c r="AF28" s="144"/>
      <c r="AG28" s="144"/>
      <c r="AH28" s="134"/>
      <c r="AI28" s="134"/>
      <c r="AJ28" s="134"/>
      <c r="AK28" s="134"/>
      <c r="AL28" s="144"/>
      <c r="AM28" s="144"/>
      <c r="AN28" s="144"/>
      <c r="AO28" s="144"/>
      <c r="AP28" s="144"/>
      <c r="AQ28" s="134"/>
      <c r="AR28" s="134"/>
      <c r="AS28" s="134"/>
      <c r="AT28" s="134"/>
      <c r="AU28" s="144"/>
      <c r="AV28" s="144"/>
      <c r="AW28" s="144"/>
      <c r="AX28" s="144"/>
      <c r="AY28" s="144"/>
      <c r="AZ28" s="134"/>
      <c r="BA28" s="134"/>
      <c r="BB28" s="134"/>
      <c r="BC28" s="134"/>
      <c r="BD28" s="144"/>
      <c r="BE28" s="134"/>
      <c r="BF28" s="134"/>
      <c r="BG28" s="141"/>
      <c r="BH28" s="141"/>
      <c r="BI28" s="141"/>
      <c r="BJ28" s="134"/>
      <c r="BK28" s="134"/>
      <c r="BL28" s="134"/>
      <c r="BM28" s="134"/>
    </row>
    <row r="29" spans="1:65" ht="15" customHeight="1" x14ac:dyDescent="0.3">
      <c r="A29" s="216" t="s">
        <v>76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32"/>
      <c r="AL29" s="226">
        <v>4.1666666666666664E-2</v>
      </c>
      <c r="AM29" s="227"/>
      <c r="AN29" s="227"/>
      <c r="AO29" s="227"/>
      <c r="AP29" s="227"/>
      <c r="AQ29" s="227"/>
      <c r="AR29" s="227"/>
      <c r="AS29" s="227"/>
      <c r="AT29" s="227"/>
      <c r="AU29" s="230">
        <v>0.05</v>
      </c>
      <c r="AV29" s="231"/>
      <c r="AW29" s="231"/>
      <c r="AX29" s="231"/>
      <c r="AY29" s="231"/>
      <c r="AZ29" s="231"/>
      <c r="BA29" s="231"/>
      <c r="BB29" s="231"/>
      <c r="BC29" s="231"/>
      <c r="BD29" s="230">
        <v>0.02</v>
      </c>
      <c r="BE29" s="227"/>
      <c r="BF29" s="227"/>
      <c r="BG29" s="131"/>
      <c r="BH29" s="131"/>
      <c r="BI29" s="131"/>
      <c r="BJ29" s="217" t="s">
        <v>114</v>
      </c>
      <c r="BK29" s="217"/>
      <c r="BL29" s="217"/>
      <c r="BM29" s="217"/>
    </row>
    <row r="30" spans="1:65" ht="15.75" customHeight="1" thickBot="1" x14ac:dyDescent="0.35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32"/>
      <c r="AL30" s="228"/>
      <c r="AM30" s="229"/>
      <c r="AN30" s="229"/>
      <c r="AO30" s="229"/>
      <c r="AP30" s="229"/>
      <c r="AQ30" s="229"/>
      <c r="AR30" s="229"/>
      <c r="AS30" s="229"/>
      <c r="AT30" s="229"/>
      <c r="AU30" s="228"/>
      <c r="AV30" s="229"/>
      <c r="AW30" s="229"/>
      <c r="AX30" s="229"/>
      <c r="AY30" s="229"/>
      <c r="AZ30" s="229"/>
      <c r="BA30" s="229"/>
      <c r="BB30" s="229"/>
      <c r="BC30" s="229"/>
      <c r="BD30" s="228"/>
      <c r="BE30" s="229"/>
      <c r="BF30" s="229"/>
      <c r="BG30" s="131"/>
      <c r="BH30" s="131"/>
      <c r="BI30" s="131"/>
      <c r="BJ30" s="217"/>
      <c r="BK30" s="217"/>
      <c r="BL30" s="217"/>
      <c r="BM30" s="217"/>
    </row>
    <row r="31" spans="1:65" ht="27" customHeight="1" thickBot="1" x14ac:dyDescent="0.35">
      <c r="A31" s="113" t="s">
        <v>63</v>
      </c>
      <c r="B31" s="218" t="s">
        <v>11</v>
      </c>
      <c r="C31" s="202"/>
      <c r="D31" s="202"/>
      <c r="E31" s="202"/>
      <c r="F31" s="202"/>
      <c r="G31" s="202"/>
      <c r="H31" s="202"/>
      <c r="I31" s="202"/>
      <c r="J31" s="203"/>
      <c r="K31" s="204" t="s">
        <v>12</v>
      </c>
      <c r="L31" s="205"/>
      <c r="M31" s="205"/>
      <c r="N31" s="205"/>
      <c r="O31" s="205"/>
      <c r="P31" s="205"/>
      <c r="Q31" s="205"/>
      <c r="R31" s="205"/>
      <c r="S31" s="206"/>
      <c r="T31" s="207" t="s">
        <v>15</v>
      </c>
      <c r="U31" s="208"/>
      <c r="V31" s="208"/>
      <c r="W31" s="208"/>
      <c r="X31" s="208"/>
      <c r="Y31" s="208"/>
      <c r="Z31" s="208"/>
      <c r="AA31" s="208"/>
      <c r="AB31" s="208"/>
      <c r="AC31" s="210" t="s">
        <v>13</v>
      </c>
      <c r="AD31" s="211"/>
      <c r="AE31" s="211"/>
      <c r="AF31" s="211"/>
      <c r="AG31" s="211"/>
      <c r="AH31" s="211"/>
      <c r="AI31" s="211"/>
      <c r="AJ31" s="211"/>
      <c r="AK31" s="211"/>
      <c r="AL31" s="213" t="s">
        <v>16</v>
      </c>
      <c r="AM31" s="214"/>
      <c r="AN31" s="214"/>
      <c r="AO31" s="214"/>
      <c r="AP31" s="214"/>
      <c r="AQ31" s="214"/>
      <c r="AR31" s="214"/>
      <c r="AS31" s="214"/>
      <c r="AT31" s="214"/>
      <c r="AU31" s="187" t="s">
        <v>14</v>
      </c>
      <c r="AV31" s="188"/>
      <c r="AW31" s="188"/>
      <c r="AX31" s="188"/>
      <c r="AY31" s="188"/>
      <c r="AZ31" s="188"/>
      <c r="BA31" s="188"/>
      <c r="BB31" s="188"/>
      <c r="BC31" s="188"/>
      <c r="BD31" s="219" t="s">
        <v>19</v>
      </c>
      <c r="BE31" s="220"/>
      <c r="BF31" s="220"/>
      <c r="BG31" s="200" t="s">
        <v>69</v>
      </c>
      <c r="BH31" s="200"/>
      <c r="BI31" s="132"/>
      <c r="BJ31" s="217"/>
      <c r="BK31" s="217"/>
      <c r="BL31" s="217"/>
      <c r="BM31" s="217"/>
    </row>
    <row r="32" spans="1:65" ht="31.8" thickBot="1" x14ac:dyDescent="0.35">
      <c r="A32" s="113" t="s">
        <v>39</v>
      </c>
      <c r="B32" s="114" t="s">
        <v>36</v>
      </c>
      <c r="C32" s="114" t="s">
        <v>79</v>
      </c>
      <c r="D32" s="114" t="s">
        <v>73</v>
      </c>
      <c r="E32" s="163" t="s">
        <v>71</v>
      </c>
      <c r="F32" s="163" t="s">
        <v>72</v>
      </c>
      <c r="G32" s="117" t="s">
        <v>77</v>
      </c>
      <c r="H32" s="117" t="s">
        <v>78</v>
      </c>
      <c r="I32" s="117" t="s">
        <v>37</v>
      </c>
      <c r="J32" s="117" t="s">
        <v>38</v>
      </c>
      <c r="K32" s="114" t="s">
        <v>36</v>
      </c>
      <c r="L32" s="114" t="s">
        <v>79</v>
      </c>
      <c r="M32" s="114" t="s">
        <v>73</v>
      </c>
      <c r="N32" s="163" t="s">
        <v>71</v>
      </c>
      <c r="O32" s="163" t="s">
        <v>72</v>
      </c>
      <c r="P32" s="117" t="s">
        <v>77</v>
      </c>
      <c r="Q32" s="117" t="s">
        <v>78</v>
      </c>
      <c r="R32" s="117" t="s">
        <v>37</v>
      </c>
      <c r="S32" s="117" t="s">
        <v>38</v>
      </c>
      <c r="T32" s="114" t="s">
        <v>36</v>
      </c>
      <c r="U32" s="114" t="s">
        <v>79</v>
      </c>
      <c r="V32" s="114" t="s">
        <v>73</v>
      </c>
      <c r="W32" s="163" t="s">
        <v>71</v>
      </c>
      <c r="X32" s="163" t="s">
        <v>72</v>
      </c>
      <c r="Y32" s="117" t="s">
        <v>77</v>
      </c>
      <c r="Z32" s="117" t="s">
        <v>78</v>
      </c>
      <c r="AA32" s="117" t="s">
        <v>37</v>
      </c>
      <c r="AB32" s="117" t="s">
        <v>38</v>
      </c>
      <c r="AC32" s="114" t="s">
        <v>36</v>
      </c>
      <c r="AD32" s="114" t="s">
        <v>79</v>
      </c>
      <c r="AE32" s="114" t="s">
        <v>73</v>
      </c>
      <c r="AF32" s="163" t="s">
        <v>71</v>
      </c>
      <c r="AG32" s="163" t="s">
        <v>72</v>
      </c>
      <c r="AH32" s="117" t="s">
        <v>77</v>
      </c>
      <c r="AI32" s="117" t="s">
        <v>78</v>
      </c>
      <c r="AJ32" s="117" t="s">
        <v>37</v>
      </c>
      <c r="AK32" s="117" t="s">
        <v>38</v>
      </c>
      <c r="AL32" s="114" t="s">
        <v>36</v>
      </c>
      <c r="AM32" s="114" t="s">
        <v>79</v>
      </c>
      <c r="AN32" s="114" t="s">
        <v>73</v>
      </c>
      <c r="AO32" s="163" t="s">
        <v>71</v>
      </c>
      <c r="AP32" s="163" t="s">
        <v>72</v>
      </c>
      <c r="AQ32" s="117" t="s">
        <v>77</v>
      </c>
      <c r="AR32" s="117" t="s">
        <v>78</v>
      </c>
      <c r="AS32" s="117" t="s">
        <v>37</v>
      </c>
      <c r="AT32" s="117" t="s">
        <v>38</v>
      </c>
      <c r="AU32" s="114" t="s">
        <v>36</v>
      </c>
      <c r="AV32" s="114" t="s">
        <v>79</v>
      </c>
      <c r="AW32" s="114" t="s">
        <v>73</v>
      </c>
      <c r="AX32" s="163" t="s">
        <v>71</v>
      </c>
      <c r="AY32" s="163" t="s">
        <v>72</v>
      </c>
      <c r="AZ32" s="117" t="s">
        <v>77</v>
      </c>
      <c r="BA32" s="117" t="s">
        <v>78</v>
      </c>
      <c r="BB32" s="117" t="s">
        <v>37</v>
      </c>
      <c r="BC32" s="117" t="s">
        <v>38</v>
      </c>
      <c r="BD32" s="114" t="s">
        <v>36</v>
      </c>
      <c r="BE32" s="164" t="s">
        <v>37</v>
      </c>
      <c r="BF32" s="164" t="s">
        <v>38</v>
      </c>
      <c r="BG32" s="167" t="s">
        <v>21</v>
      </c>
      <c r="BH32" s="167" t="s">
        <v>20</v>
      </c>
      <c r="BI32" s="133"/>
      <c r="BJ32" s="168"/>
      <c r="BK32" s="168"/>
      <c r="BL32" s="168"/>
      <c r="BM32" s="168"/>
    </row>
    <row r="33" spans="1:65" ht="29.4" thickBot="1" x14ac:dyDescent="0.6">
      <c r="A33" s="118" t="s">
        <v>11</v>
      </c>
      <c r="B33" s="119">
        <v>0</v>
      </c>
      <c r="C33" s="148"/>
      <c r="D33" s="148"/>
      <c r="E33" s="148"/>
      <c r="F33" s="148"/>
      <c r="G33" s="120">
        <v>0</v>
      </c>
      <c r="H33" s="120">
        <v>0</v>
      </c>
      <c r="I33" s="120">
        <v>0</v>
      </c>
      <c r="J33" s="120">
        <v>0</v>
      </c>
      <c r="K33" s="178">
        <v>0.34027777777777773</v>
      </c>
      <c r="L33" s="149">
        <f>K33+$AL$29</f>
        <v>0.38194444444444442</v>
      </c>
      <c r="M33" s="158">
        <f>M5</f>
        <v>0.38194444444444442</v>
      </c>
      <c r="N33" s="154">
        <f>(L33/M33-1)*10*$AU$1</f>
        <v>0</v>
      </c>
      <c r="O33" s="154">
        <f>(L33/M33-1)*10*$BD$1</f>
        <v>0</v>
      </c>
      <c r="P33" s="155">
        <f>'Revenue - Year 5'!F33</f>
        <v>0</v>
      </c>
      <c r="Q33" s="155">
        <f>'Revenue - Year 5'!G33</f>
        <v>0</v>
      </c>
      <c r="R33" s="166">
        <f>ROUNDDOWN((1-N33)*P33,0)</f>
        <v>0</v>
      </c>
      <c r="S33" s="166">
        <f>ROUND((1-O33)*Q33,0)</f>
        <v>0</v>
      </c>
      <c r="T33" s="122">
        <v>0.28472222222222221</v>
      </c>
      <c r="U33" s="149">
        <f>T33+$AL$29</f>
        <v>0.3263888888888889</v>
      </c>
      <c r="V33" s="151">
        <f>V5</f>
        <v>0.28472222222222221</v>
      </c>
      <c r="W33" s="154">
        <f>(U33/V33-1)*10*$AU$1</f>
        <v>7.3170731707317138E-2</v>
      </c>
      <c r="X33" s="154">
        <f>(U33/V33-1)*10*$BD$1</f>
        <v>2.9268292682926855E-2</v>
      </c>
      <c r="Y33" s="155">
        <f>'Revenue - Year 5'!I33</f>
        <v>0</v>
      </c>
      <c r="Z33" s="155">
        <f>'Revenue - Year 5'!J33</f>
        <v>0</v>
      </c>
      <c r="AA33" s="166">
        <f>ROUNDDOWN((1-W33)*Y33,0)</f>
        <v>0</v>
      </c>
      <c r="AB33" s="166">
        <f>ROUND((1-X33)*Z33,0)</f>
        <v>0</v>
      </c>
      <c r="AC33" s="122">
        <v>0.44444444444444442</v>
      </c>
      <c r="AD33" s="159">
        <f>AC33+$AL$29</f>
        <v>0.4861111111111111</v>
      </c>
      <c r="AE33" s="158">
        <f>AE5</f>
        <v>0.4861111111111111</v>
      </c>
      <c r="AF33" s="160">
        <f>(AD33/AE33-1)*10*$AU$1</f>
        <v>0</v>
      </c>
      <c r="AG33" s="154">
        <f>(AD33/AE33-1)*10*$BD$1</f>
        <v>0</v>
      </c>
      <c r="AH33" s="155">
        <f>'Revenue - Year 5'!L33</f>
        <v>0</v>
      </c>
      <c r="AI33" s="155">
        <f>'Revenue - Year 5'!M33</f>
        <v>0</v>
      </c>
      <c r="AJ33" s="166">
        <f>ROUNDDOWN((1-AF33)*AH33,0)</f>
        <v>0</v>
      </c>
      <c r="AK33" s="166">
        <f>ROUND((1-AG33)*AI33,0)</f>
        <v>0</v>
      </c>
      <c r="AL33" s="122">
        <v>0.49305555555555558</v>
      </c>
      <c r="AM33" s="159">
        <f>AL33+$AL$29</f>
        <v>0.53472222222222221</v>
      </c>
      <c r="AN33" s="158">
        <f>AN5</f>
        <v>0.53472222222222221</v>
      </c>
      <c r="AO33" s="160">
        <f>(AM33/AN33-1)*10*$AU$1</f>
        <v>0</v>
      </c>
      <c r="AP33" s="154">
        <f>(AM33/AN33-1)*10*$BD$1</f>
        <v>0</v>
      </c>
      <c r="AQ33" s="155">
        <f>'Revenue - Year 5'!O33</f>
        <v>0</v>
      </c>
      <c r="AR33" s="155">
        <f>'Revenue - Year 5'!P33</f>
        <v>0</v>
      </c>
      <c r="AS33" s="166">
        <f>ROUNDDOWN((1-AO33)*AQ33,0)</f>
        <v>0</v>
      </c>
      <c r="AT33" s="166">
        <f>ROUND((1-AP33)*AR33,0)</f>
        <v>0</v>
      </c>
      <c r="AU33" s="122">
        <v>0.19444444444444445</v>
      </c>
      <c r="AV33" s="149">
        <f>AU33+$AL$29</f>
        <v>0.2361111111111111</v>
      </c>
      <c r="AW33" s="158">
        <f>AW5</f>
        <v>0.2361111111111111</v>
      </c>
      <c r="AX33" s="154">
        <f>(AV33/AW33-1)*10*$AU$1</f>
        <v>0</v>
      </c>
      <c r="AY33" s="154">
        <f>(AV33/AW33-1)*10*$BD$1</f>
        <v>0</v>
      </c>
      <c r="AZ33" s="155">
        <f>'Revenue - Year 5'!R33</f>
        <v>0</v>
      </c>
      <c r="BA33" s="155">
        <f>'Revenue - Year 5'!S33</f>
        <v>0</v>
      </c>
      <c r="BB33" s="166">
        <f t="shared" ref="BB33" si="113">ROUNDDOWN((1-AX33)*AZ33,0)</f>
        <v>0</v>
      </c>
      <c r="BC33" s="166">
        <f t="shared" ref="BC33" si="114">ROUND((1-AY33)*BA33,0)</f>
        <v>0</v>
      </c>
      <c r="BD33" s="122">
        <v>9.0277777777777776E-2</v>
      </c>
      <c r="BE33" s="156">
        <f>'Revenue - Year 5'!U33</f>
        <v>0</v>
      </c>
      <c r="BF33" s="156">
        <f>'Revenue - Year 5'!V33</f>
        <v>0</v>
      </c>
      <c r="BG33" s="169">
        <f>I33+R33+AA33+AJ33+AS33+BB33+BE33</f>
        <v>0</v>
      </c>
      <c r="BH33" s="169">
        <f>J33+S33+AB33+AK33+AT33+BC33+BF33</f>
        <v>0</v>
      </c>
      <c r="BI33" s="115" t="str">
        <f t="shared" ref="BI33:BI40" si="115">IF(OR(BG33&gt;70,BH33&gt;270),"PB","OK")</f>
        <v>OK</v>
      </c>
      <c r="BJ33" s="135" t="s">
        <v>57</v>
      </c>
      <c r="BK33" s="135"/>
      <c r="BL33" s="135"/>
      <c r="BM33" s="136">
        <f>1440/60*4*(SUMPRODUCT($B$33:$B$39,I33:I39)+SUMPRODUCT($K$33:$K$39,$R$33:$R$39)+SUMPRODUCT($T$33:$T$39,$AA$33:$AA$39)+SUMPRODUCT($AC$33:$AC$39,$AJ$33:$AJ$39)+SUMPRODUCT($AL$33:$AL$39,$AS$33:$AS$39)+SUMPRODUCT($AU$33:$AU$39,$BB$33:$BB$39)+SUMPRODUCT($BD$33:$BD$39,BE33:BE39))</f>
        <v>0</v>
      </c>
    </row>
    <row r="34" spans="1:65" ht="29.4" thickBot="1" x14ac:dyDescent="0.6">
      <c r="A34" s="121" t="s">
        <v>12</v>
      </c>
      <c r="B34" s="122">
        <f>K33</f>
        <v>0.34027777777777773</v>
      </c>
      <c r="C34" s="149">
        <f>B34+$AL$29</f>
        <v>0.38194444444444442</v>
      </c>
      <c r="D34" s="157">
        <f>D6</f>
        <v>0.38194444444444442</v>
      </c>
      <c r="E34" s="154">
        <f>(C34/D34-1)*10*$AU$1</f>
        <v>0</v>
      </c>
      <c r="F34" s="154">
        <f>(C34/D34-1)*10*$BD$1</f>
        <v>0</v>
      </c>
      <c r="G34" s="155">
        <f>'Revenue - Year 5'!C34</f>
        <v>0</v>
      </c>
      <c r="H34" s="155">
        <f>'Revenue - Year 5'!D34</f>
        <v>0</v>
      </c>
      <c r="I34" s="166">
        <f>ROUNDDOWN((1-E34)*G34,0)</f>
        <v>0</v>
      </c>
      <c r="J34" s="166">
        <f>ROUND((1-F34)*H34,0)</f>
        <v>0</v>
      </c>
      <c r="K34" s="119">
        <v>0</v>
      </c>
      <c r="L34" s="148"/>
      <c r="M34" s="148"/>
      <c r="N34" s="148"/>
      <c r="O34" s="148"/>
      <c r="P34" s="120">
        <v>0</v>
      </c>
      <c r="Q34" s="120">
        <v>0</v>
      </c>
      <c r="R34" s="120">
        <v>0</v>
      </c>
      <c r="S34" s="120">
        <v>0</v>
      </c>
      <c r="T34" s="122">
        <v>0.44444444444444442</v>
      </c>
      <c r="U34" s="149">
        <f>T34+$AL$29</f>
        <v>0.4861111111111111</v>
      </c>
      <c r="V34" s="151">
        <f>V6</f>
        <v>0.40277777777777773</v>
      </c>
      <c r="W34" s="154">
        <f>(U34/V34-1)*10*$AU$1</f>
        <v>0.10344827586206906</v>
      </c>
      <c r="X34" s="154">
        <f>(U34/V34-1)*10*$BD$1</f>
        <v>4.1379310344827627E-2</v>
      </c>
      <c r="Y34" s="155">
        <f>'Revenue - Year 5'!I34</f>
        <v>0</v>
      </c>
      <c r="Z34" s="155">
        <f>'Revenue - Year 5'!J34</f>
        <v>0</v>
      </c>
      <c r="AA34" s="166">
        <f>ROUNDDOWN((1-W34)*Y34,0)</f>
        <v>0</v>
      </c>
      <c r="AB34" s="166">
        <f>ROUND((1-X34)*Z34,0)</f>
        <v>0</v>
      </c>
      <c r="AC34" s="179">
        <v>0.60416666666666663</v>
      </c>
      <c r="AD34" s="159">
        <f>AC34+$AL$29</f>
        <v>0.64583333333333326</v>
      </c>
      <c r="AE34" s="158">
        <f>AE6</f>
        <v>0.64583333333333326</v>
      </c>
      <c r="AF34" s="160">
        <f>(AD34/AE34-1)*10*$AU$1</f>
        <v>0</v>
      </c>
      <c r="AG34" s="154">
        <f>(AD34/AE34-1)*10*$BD$1</f>
        <v>0</v>
      </c>
      <c r="AH34" s="155">
        <f>'Revenue - Year 5'!L34</f>
        <v>0</v>
      </c>
      <c r="AI34" s="155">
        <f>'Revenue - Year 5'!M34</f>
        <v>0</v>
      </c>
      <c r="AJ34" s="166">
        <f>ROUNDDOWN((1-AF34)*AH34,0)</f>
        <v>0</v>
      </c>
      <c r="AK34" s="166">
        <f>ROUND((1-AG34)*AI34,0)</f>
        <v>0</v>
      </c>
      <c r="AL34" s="122">
        <v>0.65277777777777779</v>
      </c>
      <c r="AM34" s="159">
        <f>AL34+$AL$29</f>
        <v>0.69444444444444442</v>
      </c>
      <c r="AN34" s="158">
        <f>AN6</f>
        <v>0.65625</v>
      </c>
      <c r="AO34" s="160">
        <f>(AM34/AN34-1)*10*$AU$1</f>
        <v>2.9100529100529071E-2</v>
      </c>
      <c r="AP34" s="154">
        <f>(AM34/AN34-1)*10*$BD$1</f>
        <v>1.164021164021163E-2</v>
      </c>
      <c r="AQ34" s="155">
        <f>'Revenue - Year 5'!O34</f>
        <v>0</v>
      </c>
      <c r="AR34" s="155">
        <f>'Revenue - Year 5'!P34</f>
        <v>0</v>
      </c>
      <c r="AS34" s="166">
        <f>ROUNDDOWN((1-AO34)*AQ34,0)</f>
        <v>0</v>
      </c>
      <c r="AT34" s="166">
        <f>ROUND((1-AP34)*AR34,0)</f>
        <v>0</v>
      </c>
      <c r="AU34" s="122">
        <v>0.35416666666666669</v>
      </c>
      <c r="AV34" s="159">
        <f>AU34+$AL$29</f>
        <v>0.39583333333333337</v>
      </c>
      <c r="AW34" s="158">
        <f>AW6</f>
        <v>0.39583333333333337</v>
      </c>
      <c r="AX34" s="154">
        <f>(AV34/AW34-1)*10*$AU$1</f>
        <v>0</v>
      </c>
      <c r="AY34" s="154">
        <f>(AV34/AW34-1)*10*$BD$1</f>
        <v>0</v>
      </c>
      <c r="AZ34" s="155">
        <f>'Revenue - Year 5'!R34</f>
        <v>0</v>
      </c>
      <c r="BA34" s="155">
        <f>'Revenue - Year 5'!S34</f>
        <v>0</v>
      </c>
      <c r="BB34" s="166">
        <f t="shared" ref="BB34:BB37" si="116">ROUNDDOWN((1-AX34)*AZ34,0)</f>
        <v>0</v>
      </c>
      <c r="BC34" s="166">
        <f t="shared" ref="BC34:BC37" si="117">ROUND((1-AY34)*BA34,0)</f>
        <v>0</v>
      </c>
      <c r="BD34" s="122">
        <v>0.25</v>
      </c>
      <c r="BE34" s="156">
        <f>'Revenue - Year 5'!U34</f>
        <v>0</v>
      </c>
      <c r="BF34" s="156">
        <f>'Revenue - Year 5'!V34</f>
        <v>0</v>
      </c>
      <c r="BG34" s="169">
        <f t="shared" ref="BG34:BG40" si="118">I34+R34+AA34+AJ34+AS34+BB34+BE34</f>
        <v>0</v>
      </c>
      <c r="BH34" s="169">
        <f t="shared" ref="BH34:BH40" si="119">J34+S34+AB34+AK34+AT34+BC34+BF34</f>
        <v>0</v>
      </c>
      <c r="BI34" s="115" t="str">
        <f t="shared" si="115"/>
        <v>OK</v>
      </c>
      <c r="BJ34" s="135" t="s">
        <v>68</v>
      </c>
      <c r="BK34" s="135"/>
      <c r="BL34" s="135"/>
      <c r="BM34" s="136">
        <f>1440/60*(SUMPRODUCT(B33:B39,J33:J39)+SUMPRODUCT(K33:K39,S33:S39)+SUMPRODUCT(T33:T39,AB33:AB39)+SUMPRODUCT(AC33:AC39,AK33:AK39)+SUMPRODUCT(AL33:AL39,AT33:AT39)+SUMPRODUCT(AU33:AU39,BC33:BC39)+SUMPRODUCT(BD33:BD39*BF33:BF39))</f>
        <v>0</v>
      </c>
    </row>
    <row r="35" spans="1:65" ht="29.4" thickBot="1" x14ac:dyDescent="0.6">
      <c r="A35" s="123" t="s">
        <v>15</v>
      </c>
      <c r="B35" s="122">
        <f>T33</f>
        <v>0.28472222222222221</v>
      </c>
      <c r="C35" s="149">
        <f>B35+$AL$29</f>
        <v>0.3263888888888889</v>
      </c>
      <c r="D35" s="157">
        <f>D7</f>
        <v>0.28472222222222221</v>
      </c>
      <c r="E35" s="154">
        <f t="shared" ref="E35:E38" si="120">(C35/D35-1)*10*$AU$1</f>
        <v>7.3170731707317138E-2</v>
      </c>
      <c r="F35" s="154">
        <f t="shared" ref="F35:F38" si="121">(C35/D35-1)*10*$BD$1</f>
        <v>2.9268292682926855E-2</v>
      </c>
      <c r="G35" s="155">
        <f>'Revenue - Year 5'!C35</f>
        <v>0</v>
      </c>
      <c r="H35" s="155">
        <f>'Revenue - Year 5'!D35</f>
        <v>0</v>
      </c>
      <c r="I35" s="166">
        <f t="shared" ref="I35:I39" si="122">ROUNDDOWN((1-E35)*G35,0)</f>
        <v>0</v>
      </c>
      <c r="J35" s="166">
        <f t="shared" ref="J35:J39" si="123">ROUND((1-F35)*H35,0)</f>
        <v>0</v>
      </c>
      <c r="K35" s="122">
        <f>T34</f>
        <v>0.44444444444444442</v>
      </c>
      <c r="L35" s="149">
        <f>K35+$AL$29</f>
        <v>0.4861111111111111</v>
      </c>
      <c r="M35" s="157">
        <f>M7</f>
        <v>0.40277777777777773</v>
      </c>
      <c r="N35" s="154">
        <f t="shared" ref="N35:N38" si="124">(L35/M35-1)*10*$AU$1</f>
        <v>0.10344827586206906</v>
      </c>
      <c r="O35" s="154">
        <f t="shared" ref="O35:O38" si="125">(L35/M35-1)*10*$BD$1</f>
        <v>4.1379310344827627E-2</v>
      </c>
      <c r="P35" s="155">
        <f>'Revenue - Year 5'!F35</f>
        <v>0</v>
      </c>
      <c r="Q35" s="155">
        <f>'Revenue - Year 5'!G35</f>
        <v>0</v>
      </c>
      <c r="R35" s="166">
        <f t="shared" ref="R35:R39" si="126">ROUNDDOWN((1-N35)*P35,0)</f>
        <v>0</v>
      </c>
      <c r="S35" s="166">
        <f t="shared" ref="S35:S39" si="127">ROUND((1-O35)*Q35,0)</f>
        <v>0</v>
      </c>
      <c r="T35" s="119">
        <v>0</v>
      </c>
      <c r="U35" s="148"/>
      <c r="V35" s="148"/>
      <c r="W35" s="148"/>
      <c r="X35" s="148"/>
      <c r="Y35" s="120">
        <v>0</v>
      </c>
      <c r="Z35" s="120">
        <v>0</v>
      </c>
      <c r="AA35" s="120">
        <v>0</v>
      </c>
      <c r="AB35" s="120">
        <v>0</v>
      </c>
      <c r="AC35" s="179">
        <v>0.54861111111111105</v>
      </c>
      <c r="AD35" s="159">
        <f>AC35+$AL$29</f>
        <v>0.59027777777777768</v>
      </c>
      <c r="AE35" s="158">
        <f>AE7</f>
        <v>0.49305555555555558</v>
      </c>
      <c r="AF35" s="160">
        <f>(AD35/AE35-1)*10*$AU$1</f>
        <v>9.8591549295774517E-2</v>
      </c>
      <c r="AG35" s="154">
        <f>(AD35/AE35-1)*10*$BD$1</f>
        <v>3.9436619718309807E-2</v>
      </c>
      <c r="AH35" s="155">
        <f>'Revenue - Year 5'!L35</f>
        <v>0</v>
      </c>
      <c r="AI35" s="155">
        <f>'Revenue - Year 5'!M35</f>
        <v>0</v>
      </c>
      <c r="AJ35" s="166">
        <f>ROUNDDOWN((1-AF35)*AH35,0)</f>
        <v>0</v>
      </c>
      <c r="AK35" s="166">
        <f>ROUND((1-AG35)*AI35,0)</f>
        <v>0</v>
      </c>
      <c r="AL35" s="122">
        <v>0.59722222222222221</v>
      </c>
      <c r="AM35" s="159">
        <f>AL35+$AL$29</f>
        <v>0.63888888888888884</v>
      </c>
      <c r="AN35" s="158">
        <f>AN7</f>
        <v>0.49652777777777773</v>
      </c>
      <c r="AO35" s="160">
        <f>(AM35/AN35-1)*10*$AU$1</f>
        <v>0.14335664335664333</v>
      </c>
      <c r="AP35" s="154">
        <f>(AM35/AN35-1)*10*$BD$1</f>
        <v>5.7342657342657331E-2</v>
      </c>
      <c r="AQ35" s="155">
        <f>'Revenue - Year 5'!O35</f>
        <v>0</v>
      </c>
      <c r="AR35" s="155">
        <f>'Revenue - Year 5'!P35</f>
        <v>0</v>
      </c>
      <c r="AS35" s="166">
        <f>ROUNDDOWN((1-AO35)*AQ35,0)</f>
        <v>0</v>
      </c>
      <c r="AT35" s="166">
        <f>ROUND((1-AP35)*AR35,0)</f>
        <v>0</v>
      </c>
      <c r="AU35" s="122">
        <v>0.2986111111111111</v>
      </c>
      <c r="AV35" s="159">
        <f>AU35+$AL$29</f>
        <v>0.34027777777777779</v>
      </c>
      <c r="AW35" s="158">
        <f>AW7</f>
        <v>0.27777777777777779</v>
      </c>
      <c r="AX35" s="154">
        <f>(AV35/AW35-1)*10*$AU$1</f>
        <v>0.11250000000000004</v>
      </c>
      <c r="AY35" s="154">
        <f>(AV35/AW35-1)*10*$BD$1</f>
        <v>4.5000000000000019E-2</v>
      </c>
      <c r="AZ35" s="155">
        <f>'Revenue - Year 5'!R35</f>
        <v>0</v>
      </c>
      <c r="BA35" s="155">
        <f>'Revenue - Year 5'!S35</f>
        <v>0</v>
      </c>
      <c r="BB35" s="166">
        <f t="shared" si="116"/>
        <v>0</v>
      </c>
      <c r="BC35" s="166">
        <f t="shared" si="117"/>
        <v>0</v>
      </c>
      <c r="BD35" s="122">
        <v>0.19444444444444445</v>
      </c>
      <c r="BE35" s="156">
        <f>'Revenue - Year 5'!U35</f>
        <v>0</v>
      </c>
      <c r="BF35" s="156">
        <f>'Revenue - Year 5'!V35</f>
        <v>0</v>
      </c>
      <c r="BG35" s="169">
        <f t="shared" si="118"/>
        <v>0</v>
      </c>
      <c r="BH35" s="169">
        <f t="shared" si="119"/>
        <v>0</v>
      </c>
      <c r="BI35" s="115" t="str">
        <f t="shared" si="115"/>
        <v>OK</v>
      </c>
      <c r="BJ35" s="135" t="s">
        <v>58</v>
      </c>
      <c r="BK35" s="135"/>
      <c r="BL35" s="135"/>
      <c r="BM35" s="137">
        <f>BM33+BM34</f>
        <v>0</v>
      </c>
    </row>
    <row r="36" spans="1:65" ht="29.4" thickBot="1" x14ac:dyDescent="0.6">
      <c r="A36" s="124" t="s">
        <v>13</v>
      </c>
      <c r="B36" s="122">
        <f>AC33</f>
        <v>0.44444444444444442</v>
      </c>
      <c r="C36" s="149">
        <f>B36+$AL$29</f>
        <v>0.4861111111111111</v>
      </c>
      <c r="D36" s="157">
        <f>D8</f>
        <v>0.4861111111111111</v>
      </c>
      <c r="E36" s="154">
        <f t="shared" si="120"/>
        <v>0</v>
      </c>
      <c r="F36" s="154">
        <f t="shared" si="121"/>
        <v>0</v>
      </c>
      <c r="G36" s="155">
        <f>'Revenue - Year 5'!C36</f>
        <v>0</v>
      </c>
      <c r="H36" s="155">
        <f>'Revenue - Year 5'!D36</f>
        <v>0</v>
      </c>
      <c r="I36" s="166">
        <f t="shared" si="122"/>
        <v>0</v>
      </c>
      <c r="J36" s="166">
        <f t="shared" si="123"/>
        <v>0</v>
      </c>
      <c r="K36" s="122">
        <f>AC34</f>
        <v>0.60416666666666663</v>
      </c>
      <c r="L36" s="149">
        <f>K36+$AL$29</f>
        <v>0.64583333333333326</v>
      </c>
      <c r="M36" s="157">
        <f>M8</f>
        <v>0.64583333333333326</v>
      </c>
      <c r="N36" s="154">
        <f t="shared" si="124"/>
        <v>0</v>
      </c>
      <c r="O36" s="154">
        <f t="shared" si="125"/>
        <v>0</v>
      </c>
      <c r="P36" s="155">
        <f>'Revenue - Year 5'!F36</f>
        <v>0</v>
      </c>
      <c r="Q36" s="155">
        <f>'Revenue - Year 5'!G36</f>
        <v>0</v>
      </c>
      <c r="R36" s="166">
        <f t="shared" si="126"/>
        <v>0</v>
      </c>
      <c r="S36" s="166">
        <f t="shared" si="127"/>
        <v>0</v>
      </c>
      <c r="T36" s="122">
        <f>AC35</f>
        <v>0.54861111111111105</v>
      </c>
      <c r="U36" s="149">
        <f>T36+$AL$29</f>
        <v>0.59027777777777768</v>
      </c>
      <c r="V36" s="157">
        <f>V8</f>
        <v>0.49305555555555558</v>
      </c>
      <c r="W36" s="154">
        <f>(U36/V36-1)*10*$AU$1</f>
        <v>9.8591549295774517E-2</v>
      </c>
      <c r="X36" s="154">
        <f>(U36/V36-1)*10*$BD$1</f>
        <v>3.9436619718309807E-2</v>
      </c>
      <c r="Y36" s="155">
        <f>'Revenue - Year 5'!I36</f>
        <v>0</v>
      </c>
      <c r="Z36" s="155">
        <f>'Revenue - Year 5'!J36</f>
        <v>0</v>
      </c>
      <c r="AA36" s="166">
        <f t="shared" ref="AA36:AA39" si="128">ROUNDDOWN((1-W36)*Y36,0)</f>
        <v>0</v>
      </c>
      <c r="AB36" s="166">
        <f t="shared" ref="AB36:AB39" si="129">ROUND((1-X36)*Z36,0)</f>
        <v>0</v>
      </c>
      <c r="AC36" s="119">
        <v>0</v>
      </c>
      <c r="AD36" s="148"/>
      <c r="AE36" s="161"/>
      <c r="AF36" s="162"/>
      <c r="AG36" s="148"/>
      <c r="AH36" s="120">
        <v>0</v>
      </c>
      <c r="AI36" s="120">
        <v>0</v>
      </c>
      <c r="AJ36" s="120">
        <v>0</v>
      </c>
      <c r="AK36" s="120">
        <v>0</v>
      </c>
      <c r="AL36" s="122">
        <v>0.75694444444444453</v>
      </c>
      <c r="AM36" s="159">
        <f>AL36+$AL$29</f>
        <v>0.79861111111111116</v>
      </c>
      <c r="AN36" s="158">
        <f>AN8</f>
        <v>0.68055555555555558</v>
      </c>
      <c r="AO36" s="160">
        <f>(AM36/AN36-1)*10*$AU$1</f>
        <v>8.6734693877551061E-2</v>
      </c>
      <c r="AP36" s="154">
        <f>(AM36/AN36-1)*10*$BD$1</f>
        <v>3.4693877551020429E-2</v>
      </c>
      <c r="AQ36" s="155">
        <f>'Revenue - Year 5'!O36</f>
        <v>0</v>
      </c>
      <c r="AR36" s="155">
        <f>'Revenue - Year 5'!P36</f>
        <v>0</v>
      </c>
      <c r="AS36" s="166">
        <f>ROUNDDOWN((1-AO36)*AQ36,0)</f>
        <v>0</v>
      </c>
      <c r="AT36" s="166">
        <f>ROUND((1-AP36)*AR36,0)</f>
        <v>0</v>
      </c>
      <c r="AU36" s="122">
        <v>0.45833333333333331</v>
      </c>
      <c r="AV36" s="159">
        <f>AU36+$AL$29</f>
        <v>0.5</v>
      </c>
      <c r="AW36" s="158">
        <f>AW8</f>
        <v>0.5</v>
      </c>
      <c r="AX36" s="154">
        <f>(AV36/AW36-1)*10*$AU$1</f>
        <v>0</v>
      </c>
      <c r="AY36" s="154">
        <f>(AV36/AW36-1)*10*$BD$1</f>
        <v>0</v>
      </c>
      <c r="AZ36" s="155">
        <f>'Revenue - Year 5'!R36</f>
        <v>0</v>
      </c>
      <c r="BA36" s="155">
        <f>'Revenue - Year 5'!S36</f>
        <v>0</v>
      </c>
      <c r="BB36" s="166">
        <f t="shared" si="116"/>
        <v>0</v>
      </c>
      <c r="BC36" s="166">
        <f t="shared" si="117"/>
        <v>0</v>
      </c>
      <c r="BD36" s="122">
        <v>0.35416666666666669</v>
      </c>
      <c r="BE36" s="156">
        <f>'Revenue - Year 5'!U36</f>
        <v>0</v>
      </c>
      <c r="BF36" s="156">
        <f>'Revenue - Year 5'!V36</f>
        <v>0</v>
      </c>
      <c r="BG36" s="169">
        <f t="shared" si="118"/>
        <v>0</v>
      </c>
      <c r="BH36" s="169">
        <f t="shared" si="119"/>
        <v>0</v>
      </c>
      <c r="BI36" s="115" t="str">
        <f t="shared" si="115"/>
        <v>OK</v>
      </c>
      <c r="BJ36" s="181" t="s">
        <v>74</v>
      </c>
      <c r="BK36" s="135"/>
      <c r="BL36" s="135"/>
      <c r="BM36" s="138">
        <f>35*BM35</f>
        <v>0</v>
      </c>
    </row>
    <row r="37" spans="1:65" ht="29.4" thickBot="1" x14ac:dyDescent="0.6">
      <c r="A37" s="125" t="s">
        <v>16</v>
      </c>
      <c r="B37" s="122">
        <f>AL33</f>
        <v>0.49305555555555558</v>
      </c>
      <c r="C37" s="149">
        <f>B37+$AL$29</f>
        <v>0.53472222222222221</v>
      </c>
      <c r="D37" s="157">
        <f>D9</f>
        <v>0.53472222222222221</v>
      </c>
      <c r="E37" s="154">
        <f t="shared" si="120"/>
        <v>0</v>
      </c>
      <c r="F37" s="154">
        <f t="shared" si="121"/>
        <v>0</v>
      </c>
      <c r="G37" s="155">
        <f>'Revenue - Year 5'!C37</f>
        <v>0</v>
      </c>
      <c r="H37" s="155">
        <f>'Revenue - Year 5'!D37</f>
        <v>0</v>
      </c>
      <c r="I37" s="166">
        <f t="shared" si="122"/>
        <v>0</v>
      </c>
      <c r="J37" s="166">
        <f t="shared" si="123"/>
        <v>0</v>
      </c>
      <c r="K37" s="122">
        <f>AL34</f>
        <v>0.65277777777777779</v>
      </c>
      <c r="L37" s="149">
        <f>K37+$AL$29</f>
        <v>0.69444444444444442</v>
      </c>
      <c r="M37" s="157">
        <f>M9</f>
        <v>0.65625</v>
      </c>
      <c r="N37" s="154">
        <f t="shared" si="124"/>
        <v>2.9100529100529071E-2</v>
      </c>
      <c r="O37" s="154">
        <f t="shared" si="125"/>
        <v>1.164021164021163E-2</v>
      </c>
      <c r="P37" s="155">
        <f>'Revenue - Year 5'!F37</f>
        <v>0</v>
      </c>
      <c r="Q37" s="155">
        <f>'Revenue - Year 5'!G37</f>
        <v>0</v>
      </c>
      <c r="R37" s="166">
        <f t="shared" si="126"/>
        <v>0</v>
      </c>
      <c r="S37" s="166">
        <f t="shared" si="127"/>
        <v>0</v>
      </c>
      <c r="T37" s="122">
        <f>AL35</f>
        <v>0.59722222222222221</v>
      </c>
      <c r="U37" s="149">
        <f>T37+$AL$29</f>
        <v>0.63888888888888884</v>
      </c>
      <c r="V37" s="157">
        <f>V9</f>
        <v>0.49652777777777773</v>
      </c>
      <c r="W37" s="154">
        <f>(U37/V37-1)*10*$AU$1</f>
        <v>0.14335664335664333</v>
      </c>
      <c r="X37" s="154">
        <f>(U37/V37-1)*10*$BD$1</f>
        <v>5.7342657342657331E-2</v>
      </c>
      <c r="Y37" s="155">
        <f>'Revenue - Year 5'!I37</f>
        <v>0</v>
      </c>
      <c r="Z37" s="155">
        <f>'Revenue - Year 5'!J37</f>
        <v>0</v>
      </c>
      <c r="AA37" s="166">
        <f t="shared" si="128"/>
        <v>0</v>
      </c>
      <c r="AB37" s="166">
        <f t="shared" si="129"/>
        <v>0</v>
      </c>
      <c r="AC37" s="122">
        <f>AL36</f>
        <v>0.75694444444444453</v>
      </c>
      <c r="AD37" s="159">
        <f>AC37+$AL$29</f>
        <v>0.79861111111111116</v>
      </c>
      <c r="AE37" s="158">
        <f>AE9</f>
        <v>0.68055555555555558</v>
      </c>
      <c r="AF37" s="160">
        <f>(AD37/AE37-1)*10*$AU$1</f>
        <v>8.6734693877551061E-2</v>
      </c>
      <c r="AG37" s="154">
        <f>(AD37/AE37-1)*10*$BD$1</f>
        <v>3.4693877551020429E-2</v>
      </c>
      <c r="AH37" s="155">
        <f>'Revenue - Year 5'!L37</f>
        <v>0</v>
      </c>
      <c r="AI37" s="155">
        <f>'Revenue - Year 5'!M37</f>
        <v>0</v>
      </c>
      <c r="AJ37" s="166">
        <f t="shared" ref="AJ37:AJ39" si="130">ROUNDDOWN((1-AF37)*AH37,0)</f>
        <v>0</v>
      </c>
      <c r="AK37" s="166">
        <f t="shared" ref="AK37:AK39" si="131">ROUND((1-AG37)*AI37,0)</f>
        <v>0</v>
      </c>
      <c r="AL37" s="119">
        <v>0</v>
      </c>
      <c r="AM37" s="148"/>
      <c r="AN37" s="148"/>
      <c r="AO37" s="162"/>
      <c r="AP37" s="148"/>
      <c r="AQ37" s="120">
        <v>0</v>
      </c>
      <c r="AR37" s="120">
        <v>0</v>
      </c>
      <c r="AS37" s="120">
        <v>0</v>
      </c>
      <c r="AT37" s="120">
        <v>0</v>
      </c>
      <c r="AU37" s="122">
        <v>0.50694444444444442</v>
      </c>
      <c r="AV37" s="159">
        <f>AU37+$AL$29</f>
        <v>0.54861111111111105</v>
      </c>
      <c r="AW37" s="158">
        <f>AW9</f>
        <v>0.53125</v>
      </c>
      <c r="AX37" s="154">
        <f>(AV37/AW37-1)*10*$AU$1</f>
        <v>1.6339869281045694E-2</v>
      </c>
      <c r="AY37" s="154">
        <f>(AV37/AW37-1)*10*$BD$1</f>
        <v>6.5359477124182774E-3</v>
      </c>
      <c r="AZ37" s="155">
        <f>'Revenue - Year 5'!R37</f>
        <v>0</v>
      </c>
      <c r="BA37" s="155">
        <f>'Revenue - Year 5'!S37</f>
        <v>0</v>
      </c>
      <c r="BB37" s="166">
        <f t="shared" si="116"/>
        <v>0</v>
      </c>
      <c r="BC37" s="166">
        <f t="shared" si="117"/>
        <v>0</v>
      </c>
      <c r="BD37" s="122">
        <v>0.40277777777777773</v>
      </c>
      <c r="BE37" s="156">
        <f>'Revenue - Year 5'!U37</f>
        <v>0</v>
      </c>
      <c r="BF37" s="156">
        <f>'Revenue - Year 5'!V37</f>
        <v>0</v>
      </c>
      <c r="BG37" s="169">
        <f t="shared" si="118"/>
        <v>0</v>
      </c>
      <c r="BH37" s="169">
        <f t="shared" si="119"/>
        <v>0</v>
      </c>
      <c r="BI37" s="115" t="str">
        <f t="shared" si="115"/>
        <v>OK</v>
      </c>
      <c r="BJ37" s="135"/>
      <c r="BK37" s="135" t="s">
        <v>121</v>
      </c>
      <c r="BL37" s="135"/>
      <c r="BM37" s="182" t="e">
        <f>(BM36/'Revenue - Year 5'!AC36)-1</f>
        <v>#DIV/0!</v>
      </c>
    </row>
    <row r="38" spans="1:65" ht="29.4" thickBot="1" x14ac:dyDescent="0.6">
      <c r="A38" s="126" t="s">
        <v>14</v>
      </c>
      <c r="B38" s="122">
        <f>AU33</f>
        <v>0.19444444444444445</v>
      </c>
      <c r="C38" s="149">
        <f>B38+$AL$29</f>
        <v>0.2361111111111111</v>
      </c>
      <c r="D38" s="157">
        <f>D10</f>
        <v>0.2361111111111111</v>
      </c>
      <c r="E38" s="154">
        <f t="shared" si="120"/>
        <v>0</v>
      </c>
      <c r="F38" s="154">
        <f t="shared" si="121"/>
        <v>0</v>
      </c>
      <c r="G38" s="155">
        <f>'Revenue - Year 5'!C38</f>
        <v>0</v>
      </c>
      <c r="H38" s="155">
        <f>'Revenue - Year 5'!D38</f>
        <v>0</v>
      </c>
      <c r="I38" s="166">
        <f t="shared" si="122"/>
        <v>0</v>
      </c>
      <c r="J38" s="166">
        <f t="shared" si="123"/>
        <v>0</v>
      </c>
      <c r="K38" s="122">
        <f>AU34</f>
        <v>0.35416666666666669</v>
      </c>
      <c r="L38" s="149">
        <f>K38+$AL$29</f>
        <v>0.39583333333333337</v>
      </c>
      <c r="M38" s="157">
        <f>M10</f>
        <v>0.39583333333333337</v>
      </c>
      <c r="N38" s="154">
        <f t="shared" si="124"/>
        <v>0</v>
      </c>
      <c r="O38" s="154">
        <f t="shared" si="125"/>
        <v>0</v>
      </c>
      <c r="P38" s="155">
        <f>'Revenue - Year 5'!F38</f>
        <v>0</v>
      </c>
      <c r="Q38" s="155">
        <f>'Revenue - Year 5'!G38</f>
        <v>0</v>
      </c>
      <c r="R38" s="166">
        <f t="shared" si="126"/>
        <v>0</v>
      </c>
      <c r="S38" s="166">
        <f t="shared" si="127"/>
        <v>0</v>
      </c>
      <c r="T38" s="122">
        <f>AU35</f>
        <v>0.2986111111111111</v>
      </c>
      <c r="U38" s="149">
        <f>T38+$AL$29</f>
        <v>0.34027777777777779</v>
      </c>
      <c r="V38" s="157">
        <f>V10</f>
        <v>0.27777777777777779</v>
      </c>
      <c r="W38" s="154">
        <f>(U38/V38-1)*10*$AU$1</f>
        <v>0.11250000000000004</v>
      </c>
      <c r="X38" s="154">
        <f>(U38/V38-1)*10*$BD$1</f>
        <v>4.5000000000000019E-2</v>
      </c>
      <c r="Y38" s="155">
        <f>'Revenue - Year 5'!I38</f>
        <v>0</v>
      </c>
      <c r="Z38" s="155">
        <f>'Revenue - Year 5'!J38</f>
        <v>0</v>
      </c>
      <c r="AA38" s="166">
        <f t="shared" si="128"/>
        <v>0</v>
      </c>
      <c r="AB38" s="166">
        <f t="shared" si="129"/>
        <v>0</v>
      </c>
      <c r="AC38" s="122">
        <f>AU36</f>
        <v>0.45833333333333331</v>
      </c>
      <c r="AD38" s="159">
        <f>AC38+$AL$29</f>
        <v>0.5</v>
      </c>
      <c r="AE38" s="158">
        <f>AE10</f>
        <v>0.5</v>
      </c>
      <c r="AF38" s="160">
        <f>(AD38/AE38-1)*10*$AU$1</f>
        <v>0</v>
      </c>
      <c r="AG38" s="154">
        <f>(AD38/AE38-1)*10*$BD$1</f>
        <v>0</v>
      </c>
      <c r="AH38" s="155">
        <f>'Revenue - Year 5'!L38</f>
        <v>0</v>
      </c>
      <c r="AI38" s="155">
        <f>'Revenue - Year 5'!M38</f>
        <v>0</v>
      </c>
      <c r="AJ38" s="166">
        <f t="shared" si="130"/>
        <v>0</v>
      </c>
      <c r="AK38" s="166">
        <f t="shared" si="131"/>
        <v>0</v>
      </c>
      <c r="AL38" s="122">
        <f>AU37</f>
        <v>0.50694444444444442</v>
      </c>
      <c r="AM38" s="159">
        <f>AL38+$AL$29</f>
        <v>0.54861111111111105</v>
      </c>
      <c r="AN38" s="158">
        <f>AN10</f>
        <v>0.53125</v>
      </c>
      <c r="AO38" s="160">
        <f>(AM38/AN38-1)*10*$AU$1</f>
        <v>1.6339869281045694E-2</v>
      </c>
      <c r="AP38" s="154">
        <f>(AM38/AN38-1)*10*$BD$1</f>
        <v>6.5359477124182774E-3</v>
      </c>
      <c r="AQ38" s="155">
        <f>'Revenue - Year 5'!O38</f>
        <v>0</v>
      </c>
      <c r="AR38" s="155">
        <f>'Revenue - Year 5'!P38</f>
        <v>0</v>
      </c>
      <c r="AS38" s="166">
        <f>ROUNDDOWN((1-AO38)*AQ38,0)</f>
        <v>0</v>
      </c>
      <c r="AT38" s="166">
        <f>ROUND((1-AP38)*AR38,0)</f>
        <v>0</v>
      </c>
      <c r="AU38" s="119">
        <v>0</v>
      </c>
      <c r="AV38" s="148"/>
      <c r="AW38" s="148"/>
      <c r="AX38" s="162"/>
      <c r="AY38" s="148"/>
      <c r="AZ38" s="120">
        <v>0</v>
      </c>
      <c r="BA38" s="120">
        <v>0</v>
      </c>
      <c r="BB38" s="120">
        <v>0</v>
      </c>
      <c r="BC38" s="120">
        <v>0</v>
      </c>
      <c r="BD38" s="122">
        <v>0.10416666666666667</v>
      </c>
      <c r="BE38" s="156">
        <f>'Revenue - Year 5'!U38</f>
        <v>0</v>
      </c>
      <c r="BF38" s="156">
        <f>'Revenue - Year 5'!V38</f>
        <v>0</v>
      </c>
      <c r="BG38" s="169">
        <f t="shared" si="118"/>
        <v>0</v>
      </c>
      <c r="BH38" s="169">
        <f t="shared" si="119"/>
        <v>0</v>
      </c>
      <c r="BI38" s="115" t="str">
        <f t="shared" si="115"/>
        <v>OK</v>
      </c>
      <c r="BJ38" s="135" t="s">
        <v>59</v>
      </c>
      <c r="BK38" s="135"/>
      <c r="BL38" s="135"/>
      <c r="BM38" s="136">
        <f>BM40-BM39</f>
        <v>0</v>
      </c>
    </row>
    <row r="39" spans="1:65" ht="29.25" customHeight="1" thickBot="1" x14ac:dyDescent="0.6">
      <c r="A39" s="143" t="s">
        <v>19</v>
      </c>
      <c r="B39" s="122">
        <f>BD33</f>
        <v>9.0277777777777776E-2</v>
      </c>
      <c r="C39" s="149"/>
      <c r="D39" s="149"/>
      <c r="E39" s="149"/>
      <c r="F39" s="149"/>
      <c r="G39" s="155">
        <f>'Revenue - Year 5'!C39</f>
        <v>0</v>
      </c>
      <c r="H39" s="155">
        <f>'Revenue - Year 5'!D39</f>
        <v>0</v>
      </c>
      <c r="I39" s="166">
        <f t="shared" si="122"/>
        <v>0</v>
      </c>
      <c r="J39" s="166">
        <f t="shared" si="123"/>
        <v>0</v>
      </c>
      <c r="K39" s="122">
        <v>0.19444444444444445</v>
      </c>
      <c r="L39" s="149"/>
      <c r="M39" s="149"/>
      <c r="N39" s="149"/>
      <c r="O39" s="149"/>
      <c r="P39" s="155">
        <f>'Revenue - Year 5'!F39</f>
        <v>0</v>
      </c>
      <c r="Q39" s="155">
        <f>'Revenue - Year 5'!G39</f>
        <v>0</v>
      </c>
      <c r="R39" s="166">
        <f t="shared" si="126"/>
        <v>0</v>
      </c>
      <c r="S39" s="166">
        <f t="shared" si="127"/>
        <v>0</v>
      </c>
      <c r="T39" s="122">
        <v>0.125</v>
      </c>
      <c r="U39" s="149"/>
      <c r="V39" s="149"/>
      <c r="W39" s="149"/>
      <c r="X39" s="149"/>
      <c r="Y39" s="155">
        <f>'Revenue - Year 5'!I39</f>
        <v>0</v>
      </c>
      <c r="Z39" s="155">
        <f>'Revenue - Year 5'!J39</f>
        <v>0</v>
      </c>
      <c r="AA39" s="166">
        <f t="shared" si="128"/>
        <v>0</v>
      </c>
      <c r="AB39" s="166">
        <f t="shared" si="129"/>
        <v>0</v>
      </c>
      <c r="AC39" s="122">
        <v>0.35416666666666669</v>
      </c>
      <c r="AD39" s="149"/>
      <c r="AE39" s="149"/>
      <c r="AF39" s="149"/>
      <c r="AG39" s="149"/>
      <c r="AH39" s="155">
        <f>'Revenue - Year 5'!L39</f>
        <v>0</v>
      </c>
      <c r="AI39" s="155">
        <f>'Revenue - Year 5'!M39</f>
        <v>0</v>
      </c>
      <c r="AJ39" s="166">
        <f t="shared" si="130"/>
        <v>0</v>
      </c>
      <c r="AK39" s="166">
        <f t="shared" si="131"/>
        <v>0</v>
      </c>
      <c r="AL39" s="122">
        <v>0.40277777777777773</v>
      </c>
      <c r="AM39" s="149"/>
      <c r="AN39" s="149"/>
      <c r="AO39" s="149"/>
      <c r="AP39" s="149"/>
      <c r="AQ39" s="155">
        <f>'Revenue - Year 5'!O39</f>
        <v>0</v>
      </c>
      <c r="AR39" s="155">
        <f>'Revenue - Year 5'!P39</f>
        <v>0</v>
      </c>
      <c r="AS39" s="166">
        <f>ROUNDDOWN((1-AO39)*AQ39,0)</f>
        <v>0</v>
      </c>
      <c r="AT39" s="166">
        <f>ROUND((1-AP39)*AR39,0)</f>
        <v>0</v>
      </c>
      <c r="AU39" s="122">
        <f>BD38</f>
        <v>0.10416666666666667</v>
      </c>
      <c r="AV39" s="149"/>
      <c r="AW39" s="149"/>
      <c r="AX39" s="149"/>
      <c r="AY39" s="149"/>
      <c r="AZ39" s="155">
        <f>'Revenue - Year 5'!R39</f>
        <v>0</v>
      </c>
      <c r="BA39" s="155">
        <f>'Revenue - Year 5'!S39</f>
        <v>0</v>
      </c>
      <c r="BB39" s="166">
        <f t="shared" ref="BB39" si="132">ROUNDDOWN((1-AX39)*AZ39,0)</f>
        <v>0</v>
      </c>
      <c r="BC39" s="166">
        <f t="shared" ref="BC39" si="133">ROUND((1-AY39)*BA39,0)</f>
        <v>0</v>
      </c>
      <c r="BD39" s="119">
        <v>0</v>
      </c>
      <c r="BE39" s="120">
        <v>0</v>
      </c>
      <c r="BF39" s="120">
        <v>0</v>
      </c>
      <c r="BG39" s="169">
        <f t="shared" si="118"/>
        <v>0</v>
      </c>
      <c r="BH39" s="169">
        <f t="shared" si="119"/>
        <v>0</v>
      </c>
      <c r="BI39" s="115" t="str">
        <f t="shared" si="115"/>
        <v>OK</v>
      </c>
      <c r="BJ39" s="135" t="s">
        <v>60</v>
      </c>
      <c r="BK39" s="135"/>
      <c r="BL39" s="135"/>
      <c r="BM39" s="136">
        <f>SUM(I39:J39,R39:S39,AA39:AB39,AJ39:AK39,AS39:AT39,BB39:BC39)+SUM(BE33:BF38)</f>
        <v>0</v>
      </c>
    </row>
    <row r="40" spans="1:65" ht="29.4" thickBot="1" x14ac:dyDescent="0.6">
      <c r="A40" s="128" t="s">
        <v>40</v>
      </c>
      <c r="B40" s="122"/>
      <c r="C40" s="122"/>
      <c r="D40" s="122"/>
      <c r="E40" s="122"/>
      <c r="F40" s="122"/>
      <c r="G40" s="165"/>
      <c r="H40" s="165"/>
      <c r="I40" s="129">
        <f>SUM(I33:I39)</f>
        <v>0</v>
      </c>
      <c r="J40" s="129">
        <f>SUM(J33:J39)</f>
        <v>0</v>
      </c>
      <c r="K40" s="122"/>
      <c r="L40" s="122"/>
      <c r="M40" s="122"/>
      <c r="N40" s="122"/>
      <c r="O40" s="122"/>
      <c r="P40" s="165"/>
      <c r="Q40" s="165"/>
      <c r="R40" s="129">
        <f>SUM(R33:R39)</f>
        <v>0</v>
      </c>
      <c r="S40" s="129">
        <f>SUM(S33:S39)</f>
        <v>0</v>
      </c>
      <c r="T40" s="122"/>
      <c r="U40" s="122"/>
      <c r="V40" s="122"/>
      <c r="W40" s="122"/>
      <c r="X40" s="122"/>
      <c r="Y40" s="165"/>
      <c r="Z40" s="165"/>
      <c r="AA40" s="129">
        <f>SUM(AA33:AA39)</f>
        <v>0</v>
      </c>
      <c r="AB40" s="129">
        <f>SUM(AB33:AB39)</f>
        <v>0</v>
      </c>
      <c r="AC40" s="122"/>
      <c r="AD40" s="122"/>
      <c r="AE40" s="122"/>
      <c r="AF40" s="122"/>
      <c r="AG40" s="122"/>
      <c r="AH40" s="165"/>
      <c r="AI40" s="165"/>
      <c r="AJ40" s="129">
        <f>SUM(AJ33:AJ39)</f>
        <v>0</v>
      </c>
      <c r="AK40" s="129">
        <f>SUM(AK33:AK39)</f>
        <v>0</v>
      </c>
      <c r="AL40" s="122"/>
      <c r="AM40" s="122"/>
      <c r="AN40" s="122"/>
      <c r="AO40" s="122"/>
      <c r="AP40" s="122"/>
      <c r="AQ40" s="165"/>
      <c r="AR40" s="165"/>
      <c r="AS40" s="129">
        <f>SUM(AS33:AS39)</f>
        <v>0</v>
      </c>
      <c r="AT40" s="129">
        <f>SUM(AT33:AT39)</f>
        <v>0</v>
      </c>
      <c r="AU40" s="122"/>
      <c r="AV40" s="122"/>
      <c r="AW40" s="122"/>
      <c r="AX40" s="122"/>
      <c r="AY40" s="122"/>
      <c r="AZ40" s="165"/>
      <c r="BA40" s="165"/>
      <c r="BB40" s="129">
        <f>SUM(BB33:BB39)</f>
        <v>0</v>
      </c>
      <c r="BC40" s="129">
        <f>SUM(BC33:BC39)</f>
        <v>0</v>
      </c>
      <c r="BD40" s="122"/>
      <c r="BE40" s="129">
        <f>SUM(BE33:BE39)</f>
        <v>0</v>
      </c>
      <c r="BF40" s="129">
        <f>SUM(BF33:BF39)</f>
        <v>0</v>
      </c>
      <c r="BG40" s="169">
        <f t="shared" si="118"/>
        <v>0</v>
      </c>
      <c r="BH40" s="169">
        <f t="shared" si="119"/>
        <v>0</v>
      </c>
      <c r="BI40" s="115" t="str">
        <f t="shared" si="115"/>
        <v>OK</v>
      </c>
      <c r="BJ40" s="181" t="s">
        <v>61</v>
      </c>
      <c r="BK40" s="135"/>
      <c r="BL40" s="135"/>
      <c r="BM40" s="136">
        <f>SUM(B40:BF40)</f>
        <v>0</v>
      </c>
    </row>
    <row r="41" spans="1:65" ht="28.8" x14ac:dyDescent="0.55000000000000004">
      <c r="A41" s="115"/>
      <c r="B41" s="115"/>
      <c r="C41" s="115" t="str">
        <f>+IF(C32="Y",IF(C40&gt;270,"PB","OK"),IF(C40&gt;70,"PB","OK"))</f>
        <v>OK</v>
      </c>
      <c r="D41" s="115" t="str">
        <f t="shared" ref="D41" si="134">+IF(D32="Y",IF(D40&gt;270,"PB","ok"),IF(D40&gt;70,"PB","OK"))</f>
        <v>OK</v>
      </c>
      <c r="E41" s="115"/>
      <c r="F41" s="115" t="str">
        <f t="shared" ref="F41" si="135">+IF(F32="Y",IF(F40&gt;270,"PB","ok"),IF(F40&gt;70,"PB","OK"))</f>
        <v>OK</v>
      </c>
      <c r="I41" s="115" t="str">
        <f>+IF(I32="Traffic Y",IF(I40&gt;270,"PB","OK"),IF(I40&gt;70,"PB","OK"))</f>
        <v>OK</v>
      </c>
      <c r="J41" s="115" t="str">
        <f>+IF(H32="Y",IF(H40&gt;270,"PB","ok"),IF(H40&gt;70,"PB","OK"))</f>
        <v>OK</v>
      </c>
      <c r="K41" s="115"/>
      <c r="L41" s="115" t="str">
        <f t="shared" ref="L41" si="136">+IF(L32="Y",IF(L40&gt;270,"PB","ok"),IF(L40&gt;70,"PB","OK"))</f>
        <v>OK</v>
      </c>
      <c r="M41" s="115" t="str">
        <f t="shared" ref="M41" si="137">+IF(M32="Y",IF(M40&gt;270,"PB","ok"),IF(M40&gt;70,"PB","OK"))</f>
        <v>OK</v>
      </c>
      <c r="N41" s="115"/>
      <c r="O41" s="115" t="str">
        <f t="shared" ref="O41" si="138">+IF(O32="Y",IF(O40&gt;270,"PB","ok"),IF(O40&gt;70,"PB","OK"))</f>
        <v>OK</v>
      </c>
      <c r="R41" s="115" t="str">
        <f>+IF(R32="Traffic Y",IF(R40&gt;270,"PB","OK"),IF(R40&gt;70,"PB","OK"))</f>
        <v>OK</v>
      </c>
      <c r="S41" s="115" t="str">
        <f>+IF(Q32="Y",IF(Q40&gt;270,"PB","ok"),IF(Q40&gt;70,"PB","OK"))</f>
        <v>OK</v>
      </c>
      <c r="T41" s="115"/>
      <c r="U41" s="115" t="str">
        <f>+IF(U32="Y",IF(U40&gt;270,"PB","OK"),IF(U40&gt;70,"PB","OK"))</f>
        <v>OK</v>
      </c>
      <c r="V41" s="115" t="str">
        <f>+IF(V32="Y",IF(V40&gt;270,"PB","OK"),IF(V40&gt;70,"PB","OK"))</f>
        <v>OK</v>
      </c>
      <c r="W41" s="139"/>
      <c r="X41" s="139"/>
      <c r="AA41" s="115" t="str">
        <f>+IF(AA32="Traffic Y",IF(AA40&gt;270,"PB","OK"),IF(AA40&gt;70,"PB","OK"))</f>
        <v>OK</v>
      </c>
      <c r="AB41" s="115" t="str">
        <f>+IF(Z32="Y",IF(Z40&gt;270,"PB","ok"),IF(Z40&gt;70,"PB","OK"))</f>
        <v>OK</v>
      </c>
      <c r="AC41" s="134"/>
      <c r="AD41" s="134"/>
      <c r="AE41" s="134"/>
      <c r="AF41" s="134"/>
      <c r="AG41" s="134"/>
      <c r="AJ41" s="115" t="str">
        <f>+IF(AJ32="Traffic Y",IF(AJ40&gt;270,"PB","OK"),IF(AJ40&gt;70,"PB","OK"))</f>
        <v>OK</v>
      </c>
      <c r="AK41" s="115" t="str">
        <f>+IF(AI32="Y",IF(AI40&gt;270,"PB","ok"),IF(AI40&gt;70,"PB","OK"))</f>
        <v>OK</v>
      </c>
      <c r="AL41" s="134"/>
      <c r="AM41" s="134"/>
      <c r="AN41" s="134"/>
      <c r="AO41" s="134"/>
      <c r="AP41" s="134"/>
      <c r="AS41" s="115" t="str">
        <f>+IF(AS32="Traffic Y",IF(AS40&gt;270,"PB","OK"),IF(AS40&gt;70,"PB","OK"))</f>
        <v>OK</v>
      </c>
      <c r="AT41" s="115" t="str">
        <f>+IF(AR32="Y",IF(AR40&gt;270,"PB","ok"),IF(AR40&gt;70,"PB","OK"))</f>
        <v>OK</v>
      </c>
      <c r="AU41" s="134"/>
      <c r="AV41" s="134"/>
      <c r="AW41" s="134"/>
      <c r="AX41" s="134"/>
      <c r="AY41" s="134"/>
      <c r="BB41" s="115" t="str">
        <f>+IF(BB32="Traffic Y",IF(BB40&gt;270,"PB","OK"),IF(BB40&gt;70,"PB","OK"))</f>
        <v>OK</v>
      </c>
      <c r="BC41" s="115" t="str">
        <f>+IF(BA32="Y",IF(BA40&gt;270,"PB","ok"),IF(BA40&gt;70,"PB","OK"))</f>
        <v>OK</v>
      </c>
      <c r="BD41" s="134"/>
      <c r="BE41" s="115" t="str">
        <f>+IF(BE32="Traffic Y",IF(BE40&gt;270,"PB","ok"),IF(BE40&gt;70,"PB","OK"))</f>
        <v>OK</v>
      </c>
      <c r="BF41" s="115" t="str">
        <f>+IF(BF32="Traffic Y",IF(BF40&gt;270,"PB","ok"),IF(BF40&gt;70,"PB","OK"))</f>
        <v>OK</v>
      </c>
      <c r="BG41" s="134"/>
      <c r="BH41" s="134"/>
      <c r="BI41" s="139"/>
      <c r="BJ41" s="181" t="s">
        <v>120</v>
      </c>
      <c r="BK41" s="135"/>
      <c r="BL41" s="135"/>
      <c r="BM41" s="180">
        <f>(2*BM38+BM39)/2040</f>
        <v>0</v>
      </c>
    </row>
    <row r="42" spans="1:65" x14ac:dyDescent="0.3">
      <c r="A42" s="115"/>
      <c r="B42" s="144"/>
      <c r="C42" s="144"/>
      <c r="D42" s="144"/>
      <c r="E42" s="144"/>
      <c r="F42" s="144"/>
      <c r="G42" s="134"/>
      <c r="H42" s="134"/>
      <c r="I42" s="134"/>
      <c r="J42" s="134"/>
      <c r="K42" s="144"/>
      <c r="L42" s="144"/>
      <c r="M42" s="144"/>
      <c r="N42" s="144"/>
      <c r="O42" s="144"/>
      <c r="P42" s="134"/>
      <c r="Q42" s="134"/>
      <c r="R42" s="134"/>
      <c r="S42" s="134"/>
      <c r="T42" s="144"/>
      <c r="U42" s="144"/>
      <c r="V42" s="144"/>
      <c r="W42" s="144"/>
      <c r="X42" s="144"/>
      <c r="Y42" s="134"/>
      <c r="Z42" s="134"/>
      <c r="AA42" s="134"/>
      <c r="AB42" s="134"/>
      <c r="AC42" s="144"/>
      <c r="AD42" s="144"/>
      <c r="AE42" s="144"/>
      <c r="AF42" s="144"/>
      <c r="AG42" s="144"/>
      <c r="AH42" s="134"/>
      <c r="AI42" s="134"/>
      <c r="AJ42" s="134"/>
      <c r="AK42" s="134"/>
      <c r="AL42" s="144"/>
      <c r="AM42" s="144"/>
      <c r="AN42" s="144"/>
      <c r="AO42" s="144"/>
      <c r="AP42" s="144"/>
      <c r="AQ42" s="134"/>
      <c r="AR42" s="134"/>
      <c r="AS42" s="134"/>
      <c r="AT42" s="134"/>
      <c r="AU42" s="144"/>
      <c r="AV42" s="144"/>
      <c r="AW42" s="144"/>
      <c r="AX42" s="144"/>
      <c r="AY42" s="144"/>
      <c r="AZ42" s="134"/>
      <c r="BA42" s="134"/>
      <c r="BB42" s="134"/>
      <c r="BC42" s="134"/>
      <c r="BD42" s="144"/>
      <c r="BE42" s="134"/>
      <c r="BF42" s="134"/>
      <c r="BG42" s="141"/>
      <c r="BH42" s="141"/>
      <c r="BI42" s="141"/>
      <c r="BJ42" s="134"/>
      <c r="BK42" s="134"/>
      <c r="BL42" s="134"/>
      <c r="BM42" s="134"/>
    </row>
    <row r="43" spans="1:65" ht="28.8" x14ac:dyDescent="0.3">
      <c r="BI43" s="145"/>
    </row>
    <row r="44" spans="1:65" ht="14.4" x14ac:dyDescent="0.3">
      <c r="A44" s="101"/>
      <c r="B44" s="101"/>
      <c r="C44" s="101"/>
      <c r="D44" s="101"/>
      <c r="E44" s="101"/>
      <c r="F44" s="101"/>
      <c r="K44" s="101"/>
      <c r="L44" s="101"/>
      <c r="M44" s="101"/>
      <c r="N44" s="101"/>
      <c r="O44" s="101"/>
      <c r="T44" s="101"/>
      <c r="U44" s="101"/>
      <c r="V44" s="101"/>
      <c r="W44" s="101"/>
      <c r="X44" s="101"/>
      <c r="AC44" s="101"/>
      <c r="AD44" s="101"/>
      <c r="AE44" s="101"/>
      <c r="AF44" s="101"/>
      <c r="AG44" s="101"/>
      <c r="AL44" s="101"/>
      <c r="AM44" s="101"/>
      <c r="AN44" s="101"/>
      <c r="AO44" s="101"/>
      <c r="AP44" s="101"/>
      <c r="AU44" s="101"/>
      <c r="AV44" s="101"/>
      <c r="AW44" s="101"/>
      <c r="AX44" s="101"/>
      <c r="AY44" s="101"/>
      <c r="BD44" s="101"/>
      <c r="BG44" s="101"/>
      <c r="BH44" s="101"/>
      <c r="BI44" s="101"/>
    </row>
    <row r="45" spans="1:65" ht="14.4" x14ac:dyDescent="0.3">
      <c r="A45" s="101"/>
      <c r="B45" s="101"/>
      <c r="C45" s="101"/>
      <c r="D45" s="101"/>
      <c r="E45" s="101"/>
      <c r="F45" s="101"/>
      <c r="K45" s="101"/>
      <c r="L45" s="101"/>
      <c r="M45" s="101"/>
      <c r="N45" s="101"/>
      <c r="O45" s="101"/>
      <c r="T45" s="101"/>
      <c r="U45" s="101"/>
      <c r="V45" s="101"/>
      <c r="W45" s="101"/>
      <c r="X45" s="101"/>
      <c r="AC45" s="101"/>
      <c r="AD45" s="101"/>
      <c r="AE45" s="101"/>
      <c r="AF45" s="101"/>
      <c r="AG45" s="101"/>
      <c r="AL45" s="101"/>
      <c r="AM45" s="101"/>
      <c r="AN45" s="101"/>
      <c r="AO45" s="101"/>
      <c r="AP45" s="101"/>
      <c r="AU45" s="101"/>
      <c r="AV45" s="101"/>
      <c r="AW45" s="101"/>
      <c r="AX45" s="101"/>
      <c r="AY45" s="101"/>
      <c r="BD45" s="101"/>
      <c r="BG45" s="101"/>
      <c r="BH45" s="101"/>
      <c r="BI45" s="101"/>
    </row>
    <row r="46" spans="1:65" ht="14.4" x14ac:dyDescent="0.3">
      <c r="A46" s="101"/>
      <c r="B46" s="101"/>
      <c r="C46" s="101"/>
      <c r="D46" s="101"/>
      <c r="E46" s="101"/>
      <c r="F46" s="101"/>
      <c r="K46" s="101"/>
      <c r="L46" s="101"/>
      <c r="M46" s="101"/>
      <c r="N46" s="101"/>
      <c r="O46" s="101"/>
      <c r="T46" s="101"/>
      <c r="U46" s="101"/>
      <c r="V46" s="101"/>
      <c r="W46" s="101"/>
      <c r="X46" s="101"/>
      <c r="AC46" s="101"/>
      <c r="AD46" s="101"/>
      <c r="AE46" s="101"/>
      <c r="AF46" s="101"/>
      <c r="AG46" s="101"/>
      <c r="AL46" s="101"/>
      <c r="AM46" s="101"/>
      <c r="AN46" s="101"/>
      <c r="AO46" s="101"/>
      <c r="AP46" s="101"/>
      <c r="AU46" s="101"/>
      <c r="AV46" s="101"/>
      <c r="AW46" s="101"/>
      <c r="AX46" s="101"/>
      <c r="AY46" s="101"/>
      <c r="BD46" s="101"/>
      <c r="BG46" s="101"/>
      <c r="BH46" s="101"/>
      <c r="BI46" s="101"/>
    </row>
    <row r="47" spans="1:65" ht="14.4" x14ac:dyDescent="0.3">
      <c r="A47" s="101"/>
      <c r="B47" s="101"/>
      <c r="C47" s="101"/>
      <c r="D47" s="101"/>
      <c r="E47" s="101"/>
      <c r="F47" s="101"/>
      <c r="K47" s="101"/>
      <c r="L47" s="101"/>
      <c r="M47" s="101"/>
      <c r="N47" s="101"/>
      <c r="O47" s="101"/>
      <c r="T47" s="101"/>
      <c r="U47" s="101"/>
      <c r="V47" s="101"/>
      <c r="W47" s="101"/>
      <c r="X47" s="101"/>
      <c r="AC47" s="101"/>
      <c r="AD47" s="101"/>
      <c r="AE47" s="101"/>
      <c r="AF47" s="101"/>
      <c r="AG47" s="101"/>
      <c r="AL47" s="101"/>
      <c r="AM47" s="101"/>
      <c r="AN47" s="101"/>
      <c r="AO47" s="101"/>
      <c r="AP47" s="101"/>
      <c r="AU47" s="101"/>
      <c r="AV47" s="101"/>
      <c r="AW47" s="101"/>
      <c r="AX47" s="101"/>
      <c r="AY47" s="101"/>
      <c r="BD47" s="101"/>
      <c r="BG47" s="101"/>
      <c r="BH47" s="101"/>
      <c r="BI47" s="101"/>
    </row>
    <row r="48" spans="1:65" ht="14.4" x14ac:dyDescent="0.3">
      <c r="A48" s="101"/>
      <c r="B48" s="101"/>
      <c r="C48" s="101"/>
      <c r="D48" s="101"/>
      <c r="E48" s="101"/>
      <c r="F48" s="101"/>
      <c r="K48" s="101"/>
      <c r="L48" s="101"/>
      <c r="M48" s="101"/>
      <c r="N48" s="101"/>
      <c r="O48" s="101"/>
      <c r="T48" s="101"/>
      <c r="U48" s="101"/>
      <c r="V48" s="101"/>
      <c r="W48" s="101"/>
      <c r="X48" s="101"/>
      <c r="AC48" s="101"/>
      <c r="AD48" s="101"/>
      <c r="AE48" s="101"/>
      <c r="AF48" s="101"/>
      <c r="AG48" s="101"/>
      <c r="AL48" s="101"/>
      <c r="AM48" s="101"/>
      <c r="AN48" s="101"/>
      <c r="AO48" s="101"/>
      <c r="AP48" s="101"/>
      <c r="AU48" s="101"/>
      <c r="AV48" s="101"/>
      <c r="AW48" s="101"/>
      <c r="AX48" s="101"/>
      <c r="AY48" s="101"/>
      <c r="BD48" s="101"/>
      <c r="BG48" s="101"/>
      <c r="BH48" s="101"/>
      <c r="BI48" s="101"/>
    </row>
    <row r="49" spans="1:61" ht="14.4" x14ac:dyDescent="0.3">
      <c r="A49" s="101"/>
      <c r="B49" s="101"/>
      <c r="C49" s="101"/>
      <c r="D49" s="101"/>
      <c r="E49" s="101"/>
      <c r="F49" s="101"/>
      <c r="K49" s="101"/>
      <c r="L49" s="101"/>
      <c r="M49" s="101"/>
      <c r="N49" s="101"/>
      <c r="O49" s="101"/>
      <c r="T49" s="101"/>
      <c r="U49" s="101"/>
      <c r="V49" s="101"/>
      <c r="W49" s="101"/>
      <c r="X49" s="101"/>
      <c r="AC49" s="101"/>
      <c r="AD49" s="101"/>
      <c r="AE49" s="101"/>
      <c r="AF49" s="101"/>
      <c r="AG49" s="101"/>
      <c r="AL49" s="101"/>
      <c r="AM49" s="101"/>
      <c r="AN49" s="101"/>
      <c r="AO49" s="101"/>
      <c r="AP49" s="101"/>
      <c r="AU49" s="101"/>
      <c r="AV49" s="101"/>
      <c r="AW49" s="101"/>
      <c r="AX49" s="101"/>
      <c r="AY49" s="101"/>
      <c r="BD49" s="101"/>
      <c r="BG49" s="101"/>
      <c r="BH49" s="101"/>
      <c r="BI49" s="101"/>
    </row>
    <row r="50" spans="1:61" ht="14.4" x14ac:dyDescent="0.3">
      <c r="A50" s="101"/>
      <c r="B50" s="101"/>
      <c r="C50" s="101"/>
      <c r="D50" s="101"/>
      <c r="E50" s="101"/>
      <c r="F50" s="101"/>
      <c r="K50" s="101"/>
      <c r="L50" s="101"/>
      <c r="M50" s="101"/>
      <c r="N50" s="101"/>
      <c r="O50" s="101"/>
      <c r="T50" s="101"/>
      <c r="U50" s="101"/>
      <c r="V50" s="101"/>
      <c r="W50" s="101"/>
      <c r="X50" s="101"/>
      <c r="AC50" s="101"/>
      <c r="AD50" s="101"/>
      <c r="AE50" s="101"/>
      <c r="AF50" s="101"/>
      <c r="AG50" s="101"/>
      <c r="AL50" s="101"/>
      <c r="AM50" s="101"/>
      <c r="AN50" s="101"/>
      <c r="AO50" s="101"/>
      <c r="AP50" s="101"/>
      <c r="AU50" s="101"/>
      <c r="AV50" s="101"/>
      <c r="AW50" s="101"/>
      <c r="AX50" s="101"/>
      <c r="AY50" s="101"/>
      <c r="BD50" s="101"/>
      <c r="BG50" s="101"/>
      <c r="BH50" s="101"/>
      <c r="BI50" s="101"/>
    </row>
    <row r="51" spans="1:61" ht="14.4" x14ac:dyDescent="0.3">
      <c r="A51" s="101"/>
      <c r="B51" s="101"/>
      <c r="C51" s="101"/>
      <c r="D51" s="101"/>
      <c r="E51" s="101"/>
      <c r="F51" s="101"/>
      <c r="K51" s="101"/>
      <c r="L51" s="101"/>
      <c r="M51" s="101"/>
      <c r="N51" s="101"/>
      <c r="O51" s="101"/>
      <c r="T51" s="101"/>
      <c r="U51" s="101"/>
      <c r="V51" s="101"/>
      <c r="W51" s="101"/>
      <c r="X51" s="101"/>
      <c r="AC51" s="101"/>
      <c r="AD51" s="101"/>
      <c r="AE51" s="101"/>
      <c r="AF51" s="101"/>
      <c r="AG51" s="101"/>
      <c r="AL51" s="101"/>
      <c r="AM51" s="101"/>
      <c r="AN51" s="101"/>
      <c r="AO51" s="101"/>
      <c r="AP51" s="101"/>
      <c r="AU51" s="101"/>
      <c r="AV51" s="101"/>
      <c r="AW51" s="101"/>
      <c r="AX51" s="101"/>
      <c r="AY51" s="101"/>
      <c r="BD51" s="101"/>
      <c r="BG51" s="101"/>
      <c r="BH51" s="101"/>
      <c r="BI51" s="101"/>
    </row>
    <row r="52" spans="1:61" ht="14.4" x14ac:dyDescent="0.3">
      <c r="A52" s="101"/>
      <c r="B52" s="101"/>
      <c r="C52" s="101"/>
      <c r="D52" s="101"/>
      <c r="E52" s="101"/>
      <c r="F52" s="101"/>
      <c r="K52" s="101"/>
      <c r="L52" s="101"/>
      <c r="M52" s="101"/>
      <c r="N52" s="101"/>
      <c r="O52" s="101"/>
      <c r="T52" s="101"/>
      <c r="U52" s="101"/>
      <c r="V52" s="101"/>
      <c r="W52" s="101"/>
      <c r="X52" s="101"/>
      <c r="AC52" s="101"/>
      <c r="AD52" s="101"/>
      <c r="AE52" s="101"/>
      <c r="AF52" s="101"/>
      <c r="AG52" s="101"/>
      <c r="AL52" s="101"/>
      <c r="AM52" s="101"/>
      <c r="AN52" s="101"/>
      <c r="AO52" s="101"/>
      <c r="AP52" s="101"/>
      <c r="AU52" s="101"/>
      <c r="AV52" s="101"/>
      <c r="AW52" s="101"/>
      <c r="AX52" s="101"/>
      <c r="AY52" s="101"/>
      <c r="BD52" s="101"/>
      <c r="BG52" s="101"/>
      <c r="BH52" s="101"/>
      <c r="BI52" s="101"/>
    </row>
    <row r="53" spans="1:61" ht="14.4" x14ac:dyDescent="0.3">
      <c r="A53" s="101"/>
      <c r="B53" s="101"/>
      <c r="C53" s="101"/>
      <c r="D53" s="101"/>
      <c r="E53" s="101"/>
      <c r="F53" s="101"/>
      <c r="K53" s="101"/>
      <c r="L53" s="101"/>
      <c r="M53" s="101"/>
      <c r="N53" s="101"/>
      <c r="O53" s="101"/>
      <c r="T53" s="101"/>
      <c r="U53" s="101"/>
      <c r="V53" s="101"/>
      <c r="W53" s="101"/>
      <c r="X53" s="101"/>
      <c r="AC53" s="101"/>
      <c r="AD53" s="101"/>
      <c r="AE53" s="101"/>
      <c r="AF53" s="101"/>
      <c r="AG53" s="101"/>
      <c r="AL53" s="101"/>
      <c r="AM53" s="101"/>
      <c r="AN53" s="101"/>
      <c r="AO53" s="101"/>
      <c r="AP53" s="101"/>
      <c r="AU53" s="101"/>
      <c r="AV53" s="101"/>
      <c r="AW53" s="101"/>
      <c r="AX53" s="101"/>
      <c r="AY53" s="101"/>
      <c r="BD53" s="101"/>
      <c r="BG53" s="101"/>
      <c r="BH53" s="101"/>
      <c r="BI53" s="101"/>
    </row>
    <row r="54" spans="1:61" ht="14.4" x14ac:dyDescent="0.3">
      <c r="A54" s="101"/>
      <c r="B54" s="101"/>
      <c r="C54" s="101"/>
      <c r="D54" s="101"/>
      <c r="E54" s="101"/>
      <c r="F54" s="101"/>
      <c r="K54" s="101"/>
      <c r="L54" s="101"/>
      <c r="M54" s="101"/>
      <c r="N54" s="101"/>
      <c r="O54" s="101"/>
      <c r="T54" s="101"/>
      <c r="U54" s="101"/>
      <c r="V54" s="101"/>
      <c r="W54" s="101"/>
      <c r="X54" s="101"/>
      <c r="AC54" s="101"/>
      <c r="AD54" s="101"/>
      <c r="AE54" s="101"/>
      <c r="AF54" s="101"/>
      <c r="AG54" s="101"/>
      <c r="AL54" s="101"/>
      <c r="AM54" s="101"/>
      <c r="AN54" s="101"/>
      <c r="AO54" s="101"/>
      <c r="AP54" s="101"/>
      <c r="AU54" s="101"/>
      <c r="AV54" s="101"/>
      <c r="AW54" s="101"/>
      <c r="AX54" s="101"/>
      <c r="AY54" s="101"/>
      <c r="BD54" s="101"/>
      <c r="BG54" s="101"/>
      <c r="BH54" s="101"/>
      <c r="BI54" s="101"/>
    </row>
    <row r="55" spans="1:61" ht="14.4" x14ac:dyDescent="0.3">
      <c r="A55" s="101"/>
      <c r="B55" s="101"/>
      <c r="C55" s="101"/>
      <c r="D55" s="101"/>
      <c r="E55" s="101"/>
      <c r="F55" s="101"/>
      <c r="K55" s="101"/>
      <c r="L55" s="101"/>
      <c r="M55" s="101"/>
      <c r="N55" s="101"/>
      <c r="O55" s="101"/>
      <c r="T55" s="101"/>
      <c r="U55" s="101"/>
      <c r="V55" s="101"/>
      <c r="W55" s="101"/>
      <c r="X55" s="101"/>
      <c r="AC55" s="101"/>
      <c r="AD55" s="101"/>
      <c r="AE55" s="101"/>
      <c r="AF55" s="101"/>
      <c r="AG55" s="101"/>
      <c r="AL55" s="101"/>
      <c r="AM55" s="101"/>
      <c r="AN55" s="101"/>
      <c r="AO55" s="101"/>
      <c r="AP55" s="101"/>
      <c r="AU55" s="101"/>
      <c r="AV55" s="101"/>
      <c r="AW55" s="101"/>
      <c r="AX55" s="101"/>
      <c r="AY55" s="101"/>
      <c r="BD55" s="101"/>
      <c r="BG55" s="101"/>
      <c r="BH55" s="101"/>
      <c r="BI55" s="101"/>
    </row>
    <row r="56" spans="1:61" ht="14.4" x14ac:dyDescent="0.3">
      <c r="A56" s="101"/>
      <c r="B56" s="101"/>
      <c r="C56" s="101"/>
      <c r="D56" s="101"/>
      <c r="E56" s="101"/>
      <c r="F56" s="101"/>
      <c r="K56" s="101"/>
      <c r="L56" s="101"/>
      <c r="M56" s="101"/>
      <c r="N56" s="101"/>
      <c r="O56" s="101"/>
      <c r="T56" s="101"/>
      <c r="U56" s="101"/>
      <c r="V56" s="101"/>
      <c r="W56" s="101"/>
      <c r="X56" s="101"/>
      <c r="AC56" s="101"/>
      <c r="AD56" s="101"/>
      <c r="AE56" s="101"/>
      <c r="AF56" s="101"/>
      <c r="AG56" s="101"/>
      <c r="AL56" s="101"/>
      <c r="AM56" s="101"/>
      <c r="AN56" s="101"/>
      <c r="AO56" s="101"/>
      <c r="AP56" s="101"/>
      <c r="AU56" s="101"/>
      <c r="AV56" s="101"/>
      <c r="AW56" s="101"/>
      <c r="AX56" s="101"/>
      <c r="AY56" s="101"/>
      <c r="BD56" s="101"/>
      <c r="BG56" s="101"/>
      <c r="BH56" s="101"/>
      <c r="BI56" s="101"/>
    </row>
    <row r="57" spans="1:61" ht="14.4" x14ac:dyDescent="0.3">
      <c r="A57" s="101"/>
      <c r="B57" s="101"/>
      <c r="C57" s="101"/>
      <c r="D57" s="101"/>
      <c r="E57" s="101"/>
      <c r="F57" s="101"/>
      <c r="K57" s="101"/>
      <c r="L57" s="101"/>
      <c r="M57" s="101"/>
      <c r="N57" s="101"/>
      <c r="O57" s="101"/>
      <c r="T57" s="101"/>
      <c r="U57" s="101"/>
      <c r="V57" s="101"/>
      <c r="W57" s="101"/>
      <c r="X57" s="101"/>
      <c r="AC57" s="101"/>
      <c r="AD57" s="101"/>
      <c r="AE57" s="101"/>
      <c r="AF57" s="101"/>
      <c r="AG57" s="101"/>
      <c r="AL57" s="101"/>
      <c r="AM57" s="101"/>
      <c r="AN57" s="101"/>
      <c r="AO57" s="101"/>
      <c r="AP57" s="101"/>
      <c r="AU57" s="101"/>
      <c r="AV57" s="101"/>
      <c r="AW57" s="101"/>
      <c r="AX57" s="101"/>
      <c r="AY57" s="101"/>
      <c r="BD57" s="101"/>
      <c r="BG57" s="101"/>
      <c r="BH57" s="101"/>
      <c r="BI57" s="101"/>
    </row>
    <row r="58" spans="1:61" ht="14.4" x14ac:dyDescent="0.3">
      <c r="A58" s="101"/>
      <c r="B58" s="101"/>
      <c r="C58" s="101"/>
      <c r="D58" s="101"/>
      <c r="E58" s="101"/>
      <c r="F58" s="101"/>
      <c r="K58" s="101"/>
      <c r="L58" s="101"/>
      <c r="M58" s="101"/>
      <c r="N58" s="101"/>
      <c r="O58" s="101"/>
      <c r="T58" s="101"/>
      <c r="U58" s="101"/>
      <c r="V58" s="101"/>
      <c r="W58" s="101"/>
      <c r="X58" s="101"/>
      <c r="AC58" s="101"/>
      <c r="AD58" s="101"/>
      <c r="AE58" s="101"/>
      <c r="AF58" s="101"/>
      <c r="AG58" s="101"/>
      <c r="AL58" s="101"/>
      <c r="AM58" s="101"/>
      <c r="AN58" s="101"/>
      <c r="AO58" s="101"/>
      <c r="AP58" s="101"/>
      <c r="AU58" s="101"/>
      <c r="AV58" s="101"/>
      <c r="AW58" s="101"/>
      <c r="AX58" s="101"/>
      <c r="AY58" s="101"/>
      <c r="BD58" s="101"/>
      <c r="BG58" s="101"/>
      <c r="BH58" s="101"/>
      <c r="BI58" s="101"/>
    </row>
    <row r="59" spans="1:61" ht="14.4" x14ac:dyDescent="0.3">
      <c r="A59" s="101"/>
      <c r="B59" s="101"/>
      <c r="C59" s="101"/>
      <c r="D59" s="101"/>
      <c r="E59" s="101"/>
      <c r="F59" s="101"/>
      <c r="K59" s="101"/>
      <c r="L59" s="101"/>
      <c r="M59" s="101"/>
      <c r="N59" s="101"/>
      <c r="O59" s="101"/>
      <c r="T59" s="101"/>
      <c r="U59" s="101"/>
      <c r="V59" s="101"/>
      <c r="W59" s="101"/>
      <c r="X59" s="101"/>
      <c r="AC59" s="101"/>
      <c r="AD59" s="101"/>
      <c r="AE59" s="101"/>
      <c r="AF59" s="101"/>
      <c r="AG59" s="101"/>
      <c r="AL59" s="101"/>
      <c r="AM59" s="101"/>
      <c r="AN59" s="101"/>
      <c r="AO59" s="101"/>
      <c r="AP59" s="101"/>
      <c r="AU59" s="101"/>
      <c r="AV59" s="101"/>
      <c r="AW59" s="101"/>
      <c r="AX59" s="101"/>
      <c r="AY59" s="101"/>
      <c r="BD59" s="101"/>
      <c r="BG59" s="101"/>
      <c r="BH59" s="101"/>
      <c r="BI59" s="101"/>
    </row>
    <row r="60" spans="1:61" ht="14.4" x14ac:dyDescent="0.3">
      <c r="A60" s="101"/>
      <c r="B60" s="101"/>
      <c r="C60" s="101"/>
      <c r="D60" s="101"/>
      <c r="E60" s="101"/>
      <c r="F60" s="101"/>
      <c r="K60" s="101"/>
      <c r="L60" s="101"/>
      <c r="M60" s="101"/>
      <c r="N60" s="101"/>
      <c r="O60" s="101"/>
      <c r="T60" s="101"/>
      <c r="U60" s="101"/>
      <c r="V60" s="101"/>
      <c r="W60" s="101"/>
      <c r="X60" s="101"/>
      <c r="AC60" s="101"/>
      <c r="AD60" s="101"/>
      <c r="AE60" s="101"/>
      <c r="AF60" s="101"/>
      <c r="AG60" s="101"/>
      <c r="AL60" s="101"/>
      <c r="AM60" s="101"/>
      <c r="AN60" s="101"/>
      <c r="AO60" s="101"/>
      <c r="AP60" s="101"/>
      <c r="AU60" s="101"/>
      <c r="AV60" s="101"/>
      <c r="AW60" s="101"/>
      <c r="AX60" s="101"/>
      <c r="AY60" s="101"/>
      <c r="BD60" s="101"/>
      <c r="BG60" s="101"/>
      <c r="BH60" s="101"/>
      <c r="BI60" s="101"/>
    </row>
    <row r="61" spans="1:61" ht="14.4" x14ac:dyDescent="0.3">
      <c r="A61" s="101"/>
      <c r="B61" s="101"/>
      <c r="C61" s="101"/>
      <c r="D61" s="101"/>
      <c r="E61" s="101"/>
      <c r="F61" s="101"/>
      <c r="K61" s="101"/>
      <c r="L61" s="101"/>
      <c r="M61" s="101"/>
      <c r="N61" s="101"/>
      <c r="O61" s="101"/>
      <c r="T61" s="101"/>
      <c r="U61" s="101"/>
      <c r="V61" s="101"/>
      <c r="W61" s="101"/>
      <c r="X61" s="101"/>
      <c r="AC61" s="101"/>
      <c r="AD61" s="101"/>
      <c r="AE61" s="101"/>
      <c r="AF61" s="101"/>
      <c r="AG61" s="101"/>
      <c r="AL61" s="101"/>
      <c r="AM61" s="101"/>
      <c r="AN61" s="101"/>
      <c r="AO61" s="101"/>
      <c r="AP61" s="101"/>
      <c r="AU61" s="101"/>
      <c r="AV61" s="101"/>
      <c r="AW61" s="101"/>
      <c r="AX61" s="101"/>
      <c r="AY61" s="101"/>
      <c r="BD61" s="101"/>
      <c r="BG61" s="101"/>
      <c r="BH61" s="101"/>
      <c r="BI61" s="101"/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BJ8" name="Range1_2"/>
    <protectedRange algorithmName="SHA-512" hashValue="O3nVqS4WLk4xSwel02S7eaXy8tGCWXJyK2lfu+biOYQmABDVg5zp9yhHMIQgyZW+O3EzpAVmz3gg0T+9nAeyTA==" saltValue="wbZmK8/bm/bSkq9ih+cKbA==" spinCount="100000" sqref="BJ22" name="Range1_2_1"/>
    <protectedRange algorithmName="SHA-512" hashValue="O3nVqS4WLk4xSwel02S7eaXy8tGCWXJyK2lfu+biOYQmABDVg5zp9yhHMIQgyZW+O3EzpAVmz3gg0T+9nAeyTA==" saltValue="wbZmK8/bm/bSkq9ih+cKbA==" spinCount="100000" sqref="BJ36" name="Range1_2_2"/>
    <protectedRange algorithmName="SHA-512" hashValue="O3nVqS4WLk4xSwel02S7eaXy8tGCWXJyK2lfu+biOYQmABDVg5zp9yhHMIQgyZW+O3EzpAVmz3gg0T+9nAeyTA==" saltValue="wbZmK8/bm/bSkq9ih+cKbA==" spinCount="100000" sqref="BK9:BM9 BK23:BM23 BK37:BM37" name="Range1_2_2_1"/>
    <protectedRange algorithmName="SHA-512" hashValue="O3nVqS4WLk4xSwel02S7eaXy8tGCWXJyK2lfu+biOYQmABDVg5zp9yhHMIQgyZW+O3EzpAVmz3gg0T+9nAeyTA==" saltValue="wbZmK8/bm/bSkq9ih+cKbA==" spinCount="100000" sqref="BJ13:BM13 BJ27:BM27 BJ41:BM41" name="Range1_3"/>
  </protectedRanges>
  <mergeCells count="39">
    <mergeCell ref="A15:AK16"/>
    <mergeCell ref="BJ1:BM3"/>
    <mergeCell ref="B3:J3"/>
    <mergeCell ref="K3:S3"/>
    <mergeCell ref="T3:AB3"/>
    <mergeCell ref="AC3:AK3"/>
    <mergeCell ref="AL3:AT3"/>
    <mergeCell ref="AU3:BC3"/>
    <mergeCell ref="BD3:BF3"/>
    <mergeCell ref="BG3:BH3"/>
    <mergeCell ref="AL1:AT2"/>
    <mergeCell ref="AU1:BC2"/>
    <mergeCell ref="BD1:BF2"/>
    <mergeCell ref="A1:AK2"/>
    <mergeCell ref="BJ15:BM17"/>
    <mergeCell ref="B17:J17"/>
    <mergeCell ref="BD17:BF17"/>
    <mergeCell ref="BG17:BH17"/>
    <mergeCell ref="AL15:AT16"/>
    <mergeCell ref="AU15:BC16"/>
    <mergeCell ref="BD15:BF16"/>
    <mergeCell ref="K17:S17"/>
    <mergeCell ref="T17:AB17"/>
    <mergeCell ref="AC17:AK17"/>
    <mergeCell ref="AL17:AT17"/>
    <mergeCell ref="AU17:BC17"/>
    <mergeCell ref="BJ29:BM31"/>
    <mergeCell ref="B31:J31"/>
    <mergeCell ref="K31:S31"/>
    <mergeCell ref="T31:AB31"/>
    <mergeCell ref="AC31:AK31"/>
    <mergeCell ref="AL31:AT31"/>
    <mergeCell ref="AU31:BC31"/>
    <mergeCell ref="BD31:BF31"/>
    <mergeCell ref="BG31:BH31"/>
    <mergeCell ref="AL29:AT30"/>
    <mergeCell ref="AU29:BC30"/>
    <mergeCell ref="BD29:BF30"/>
    <mergeCell ref="A29:AK30"/>
  </mergeCells>
  <conditionalFormatting sqref="A13:F13 I13:O13">
    <cfRule type="cellIs" dxfId="89" priority="77" operator="equal">
      <formula>"PB"</formula>
    </cfRule>
  </conditionalFormatting>
  <conditionalFormatting sqref="BE13">
    <cfRule type="cellIs" dxfId="88" priority="68" operator="equal">
      <formula>"PB"</formula>
    </cfRule>
  </conditionalFormatting>
  <conditionalFormatting sqref="BF13">
    <cfRule type="cellIs" dxfId="87" priority="67" operator="equal">
      <formula>"PB"</formula>
    </cfRule>
  </conditionalFormatting>
  <conditionalFormatting sqref="BI5:BI12">
    <cfRule type="cellIs" dxfId="86" priority="44" operator="equal">
      <formula>"PB"</formula>
    </cfRule>
  </conditionalFormatting>
  <conditionalFormatting sqref="BI19:BI26">
    <cfRule type="cellIs" dxfId="85" priority="43" operator="equal">
      <formula>"PB"</formula>
    </cfRule>
  </conditionalFormatting>
  <conditionalFormatting sqref="BI33:BI40">
    <cfRule type="cellIs" dxfId="84" priority="42" operator="equal">
      <formula>"PB"</formula>
    </cfRule>
  </conditionalFormatting>
  <conditionalFormatting sqref="A27:F27 K27:O27 T27:V27">
    <cfRule type="cellIs" dxfId="83" priority="40" operator="equal">
      <formula>"PB"</formula>
    </cfRule>
  </conditionalFormatting>
  <conditionalFormatting sqref="BF41">
    <cfRule type="cellIs" dxfId="82" priority="19" operator="equal">
      <formula>"PB"</formula>
    </cfRule>
  </conditionalFormatting>
  <conditionalFormatting sqref="BE27">
    <cfRule type="cellIs" dxfId="81" priority="31" operator="equal">
      <formula>"PB"</formula>
    </cfRule>
  </conditionalFormatting>
  <conditionalFormatting sqref="BF27">
    <cfRule type="cellIs" dxfId="80" priority="30" operator="equal">
      <formula>"PB"</formula>
    </cfRule>
  </conditionalFormatting>
  <conditionalFormatting sqref="A41:F41 K41:O41 T41:V41">
    <cfRule type="cellIs" dxfId="79" priority="29" operator="equal">
      <formula>"PB"</formula>
    </cfRule>
  </conditionalFormatting>
  <conditionalFormatting sqref="BE41">
    <cfRule type="cellIs" dxfId="78" priority="20" operator="equal">
      <formula>"PB"</formula>
    </cfRule>
  </conditionalFormatting>
  <conditionalFormatting sqref="R13:S13">
    <cfRule type="cellIs" dxfId="77" priority="18" operator="equal">
      <formula>"PB"</formula>
    </cfRule>
  </conditionalFormatting>
  <conditionalFormatting sqref="V13:W13">
    <cfRule type="cellIs" dxfId="76" priority="17" operator="equal">
      <formula>"PB"</formula>
    </cfRule>
  </conditionalFormatting>
  <conditionalFormatting sqref="AA13:AB13">
    <cfRule type="cellIs" dxfId="75" priority="16" operator="equal">
      <formula>"PB"</formula>
    </cfRule>
  </conditionalFormatting>
  <conditionalFormatting sqref="AJ13:AK13">
    <cfRule type="cellIs" dxfId="74" priority="15" operator="equal">
      <formula>"PB"</formula>
    </cfRule>
  </conditionalFormatting>
  <conditionalFormatting sqref="AS13:AT13">
    <cfRule type="cellIs" dxfId="73" priority="14" operator="equal">
      <formula>"PB"</formula>
    </cfRule>
  </conditionalFormatting>
  <conditionalFormatting sqref="BB13:BC13">
    <cfRule type="cellIs" dxfId="72" priority="13" operator="equal">
      <formula>"PB"</formula>
    </cfRule>
  </conditionalFormatting>
  <conditionalFormatting sqref="I27:J27">
    <cfRule type="cellIs" dxfId="71" priority="12" operator="equal">
      <formula>"PB"</formula>
    </cfRule>
  </conditionalFormatting>
  <conditionalFormatting sqref="R27:S27">
    <cfRule type="cellIs" dxfId="70" priority="11" operator="equal">
      <formula>"PB"</formula>
    </cfRule>
  </conditionalFormatting>
  <conditionalFormatting sqref="AA27:AB27">
    <cfRule type="cellIs" dxfId="69" priority="10" operator="equal">
      <formula>"PB"</formula>
    </cfRule>
  </conditionalFormatting>
  <conditionalFormatting sqref="AJ27:AK27">
    <cfRule type="cellIs" dxfId="68" priority="9" operator="equal">
      <formula>"PB"</formula>
    </cfRule>
  </conditionalFormatting>
  <conditionalFormatting sqref="AS27:AT27">
    <cfRule type="cellIs" dxfId="67" priority="8" operator="equal">
      <formula>"PB"</formula>
    </cfRule>
  </conditionalFormatting>
  <conditionalFormatting sqref="BB27:BC27">
    <cfRule type="cellIs" dxfId="66" priority="7" operator="equal">
      <formula>"PB"</formula>
    </cfRule>
  </conditionalFormatting>
  <conditionalFormatting sqref="I41:J41">
    <cfRule type="cellIs" dxfId="65" priority="6" operator="equal">
      <formula>"PB"</formula>
    </cfRule>
  </conditionalFormatting>
  <conditionalFormatting sqref="R41:S41">
    <cfRule type="cellIs" dxfId="64" priority="5" operator="equal">
      <formula>"PB"</formula>
    </cfRule>
  </conditionalFormatting>
  <conditionalFormatting sqref="AA41:AB41">
    <cfRule type="cellIs" dxfId="63" priority="4" operator="equal">
      <formula>"PB"</formula>
    </cfRule>
  </conditionalFormatting>
  <conditionalFormatting sqref="AJ41:AK41">
    <cfRule type="cellIs" dxfId="62" priority="3" operator="equal">
      <formula>"PB"</formula>
    </cfRule>
  </conditionalFormatting>
  <conditionalFormatting sqref="AS41:AT41">
    <cfRule type="cellIs" dxfId="61" priority="2" operator="equal">
      <formula>"PB"</formula>
    </cfRule>
  </conditionalFormatting>
  <conditionalFormatting sqref="BB41:BC41">
    <cfRule type="cellIs" dxfId="60" priority="1" operator="equal">
      <formula>"PB"</formula>
    </cfRule>
  </conditionalFormatting>
  <dataValidations count="1">
    <dataValidation type="whole" allowBlank="1" showInputMessage="1" showErrorMessage="1" sqref="G6:H12 P5:Q5 P7:Q12 Y5:Z6 Y8:Z12 AH5:AI7 AH9:AI12 AQ5:AR8 AQ10:AR12 AZ5:BA9 AZ11:BA12 BE5:BF10 G20:H26 P19:Q19 P21:Q26 Y19:Z20 Y22:Z26 AH19:AI21 AH23:AI26 AQ19:AR22 AQ24:AR26 AZ19:BA23 AZ25:BA26 BE19:BF24 G34:H40 P33:Q33 P35:Q40 Y33:Z34 Y36:Z40 AH33:AI35 AH37:AI40 AQ33:AR36 AQ38:AR40 AZ33:BA37 AZ39:BA40 BE33:BF38" xr:uid="{00000000-0002-0000-0500-000000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6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Q61"/>
  <sheetViews>
    <sheetView topLeftCell="B10" zoomScale="55" zoomScaleNormal="55" workbookViewId="0">
      <selection activeCell="BM13" sqref="BM13"/>
    </sheetView>
  </sheetViews>
  <sheetFormatPr baseColWidth="10" defaultColWidth="8.88671875" defaultRowHeight="15.6" x14ac:dyDescent="0.3"/>
  <cols>
    <col min="1" max="1" width="19.5546875" style="105" bestFit="1" customWidth="1"/>
    <col min="2" max="2" width="8.88671875" style="107"/>
    <col min="3" max="6" width="9.109375" style="107" hidden="1" customWidth="1"/>
    <col min="7" max="8" width="9.109375" style="101" customWidth="1"/>
    <col min="9" max="9" width="8.88671875" style="101"/>
    <col min="10" max="10" width="9.109375" style="101" customWidth="1"/>
    <col min="11" max="11" width="8.88671875" style="107"/>
    <col min="12" max="15" width="9.109375" style="107" hidden="1" customWidth="1"/>
    <col min="16" max="17" width="9.109375" style="101" customWidth="1"/>
    <col min="18" max="18" width="8.88671875" style="101"/>
    <col min="19" max="19" width="9.109375" style="101" customWidth="1"/>
    <col min="20" max="20" width="8.88671875" style="107"/>
    <col min="21" max="24" width="9.109375" style="107" hidden="1" customWidth="1"/>
    <col min="25" max="26" width="9.109375" style="101" customWidth="1"/>
    <col min="27" max="27" width="8.88671875" style="101"/>
    <col min="28" max="28" width="9.109375" style="101" customWidth="1"/>
    <col min="29" max="29" width="8.88671875" style="107"/>
    <col min="30" max="33" width="9.109375" style="107" hidden="1" customWidth="1"/>
    <col min="34" max="35" width="9.109375" style="101" customWidth="1"/>
    <col min="36" max="36" width="8.88671875" style="101"/>
    <col min="37" max="37" width="9.109375" style="101" customWidth="1"/>
    <col min="38" max="38" width="8.88671875" style="107"/>
    <col min="39" max="42" width="9.109375" style="107" hidden="1" customWidth="1"/>
    <col min="43" max="44" width="9.109375" style="101" customWidth="1"/>
    <col min="45" max="45" width="8.88671875" style="101"/>
    <col min="46" max="46" width="9.109375" style="101" customWidth="1"/>
    <col min="47" max="47" width="8.88671875" style="107"/>
    <col min="48" max="51" width="9.109375" style="107" hidden="1" customWidth="1"/>
    <col min="52" max="53" width="9.109375" style="101" customWidth="1"/>
    <col min="54" max="54" width="8.88671875" style="101"/>
    <col min="55" max="55" width="9.109375" style="101" customWidth="1"/>
    <col min="56" max="56" width="8.88671875" style="107"/>
    <col min="57" max="58" width="9.109375" style="101" customWidth="1"/>
    <col min="59" max="61" width="8.88671875" style="108"/>
    <col min="62" max="62" width="36.44140625" style="101" bestFit="1" customWidth="1"/>
    <col min="63" max="63" width="8.88671875" style="101"/>
    <col min="64" max="64" width="4.5546875" style="101" bestFit="1" customWidth="1"/>
    <col min="65" max="65" width="26.33203125" style="101" customWidth="1"/>
    <col min="66" max="16384" width="8.88671875" style="101"/>
  </cols>
  <sheetData>
    <row r="1" spans="1:69" s="152" customFormat="1" ht="20.25" customHeight="1" x14ac:dyDescent="0.3">
      <c r="A1" s="225" t="s">
        <v>62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34"/>
      <c r="AL1" s="226">
        <v>0.125</v>
      </c>
      <c r="AM1" s="227"/>
      <c r="AN1" s="227"/>
      <c r="AO1" s="227"/>
      <c r="AP1" s="227"/>
      <c r="AQ1" s="227"/>
      <c r="AR1" s="227"/>
      <c r="AS1" s="227"/>
      <c r="AT1" s="227"/>
      <c r="AU1" s="230">
        <v>0.05</v>
      </c>
      <c r="AV1" s="231"/>
      <c r="AW1" s="231"/>
      <c r="AX1" s="231"/>
      <c r="AY1" s="231"/>
      <c r="AZ1" s="231"/>
      <c r="BA1" s="231"/>
      <c r="BB1" s="231"/>
      <c r="BC1" s="231"/>
      <c r="BD1" s="230">
        <v>0.02</v>
      </c>
      <c r="BE1" s="227"/>
      <c r="BF1" s="227"/>
      <c r="BG1" s="131"/>
      <c r="BH1" s="131"/>
      <c r="BI1" s="131"/>
      <c r="BJ1" s="186" t="s">
        <v>70</v>
      </c>
      <c r="BK1" s="186"/>
      <c r="BL1" s="186"/>
      <c r="BM1" s="186"/>
      <c r="BN1" s="101"/>
      <c r="BO1" s="101"/>
      <c r="BP1" s="101"/>
      <c r="BQ1" s="101"/>
    </row>
    <row r="2" spans="1:69" s="152" customFormat="1" ht="18.75" customHeight="1" thickBot="1" x14ac:dyDescent="0.3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34"/>
      <c r="AL2" s="228"/>
      <c r="AM2" s="229"/>
      <c r="AN2" s="229"/>
      <c r="AO2" s="229"/>
      <c r="AP2" s="229"/>
      <c r="AQ2" s="229"/>
      <c r="AR2" s="229"/>
      <c r="AS2" s="229"/>
      <c r="AT2" s="229"/>
      <c r="AU2" s="228"/>
      <c r="AV2" s="229"/>
      <c r="AW2" s="229"/>
      <c r="AX2" s="229"/>
      <c r="AY2" s="229"/>
      <c r="AZ2" s="229"/>
      <c r="BA2" s="229"/>
      <c r="BB2" s="229"/>
      <c r="BC2" s="229"/>
      <c r="BD2" s="228"/>
      <c r="BE2" s="229"/>
      <c r="BF2" s="229"/>
      <c r="BG2" s="131"/>
      <c r="BH2" s="131"/>
      <c r="BI2" s="131"/>
      <c r="BJ2" s="186"/>
      <c r="BK2" s="186"/>
      <c r="BL2" s="186"/>
      <c r="BM2" s="186"/>
      <c r="BN2" s="101"/>
      <c r="BO2" s="101"/>
      <c r="BP2" s="101"/>
      <c r="BQ2" s="101"/>
    </row>
    <row r="3" spans="1:69" s="103" customFormat="1" ht="26.4" thickBot="1" x14ac:dyDescent="0.55000000000000004">
      <c r="A3" s="113" t="s">
        <v>66</v>
      </c>
      <c r="B3" s="218" t="s">
        <v>11</v>
      </c>
      <c r="C3" s="202"/>
      <c r="D3" s="202"/>
      <c r="E3" s="202"/>
      <c r="F3" s="202"/>
      <c r="G3" s="202"/>
      <c r="H3" s="202"/>
      <c r="I3" s="202"/>
      <c r="J3" s="203"/>
      <c r="K3" s="204" t="s">
        <v>12</v>
      </c>
      <c r="L3" s="205"/>
      <c r="M3" s="205"/>
      <c r="N3" s="205"/>
      <c r="O3" s="205"/>
      <c r="P3" s="205"/>
      <c r="Q3" s="205"/>
      <c r="R3" s="205"/>
      <c r="S3" s="206"/>
      <c r="T3" s="207" t="s">
        <v>15</v>
      </c>
      <c r="U3" s="208"/>
      <c r="V3" s="208"/>
      <c r="W3" s="208"/>
      <c r="X3" s="208"/>
      <c r="Y3" s="208"/>
      <c r="Z3" s="208"/>
      <c r="AA3" s="208"/>
      <c r="AB3" s="208"/>
      <c r="AC3" s="210" t="s">
        <v>13</v>
      </c>
      <c r="AD3" s="211"/>
      <c r="AE3" s="211"/>
      <c r="AF3" s="211"/>
      <c r="AG3" s="211"/>
      <c r="AH3" s="211"/>
      <c r="AI3" s="211"/>
      <c r="AJ3" s="211"/>
      <c r="AK3" s="211"/>
      <c r="AL3" s="213" t="s">
        <v>16</v>
      </c>
      <c r="AM3" s="214"/>
      <c r="AN3" s="214"/>
      <c r="AO3" s="214"/>
      <c r="AP3" s="214"/>
      <c r="AQ3" s="214"/>
      <c r="AR3" s="214"/>
      <c r="AS3" s="214"/>
      <c r="AT3" s="214"/>
      <c r="AU3" s="187" t="s">
        <v>14</v>
      </c>
      <c r="AV3" s="188"/>
      <c r="AW3" s="188"/>
      <c r="AX3" s="188"/>
      <c r="AY3" s="188"/>
      <c r="AZ3" s="188"/>
      <c r="BA3" s="188"/>
      <c r="BB3" s="188"/>
      <c r="BC3" s="188"/>
      <c r="BD3" s="190" t="s">
        <v>35</v>
      </c>
      <c r="BE3" s="191"/>
      <c r="BF3" s="191"/>
      <c r="BG3" s="200" t="s">
        <v>69</v>
      </c>
      <c r="BH3" s="200"/>
      <c r="BI3" s="177"/>
      <c r="BJ3" s="186"/>
      <c r="BK3" s="186"/>
      <c r="BL3" s="186"/>
      <c r="BM3" s="186"/>
    </row>
    <row r="4" spans="1:69" s="153" customFormat="1" ht="31.8" thickBot="1" x14ac:dyDescent="0.35">
      <c r="A4" s="113" t="s">
        <v>39</v>
      </c>
      <c r="B4" s="114" t="s">
        <v>36</v>
      </c>
      <c r="C4" s="114" t="s">
        <v>79</v>
      </c>
      <c r="D4" s="114" t="s">
        <v>73</v>
      </c>
      <c r="E4" s="163" t="s">
        <v>83</v>
      </c>
      <c r="F4" s="163" t="s">
        <v>82</v>
      </c>
      <c r="G4" s="164" t="s">
        <v>80</v>
      </c>
      <c r="H4" s="164" t="s">
        <v>81</v>
      </c>
      <c r="I4" s="164" t="s">
        <v>37</v>
      </c>
      <c r="J4" s="164" t="s">
        <v>38</v>
      </c>
      <c r="K4" s="114" t="s">
        <v>36</v>
      </c>
      <c r="L4" s="114" t="s">
        <v>79</v>
      </c>
      <c r="M4" s="114" t="s">
        <v>73</v>
      </c>
      <c r="N4" s="163" t="s">
        <v>83</v>
      </c>
      <c r="O4" s="163" t="s">
        <v>82</v>
      </c>
      <c r="P4" s="164" t="s">
        <v>80</v>
      </c>
      <c r="Q4" s="164" t="s">
        <v>81</v>
      </c>
      <c r="R4" s="164" t="s">
        <v>37</v>
      </c>
      <c r="S4" s="164" t="s">
        <v>38</v>
      </c>
      <c r="T4" s="114" t="s">
        <v>36</v>
      </c>
      <c r="U4" s="114" t="s">
        <v>79</v>
      </c>
      <c r="V4" s="114" t="s">
        <v>73</v>
      </c>
      <c r="W4" s="163" t="s">
        <v>83</v>
      </c>
      <c r="X4" s="163" t="s">
        <v>82</v>
      </c>
      <c r="Y4" s="164" t="s">
        <v>80</v>
      </c>
      <c r="Z4" s="164" t="s">
        <v>81</v>
      </c>
      <c r="AA4" s="164" t="s">
        <v>37</v>
      </c>
      <c r="AB4" s="164" t="s">
        <v>38</v>
      </c>
      <c r="AC4" s="114" t="s">
        <v>36</v>
      </c>
      <c r="AD4" s="114" t="s">
        <v>79</v>
      </c>
      <c r="AE4" s="114" t="s">
        <v>73</v>
      </c>
      <c r="AF4" s="163" t="s">
        <v>83</v>
      </c>
      <c r="AG4" s="163" t="s">
        <v>82</v>
      </c>
      <c r="AH4" s="164" t="s">
        <v>80</v>
      </c>
      <c r="AI4" s="164" t="s">
        <v>81</v>
      </c>
      <c r="AJ4" s="164" t="s">
        <v>37</v>
      </c>
      <c r="AK4" s="164" t="s">
        <v>38</v>
      </c>
      <c r="AL4" s="114" t="s">
        <v>36</v>
      </c>
      <c r="AM4" s="114" t="s">
        <v>79</v>
      </c>
      <c r="AN4" s="114" t="s">
        <v>73</v>
      </c>
      <c r="AO4" s="163" t="s">
        <v>83</v>
      </c>
      <c r="AP4" s="163" t="s">
        <v>82</v>
      </c>
      <c r="AQ4" s="164" t="s">
        <v>80</v>
      </c>
      <c r="AR4" s="164" t="s">
        <v>81</v>
      </c>
      <c r="AS4" s="164" t="s">
        <v>37</v>
      </c>
      <c r="AT4" s="164" t="s">
        <v>38</v>
      </c>
      <c r="AU4" s="114" t="s">
        <v>36</v>
      </c>
      <c r="AV4" s="114" t="s">
        <v>79</v>
      </c>
      <c r="AW4" s="114" t="s">
        <v>73</v>
      </c>
      <c r="AX4" s="163" t="s">
        <v>83</v>
      </c>
      <c r="AY4" s="163" t="s">
        <v>82</v>
      </c>
      <c r="AZ4" s="164" t="s">
        <v>80</v>
      </c>
      <c r="BA4" s="164" t="s">
        <v>81</v>
      </c>
      <c r="BB4" s="164" t="s">
        <v>37</v>
      </c>
      <c r="BC4" s="164" t="s">
        <v>38</v>
      </c>
      <c r="BD4" s="114" t="s">
        <v>36</v>
      </c>
      <c r="BE4" s="164" t="s">
        <v>37</v>
      </c>
      <c r="BF4" s="164" t="s">
        <v>38</v>
      </c>
      <c r="BG4" s="167" t="s">
        <v>21</v>
      </c>
      <c r="BH4" s="167" t="s">
        <v>20</v>
      </c>
      <c r="BI4" s="133"/>
      <c r="BJ4" s="168"/>
      <c r="BK4" s="168"/>
      <c r="BL4" s="168"/>
      <c r="BM4" s="168"/>
    </row>
    <row r="5" spans="1:69" ht="29.4" thickBot="1" x14ac:dyDescent="0.6">
      <c r="A5" s="118" t="s">
        <v>11</v>
      </c>
      <c r="B5" s="119">
        <v>0</v>
      </c>
      <c r="C5" s="119"/>
      <c r="D5" s="119"/>
      <c r="E5" s="119"/>
      <c r="F5" s="119"/>
      <c r="G5" s="120">
        <v>0</v>
      </c>
      <c r="H5" s="120">
        <v>0</v>
      </c>
      <c r="I5" s="120">
        <v>0</v>
      </c>
      <c r="J5" s="120">
        <v>0</v>
      </c>
      <c r="K5" s="122">
        <v>0.50694444444444442</v>
      </c>
      <c r="L5" s="149">
        <f>K5+$AL$1</f>
        <v>0.63194444444444442</v>
      </c>
      <c r="M5" s="149">
        <f>MIN($L5,$L19,$L33)</f>
        <v>0.38194444444444442</v>
      </c>
      <c r="N5" s="154">
        <f t="shared" ref="N5" si="0">(L5/M5-1)*10*$AU$1</f>
        <v>0.32727272727272727</v>
      </c>
      <c r="O5" s="154">
        <f t="shared" ref="O5" si="1">(L5/M5-1)*10*$BD$1</f>
        <v>0.13090909090909089</v>
      </c>
      <c r="P5" s="155">
        <f>'Revenue - Year 5'!F5</f>
        <v>0</v>
      </c>
      <c r="Q5" s="155">
        <f>'Revenue - Year 5'!G5</f>
        <v>0</v>
      </c>
      <c r="R5" s="166">
        <f t="shared" ref="R5" si="2">ROUNDDOWN((1-N5)*P5,0)</f>
        <v>0</v>
      </c>
      <c r="S5" s="166">
        <f t="shared" ref="S5" si="3">ROUND((1-O5)*Q5,0)</f>
        <v>0</v>
      </c>
      <c r="T5" s="122">
        <v>0.40972222222222227</v>
      </c>
      <c r="U5" s="149">
        <f>T5+$AL$1</f>
        <v>0.53472222222222232</v>
      </c>
      <c r="V5" s="149">
        <f>MIN($U5,$U19,$U33)</f>
        <v>0.28472222222222221</v>
      </c>
      <c r="W5" s="154">
        <f t="shared" ref="W5:W6" si="4">(U5/V5-1)*10*$AU$1</f>
        <v>0.43902439024390266</v>
      </c>
      <c r="X5" s="154">
        <f t="shared" ref="X5:X6" si="5">(U5/V5-1)*10*$BD$1</f>
        <v>0.17560975609756108</v>
      </c>
      <c r="Y5" s="155">
        <f>'Revenue - Year 5'!I5</f>
        <v>0</v>
      </c>
      <c r="Z5" s="155">
        <f>'Revenue - Year 5'!J5</f>
        <v>0</v>
      </c>
      <c r="AA5" s="166">
        <f t="shared" ref="AA5:AA6" si="6">ROUNDDOWN((1-W5)*Y5,0)</f>
        <v>0</v>
      </c>
      <c r="AB5" s="166">
        <f t="shared" ref="AB5:AB6" si="7">ROUND((1-X5)*Z5,0)</f>
        <v>0</v>
      </c>
      <c r="AC5" s="122">
        <v>0.47916666666666669</v>
      </c>
      <c r="AD5" s="149">
        <f>AC5+$AL$1</f>
        <v>0.60416666666666674</v>
      </c>
      <c r="AE5" s="149">
        <f>MIN($AD5,$AD19,$AD33)</f>
        <v>0.4861111111111111</v>
      </c>
      <c r="AF5" s="154">
        <f>(AD5/AE5-1)*10*$AU$1</f>
        <v>0.12142857142857155</v>
      </c>
      <c r="AG5" s="154">
        <f>(AD5/AE5-1)*10*$BD$1</f>
        <v>4.857142857142862E-2</v>
      </c>
      <c r="AH5" s="155">
        <f>'Revenue - Year 5'!L5</f>
        <v>0</v>
      </c>
      <c r="AI5" s="155">
        <f>'Revenue - Year 5'!M5</f>
        <v>0</v>
      </c>
      <c r="AJ5" s="166">
        <f t="shared" ref="AJ5:AJ7" si="8">ROUNDDOWN((1-AF5)*AH5,0)</f>
        <v>0</v>
      </c>
      <c r="AK5" s="166">
        <f t="shared" ref="AK5:AK7" si="9">ROUND((1-AG5)*AI5,0)</f>
        <v>0</v>
      </c>
      <c r="AL5" s="122">
        <v>0.53472222222222221</v>
      </c>
      <c r="AM5" s="149">
        <f>AL5+$AL$1</f>
        <v>0.65972222222222221</v>
      </c>
      <c r="AN5" s="149">
        <f>MIN($AM5,$AM19,$AM33)</f>
        <v>0.53472222222222221</v>
      </c>
      <c r="AO5" s="154">
        <f>(AM5/AN5-1)*10*$AU$1</f>
        <v>0.11688311688311692</v>
      </c>
      <c r="AP5" s="154">
        <f>(AM5/AN5-1)*10*$BD$1</f>
        <v>4.6753246753246769E-2</v>
      </c>
      <c r="AQ5" s="155">
        <f>'Revenue - Year 5'!O5</f>
        <v>0</v>
      </c>
      <c r="AR5" s="155">
        <f>'Revenue - Year 5'!P5</f>
        <v>0</v>
      </c>
      <c r="AS5" s="166">
        <f t="shared" ref="AS5:AS8" si="10">ROUNDDOWN((1-AO5)*AQ5,0)</f>
        <v>0</v>
      </c>
      <c r="AT5" s="166">
        <f t="shared" ref="AT5:AT8" si="11">ROUND((1-AP5)*AR5,0)</f>
        <v>0</v>
      </c>
      <c r="AU5" s="122">
        <v>0.45833333333333331</v>
      </c>
      <c r="AV5" s="149">
        <f>AU5+$AL$1</f>
        <v>0.58333333333333326</v>
      </c>
      <c r="AW5" s="149">
        <f>MIN($AV5,$AV19,$AV33)</f>
        <v>0.2361111111111111</v>
      </c>
      <c r="AX5" s="154">
        <f>(AV5/AW5-1)*10*$AU$1</f>
        <v>0.73529411764705876</v>
      </c>
      <c r="AY5" s="154">
        <f>(AV5/AW5-1)*10*$BD$1</f>
        <v>0.29411764705882348</v>
      </c>
      <c r="AZ5" s="155">
        <f>'Revenue - Year 5'!R5</f>
        <v>0</v>
      </c>
      <c r="BA5" s="155">
        <f>'Revenue - Year 5'!S5</f>
        <v>0</v>
      </c>
      <c r="BB5" s="166">
        <f t="shared" ref="BB5:BB9" si="12">ROUNDDOWN((1-AX5)*AZ5,0)</f>
        <v>0</v>
      </c>
      <c r="BC5" s="166">
        <f t="shared" ref="BC5:BC9" si="13">ROUND((1-AY5)*BA5,0)</f>
        <v>0</v>
      </c>
      <c r="BD5" s="122">
        <v>0.22916666666666666</v>
      </c>
      <c r="BE5" s="156">
        <f>'Revenue - Year 5'!U5</f>
        <v>0</v>
      </c>
      <c r="BF5" s="156">
        <f>'Revenue - Year 5'!V5</f>
        <v>0</v>
      </c>
      <c r="BG5" s="169">
        <f>I5+R5+AA5+AJ5+AS5+BB5+BE5</f>
        <v>0</v>
      </c>
      <c r="BH5" s="169">
        <f>J5+S5+AB5+AK5+AT5+BC5+BF5</f>
        <v>0</v>
      </c>
      <c r="BI5" s="115" t="str">
        <f>IF(OR(BG5&gt;70,BH5&gt;270),"PB","OK")</f>
        <v>OK</v>
      </c>
      <c r="BJ5" s="135" t="s">
        <v>57</v>
      </c>
      <c r="BK5" s="135"/>
      <c r="BL5" s="135"/>
      <c r="BM5" s="136">
        <f>1440/60*4*(SUMPRODUCT($B$5:$B$11,I5:I11)+SUMPRODUCT($K$5:$K$11,$R$5:$R$11)+SUMPRODUCT($T$5:$T$11,$AA$5:$AA$11)+SUMPRODUCT($AC$5:$AC$11,$AJ$5:$AJ$11)+SUMPRODUCT($AL$5:$AL$11,$AS$5:$AS$11)+SUMPRODUCT($AU$5:$AU$11,$BB$5:$BB$11)+SUMPRODUCT($BD$5:$BD$11,BE5:BE11))</f>
        <v>0</v>
      </c>
    </row>
    <row r="6" spans="1:69" ht="29.4" thickBot="1" x14ac:dyDescent="0.6">
      <c r="A6" s="121" t="s">
        <v>12</v>
      </c>
      <c r="B6" s="149">
        <v>0.50694444444444442</v>
      </c>
      <c r="C6" s="149">
        <f>B6+$AL$1</f>
        <v>0.63194444444444442</v>
      </c>
      <c r="D6" s="157">
        <f>MIN($C34,$C20,$C6)</f>
        <v>0.38194444444444442</v>
      </c>
      <c r="E6" s="154">
        <f>(C6/D6-1)*10*$AU$1</f>
        <v>0.32727272727272727</v>
      </c>
      <c r="F6" s="154">
        <f>(C6/D6-1)*10*$BD$1</f>
        <v>0.13090909090909089</v>
      </c>
      <c r="G6" s="155">
        <f>'Revenue - Year 5'!C6</f>
        <v>0</v>
      </c>
      <c r="H6" s="155">
        <f>'Revenue - Year 5'!D6</f>
        <v>0</v>
      </c>
      <c r="I6" s="166">
        <f>ROUNDDOWN((1-E6)*G6,0)</f>
        <v>0</v>
      </c>
      <c r="J6" s="166">
        <f>ROUND((1-F6)*H6,0)</f>
        <v>0</v>
      </c>
      <c r="K6" s="119">
        <v>0</v>
      </c>
      <c r="L6" s="148"/>
      <c r="M6" s="148"/>
      <c r="N6" s="148"/>
      <c r="O6" s="148"/>
      <c r="P6" s="120">
        <v>0</v>
      </c>
      <c r="Q6" s="120">
        <v>0</v>
      </c>
      <c r="R6" s="120">
        <v>0</v>
      </c>
      <c r="S6" s="120">
        <v>0</v>
      </c>
      <c r="T6" s="122">
        <v>0.45833333333333331</v>
      </c>
      <c r="U6" s="149">
        <f>T6+$AL$1</f>
        <v>0.58333333333333326</v>
      </c>
      <c r="V6" s="149">
        <f>MIN($U6,$U20,$U34)</f>
        <v>0.40277777777777773</v>
      </c>
      <c r="W6" s="154">
        <f t="shared" si="4"/>
        <v>0.22413793103448276</v>
      </c>
      <c r="X6" s="154">
        <f t="shared" si="5"/>
        <v>8.9655172413793102E-2</v>
      </c>
      <c r="Y6" s="155">
        <f>'Revenue - Year 5'!I6</f>
        <v>0</v>
      </c>
      <c r="Z6" s="155">
        <f>'Revenue - Year 5'!J6</f>
        <v>0</v>
      </c>
      <c r="AA6" s="166">
        <f t="shared" si="6"/>
        <v>0</v>
      </c>
      <c r="AB6" s="166">
        <f t="shared" si="7"/>
        <v>0</v>
      </c>
      <c r="AC6" s="122">
        <v>0.52777777777777779</v>
      </c>
      <c r="AD6" s="149">
        <f>AC6+$AL$1</f>
        <v>0.65277777777777779</v>
      </c>
      <c r="AE6" s="149">
        <f>MIN($AD6,$AD20,$AD34)</f>
        <v>0.64583333333333326</v>
      </c>
      <c r="AF6" s="154">
        <f t="shared" ref="AF6:AF7" si="14">(AD6/AE6-1)*10*$AU$1</f>
        <v>5.3763440860216116E-3</v>
      </c>
      <c r="AG6" s="154">
        <f t="shared" ref="AG6:AG7" si="15">(AD6/AE6-1)*10*$BD$1</f>
        <v>2.1505376344086446E-3</v>
      </c>
      <c r="AH6" s="155">
        <f>'Revenue - Year 5'!L6</f>
        <v>0</v>
      </c>
      <c r="AI6" s="155">
        <f>'Revenue - Year 5'!M6</f>
        <v>0</v>
      </c>
      <c r="AJ6" s="166">
        <f t="shared" si="8"/>
        <v>0</v>
      </c>
      <c r="AK6" s="166">
        <f t="shared" si="9"/>
        <v>0</v>
      </c>
      <c r="AL6" s="122">
        <v>0.58333333333333337</v>
      </c>
      <c r="AM6" s="149">
        <f>AL6+$AL$1</f>
        <v>0.70833333333333337</v>
      </c>
      <c r="AN6" s="149">
        <f>MIN($AM6,$AM20,$AM34)</f>
        <v>0.65625</v>
      </c>
      <c r="AO6" s="154">
        <f>(AM6/AN6-1)*10*$AU$1</f>
        <v>3.9682539682539764E-2</v>
      </c>
      <c r="AP6" s="154">
        <f>(AM6/AN6-1)*10*$BD$1</f>
        <v>1.5873015873015907E-2</v>
      </c>
      <c r="AQ6" s="155">
        <f>'Revenue - Year 5'!O6</f>
        <v>0</v>
      </c>
      <c r="AR6" s="155">
        <f>'Revenue - Year 5'!P6</f>
        <v>0</v>
      </c>
      <c r="AS6" s="166">
        <f t="shared" si="10"/>
        <v>0</v>
      </c>
      <c r="AT6" s="166">
        <f t="shared" si="11"/>
        <v>0</v>
      </c>
      <c r="AU6" s="122">
        <v>0.50694444444444442</v>
      </c>
      <c r="AV6" s="149">
        <f>AU6+$AL$1</f>
        <v>0.63194444444444442</v>
      </c>
      <c r="AW6" s="149">
        <f>MIN($AV6,$AV20,$AV34)</f>
        <v>0.39583333333333337</v>
      </c>
      <c r="AX6" s="154">
        <f>(AV6/AW6-1)*10*$AU$1</f>
        <v>0.2982456140350877</v>
      </c>
      <c r="AY6" s="154">
        <f>(AV6/AW6-1)*10*$BD$1</f>
        <v>0.11929824561403507</v>
      </c>
      <c r="AZ6" s="155">
        <f>'Revenue - Year 5'!R6</f>
        <v>0</v>
      </c>
      <c r="BA6" s="155">
        <f>'Revenue - Year 5'!S6</f>
        <v>0</v>
      </c>
      <c r="BB6" s="166">
        <f t="shared" si="12"/>
        <v>0</v>
      </c>
      <c r="BC6" s="166">
        <f t="shared" si="13"/>
        <v>0</v>
      </c>
      <c r="BD6" s="122">
        <v>0.27777777777777779</v>
      </c>
      <c r="BE6" s="156">
        <f>'Revenue - Year 5'!U6</f>
        <v>0</v>
      </c>
      <c r="BF6" s="156">
        <f>'Revenue - Year 5'!V6</f>
        <v>0</v>
      </c>
      <c r="BG6" s="169">
        <f t="shared" ref="BG6:BH12" si="16">I6+R6+AA6+AJ6+AS6+BB6+BE6</f>
        <v>0</v>
      </c>
      <c r="BH6" s="169">
        <f t="shared" si="16"/>
        <v>0</v>
      </c>
      <c r="BI6" s="115" t="str">
        <f t="shared" ref="BI6:BI12" si="17">IF(OR(BG6&gt;70,BH6&gt;270),"PB","OK")</f>
        <v>OK</v>
      </c>
      <c r="BJ6" s="135" t="s">
        <v>68</v>
      </c>
      <c r="BK6" s="135"/>
      <c r="BL6" s="135"/>
      <c r="BM6" s="136">
        <f>1440/60*(SUMPRODUCT(B5:B11,J5:J11)+SUMPRODUCT(K5:K11,S5:S11)+SUMPRODUCT(T5:T11,AB5:AB11)+SUMPRODUCT(AC5:AC11,AK5:AK11)+SUMPRODUCT(AL5:AL11,AT5:AT11)+SUMPRODUCT(AU5:AU11,BC5:BC11)+SUMPRODUCT(BD5:BD11*BF5:BF11))</f>
        <v>0</v>
      </c>
    </row>
    <row r="7" spans="1:69" ht="29.4" thickBot="1" x14ac:dyDescent="0.6">
      <c r="A7" s="123" t="s">
        <v>15</v>
      </c>
      <c r="B7" s="149">
        <v>0.40972222222222227</v>
      </c>
      <c r="C7" s="149">
        <f>B7+$AL$1</f>
        <v>0.53472222222222232</v>
      </c>
      <c r="D7" s="157">
        <f>MIN($C35,$C21,$C7)</f>
        <v>0.28472222222222221</v>
      </c>
      <c r="E7" s="154">
        <f t="shared" ref="E7:E10" si="18">(C7/D7-1)*10*$AU$1</f>
        <v>0.43902439024390266</v>
      </c>
      <c r="F7" s="154">
        <f t="shared" ref="F7:F10" si="19">(C7/D7-1)*10*$BD$1</f>
        <v>0.17560975609756108</v>
      </c>
      <c r="G7" s="155">
        <f>'Revenue - Year 5'!C7</f>
        <v>0</v>
      </c>
      <c r="H7" s="155">
        <f>'Revenue - Year 5'!D7</f>
        <v>0</v>
      </c>
      <c r="I7" s="166">
        <f t="shared" ref="I7:I11" si="20">ROUNDDOWN((1-E7)*G7,0)</f>
        <v>0</v>
      </c>
      <c r="J7" s="166">
        <f t="shared" ref="J7:J11" si="21">ROUND((1-F7)*H7,0)</f>
        <v>0</v>
      </c>
      <c r="K7" s="122">
        <v>0.45833333333333331</v>
      </c>
      <c r="L7" s="149">
        <f>K7+$AL$1</f>
        <v>0.58333333333333326</v>
      </c>
      <c r="M7" s="158">
        <f>MIN($L7,$L21,$L35)</f>
        <v>0.40277777777777773</v>
      </c>
      <c r="N7" s="154">
        <f t="shared" ref="N7:N10" si="22">(L7/M7-1)*10*$AU$1</f>
        <v>0.22413793103448276</v>
      </c>
      <c r="O7" s="154">
        <f t="shared" ref="O7:O10" si="23">(L7/M7-1)*10*$BD$1</f>
        <v>8.9655172413793102E-2</v>
      </c>
      <c r="P7" s="155">
        <f>'Revenue - Year 5'!F7</f>
        <v>0</v>
      </c>
      <c r="Q7" s="155">
        <f>'Revenue - Year 5'!G7</f>
        <v>0</v>
      </c>
      <c r="R7" s="166">
        <f t="shared" ref="R7:R11" si="24">ROUNDDOWN((1-N7)*P7,0)</f>
        <v>0</v>
      </c>
      <c r="S7" s="166">
        <f>ROUND((1-O7)*Q7,0)</f>
        <v>0</v>
      </c>
      <c r="T7" s="119">
        <v>0</v>
      </c>
      <c r="U7" s="148"/>
      <c r="V7" s="148"/>
      <c r="W7" s="148"/>
      <c r="X7" s="148"/>
      <c r="Y7" s="120">
        <v>0</v>
      </c>
      <c r="Z7" s="120">
        <v>0</v>
      </c>
      <c r="AA7" s="120">
        <v>0</v>
      </c>
      <c r="AB7" s="120">
        <v>0</v>
      </c>
      <c r="AC7" s="122">
        <v>0.43055555555555558</v>
      </c>
      <c r="AD7" s="149">
        <f>AC7+$AL$1</f>
        <v>0.55555555555555558</v>
      </c>
      <c r="AE7" s="149">
        <f>MIN($AD7,$AD21,$AD35)</f>
        <v>0.49305555555555558</v>
      </c>
      <c r="AF7" s="154">
        <f t="shared" si="14"/>
        <v>6.3380281690140872E-2</v>
      </c>
      <c r="AG7" s="154">
        <f t="shared" si="15"/>
        <v>2.5352112676056349E-2</v>
      </c>
      <c r="AH7" s="155">
        <f>'Revenue - Year 5'!L7</f>
        <v>0</v>
      </c>
      <c r="AI7" s="155">
        <f>'Revenue - Year 5'!M7</f>
        <v>0</v>
      </c>
      <c r="AJ7" s="166">
        <f t="shared" si="8"/>
        <v>0</v>
      </c>
      <c r="AK7" s="166">
        <f t="shared" si="9"/>
        <v>0</v>
      </c>
      <c r="AL7" s="122">
        <v>0.4861111111111111</v>
      </c>
      <c r="AM7" s="149">
        <f>AL7+$AL$1</f>
        <v>0.61111111111111116</v>
      </c>
      <c r="AN7" s="149">
        <f>MIN($AM7,$AM21,$AM35)</f>
        <v>0.49652777777777773</v>
      </c>
      <c r="AO7" s="154">
        <f>(AM7/AN7-1)*10*$AU$1</f>
        <v>0.11538461538461553</v>
      </c>
      <c r="AP7" s="154">
        <f>(AM7/AN7-1)*10*$BD$1</f>
        <v>4.6153846153846212E-2</v>
      </c>
      <c r="AQ7" s="155">
        <f>'Revenue - Year 5'!O7</f>
        <v>0</v>
      </c>
      <c r="AR7" s="155">
        <f>'Revenue - Year 5'!P7</f>
        <v>0</v>
      </c>
      <c r="AS7" s="166">
        <f t="shared" si="10"/>
        <v>0</v>
      </c>
      <c r="AT7" s="166">
        <f t="shared" si="11"/>
        <v>0</v>
      </c>
      <c r="AU7" s="122">
        <v>0.40972222222222227</v>
      </c>
      <c r="AV7" s="149">
        <f>AU7+$AL$1</f>
        <v>0.53472222222222232</v>
      </c>
      <c r="AW7" s="149">
        <f>MIN($AV7,$AV21,$AV35)</f>
        <v>0.27777777777777779</v>
      </c>
      <c r="AX7" s="154">
        <f>(AV7/AW7-1)*10*$AU$1</f>
        <v>0.46250000000000019</v>
      </c>
      <c r="AY7" s="154">
        <f>(AV7/AW7-1)*10*$BD$1</f>
        <v>0.18500000000000008</v>
      </c>
      <c r="AZ7" s="155">
        <f>'Revenue - Year 5'!R7</f>
        <v>0</v>
      </c>
      <c r="BA7" s="155">
        <f>'Revenue - Year 5'!S7</f>
        <v>0</v>
      </c>
      <c r="BB7" s="166">
        <f t="shared" si="12"/>
        <v>0</v>
      </c>
      <c r="BC7" s="166">
        <f t="shared" si="13"/>
        <v>0</v>
      </c>
      <c r="BD7" s="122">
        <v>0.18055555555555555</v>
      </c>
      <c r="BE7" s="156">
        <f>'Revenue - Year 5'!U7</f>
        <v>0</v>
      </c>
      <c r="BF7" s="156">
        <f>'Revenue - Year 5'!V7</f>
        <v>0</v>
      </c>
      <c r="BG7" s="169">
        <f t="shared" si="16"/>
        <v>0</v>
      </c>
      <c r="BH7" s="169">
        <f t="shared" si="16"/>
        <v>0</v>
      </c>
      <c r="BI7" s="115" t="str">
        <f t="shared" si="17"/>
        <v>OK</v>
      </c>
      <c r="BJ7" s="135" t="s">
        <v>58</v>
      </c>
      <c r="BK7" s="135"/>
      <c r="BL7" s="135"/>
      <c r="BM7" s="137">
        <f>BM5+BM6</f>
        <v>0</v>
      </c>
    </row>
    <row r="8" spans="1:69" ht="29.4" thickBot="1" x14ac:dyDescent="0.6">
      <c r="A8" s="124" t="s">
        <v>13</v>
      </c>
      <c r="B8" s="149">
        <v>0.47916666666666669</v>
      </c>
      <c r="C8" s="149">
        <f>B8+$AL$1</f>
        <v>0.60416666666666674</v>
      </c>
      <c r="D8" s="157">
        <f>MIN($C36,$C22,$C8)</f>
        <v>0.4861111111111111</v>
      </c>
      <c r="E8" s="154">
        <f t="shared" si="18"/>
        <v>0.12142857142857155</v>
      </c>
      <c r="F8" s="154">
        <f t="shared" si="19"/>
        <v>4.857142857142862E-2</v>
      </c>
      <c r="G8" s="155">
        <f>'Revenue - Year 5'!C8</f>
        <v>0</v>
      </c>
      <c r="H8" s="155">
        <f>'Revenue - Year 5'!D8</f>
        <v>0</v>
      </c>
      <c r="I8" s="166">
        <f t="shared" si="20"/>
        <v>0</v>
      </c>
      <c r="J8" s="166">
        <f t="shared" si="21"/>
        <v>0</v>
      </c>
      <c r="K8" s="122">
        <v>0.52777777777777779</v>
      </c>
      <c r="L8" s="149">
        <f>K8+$AL$1</f>
        <v>0.65277777777777779</v>
      </c>
      <c r="M8" s="158">
        <f>MIN($L8,$L22,$L36)</f>
        <v>0.64583333333333326</v>
      </c>
      <c r="N8" s="154">
        <f t="shared" si="22"/>
        <v>5.3763440860216116E-3</v>
      </c>
      <c r="O8" s="154">
        <f t="shared" si="23"/>
        <v>2.1505376344086446E-3</v>
      </c>
      <c r="P8" s="155">
        <f>'Revenue - Year 5'!F8</f>
        <v>0</v>
      </c>
      <c r="Q8" s="155">
        <f>'Revenue - Year 5'!G8</f>
        <v>0</v>
      </c>
      <c r="R8" s="166">
        <f t="shared" si="24"/>
        <v>0</v>
      </c>
      <c r="S8" s="166">
        <f t="shared" ref="S8:S11" si="25">ROUND((1-O8)*Q8,0)</f>
        <v>0</v>
      </c>
      <c r="T8" s="122">
        <v>0.43055555555555558</v>
      </c>
      <c r="U8" s="149">
        <f>T8+$AL$1</f>
        <v>0.55555555555555558</v>
      </c>
      <c r="V8" s="149">
        <f>MIN($U8,$U22,$U36)</f>
        <v>0.49305555555555558</v>
      </c>
      <c r="W8" s="154">
        <f t="shared" ref="W8:W10" si="26">(U8/V8-1)*10*$AU$1</f>
        <v>6.3380281690140872E-2</v>
      </c>
      <c r="X8" s="154">
        <f t="shared" ref="X8:X10" si="27">(U8/V8-1)*10*$BD$1</f>
        <v>2.5352112676056349E-2</v>
      </c>
      <c r="Y8" s="155">
        <f>'Revenue - Year 5'!I8</f>
        <v>0</v>
      </c>
      <c r="Z8" s="155">
        <f>'Revenue - Year 5'!J8</f>
        <v>0</v>
      </c>
      <c r="AA8" s="166">
        <f t="shared" ref="AA8:AA11" si="28">ROUNDDOWN((1-W8)*Y8,0)</f>
        <v>0</v>
      </c>
      <c r="AB8" s="166">
        <f t="shared" ref="AB8:AB11" si="29">ROUND((1-X8)*Z8,0)</f>
        <v>0</v>
      </c>
      <c r="AC8" s="119">
        <v>0</v>
      </c>
      <c r="AD8" s="148"/>
      <c r="AE8" s="148"/>
      <c r="AF8" s="148"/>
      <c r="AG8" s="148"/>
      <c r="AH8" s="120">
        <v>0</v>
      </c>
      <c r="AI8" s="120">
        <v>0</v>
      </c>
      <c r="AJ8" s="120">
        <v>0</v>
      </c>
      <c r="AK8" s="120">
        <v>0</v>
      </c>
      <c r="AL8" s="122">
        <v>0.55555555555555558</v>
      </c>
      <c r="AM8" s="149">
        <f>AL8+$AL$1</f>
        <v>0.68055555555555558</v>
      </c>
      <c r="AN8" s="149">
        <f>MIN($AM8,$AM23,$AM37)</f>
        <v>0.68055555555555558</v>
      </c>
      <c r="AO8" s="154">
        <f>(AM8/AN8-1)*10*$AU$1</f>
        <v>0</v>
      </c>
      <c r="AP8" s="154">
        <f>(AM8/AN8-1)*10*$BD$1</f>
        <v>0</v>
      </c>
      <c r="AQ8" s="155">
        <f>'Revenue - Year 5'!O8</f>
        <v>0</v>
      </c>
      <c r="AR8" s="155">
        <f>'Revenue - Year 5'!P8</f>
        <v>0</v>
      </c>
      <c r="AS8" s="166">
        <f t="shared" si="10"/>
        <v>0</v>
      </c>
      <c r="AT8" s="166">
        <f t="shared" si="11"/>
        <v>0</v>
      </c>
      <c r="AU8" s="122">
        <v>0.47916666666666669</v>
      </c>
      <c r="AV8" s="149">
        <f>AU8+$AL$1</f>
        <v>0.60416666666666674</v>
      </c>
      <c r="AW8" s="149">
        <f>MIN($AV8,$AV22,$AV36)</f>
        <v>0.5</v>
      </c>
      <c r="AX8" s="154">
        <f>(AV8/AW8-1)*10*$AU$1</f>
        <v>0.10416666666666674</v>
      </c>
      <c r="AY8" s="154">
        <f>(AV8/AW8-1)*10*$BD$1</f>
        <v>4.1666666666666699E-2</v>
      </c>
      <c r="AZ8" s="155">
        <f>'Revenue - Year 5'!R8</f>
        <v>0</v>
      </c>
      <c r="BA8" s="155">
        <f>'Revenue - Year 5'!S8</f>
        <v>0</v>
      </c>
      <c r="BB8" s="166">
        <f t="shared" si="12"/>
        <v>0</v>
      </c>
      <c r="BC8" s="166">
        <f t="shared" si="13"/>
        <v>0</v>
      </c>
      <c r="BD8" s="122">
        <v>0.25</v>
      </c>
      <c r="BE8" s="156">
        <f>'Revenue - Year 5'!U8</f>
        <v>0</v>
      </c>
      <c r="BF8" s="156">
        <f>'Revenue - Year 5'!V8</f>
        <v>0</v>
      </c>
      <c r="BG8" s="169">
        <f t="shared" si="16"/>
        <v>0</v>
      </c>
      <c r="BH8" s="169">
        <f t="shared" si="16"/>
        <v>0</v>
      </c>
      <c r="BI8" s="115" t="str">
        <f t="shared" si="17"/>
        <v>OK</v>
      </c>
      <c r="BJ8" s="181" t="s">
        <v>74</v>
      </c>
      <c r="BK8" s="135"/>
      <c r="BL8" s="135"/>
      <c r="BM8" s="138">
        <f>35*BM7</f>
        <v>0</v>
      </c>
    </row>
    <row r="9" spans="1:69" ht="29.4" thickBot="1" x14ac:dyDescent="0.6">
      <c r="A9" s="125" t="s">
        <v>16</v>
      </c>
      <c r="B9" s="149">
        <v>0.53472222222222221</v>
      </c>
      <c r="C9" s="149">
        <f>B9+$AL$1</f>
        <v>0.65972222222222221</v>
      </c>
      <c r="D9" s="157">
        <f>MIN($C37,$C23,$C9)</f>
        <v>0.53472222222222221</v>
      </c>
      <c r="E9" s="154">
        <f t="shared" si="18"/>
        <v>0.11688311688311692</v>
      </c>
      <c r="F9" s="154">
        <f t="shared" si="19"/>
        <v>4.6753246753246769E-2</v>
      </c>
      <c r="G9" s="155">
        <f>'Revenue - Year 5'!C9</f>
        <v>0</v>
      </c>
      <c r="H9" s="155">
        <f>'Revenue - Year 5'!D9</f>
        <v>0</v>
      </c>
      <c r="I9" s="166">
        <f t="shared" si="20"/>
        <v>0</v>
      </c>
      <c r="J9" s="166">
        <f t="shared" si="21"/>
        <v>0</v>
      </c>
      <c r="K9" s="122">
        <v>0.58333333333333337</v>
      </c>
      <c r="L9" s="149">
        <f>K9+$AL$1</f>
        <v>0.70833333333333337</v>
      </c>
      <c r="M9" s="158">
        <f>MIN($L9,$L23,$L37)</f>
        <v>0.65625</v>
      </c>
      <c r="N9" s="154">
        <f t="shared" si="22"/>
        <v>3.9682539682539764E-2</v>
      </c>
      <c r="O9" s="154">
        <f t="shared" si="23"/>
        <v>1.5873015873015907E-2</v>
      </c>
      <c r="P9" s="155">
        <f>'Revenue - Year 5'!F9</f>
        <v>0</v>
      </c>
      <c r="Q9" s="155">
        <f>'Revenue - Year 5'!G9</f>
        <v>0</v>
      </c>
      <c r="R9" s="166">
        <f t="shared" si="24"/>
        <v>0</v>
      </c>
      <c r="S9" s="166">
        <f t="shared" si="25"/>
        <v>0</v>
      </c>
      <c r="T9" s="122">
        <v>0.4861111111111111</v>
      </c>
      <c r="U9" s="149">
        <f>T9+$AL$1</f>
        <v>0.61111111111111116</v>
      </c>
      <c r="V9" s="149">
        <f>MIN($U9,$U23,$U37)</f>
        <v>0.49652777777777773</v>
      </c>
      <c r="W9" s="154">
        <f t="shared" si="26"/>
        <v>0.11538461538461553</v>
      </c>
      <c r="X9" s="154">
        <f t="shared" si="27"/>
        <v>4.6153846153846212E-2</v>
      </c>
      <c r="Y9" s="155">
        <f>'Revenue - Year 5'!I9</f>
        <v>0</v>
      </c>
      <c r="Z9" s="155">
        <f>'Revenue - Year 5'!J9</f>
        <v>0</v>
      </c>
      <c r="AA9" s="166">
        <f t="shared" si="28"/>
        <v>0</v>
      </c>
      <c r="AB9" s="166">
        <f t="shared" si="29"/>
        <v>0</v>
      </c>
      <c r="AC9" s="122">
        <v>0.55555555555555558</v>
      </c>
      <c r="AD9" s="149">
        <f>AC9+$AL$1</f>
        <v>0.68055555555555558</v>
      </c>
      <c r="AE9" s="149">
        <f>MIN($AD9,$AD23,$AD37)</f>
        <v>0.68055555555555558</v>
      </c>
      <c r="AF9" s="154">
        <f t="shared" ref="AF9:AF10" si="30">(AD9/AE9-1)*10*$AU$1</f>
        <v>0</v>
      </c>
      <c r="AG9" s="154">
        <f t="shared" ref="AG9:AG10" si="31">(AD9/AE9-1)*10*$BD$1</f>
        <v>0</v>
      </c>
      <c r="AH9" s="155">
        <f>'Revenue - Year 5'!L9</f>
        <v>0</v>
      </c>
      <c r="AI9" s="155">
        <f>'Revenue - Year 5'!M9</f>
        <v>0</v>
      </c>
      <c r="AJ9" s="166">
        <f t="shared" ref="AJ9:AJ11" si="32">ROUNDDOWN((1-AF9)*AH9,0)</f>
        <v>0</v>
      </c>
      <c r="AK9" s="166">
        <f t="shared" ref="AK9:AK11" si="33">ROUND((1-AG9)*AI9,0)</f>
        <v>0</v>
      </c>
      <c r="AL9" s="119">
        <v>0</v>
      </c>
      <c r="AM9" s="148"/>
      <c r="AN9" s="148"/>
      <c r="AO9" s="148"/>
      <c r="AP9" s="148"/>
      <c r="AQ9" s="120">
        <v>0</v>
      </c>
      <c r="AR9" s="120">
        <v>0</v>
      </c>
      <c r="AS9" s="120">
        <v>0</v>
      </c>
      <c r="AT9" s="120">
        <v>0</v>
      </c>
      <c r="AU9" s="122">
        <v>0.53472222222222221</v>
      </c>
      <c r="AV9" s="149">
        <f>AU9+$AL$1</f>
        <v>0.65972222222222221</v>
      </c>
      <c r="AW9" s="149">
        <f>MIN($AV9,$AV23,$AV37)</f>
        <v>0.53125</v>
      </c>
      <c r="AX9" s="154">
        <f>(AV9/AW9-1)*10*$AU$1</f>
        <v>0.12091503267973858</v>
      </c>
      <c r="AY9" s="154">
        <f>(AV9/AW9-1)*10*$BD$1</f>
        <v>4.8366013071895433E-2</v>
      </c>
      <c r="AZ9" s="155">
        <f>'Revenue - Year 5'!R9</f>
        <v>0</v>
      </c>
      <c r="BA9" s="155">
        <f>'Revenue - Year 5'!S9</f>
        <v>0</v>
      </c>
      <c r="BB9" s="166">
        <f t="shared" si="12"/>
        <v>0</v>
      </c>
      <c r="BC9" s="166">
        <f t="shared" si="13"/>
        <v>0</v>
      </c>
      <c r="BD9" s="122">
        <v>0.30555555555555552</v>
      </c>
      <c r="BE9" s="156">
        <f>'Revenue - Year 5'!U9</f>
        <v>0</v>
      </c>
      <c r="BF9" s="156">
        <f>'Revenue - Year 5'!V9</f>
        <v>0</v>
      </c>
      <c r="BG9" s="169">
        <f t="shared" si="16"/>
        <v>0</v>
      </c>
      <c r="BH9" s="169">
        <f t="shared" si="16"/>
        <v>0</v>
      </c>
      <c r="BI9" s="115" t="str">
        <f t="shared" si="17"/>
        <v>OK</v>
      </c>
      <c r="BJ9" s="135"/>
      <c r="BK9" s="135" t="s">
        <v>121</v>
      </c>
      <c r="BL9" s="135"/>
      <c r="BM9" s="182" t="e">
        <f>(BM8/'Revenue - Year 6'!BM8)-1</f>
        <v>#DIV/0!</v>
      </c>
    </row>
    <row r="10" spans="1:69" ht="29.4" thickBot="1" x14ac:dyDescent="0.6">
      <c r="A10" s="126" t="s">
        <v>14</v>
      </c>
      <c r="B10" s="149">
        <v>0.45833333333333331</v>
      </c>
      <c r="C10" s="149">
        <f>B10+$AL$1</f>
        <v>0.58333333333333326</v>
      </c>
      <c r="D10" s="157">
        <f>MIN($C38,$C24,$C10)</f>
        <v>0.2361111111111111</v>
      </c>
      <c r="E10" s="154">
        <f t="shared" si="18"/>
        <v>0.73529411764705876</v>
      </c>
      <c r="F10" s="154">
        <f t="shared" si="19"/>
        <v>0.29411764705882348</v>
      </c>
      <c r="G10" s="155">
        <f>'Revenue - Year 5'!C10</f>
        <v>0</v>
      </c>
      <c r="H10" s="155">
        <f>'Revenue - Year 5'!D10</f>
        <v>0</v>
      </c>
      <c r="I10" s="166">
        <f t="shared" si="20"/>
        <v>0</v>
      </c>
      <c r="J10" s="166">
        <f t="shared" si="21"/>
        <v>0</v>
      </c>
      <c r="K10" s="122">
        <v>0.50694444444444442</v>
      </c>
      <c r="L10" s="149">
        <f>K10+$AL$1</f>
        <v>0.63194444444444442</v>
      </c>
      <c r="M10" s="158">
        <f>MIN($L10,$L24,$L38)</f>
        <v>0.39583333333333337</v>
      </c>
      <c r="N10" s="154">
        <f t="shared" si="22"/>
        <v>0.2982456140350877</v>
      </c>
      <c r="O10" s="154">
        <f t="shared" si="23"/>
        <v>0.11929824561403507</v>
      </c>
      <c r="P10" s="155">
        <f>'Revenue - Year 5'!F10</f>
        <v>0</v>
      </c>
      <c r="Q10" s="155">
        <f>'Revenue - Year 5'!G10</f>
        <v>0</v>
      </c>
      <c r="R10" s="166">
        <f t="shared" si="24"/>
        <v>0</v>
      </c>
      <c r="S10" s="166">
        <f t="shared" si="25"/>
        <v>0</v>
      </c>
      <c r="T10" s="122">
        <v>0.40972222222222227</v>
      </c>
      <c r="U10" s="149">
        <f>T10+$AL$1</f>
        <v>0.53472222222222232</v>
      </c>
      <c r="V10" s="149">
        <f>MIN($U10,$U24,$U38)</f>
        <v>0.27777777777777779</v>
      </c>
      <c r="W10" s="154">
        <f t="shared" si="26"/>
        <v>0.46250000000000019</v>
      </c>
      <c r="X10" s="154">
        <f t="shared" si="27"/>
        <v>0.18500000000000008</v>
      </c>
      <c r="Y10" s="155">
        <f>'Revenue - Year 5'!I10</f>
        <v>0</v>
      </c>
      <c r="Z10" s="155">
        <f>'Revenue - Year 5'!J10</f>
        <v>0</v>
      </c>
      <c r="AA10" s="166">
        <f t="shared" si="28"/>
        <v>0</v>
      </c>
      <c r="AB10" s="166">
        <f t="shared" si="29"/>
        <v>0</v>
      </c>
      <c r="AC10" s="122">
        <v>0.47916666666666669</v>
      </c>
      <c r="AD10" s="149">
        <f>AC10+$AL$1</f>
        <v>0.60416666666666674</v>
      </c>
      <c r="AE10" s="149">
        <f>MIN($AD10,$AD24,$AD38)</f>
        <v>0.5</v>
      </c>
      <c r="AF10" s="154">
        <f t="shared" si="30"/>
        <v>0.10416666666666674</v>
      </c>
      <c r="AG10" s="154">
        <f t="shared" si="31"/>
        <v>4.1666666666666699E-2</v>
      </c>
      <c r="AH10" s="155">
        <f>'Revenue - Year 5'!L10</f>
        <v>0</v>
      </c>
      <c r="AI10" s="155">
        <f>'Revenue - Year 5'!M10</f>
        <v>0</v>
      </c>
      <c r="AJ10" s="166">
        <f t="shared" si="32"/>
        <v>0</v>
      </c>
      <c r="AK10" s="166">
        <f t="shared" si="33"/>
        <v>0</v>
      </c>
      <c r="AL10" s="122">
        <v>0.53472222222222221</v>
      </c>
      <c r="AM10" s="149">
        <f>AL10+$AL$1</f>
        <v>0.65972222222222221</v>
      </c>
      <c r="AN10" s="149">
        <f>MIN($AM10,$AM24,$AM38)</f>
        <v>0.53125</v>
      </c>
      <c r="AO10" s="154">
        <f>(AM10/AN10-1)*10*$AU$1</f>
        <v>0.12091503267973858</v>
      </c>
      <c r="AP10" s="154">
        <f>(AM10/AN10-1)*10*$BD$1</f>
        <v>4.8366013071895433E-2</v>
      </c>
      <c r="AQ10" s="155">
        <f>'Revenue - Year 5'!O10</f>
        <v>0</v>
      </c>
      <c r="AR10" s="155">
        <f>'Revenue - Year 5'!P10</f>
        <v>0</v>
      </c>
      <c r="AS10" s="166">
        <f t="shared" ref="AS10:AS11" si="34">ROUNDDOWN((1-AO10)*AQ10,0)</f>
        <v>0</v>
      </c>
      <c r="AT10" s="166">
        <f t="shared" ref="AT10:AT11" si="35">ROUND((1-AP10)*AR10,0)</f>
        <v>0</v>
      </c>
      <c r="AU10" s="119">
        <v>0</v>
      </c>
      <c r="AV10" s="148"/>
      <c r="AW10" s="148"/>
      <c r="AX10" s="148"/>
      <c r="AY10" s="148"/>
      <c r="AZ10" s="120">
        <v>0</v>
      </c>
      <c r="BA10" s="120">
        <v>0</v>
      </c>
      <c r="BB10" s="120">
        <v>0</v>
      </c>
      <c r="BC10" s="120">
        <v>0</v>
      </c>
      <c r="BD10" s="122">
        <v>0.22916666666666666</v>
      </c>
      <c r="BE10" s="156">
        <f>'Revenue - Year 5'!U10</f>
        <v>0</v>
      </c>
      <c r="BF10" s="156">
        <f>'Revenue - Year 5'!V10</f>
        <v>0</v>
      </c>
      <c r="BG10" s="169">
        <f t="shared" si="16"/>
        <v>0</v>
      </c>
      <c r="BH10" s="169">
        <f t="shared" si="16"/>
        <v>0</v>
      </c>
      <c r="BI10" s="115" t="str">
        <f t="shared" si="17"/>
        <v>OK</v>
      </c>
      <c r="BJ10" s="135" t="s">
        <v>59</v>
      </c>
      <c r="BK10" s="135"/>
      <c r="BL10" s="135"/>
      <c r="BM10" s="136">
        <f>BM12-BM11</f>
        <v>0</v>
      </c>
    </row>
    <row r="11" spans="1:69" ht="29.4" thickBot="1" x14ac:dyDescent="0.6">
      <c r="A11" s="127" t="s">
        <v>35</v>
      </c>
      <c r="B11" s="149">
        <v>0.22916666666666666</v>
      </c>
      <c r="C11" s="149"/>
      <c r="D11" s="149"/>
      <c r="E11" s="154"/>
      <c r="F11" s="154"/>
      <c r="G11" s="155">
        <f>'Revenue - Year 5'!C11</f>
        <v>0</v>
      </c>
      <c r="H11" s="155">
        <f>'Revenue - Year 5'!D11</f>
        <v>0</v>
      </c>
      <c r="I11" s="166">
        <f t="shared" si="20"/>
        <v>0</v>
      </c>
      <c r="J11" s="166">
        <f t="shared" si="21"/>
        <v>0</v>
      </c>
      <c r="K11" s="122">
        <v>0.27777777777777779</v>
      </c>
      <c r="L11" s="149"/>
      <c r="M11" s="149"/>
      <c r="N11" s="154"/>
      <c r="O11" s="154"/>
      <c r="P11" s="155">
        <f>'Revenue - Year 5'!F11</f>
        <v>0</v>
      </c>
      <c r="Q11" s="155">
        <f>'Revenue - Year 5'!G11</f>
        <v>0</v>
      </c>
      <c r="R11" s="166">
        <f t="shared" si="24"/>
        <v>0</v>
      </c>
      <c r="S11" s="166">
        <f t="shared" si="25"/>
        <v>0</v>
      </c>
      <c r="T11" s="122">
        <v>0.18055555555555555</v>
      </c>
      <c r="U11" s="149"/>
      <c r="V11" s="149"/>
      <c r="W11" s="154"/>
      <c r="X11" s="154"/>
      <c r="Y11" s="155">
        <f>'Revenue - Year 5'!I11</f>
        <v>0</v>
      </c>
      <c r="Z11" s="155">
        <f>'Revenue - Year 5'!J11</f>
        <v>0</v>
      </c>
      <c r="AA11" s="166">
        <f t="shared" si="28"/>
        <v>0</v>
      </c>
      <c r="AB11" s="166">
        <f t="shared" si="29"/>
        <v>0</v>
      </c>
      <c r="AC11" s="122">
        <v>0.25</v>
      </c>
      <c r="AD11" s="149"/>
      <c r="AE11" s="149"/>
      <c r="AF11" s="154"/>
      <c r="AG11" s="154"/>
      <c r="AH11" s="155">
        <f>'Revenue - Year 5'!L11</f>
        <v>0</v>
      </c>
      <c r="AI11" s="155">
        <f>'Revenue - Year 5'!M11</f>
        <v>0</v>
      </c>
      <c r="AJ11" s="166">
        <f t="shared" si="32"/>
        <v>0</v>
      </c>
      <c r="AK11" s="166">
        <f t="shared" si="33"/>
        <v>0</v>
      </c>
      <c r="AL11" s="122">
        <v>0.30555555555555552</v>
      </c>
      <c r="AM11" s="149"/>
      <c r="AN11" s="149"/>
      <c r="AO11" s="154"/>
      <c r="AP11" s="154"/>
      <c r="AQ11" s="155">
        <f>'Revenue - Year 5'!O11</f>
        <v>0</v>
      </c>
      <c r="AR11" s="155">
        <f>'Revenue - Year 5'!P11</f>
        <v>0</v>
      </c>
      <c r="AS11" s="166">
        <f t="shared" si="34"/>
        <v>0</v>
      </c>
      <c r="AT11" s="166">
        <f t="shared" si="35"/>
        <v>0</v>
      </c>
      <c r="AU11" s="122">
        <v>0.22916666666666666</v>
      </c>
      <c r="AV11" s="149"/>
      <c r="AW11" s="149"/>
      <c r="AX11" s="154"/>
      <c r="AY11" s="154"/>
      <c r="AZ11" s="155">
        <f>'Revenue - Year 5'!R11</f>
        <v>0</v>
      </c>
      <c r="BA11" s="155">
        <f>'Revenue - Year 5'!S11</f>
        <v>0</v>
      </c>
      <c r="BB11" s="166">
        <f t="shared" ref="BB11" si="36">ROUNDDOWN((1-AX11)*AZ11,0)</f>
        <v>0</v>
      </c>
      <c r="BC11" s="166">
        <f t="shared" ref="BC11" si="37">ROUND((1-AY11)*BA11,0)</f>
        <v>0</v>
      </c>
      <c r="BD11" s="119">
        <v>0</v>
      </c>
      <c r="BE11" s="120">
        <v>0</v>
      </c>
      <c r="BF11" s="120">
        <v>0</v>
      </c>
      <c r="BG11" s="169">
        <f t="shared" si="16"/>
        <v>0</v>
      </c>
      <c r="BH11" s="169">
        <f t="shared" si="16"/>
        <v>0</v>
      </c>
      <c r="BI11" s="115" t="str">
        <f t="shared" si="17"/>
        <v>OK</v>
      </c>
      <c r="BJ11" s="135" t="s">
        <v>60</v>
      </c>
      <c r="BK11" s="135"/>
      <c r="BL11" s="135"/>
      <c r="BM11" s="136">
        <f>SUM(I11:J11,R11:S11,AA11:AB11,AJ11:AK11,AS11:AT11,BB11:BC11)+SUM(BE5:BF10)</f>
        <v>0</v>
      </c>
    </row>
    <row r="12" spans="1:69" ht="29.4" thickBot="1" x14ac:dyDescent="0.6">
      <c r="A12" s="128" t="s">
        <v>40</v>
      </c>
      <c r="B12" s="122"/>
      <c r="C12" s="122"/>
      <c r="D12" s="122"/>
      <c r="E12" s="122"/>
      <c r="F12" s="122"/>
      <c r="G12" s="165"/>
      <c r="H12" s="165"/>
      <c r="I12" s="129">
        <f>SUM(I5:I11)</f>
        <v>0</v>
      </c>
      <c r="J12" s="129">
        <f>SUM(J5:J11)</f>
        <v>0</v>
      </c>
      <c r="K12" s="122"/>
      <c r="L12" s="122"/>
      <c r="M12" s="122"/>
      <c r="N12" s="122"/>
      <c r="O12" s="122"/>
      <c r="P12" s="165"/>
      <c r="Q12" s="165"/>
      <c r="R12" s="129">
        <f>SUM(R5:R11)</f>
        <v>0</v>
      </c>
      <c r="S12" s="129">
        <f>SUM(S5:S11)</f>
        <v>0</v>
      </c>
      <c r="T12" s="122"/>
      <c r="U12" s="122"/>
      <c r="V12" s="122"/>
      <c r="W12" s="122"/>
      <c r="X12" s="122"/>
      <c r="Y12" s="165"/>
      <c r="Z12" s="165"/>
      <c r="AA12" s="129">
        <f>SUM(AA5:AA11)</f>
        <v>0</v>
      </c>
      <c r="AB12" s="129">
        <f>SUM(AB5:AB11)</f>
        <v>0</v>
      </c>
      <c r="AC12" s="122"/>
      <c r="AD12" s="122"/>
      <c r="AE12" s="122"/>
      <c r="AF12" s="122"/>
      <c r="AG12" s="122"/>
      <c r="AH12" s="165"/>
      <c r="AI12" s="165"/>
      <c r="AJ12" s="129">
        <f>SUM(AJ5:AJ11)</f>
        <v>0</v>
      </c>
      <c r="AK12" s="129">
        <f>SUM(AK5:AK11)</f>
        <v>0</v>
      </c>
      <c r="AL12" s="122"/>
      <c r="AM12" s="122"/>
      <c r="AN12" s="122"/>
      <c r="AO12" s="122"/>
      <c r="AP12" s="122"/>
      <c r="AQ12" s="165"/>
      <c r="AR12" s="165"/>
      <c r="AS12" s="129">
        <f>SUM(AS5:AS11)</f>
        <v>0</v>
      </c>
      <c r="AT12" s="129">
        <f>SUM(AT5:AT11)</f>
        <v>0</v>
      </c>
      <c r="AU12" s="122"/>
      <c r="AV12" s="122"/>
      <c r="AW12" s="122"/>
      <c r="AX12" s="122"/>
      <c r="AY12" s="122"/>
      <c r="AZ12" s="165"/>
      <c r="BA12" s="165"/>
      <c r="BB12" s="129">
        <f>SUM(BB5:BB11)</f>
        <v>0</v>
      </c>
      <c r="BC12" s="129">
        <f>SUM(BC5:BC11)</f>
        <v>0</v>
      </c>
      <c r="BD12" s="122"/>
      <c r="BE12" s="129">
        <f>SUM(BE5:BE11)</f>
        <v>0</v>
      </c>
      <c r="BF12" s="129">
        <f>SUM(BF5:BF11)</f>
        <v>0</v>
      </c>
      <c r="BG12" s="169">
        <f t="shared" si="16"/>
        <v>0</v>
      </c>
      <c r="BH12" s="169">
        <f t="shared" si="16"/>
        <v>0</v>
      </c>
      <c r="BI12" s="115" t="str">
        <f t="shared" si="17"/>
        <v>OK</v>
      </c>
      <c r="BJ12" s="181" t="s">
        <v>61</v>
      </c>
      <c r="BK12" s="135"/>
      <c r="BL12" s="135"/>
      <c r="BM12" s="136">
        <f>SUM(B12:BF12)</f>
        <v>0</v>
      </c>
    </row>
    <row r="13" spans="1:69" ht="28.8" x14ac:dyDescent="0.55000000000000004">
      <c r="A13" s="115"/>
      <c r="B13" s="115"/>
      <c r="C13" s="115" t="str">
        <f>+IF(C4="Y",IF(C12&gt;270,"PB","OK"),IF(C12&gt;70,"PB","OK"))</f>
        <v>OK</v>
      </c>
      <c r="D13" s="115" t="str">
        <f t="shared" ref="D13" si="38">+IF(D4="Y",IF(D12&gt;270,"PB","ok"),IF(D12&gt;70,"PB","OK"))</f>
        <v>OK</v>
      </c>
      <c r="E13" s="115"/>
      <c r="F13" s="115" t="str">
        <f t="shared" ref="F13" si="39">+IF(F4="Y",IF(F12&gt;270,"PB","ok"),IF(F12&gt;70,"PB","OK"))</f>
        <v>OK</v>
      </c>
      <c r="I13" s="115" t="str">
        <f>+IF(I4="Traffic Y",IF(I12&gt;270,"PB","OK"),IF(I12&gt;70,"PB","OK"))</f>
        <v>OK</v>
      </c>
      <c r="J13" s="115" t="str">
        <f>+IF(H4="Y",IF(H12&gt;270,"PB","ok"),IF(H12&gt;70,"PB","OK"))</f>
        <v>OK</v>
      </c>
      <c r="K13" s="115"/>
      <c r="L13" s="115" t="str">
        <f t="shared" ref="L13:M13" si="40">+IF(L4="Y",IF(L12&gt;270,"PB","ok"),IF(L12&gt;70,"PB","OK"))</f>
        <v>OK</v>
      </c>
      <c r="M13" s="115" t="str">
        <f t="shared" si="40"/>
        <v>OK</v>
      </c>
      <c r="N13" s="115"/>
      <c r="O13" s="115" t="str">
        <f t="shared" ref="O13" si="41">+IF(O4="Y",IF(O12&gt;270,"PB","ok"),IF(O12&gt;70,"PB","OK"))</f>
        <v>OK</v>
      </c>
      <c r="R13" s="115" t="str">
        <f>+IF(R4="Traffic Y",IF(R12&gt;270,"PB","OK"),IF(R12&gt;70,"PB","OK"))</f>
        <v>OK</v>
      </c>
      <c r="S13" s="115" t="str">
        <f>+IF(Q4="Y",IF(Q12&gt;270,"PB","ok"),IF(Q12&gt;70,"PB","OK"))</f>
        <v>OK</v>
      </c>
      <c r="T13" s="101"/>
      <c r="U13" s="101"/>
      <c r="V13" s="115" t="str">
        <f>+IF(V4="Traffic Y",IF(V12&gt;270,"PB","OK"),IF(V12&gt;70,"PB","OK"))</f>
        <v>OK</v>
      </c>
      <c r="W13" s="115" t="str">
        <f>+IF(U4="Y",IF(U12&gt;270,"PB","ok"),IF(U12&gt;70,"PB","OK"))</f>
        <v>OK</v>
      </c>
      <c r="X13" s="139"/>
      <c r="AA13" s="115" t="str">
        <f>+IF(AA4="Traffic Y",IF(AA12&gt;270,"PB","OK"),IF(AA12&gt;70,"PB","OK"))</f>
        <v>OK</v>
      </c>
      <c r="AB13" s="115" t="str">
        <f>+IF(Z4="Y",IF(Z12&gt;270,"PB","ok"),IF(Z12&gt;70,"PB","OK"))</f>
        <v>OK</v>
      </c>
      <c r="AC13" s="134"/>
      <c r="AD13" s="134"/>
      <c r="AE13" s="134"/>
      <c r="AF13" s="134"/>
      <c r="AG13" s="134"/>
      <c r="AJ13" s="115" t="str">
        <f>+IF(AJ4="Traffic Y",IF(AJ12&gt;270,"PB","OK"),IF(AJ12&gt;70,"PB","OK"))</f>
        <v>OK</v>
      </c>
      <c r="AK13" s="115" t="str">
        <f>+IF(AI4="Y",IF(AI12&gt;270,"PB","ok"),IF(AI12&gt;70,"PB","OK"))</f>
        <v>OK</v>
      </c>
      <c r="AL13" s="134"/>
      <c r="AM13" s="134"/>
      <c r="AN13" s="134"/>
      <c r="AO13" s="134"/>
      <c r="AP13" s="134"/>
      <c r="AS13" s="115" t="str">
        <f>+IF(AS4="Traffic Y",IF(AS12&gt;270,"PB","OK"),IF(AS12&gt;70,"PB","OK"))</f>
        <v>OK</v>
      </c>
      <c r="AT13" s="115" t="str">
        <f>+IF(AR4="Y",IF(AR12&gt;270,"PB","ok"),IF(AR12&gt;70,"PB","OK"))</f>
        <v>OK</v>
      </c>
      <c r="AU13" s="134"/>
      <c r="AV13" s="134"/>
      <c r="AW13" s="134"/>
      <c r="AX13" s="134"/>
      <c r="AY13" s="134"/>
      <c r="BB13" s="115" t="str">
        <f>+IF(BB4="Traffic Y",IF(BB12&gt;270,"PB","OK"),IF(BB12&gt;70,"PB","OK"))</f>
        <v>OK</v>
      </c>
      <c r="BC13" s="115" t="str">
        <f>+IF(BA4="Y",IF(BA12&gt;270,"PB","ok"),IF(BA12&gt;70,"PB","OK"))</f>
        <v>OK</v>
      </c>
      <c r="BD13" s="134"/>
      <c r="BE13" s="115" t="str">
        <f>+IF(BE4="Traffic Y",IF(BE12&gt;270,"PB","ok"),IF(BE12&gt;70,"PB","OK"))</f>
        <v>OK</v>
      </c>
      <c r="BF13" s="115" t="str">
        <f>+IF(BF4="Traffic Y",IF(BF12&gt;270,"PB","ok"),IF(BF12&gt;70,"PB","OK"))</f>
        <v>OK</v>
      </c>
      <c r="BG13" s="134"/>
      <c r="BH13" s="134"/>
      <c r="BI13" s="139"/>
      <c r="BJ13" s="181" t="s">
        <v>120</v>
      </c>
      <c r="BK13" s="135"/>
      <c r="BL13" s="135"/>
      <c r="BM13" s="180">
        <f>(2*BM10+BM11)/2040</f>
        <v>0</v>
      </c>
    </row>
    <row r="14" spans="1:69" x14ac:dyDescent="0.3">
      <c r="A14" s="115"/>
      <c r="B14" s="144"/>
      <c r="C14" s="144"/>
      <c r="D14" s="144"/>
      <c r="E14" s="144"/>
      <c r="F14" s="144"/>
      <c r="G14" s="134"/>
      <c r="H14" s="134"/>
      <c r="I14" s="134"/>
      <c r="J14" s="134"/>
      <c r="K14" s="144"/>
      <c r="L14" s="144"/>
      <c r="M14" s="144"/>
      <c r="N14" s="144"/>
      <c r="O14" s="144"/>
      <c r="P14" s="134"/>
      <c r="Q14" s="134"/>
      <c r="R14" s="134"/>
      <c r="S14" s="134"/>
      <c r="T14" s="144"/>
      <c r="U14" s="144"/>
      <c r="V14" s="144"/>
      <c r="W14" s="144"/>
      <c r="X14" s="144"/>
      <c r="Y14" s="134"/>
      <c r="Z14" s="134"/>
      <c r="AA14" s="134"/>
      <c r="AB14" s="134"/>
      <c r="AC14" s="144"/>
      <c r="AD14" s="144"/>
      <c r="AE14" s="144"/>
      <c r="AF14" s="144"/>
      <c r="AG14" s="144"/>
      <c r="AH14" s="134"/>
      <c r="AI14" s="134"/>
      <c r="AJ14" s="134"/>
      <c r="AK14" s="134"/>
      <c r="AL14" s="144"/>
      <c r="AM14" s="144"/>
      <c r="AN14" s="144"/>
      <c r="AO14" s="144"/>
      <c r="AP14" s="144"/>
      <c r="AQ14" s="134"/>
      <c r="AR14" s="134"/>
      <c r="AS14" s="134"/>
      <c r="AT14" s="134"/>
      <c r="AU14" s="144"/>
      <c r="AV14" s="144"/>
      <c r="AW14" s="144"/>
      <c r="AX14" s="144"/>
      <c r="AY14" s="144"/>
      <c r="AZ14" s="134"/>
      <c r="BA14" s="134"/>
      <c r="BB14" s="134"/>
      <c r="BC14" s="134"/>
      <c r="BD14" s="144"/>
      <c r="BE14" s="134"/>
      <c r="BF14" s="134"/>
      <c r="BG14" s="141"/>
      <c r="BH14" s="141"/>
      <c r="BI14" s="141"/>
      <c r="BJ14" s="134"/>
      <c r="BK14" s="134"/>
      <c r="BL14" s="134"/>
      <c r="BM14" s="134"/>
    </row>
    <row r="15" spans="1:69" ht="15" customHeight="1" x14ac:dyDescent="0.3">
      <c r="A15" s="221" t="s">
        <v>75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33"/>
      <c r="AL15" s="226">
        <v>6.25E-2</v>
      </c>
      <c r="AM15" s="227"/>
      <c r="AN15" s="227"/>
      <c r="AO15" s="227"/>
      <c r="AP15" s="227"/>
      <c r="AQ15" s="227"/>
      <c r="AR15" s="227"/>
      <c r="AS15" s="227"/>
      <c r="AT15" s="227"/>
      <c r="AU15" s="230">
        <v>0.05</v>
      </c>
      <c r="AV15" s="231"/>
      <c r="AW15" s="231"/>
      <c r="AX15" s="231"/>
      <c r="AY15" s="231"/>
      <c r="AZ15" s="231"/>
      <c r="BA15" s="231"/>
      <c r="BB15" s="231"/>
      <c r="BC15" s="231"/>
      <c r="BD15" s="230">
        <v>0.02</v>
      </c>
      <c r="BE15" s="227"/>
      <c r="BF15" s="227"/>
      <c r="BG15" s="131"/>
      <c r="BH15" s="131"/>
      <c r="BI15" s="131"/>
      <c r="BJ15" s="222" t="s">
        <v>113</v>
      </c>
      <c r="BK15" s="222"/>
      <c r="BL15" s="222"/>
      <c r="BM15" s="222"/>
    </row>
    <row r="16" spans="1:69" ht="15.75" customHeight="1" thickBot="1" x14ac:dyDescent="0.3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33"/>
      <c r="AL16" s="228"/>
      <c r="AM16" s="229"/>
      <c r="AN16" s="229"/>
      <c r="AO16" s="229"/>
      <c r="AP16" s="229"/>
      <c r="AQ16" s="229"/>
      <c r="AR16" s="229"/>
      <c r="AS16" s="229"/>
      <c r="AT16" s="229"/>
      <c r="AU16" s="228"/>
      <c r="AV16" s="229"/>
      <c r="AW16" s="229"/>
      <c r="AX16" s="229"/>
      <c r="AY16" s="229"/>
      <c r="AZ16" s="229"/>
      <c r="BA16" s="229"/>
      <c r="BB16" s="229"/>
      <c r="BC16" s="229"/>
      <c r="BD16" s="228"/>
      <c r="BE16" s="229"/>
      <c r="BF16" s="229"/>
      <c r="BG16" s="131"/>
      <c r="BH16" s="131"/>
      <c r="BI16" s="131"/>
      <c r="BJ16" s="222"/>
      <c r="BK16" s="222"/>
      <c r="BL16" s="222"/>
      <c r="BM16" s="222"/>
    </row>
    <row r="17" spans="1:65" ht="27" customHeight="1" thickBot="1" x14ac:dyDescent="0.35">
      <c r="A17" s="113" t="s">
        <v>63</v>
      </c>
      <c r="B17" s="218" t="s">
        <v>11</v>
      </c>
      <c r="C17" s="202"/>
      <c r="D17" s="202"/>
      <c r="E17" s="202"/>
      <c r="F17" s="202"/>
      <c r="G17" s="202"/>
      <c r="H17" s="202"/>
      <c r="I17" s="202"/>
      <c r="J17" s="203"/>
      <c r="K17" s="204" t="s">
        <v>12</v>
      </c>
      <c r="L17" s="205"/>
      <c r="M17" s="205"/>
      <c r="N17" s="205"/>
      <c r="O17" s="205"/>
      <c r="P17" s="205"/>
      <c r="Q17" s="205"/>
      <c r="R17" s="205"/>
      <c r="S17" s="206"/>
      <c r="T17" s="207" t="s">
        <v>15</v>
      </c>
      <c r="U17" s="208"/>
      <c r="V17" s="208"/>
      <c r="W17" s="208"/>
      <c r="X17" s="208"/>
      <c r="Y17" s="208"/>
      <c r="Z17" s="208"/>
      <c r="AA17" s="208"/>
      <c r="AB17" s="208"/>
      <c r="AC17" s="210" t="s">
        <v>13</v>
      </c>
      <c r="AD17" s="211"/>
      <c r="AE17" s="211"/>
      <c r="AF17" s="211"/>
      <c r="AG17" s="211"/>
      <c r="AH17" s="211"/>
      <c r="AI17" s="211"/>
      <c r="AJ17" s="211"/>
      <c r="AK17" s="211"/>
      <c r="AL17" s="213" t="s">
        <v>16</v>
      </c>
      <c r="AM17" s="214"/>
      <c r="AN17" s="214"/>
      <c r="AO17" s="214"/>
      <c r="AP17" s="214"/>
      <c r="AQ17" s="214"/>
      <c r="AR17" s="214"/>
      <c r="AS17" s="214"/>
      <c r="AT17" s="214"/>
      <c r="AU17" s="187" t="s">
        <v>14</v>
      </c>
      <c r="AV17" s="188"/>
      <c r="AW17" s="188"/>
      <c r="AX17" s="188"/>
      <c r="AY17" s="188"/>
      <c r="AZ17" s="188"/>
      <c r="BA17" s="188"/>
      <c r="BB17" s="188"/>
      <c r="BC17" s="188"/>
      <c r="BD17" s="223" t="s">
        <v>18</v>
      </c>
      <c r="BE17" s="224"/>
      <c r="BF17" s="224"/>
      <c r="BG17" s="200" t="s">
        <v>69</v>
      </c>
      <c r="BH17" s="200"/>
      <c r="BI17" s="177"/>
      <c r="BJ17" s="222"/>
      <c r="BK17" s="222"/>
      <c r="BL17" s="222"/>
      <c r="BM17" s="222"/>
    </row>
    <row r="18" spans="1:65" ht="31.8" thickBot="1" x14ac:dyDescent="0.35">
      <c r="A18" s="113" t="s">
        <v>39</v>
      </c>
      <c r="B18" s="114" t="s">
        <v>36</v>
      </c>
      <c r="C18" s="114" t="s">
        <v>79</v>
      </c>
      <c r="D18" s="114" t="s">
        <v>73</v>
      </c>
      <c r="E18" s="163" t="s">
        <v>71</v>
      </c>
      <c r="F18" s="163" t="s">
        <v>72</v>
      </c>
      <c r="G18" s="117" t="s">
        <v>77</v>
      </c>
      <c r="H18" s="117" t="s">
        <v>78</v>
      </c>
      <c r="I18" s="117" t="s">
        <v>37</v>
      </c>
      <c r="J18" s="117" t="s">
        <v>38</v>
      </c>
      <c r="K18" s="114" t="s">
        <v>36</v>
      </c>
      <c r="L18" s="114" t="s">
        <v>79</v>
      </c>
      <c r="M18" s="114" t="s">
        <v>73</v>
      </c>
      <c r="N18" s="163" t="s">
        <v>71</v>
      </c>
      <c r="O18" s="163" t="s">
        <v>72</v>
      </c>
      <c r="P18" s="117" t="s">
        <v>77</v>
      </c>
      <c r="Q18" s="117" t="s">
        <v>78</v>
      </c>
      <c r="R18" s="117" t="s">
        <v>37</v>
      </c>
      <c r="S18" s="117" t="s">
        <v>38</v>
      </c>
      <c r="T18" s="114" t="s">
        <v>36</v>
      </c>
      <c r="U18" s="114" t="s">
        <v>79</v>
      </c>
      <c r="V18" s="114" t="s">
        <v>73</v>
      </c>
      <c r="W18" s="163" t="s">
        <v>71</v>
      </c>
      <c r="X18" s="163" t="s">
        <v>72</v>
      </c>
      <c r="Y18" s="117" t="s">
        <v>77</v>
      </c>
      <c r="Z18" s="117" t="s">
        <v>78</v>
      </c>
      <c r="AA18" s="117" t="s">
        <v>37</v>
      </c>
      <c r="AB18" s="117" t="s">
        <v>38</v>
      </c>
      <c r="AC18" s="114" t="s">
        <v>36</v>
      </c>
      <c r="AD18" s="114" t="s">
        <v>79</v>
      </c>
      <c r="AE18" s="114" t="s">
        <v>73</v>
      </c>
      <c r="AF18" s="163" t="s">
        <v>71</v>
      </c>
      <c r="AG18" s="163" t="s">
        <v>72</v>
      </c>
      <c r="AH18" s="117" t="s">
        <v>77</v>
      </c>
      <c r="AI18" s="117" t="s">
        <v>78</v>
      </c>
      <c r="AJ18" s="117" t="s">
        <v>37</v>
      </c>
      <c r="AK18" s="117" t="s">
        <v>38</v>
      </c>
      <c r="AL18" s="114" t="s">
        <v>36</v>
      </c>
      <c r="AM18" s="114" t="s">
        <v>79</v>
      </c>
      <c r="AN18" s="114" t="s">
        <v>73</v>
      </c>
      <c r="AO18" s="163" t="s">
        <v>71</v>
      </c>
      <c r="AP18" s="163" t="s">
        <v>72</v>
      </c>
      <c r="AQ18" s="117" t="s">
        <v>77</v>
      </c>
      <c r="AR18" s="117" t="s">
        <v>78</v>
      </c>
      <c r="AS18" s="117" t="s">
        <v>37</v>
      </c>
      <c r="AT18" s="117" t="s">
        <v>38</v>
      </c>
      <c r="AU18" s="114" t="s">
        <v>36</v>
      </c>
      <c r="AV18" s="114" t="s">
        <v>79</v>
      </c>
      <c r="AW18" s="114" t="s">
        <v>73</v>
      </c>
      <c r="AX18" s="163" t="s">
        <v>71</v>
      </c>
      <c r="AY18" s="163" t="s">
        <v>72</v>
      </c>
      <c r="AZ18" s="117" t="s">
        <v>77</v>
      </c>
      <c r="BA18" s="117" t="s">
        <v>78</v>
      </c>
      <c r="BB18" s="117" t="s">
        <v>37</v>
      </c>
      <c r="BC18" s="117" t="s">
        <v>38</v>
      </c>
      <c r="BD18" s="114" t="s">
        <v>36</v>
      </c>
      <c r="BE18" s="164" t="s">
        <v>37</v>
      </c>
      <c r="BF18" s="164" t="s">
        <v>38</v>
      </c>
      <c r="BG18" s="167" t="s">
        <v>21</v>
      </c>
      <c r="BH18" s="167" t="s">
        <v>20</v>
      </c>
      <c r="BI18" s="133"/>
      <c r="BJ18" s="168"/>
      <c r="BK18" s="168"/>
      <c r="BL18" s="168"/>
      <c r="BM18" s="168"/>
    </row>
    <row r="19" spans="1:65" ht="29.4" thickBot="1" x14ac:dyDescent="0.6">
      <c r="A19" s="118" t="s">
        <v>11</v>
      </c>
      <c r="B19" s="119">
        <v>0</v>
      </c>
      <c r="C19" s="148"/>
      <c r="D19" s="148"/>
      <c r="E19" s="148"/>
      <c r="F19" s="148"/>
      <c r="G19" s="120">
        <v>0</v>
      </c>
      <c r="H19" s="120">
        <v>0</v>
      </c>
      <c r="I19" s="120">
        <v>0</v>
      </c>
      <c r="J19" s="120">
        <v>0</v>
      </c>
      <c r="K19" s="122">
        <v>0.38194444444444442</v>
      </c>
      <c r="L19" s="149">
        <f>K19+$AL$15</f>
        <v>0.44444444444444442</v>
      </c>
      <c r="M19" s="157">
        <f>M5</f>
        <v>0.38194444444444442</v>
      </c>
      <c r="N19" s="154">
        <f>(L19/M19-1)*10*$AU$1</f>
        <v>8.181818181818179E-2</v>
      </c>
      <c r="O19" s="154">
        <f>(L19/M19-1)*10*$BD$1</f>
        <v>3.2727272727272716E-2</v>
      </c>
      <c r="P19" s="155">
        <f>'Revenue - Year 5'!F19</f>
        <v>0</v>
      </c>
      <c r="Q19" s="155">
        <f>'Revenue - Year 5'!G19</f>
        <v>0</v>
      </c>
      <c r="R19" s="166">
        <f>ROUNDDOWN((1-N19)*P19,0)</f>
        <v>0</v>
      </c>
      <c r="S19" s="166">
        <f>ROUND((1-O19)*Q19,0)</f>
        <v>0</v>
      </c>
      <c r="T19" s="122">
        <v>0.22222222222222221</v>
      </c>
      <c r="U19" s="149">
        <f>T19+$AL$15</f>
        <v>0.28472222222222221</v>
      </c>
      <c r="V19" s="157">
        <f>V5</f>
        <v>0.28472222222222221</v>
      </c>
      <c r="W19" s="154">
        <f>(U19/V19-1)*10*$AU$1</f>
        <v>0</v>
      </c>
      <c r="X19" s="154">
        <f>(U19/V19-1)*10*$BD$1</f>
        <v>0</v>
      </c>
      <c r="Y19" s="155">
        <f>'Revenue - Year 5'!I19</f>
        <v>0</v>
      </c>
      <c r="Z19" s="155">
        <f>'Revenue - Year 5'!J19</f>
        <v>0</v>
      </c>
      <c r="AA19" s="166">
        <f>ROUNDDOWN((1-W19)*Y19,0)</f>
        <v>0</v>
      </c>
      <c r="AB19" s="166">
        <f>ROUND((1-X19)*Z19,0)</f>
        <v>0</v>
      </c>
      <c r="AC19" s="122">
        <v>0.47222222222222227</v>
      </c>
      <c r="AD19" s="149">
        <f>AC19+$AL$15</f>
        <v>0.53472222222222232</v>
      </c>
      <c r="AE19" s="149">
        <f>AE5</f>
        <v>0.4861111111111111</v>
      </c>
      <c r="AF19" s="154">
        <f t="shared" ref="AF19:AF21" si="42">(AD19/AE19-1)*10*$AU$1</f>
        <v>5.0000000000000155E-2</v>
      </c>
      <c r="AG19" s="154">
        <f t="shared" ref="AG19:AG21" si="43">(AD19/AE19-1)*10*$BD$1</f>
        <v>2.0000000000000063E-2</v>
      </c>
      <c r="AH19" s="155">
        <f>'Revenue - Year 5'!L19</f>
        <v>0</v>
      </c>
      <c r="AI19" s="155">
        <f>'Revenue - Year 5'!M19</f>
        <v>0</v>
      </c>
      <c r="AJ19" s="166">
        <f t="shared" ref="AJ19:AJ21" si="44">ROUNDDOWN((1-AF19)*AH19,0)</f>
        <v>0</v>
      </c>
      <c r="AK19" s="166">
        <f t="shared" ref="AK19:AK21" si="45">ROUND((1-AG19)*AI19,0)</f>
        <v>0</v>
      </c>
      <c r="AL19" s="122">
        <v>0.47569444444444442</v>
      </c>
      <c r="AM19" s="149">
        <f>AL19+$AL$15</f>
        <v>0.53819444444444442</v>
      </c>
      <c r="AN19" s="149">
        <f>AN5</f>
        <v>0.53472222222222221</v>
      </c>
      <c r="AO19" s="154">
        <f>(AM19/AN19-1)*10*$AU$1</f>
        <v>3.2467532467532756E-3</v>
      </c>
      <c r="AP19" s="154">
        <f>(AM19/AN19-1)*10*$BD$1</f>
        <v>1.2987012987013102E-3</v>
      </c>
      <c r="AQ19" s="155">
        <f>'Revenue - Year 5'!O19</f>
        <v>0</v>
      </c>
      <c r="AR19" s="155">
        <f>'Revenue - Year 5'!P19</f>
        <v>0</v>
      </c>
      <c r="AS19" s="166">
        <f t="shared" ref="AS19:AS22" si="46">ROUNDDOWN((1-AO19)*AQ19,0)</f>
        <v>0</v>
      </c>
      <c r="AT19" s="166">
        <f t="shared" ref="AT19:AT22" si="47">ROUND((1-AP19)*AR19,0)</f>
        <v>0</v>
      </c>
      <c r="AU19" s="122">
        <v>0.25694444444444448</v>
      </c>
      <c r="AV19" s="149">
        <f>AU19+$AL$15</f>
        <v>0.31944444444444448</v>
      </c>
      <c r="AW19" s="149">
        <f>AW5</f>
        <v>0.2361111111111111</v>
      </c>
      <c r="AX19" s="154">
        <f>(AV19/AW19-1)*10*$AU$1</f>
        <v>0.17647058823529416</v>
      </c>
      <c r="AY19" s="154">
        <f>(AV19/AW19-1)*10*$BD$1</f>
        <v>7.058823529411766E-2</v>
      </c>
      <c r="AZ19" s="155">
        <f>'Revenue - Year 5'!R19</f>
        <v>0</v>
      </c>
      <c r="BA19" s="155">
        <f>'Revenue - Year 5'!S19</f>
        <v>0</v>
      </c>
      <c r="BB19" s="166">
        <f t="shared" ref="BB19:BB23" si="48">ROUNDDOWN((1-AX19)*AZ19,0)</f>
        <v>0</v>
      </c>
      <c r="BC19" s="166">
        <f t="shared" ref="BC19:BC23" si="49">ROUND((1-AY19)*BA19,0)</f>
        <v>0</v>
      </c>
      <c r="BD19" s="122">
        <v>0.13194444444444445</v>
      </c>
      <c r="BE19" s="156">
        <f>'Revenue - Year 5'!U19</f>
        <v>0</v>
      </c>
      <c r="BF19" s="156">
        <f>'Revenue - Year 5'!V19</f>
        <v>0</v>
      </c>
      <c r="BG19" s="169">
        <f>I19+R19+AA19+AJ19+AS19+BB19+BE19</f>
        <v>0</v>
      </c>
      <c r="BH19" s="169">
        <f>J19+S19+AB19+AK19+AT19+BC19+BF19</f>
        <v>0</v>
      </c>
      <c r="BI19" s="115" t="str">
        <f t="shared" ref="BI19:BI26" si="50">IF(OR(BG19&gt;70,BH19&gt;270),"PB","OK")</f>
        <v>OK</v>
      </c>
      <c r="BJ19" s="135" t="s">
        <v>57</v>
      </c>
      <c r="BK19" s="135"/>
      <c r="BL19" s="135"/>
      <c r="BM19" s="136">
        <f>1440/60*4*(SUMPRODUCT($B$19:$B$25,I19:I25)+SUMPRODUCT($K$19:$K$25,$R$19:$R$25)+SUMPRODUCT($T$19:$T$25,$AA$19:$AA$25)+SUMPRODUCT($AC$19:$AC$25,$AJ$19:$AJ$25)+SUMPRODUCT($AL$19:$AL$25,$AS$19:$AS$25)+SUMPRODUCT($AU$19:$AU$25,$BB$19:$BB$25)+SUMPRODUCT($BD$19:$BD$25,BE19:BE25))</f>
        <v>0</v>
      </c>
    </row>
    <row r="20" spans="1:65" ht="29.4" thickBot="1" x14ac:dyDescent="0.6">
      <c r="A20" s="121" t="s">
        <v>12</v>
      </c>
      <c r="B20" s="122">
        <f>K19</f>
        <v>0.38194444444444442</v>
      </c>
      <c r="C20" s="149">
        <f>B20+$AL$15</f>
        <v>0.44444444444444442</v>
      </c>
      <c r="D20" s="157">
        <f>D6</f>
        <v>0.38194444444444442</v>
      </c>
      <c r="E20" s="154">
        <f>(C20/D20-1)*10*$AU$1</f>
        <v>8.181818181818179E-2</v>
      </c>
      <c r="F20" s="154">
        <f>(C20/D20-1)*10*$BD$1</f>
        <v>3.2727272727272716E-2</v>
      </c>
      <c r="G20" s="155">
        <f>'Revenue - Year 5'!C20</f>
        <v>0</v>
      </c>
      <c r="H20" s="155">
        <f>'Revenue - Year 5'!D20</f>
        <v>0</v>
      </c>
      <c r="I20" s="166">
        <f>ROUNDDOWN((1-E20)*G20,0)</f>
        <v>0</v>
      </c>
      <c r="J20" s="166">
        <f>ROUND((1-F20)*H20,0)</f>
        <v>0</v>
      </c>
      <c r="K20" s="119">
        <v>0</v>
      </c>
      <c r="L20" s="148"/>
      <c r="M20" s="148"/>
      <c r="N20" s="148"/>
      <c r="O20" s="148"/>
      <c r="P20" s="120">
        <v>0</v>
      </c>
      <c r="Q20" s="120">
        <v>0</v>
      </c>
      <c r="R20" s="120">
        <v>0</v>
      </c>
      <c r="S20" s="120">
        <v>0</v>
      </c>
      <c r="T20" s="122">
        <v>0.34027777777777773</v>
      </c>
      <c r="U20" s="149">
        <f>T20+$AL$15</f>
        <v>0.40277777777777773</v>
      </c>
      <c r="V20" s="157">
        <f>V6</f>
        <v>0.40277777777777773</v>
      </c>
      <c r="W20" s="154">
        <f>(U20/V20-1)*10*$AU$1</f>
        <v>0</v>
      </c>
      <c r="X20" s="154">
        <f>(U20/V20-1)*10*$BD$1</f>
        <v>0</v>
      </c>
      <c r="Y20" s="155">
        <f>'Revenue - Year 5'!I20</f>
        <v>0</v>
      </c>
      <c r="Z20" s="155">
        <f>'Revenue - Year 5'!J20</f>
        <v>0</v>
      </c>
      <c r="AA20" s="166">
        <f>ROUNDDOWN((1-W20)*Y20,0)</f>
        <v>0</v>
      </c>
      <c r="AB20" s="166">
        <f>ROUND((1-X20)*Z20,0)</f>
        <v>0</v>
      </c>
      <c r="AC20" s="122">
        <v>0.59027777777777779</v>
      </c>
      <c r="AD20" s="149">
        <f>AC20+$AL$15</f>
        <v>0.65277777777777779</v>
      </c>
      <c r="AE20" s="149">
        <f t="shared" ref="AE20:AE24" si="51">AE6</f>
        <v>0.64583333333333326</v>
      </c>
      <c r="AF20" s="154">
        <f t="shared" si="42"/>
        <v>5.3763440860216116E-3</v>
      </c>
      <c r="AG20" s="154">
        <f t="shared" si="43"/>
        <v>2.1505376344086446E-3</v>
      </c>
      <c r="AH20" s="155">
        <f>'Revenue - Year 5'!L20</f>
        <v>0</v>
      </c>
      <c r="AI20" s="155">
        <f>'Revenue - Year 5'!M20</f>
        <v>0</v>
      </c>
      <c r="AJ20" s="166">
        <f t="shared" si="44"/>
        <v>0</v>
      </c>
      <c r="AK20" s="166">
        <f t="shared" si="45"/>
        <v>0</v>
      </c>
      <c r="AL20" s="122">
        <v>0.59375</v>
      </c>
      <c r="AM20" s="149">
        <f>AL20+$AL$15</f>
        <v>0.65625</v>
      </c>
      <c r="AN20" s="149">
        <f>AN6</f>
        <v>0.65625</v>
      </c>
      <c r="AO20" s="154">
        <f>(AM20/AN20-1)*10*$AU$1</f>
        <v>0</v>
      </c>
      <c r="AP20" s="154">
        <f>(AM20/AN20-1)*10*$BD$1</f>
        <v>0</v>
      </c>
      <c r="AQ20" s="155">
        <f>'Revenue - Year 5'!O20</f>
        <v>0</v>
      </c>
      <c r="AR20" s="155">
        <f>'Revenue - Year 5'!P20</f>
        <v>0</v>
      </c>
      <c r="AS20" s="166">
        <f t="shared" si="46"/>
        <v>0</v>
      </c>
      <c r="AT20" s="166">
        <f t="shared" si="47"/>
        <v>0</v>
      </c>
      <c r="AU20" s="122">
        <v>0.375</v>
      </c>
      <c r="AV20" s="149">
        <f>AU20+$AL$15</f>
        <v>0.4375</v>
      </c>
      <c r="AW20" s="149">
        <f>AW6</f>
        <v>0.39583333333333337</v>
      </c>
      <c r="AX20" s="154">
        <f>(AV20/AW20-1)*10*$AU$1</f>
        <v>5.2631578947368363E-2</v>
      </c>
      <c r="AY20" s="154">
        <f>(AV20/AW20-1)*10*$BD$1</f>
        <v>2.1052631578947347E-2</v>
      </c>
      <c r="AZ20" s="155">
        <f>'Revenue - Year 5'!R20</f>
        <v>0</v>
      </c>
      <c r="BA20" s="155">
        <f>'Revenue - Year 5'!S20</f>
        <v>0</v>
      </c>
      <c r="BB20" s="166">
        <f t="shared" si="48"/>
        <v>0</v>
      </c>
      <c r="BC20" s="166">
        <f t="shared" si="49"/>
        <v>0</v>
      </c>
      <c r="BD20" s="122">
        <v>0.25</v>
      </c>
      <c r="BE20" s="156">
        <f>'Revenue - Year 5'!U20</f>
        <v>0</v>
      </c>
      <c r="BF20" s="156">
        <f>'Revenue - Year 5'!V20</f>
        <v>0</v>
      </c>
      <c r="BG20" s="169">
        <f t="shared" ref="BG20:BH26" si="52">I20+R20+AA20+AJ20+AS20+BB20+BE20</f>
        <v>0</v>
      </c>
      <c r="BH20" s="169">
        <f t="shared" si="52"/>
        <v>0</v>
      </c>
      <c r="BI20" s="115" t="str">
        <f t="shared" si="50"/>
        <v>OK</v>
      </c>
      <c r="BJ20" s="135" t="s">
        <v>68</v>
      </c>
      <c r="BK20" s="135"/>
      <c r="BL20" s="135"/>
      <c r="BM20" s="136">
        <f>1440/60*(SUMPRODUCT(B19:B25,J19:J25)+SUMPRODUCT(K19:K25,S19:S25)+SUMPRODUCT(T19:T25,AB19:AB25)+SUMPRODUCT(AC19:AC25,AK19:AK25)+SUMPRODUCT(AL19:AL25,AT19:AT25)+SUMPRODUCT(AU19:AU25,BC19:BC25)+SUMPRODUCT(BD19:BD25*BF19:BF25))</f>
        <v>0</v>
      </c>
    </row>
    <row r="21" spans="1:65" ht="29.4" thickBot="1" x14ac:dyDescent="0.6">
      <c r="A21" s="123" t="s">
        <v>15</v>
      </c>
      <c r="B21" s="122">
        <f>T19</f>
        <v>0.22222222222222221</v>
      </c>
      <c r="C21" s="149">
        <f t="shared" ref="C21:C24" si="53">B21+$AL$15</f>
        <v>0.28472222222222221</v>
      </c>
      <c r="D21" s="157">
        <f t="shared" ref="D21:D24" si="54">D7</f>
        <v>0.28472222222222221</v>
      </c>
      <c r="E21" s="154">
        <f t="shared" ref="E21:E24" si="55">(C21/D21-1)*10*$AU$1</f>
        <v>0</v>
      </c>
      <c r="F21" s="154">
        <f t="shared" ref="F21:F24" si="56">(C21/D21-1)*10*$BD$1</f>
        <v>0</v>
      </c>
      <c r="G21" s="155">
        <f>'Revenue - Year 5'!C21</f>
        <v>0</v>
      </c>
      <c r="H21" s="155">
        <f>'Revenue - Year 5'!D21</f>
        <v>0</v>
      </c>
      <c r="I21" s="166">
        <f t="shared" ref="I21:I25" si="57">ROUNDDOWN((1-E21)*G21,0)</f>
        <v>0</v>
      </c>
      <c r="J21" s="166">
        <f t="shared" ref="J21:J25" si="58">ROUND((1-F21)*H21,0)</f>
        <v>0</v>
      </c>
      <c r="K21" s="122">
        <f>T20</f>
        <v>0.34027777777777773</v>
      </c>
      <c r="L21" s="149">
        <f>K21+$AL$15</f>
        <v>0.40277777777777773</v>
      </c>
      <c r="M21" s="157">
        <f>M7</f>
        <v>0.40277777777777773</v>
      </c>
      <c r="N21" s="154">
        <f>(L21/M21-1)*10*$AU$1</f>
        <v>0</v>
      </c>
      <c r="O21" s="154">
        <f>(L21/M21-1)*10*$BD$1</f>
        <v>0</v>
      </c>
      <c r="P21" s="155">
        <f>'Revenue - Year 5'!F21</f>
        <v>0</v>
      </c>
      <c r="Q21" s="155">
        <f>'Revenue - Year 5'!G21</f>
        <v>0</v>
      </c>
      <c r="R21" s="166">
        <f>ROUNDDOWN((1-N21)*P21,0)</f>
        <v>0</v>
      </c>
      <c r="S21" s="166">
        <f>ROUND((1-O21)*Q21,0)</f>
        <v>0</v>
      </c>
      <c r="T21" s="119">
        <v>0</v>
      </c>
      <c r="U21" s="148"/>
      <c r="V21" s="148"/>
      <c r="W21" s="148"/>
      <c r="X21" s="148"/>
      <c r="Y21" s="120">
        <v>0</v>
      </c>
      <c r="Z21" s="120">
        <v>0</v>
      </c>
      <c r="AA21" s="120">
        <v>0</v>
      </c>
      <c r="AB21" s="120">
        <v>0</v>
      </c>
      <c r="AC21" s="122">
        <v>0.43055555555555558</v>
      </c>
      <c r="AD21" s="149">
        <f>AC21+$AL$15</f>
        <v>0.49305555555555558</v>
      </c>
      <c r="AE21" s="149">
        <f t="shared" si="51"/>
        <v>0.49305555555555558</v>
      </c>
      <c r="AF21" s="154">
        <f t="shared" si="42"/>
        <v>0</v>
      </c>
      <c r="AG21" s="154">
        <f t="shared" si="43"/>
        <v>0</v>
      </c>
      <c r="AH21" s="155">
        <f>'Revenue - Year 5'!L21</f>
        <v>0</v>
      </c>
      <c r="AI21" s="155">
        <f>'Revenue - Year 5'!M21</f>
        <v>0</v>
      </c>
      <c r="AJ21" s="166">
        <f t="shared" si="44"/>
        <v>0</v>
      </c>
      <c r="AK21" s="166">
        <f t="shared" si="45"/>
        <v>0</v>
      </c>
      <c r="AL21" s="122">
        <v>0.43402777777777773</v>
      </c>
      <c r="AM21" s="149">
        <f>AL21+$AL$15</f>
        <v>0.49652777777777773</v>
      </c>
      <c r="AN21" s="149">
        <f>AN7</f>
        <v>0.49652777777777773</v>
      </c>
      <c r="AO21" s="154">
        <f>(AM21/AN21-1)*10*$AU$1</f>
        <v>0</v>
      </c>
      <c r="AP21" s="154">
        <f>(AM21/AN21-1)*10*$BD$1</f>
        <v>0</v>
      </c>
      <c r="AQ21" s="155">
        <f>'Revenue - Year 5'!O21</f>
        <v>0</v>
      </c>
      <c r="AR21" s="155">
        <f>'Revenue - Year 5'!P21</f>
        <v>0</v>
      </c>
      <c r="AS21" s="166">
        <f t="shared" si="46"/>
        <v>0</v>
      </c>
      <c r="AT21" s="166">
        <f t="shared" si="47"/>
        <v>0</v>
      </c>
      <c r="AU21" s="122">
        <v>0.21527777777777779</v>
      </c>
      <c r="AV21" s="149">
        <f>AU21+$AL$15</f>
        <v>0.27777777777777779</v>
      </c>
      <c r="AW21" s="149">
        <f>AW7</f>
        <v>0.27777777777777779</v>
      </c>
      <c r="AX21" s="154">
        <f>(AV21/AW21-1)*10*$AU$1</f>
        <v>0</v>
      </c>
      <c r="AY21" s="154">
        <f>(AV21/AW21-1)*10*$BD$1</f>
        <v>0</v>
      </c>
      <c r="AZ21" s="155">
        <f>'Revenue - Year 5'!R21</f>
        <v>0</v>
      </c>
      <c r="BA21" s="155">
        <f>'Revenue - Year 5'!S21</f>
        <v>0</v>
      </c>
      <c r="BB21" s="166">
        <f t="shared" si="48"/>
        <v>0</v>
      </c>
      <c r="BC21" s="166">
        <f t="shared" si="49"/>
        <v>0</v>
      </c>
      <c r="BD21" s="122">
        <v>9.0277777777777776E-2</v>
      </c>
      <c r="BE21" s="156">
        <f>'Revenue - Year 5'!U21</f>
        <v>0</v>
      </c>
      <c r="BF21" s="156">
        <f>'Revenue - Year 5'!V21</f>
        <v>0</v>
      </c>
      <c r="BG21" s="169">
        <f t="shared" si="52"/>
        <v>0</v>
      </c>
      <c r="BH21" s="169">
        <f t="shared" si="52"/>
        <v>0</v>
      </c>
      <c r="BI21" s="115" t="str">
        <f t="shared" si="50"/>
        <v>OK</v>
      </c>
      <c r="BJ21" s="135" t="s">
        <v>58</v>
      </c>
      <c r="BK21" s="135"/>
      <c r="BL21" s="135"/>
      <c r="BM21" s="137">
        <f>BM19+BM20</f>
        <v>0</v>
      </c>
    </row>
    <row r="22" spans="1:65" ht="29.4" thickBot="1" x14ac:dyDescent="0.6">
      <c r="A22" s="124" t="s">
        <v>13</v>
      </c>
      <c r="B22" s="122">
        <f>AC19</f>
        <v>0.47222222222222227</v>
      </c>
      <c r="C22" s="149">
        <f t="shared" si="53"/>
        <v>0.53472222222222232</v>
      </c>
      <c r="D22" s="157">
        <f t="shared" si="54"/>
        <v>0.4861111111111111</v>
      </c>
      <c r="E22" s="154">
        <f t="shared" si="55"/>
        <v>5.0000000000000155E-2</v>
      </c>
      <c r="F22" s="154">
        <f t="shared" si="56"/>
        <v>2.0000000000000063E-2</v>
      </c>
      <c r="G22" s="155">
        <f>'Revenue - Year 5'!C22</f>
        <v>0</v>
      </c>
      <c r="H22" s="155">
        <f>'Revenue - Year 5'!D22</f>
        <v>0</v>
      </c>
      <c r="I22" s="166">
        <f t="shared" si="57"/>
        <v>0</v>
      </c>
      <c r="J22" s="166">
        <f t="shared" si="58"/>
        <v>0</v>
      </c>
      <c r="K22" s="122">
        <f>AC20</f>
        <v>0.59027777777777779</v>
      </c>
      <c r="L22" s="149">
        <f>K22+$AL$15</f>
        <v>0.65277777777777779</v>
      </c>
      <c r="M22" s="157">
        <f>M8</f>
        <v>0.64583333333333326</v>
      </c>
      <c r="N22" s="154">
        <f>(L22/M22-1)*10*$AU$1</f>
        <v>5.3763440860216116E-3</v>
      </c>
      <c r="O22" s="154">
        <f>(L22/M22-1)*10*$BD$1</f>
        <v>2.1505376344086446E-3</v>
      </c>
      <c r="P22" s="155">
        <f>'Revenue - Year 5'!F22</f>
        <v>0</v>
      </c>
      <c r="Q22" s="155">
        <f>'Revenue - Year 5'!G22</f>
        <v>0</v>
      </c>
      <c r="R22" s="166">
        <f>ROUNDDOWN((1-N22)*P22,0)</f>
        <v>0</v>
      </c>
      <c r="S22" s="166">
        <f>ROUND((1-O22)*Q22,0)</f>
        <v>0</v>
      </c>
      <c r="T22" s="122">
        <f>AC21</f>
        <v>0.43055555555555558</v>
      </c>
      <c r="U22" s="149">
        <f>T22+$AL$15</f>
        <v>0.49305555555555558</v>
      </c>
      <c r="V22" s="157">
        <f>V8</f>
        <v>0.49305555555555558</v>
      </c>
      <c r="W22" s="154">
        <f>(U22/V22-1)*10*$AU$1</f>
        <v>0</v>
      </c>
      <c r="X22" s="154">
        <f>(U22/V22-1)*10*$BD$1</f>
        <v>0</v>
      </c>
      <c r="Y22" s="155">
        <f>'Revenue - Year 5'!I22</f>
        <v>0</v>
      </c>
      <c r="Z22" s="155">
        <f>'Revenue - Year 5'!J22</f>
        <v>0</v>
      </c>
      <c r="AA22" s="166">
        <f>ROUNDDOWN((1-W22)*Y22,0)</f>
        <v>0</v>
      </c>
      <c r="AB22" s="166">
        <f>ROUND((1-X22)*Z22,0)</f>
        <v>0</v>
      </c>
      <c r="AC22" s="119">
        <v>0</v>
      </c>
      <c r="AD22" s="148"/>
      <c r="AE22" s="148"/>
      <c r="AF22" s="148"/>
      <c r="AG22" s="148"/>
      <c r="AH22" s="120">
        <v>0</v>
      </c>
      <c r="AI22" s="120">
        <v>0</v>
      </c>
      <c r="AJ22" s="120">
        <v>0</v>
      </c>
      <c r="AK22" s="120">
        <v>0</v>
      </c>
      <c r="AL22" s="122">
        <v>0.68402777777777779</v>
      </c>
      <c r="AM22" s="149">
        <f>AL22+$AL$15</f>
        <v>0.74652777777777779</v>
      </c>
      <c r="AN22" s="149">
        <f>AN8</f>
        <v>0.68055555555555558</v>
      </c>
      <c r="AO22" s="154">
        <f>(AM22/AN22-1)*10*$AU$1</f>
        <v>4.8469387755102011E-2</v>
      </c>
      <c r="AP22" s="154">
        <f>(AM22/AN22-1)*10*$BD$1</f>
        <v>1.9387755102040806E-2</v>
      </c>
      <c r="AQ22" s="155">
        <f>'Revenue - Year 5'!O22</f>
        <v>0</v>
      </c>
      <c r="AR22" s="155">
        <f>'Revenue - Year 5'!P22</f>
        <v>0</v>
      </c>
      <c r="AS22" s="166">
        <f t="shared" si="46"/>
        <v>0</v>
      </c>
      <c r="AT22" s="166">
        <f t="shared" si="47"/>
        <v>0</v>
      </c>
      <c r="AU22" s="122">
        <v>0.46527777777777773</v>
      </c>
      <c r="AV22" s="149">
        <f>AU22+$AL$15</f>
        <v>0.52777777777777768</v>
      </c>
      <c r="AW22" s="149">
        <f>AW8</f>
        <v>0.5</v>
      </c>
      <c r="AX22" s="154">
        <f>(AV22/AW22-1)*10*$AU$1</f>
        <v>2.7777777777777679E-2</v>
      </c>
      <c r="AY22" s="154">
        <f>(AV22/AW22-1)*10*$BD$1</f>
        <v>1.1111111111111072E-2</v>
      </c>
      <c r="AZ22" s="155">
        <f>'Revenue - Year 5'!R22</f>
        <v>0</v>
      </c>
      <c r="BA22" s="155">
        <f>'Revenue - Year 5'!S22</f>
        <v>0</v>
      </c>
      <c r="BB22" s="166">
        <f t="shared" si="48"/>
        <v>0</v>
      </c>
      <c r="BC22" s="166">
        <f t="shared" si="49"/>
        <v>0</v>
      </c>
      <c r="BD22" s="122">
        <v>0.34027777777777773</v>
      </c>
      <c r="BE22" s="156">
        <f>'Revenue - Year 5'!U22</f>
        <v>0</v>
      </c>
      <c r="BF22" s="156">
        <f>'Revenue - Year 5'!V22</f>
        <v>0</v>
      </c>
      <c r="BG22" s="169">
        <f t="shared" si="52"/>
        <v>0</v>
      </c>
      <c r="BH22" s="169">
        <f t="shared" si="52"/>
        <v>0</v>
      </c>
      <c r="BI22" s="115" t="str">
        <f t="shared" si="50"/>
        <v>OK</v>
      </c>
      <c r="BJ22" s="181" t="s">
        <v>74</v>
      </c>
      <c r="BK22" s="135"/>
      <c r="BL22" s="135"/>
      <c r="BM22" s="138">
        <f>35*BM21</f>
        <v>0</v>
      </c>
    </row>
    <row r="23" spans="1:65" ht="29.4" thickBot="1" x14ac:dyDescent="0.6">
      <c r="A23" s="125" t="s">
        <v>16</v>
      </c>
      <c r="B23" s="122">
        <f>AL19</f>
        <v>0.47569444444444442</v>
      </c>
      <c r="C23" s="149">
        <f t="shared" si="53"/>
        <v>0.53819444444444442</v>
      </c>
      <c r="D23" s="157">
        <f t="shared" si="54"/>
        <v>0.53472222222222221</v>
      </c>
      <c r="E23" s="154">
        <f t="shared" si="55"/>
        <v>3.2467532467532756E-3</v>
      </c>
      <c r="F23" s="154">
        <f t="shared" si="56"/>
        <v>1.2987012987013102E-3</v>
      </c>
      <c r="G23" s="155">
        <f>'Revenue - Year 5'!C23</f>
        <v>0</v>
      </c>
      <c r="H23" s="155">
        <f>'Revenue - Year 5'!D23</f>
        <v>0</v>
      </c>
      <c r="I23" s="166">
        <f t="shared" si="57"/>
        <v>0</v>
      </c>
      <c r="J23" s="166">
        <f t="shared" si="58"/>
        <v>0</v>
      </c>
      <c r="K23" s="122">
        <f>AL20</f>
        <v>0.59375</v>
      </c>
      <c r="L23" s="149">
        <f>K23+$AL$15</f>
        <v>0.65625</v>
      </c>
      <c r="M23" s="157">
        <f>M9</f>
        <v>0.65625</v>
      </c>
      <c r="N23" s="154">
        <f>(L23/M23-1)*10*$AU$1</f>
        <v>0</v>
      </c>
      <c r="O23" s="154">
        <f>(L23/M23-1)*10*$BD$1</f>
        <v>0</v>
      </c>
      <c r="P23" s="155">
        <f>'Revenue - Year 5'!F23</f>
        <v>0</v>
      </c>
      <c r="Q23" s="155">
        <f>'Revenue - Year 5'!G23</f>
        <v>0</v>
      </c>
      <c r="R23" s="166">
        <f>ROUNDDOWN((1-N23)*P23,0)</f>
        <v>0</v>
      </c>
      <c r="S23" s="166">
        <f>ROUND((1-O23)*Q23,0)</f>
        <v>0</v>
      </c>
      <c r="T23" s="122">
        <f>AL21</f>
        <v>0.43402777777777773</v>
      </c>
      <c r="U23" s="149">
        <f>T23+$AL$15</f>
        <v>0.49652777777777773</v>
      </c>
      <c r="V23" s="157">
        <f>V9</f>
        <v>0.49652777777777773</v>
      </c>
      <c r="W23" s="154">
        <f>(U23/V23-1)*10*$AU$1</f>
        <v>0</v>
      </c>
      <c r="X23" s="154">
        <f>(U23/V23-1)*10*$BD$1</f>
        <v>0</v>
      </c>
      <c r="Y23" s="155">
        <f>'Revenue - Year 5'!I23</f>
        <v>0</v>
      </c>
      <c r="Z23" s="155">
        <f>'Revenue - Year 5'!J23</f>
        <v>0</v>
      </c>
      <c r="AA23" s="166">
        <f>ROUNDDOWN((1-W23)*Y23,0)</f>
        <v>0</v>
      </c>
      <c r="AB23" s="166">
        <f>ROUND((1-X23)*Z23,0)</f>
        <v>0</v>
      </c>
      <c r="AC23" s="122">
        <f>AL22</f>
        <v>0.68402777777777779</v>
      </c>
      <c r="AD23" s="149">
        <f>AC23+$AL$15</f>
        <v>0.74652777777777779</v>
      </c>
      <c r="AE23" s="149">
        <f t="shared" si="51"/>
        <v>0.68055555555555558</v>
      </c>
      <c r="AF23" s="154">
        <f t="shared" ref="AF23:AF24" si="59">(AD23/AE23-1)*10*$AU$1</f>
        <v>4.8469387755102011E-2</v>
      </c>
      <c r="AG23" s="154">
        <f t="shared" ref="AG23:AG24" si="60">(AD23/AE23-1)*10*$BD$1</f>
        <v>1.9387755102040806E-2</v>
      </c>
      <c r="AH23" s="155">
        <f>'Revenue - Year 5'!L23</f>
        <v>0</v>
      </c>
      <c r="AI23" s="155">
        <f>'Revenue - Year 5'!M23</f>
        <v>0</v>
      </c>
      <c r="AJ23" s="166">
        <f t="shared" ref="AJ23:AJ25" si="61">ROUNDDOWN((1-AF23)*AH23,0)</f>
        <v>0</v>
      </c>
      <c r="AK23" s="166">
        <f t="shared" ref="AK23:AK25" si="62">ROUND((1-AG23)*AI23,0)</f>
        <v>0</v>
      </c>
      <c r="AL23" s="119">
        <v>0</v>
      </c>
      <c r="AM23" s="148"/>
      <c r="AN23" s="148"/>
      <c r="AO23" s="148"/>
      <c r="AP23" s="148"/>
      <c r="AQ23" s="120">
        <v>0</v>
      </c>
      <c r="AR23" s="120">
        <v>0</v>
      </c>
      <c r="AS23" s="120">
        <v>0</v>
      </c>
      <c r="AT23" s="120">
        <v>0</v>
      </c>
      <c r="AU23" s="122">
        <v>0.46875</v>
      </c>
      <c r="AV23" s="149">
        <f>AU23+$AL$15</f>
        <v>0.53125</v>
      </c>
      <c r="AW23" s="149">
        <f>AW9</f>
        <v>0.53125</v>
      </c>
      <c r="AX23" s="154">
        <f>(AV23/AW23-1)*10*$AU$1</f>
        <v>0</v>
      </c>
      <c r="AY23" s="154">
        <f>(AV23/AW23-1)*10*$BD$1</f>
        <v>0</v>
      </c>
      <c r="AZ23" s="155">
        <f>'Revenue - Year 5'!R23</f>
        <v>0</v>
      </c>
      <c r="BA23" s="155">
        <f>'Revenue - Year 5'!S23</f>
        <v>0</v>
      </c>
      <c r="BB23" s="166">
        <f t="shared" si="48"/>
        <v>0</v>
      </c>
      <c r="BC23" s="166">
        <f t="shared" si="49"/>
        <v>0</v>
      </c>
      <c r="BD23" s="122">
        <v>0.34375</v>
      </c>
      <c r="BE23" s="156">
        <f>'Revenue - Year 5'!U23</f>
        <v>0</v>
      </c>
      <c r="BF23" s="156">
        <f>'Revenue - Year 5'!V23</f>
        <v>0</v>
      </c>
      <c r="BG23" s="169">
        <f t="shared" si="52"/>
        <v>0</v>
      </c>
      <c r="BH23" s="169">
        <f t="shared" si="52"/>
        <v>0</v>
      </c>
      <c r="BI23" s="115" t="str">
        <f t="shared" si="50"/>
        <v>OK</v>
      </c>
      <c r="BJ23" s="135"/>
      <c r="BK23" s="135" t="s">
        <v>121</v>
      </c>
      <c r="BL23" s="135"/>
      <c r="BM23" s="182" t="e">
        <f>(BM22/'Revenue - Year 6'!BM22)-1</f>
        <v>#DIV/0!</v>
      </c>
    </row>
    <row r="24" spans="1:65" ht="29.4" thickBot="1" x14ac:dyDescent="0.6">
      <c r="A24" s="126" t="s">
        <v>14</v>
      </c>
      <c r="B24" s="122">
        <f>AU19</f>
        <v>0.25694444444444448</v>
      </c>
      <c r="C24" s="149">
        <f t="shared" si="53"/>
        <v>0.31944444444444448</v>
      </c>
      <c r="D24" s="157">
        <f t="shared" si="54"/>
        <v>0.2361111111111111</v>
      </c>
      <c r="E24" s="154">
        <f t="shared" si="55"/>
        <v>0.17647058823529416</v>
      </c>
      <c r="F24" s="154">
        <f t="shared" si="56"/>
        <v>7.058823529411766E-2</v>
      </c>
      <c r="G24" s="155">
        <f>'Revenue - Year 5'!C24</f>
        <v>0</v>
      </c>
      <c r="H24" s="155">
        <f>'Revenue - Year 5'!D24</f>
        <v>0</v>
      </c>
      <c r="I24" s="166">
        <f t="shared" si="57"/>
        <v>0</v>
      </c>
      <c r="J24" s="166">
        <f t="shared" si="58"/>
        <v>0</v>
      </c>
      <c r="K24" s="122">
        <f>AU20</f>
        <v>0.375</v>
      </c>
      <c r="L24" s="149">
        <f>K24+$AL$15</f>
        <v>0.4375</v>
      </c>
      <c r="M24" s="157">
        <f>M10</f>
        <v>0.39583333333333337</v>
      </c>
      <c r="N24" s="154">
        <f>(L24/M24-1)*10*$AU$1</f>
        <v>5.2631578947368363E-2</v>
      </c>
      <c r="O24" s="154">
        <f>(L24/M24-1)*10*$BD$1</f>
        <v>2.1052631578947347E-2</v>
      </c>
      <c r="P24" s="155">
        <f>'Revenue - Year 5'!F24</f>
        <v>0</v>
      </c>
      <c r="Q24" s="155">
        <f>'Revenue - Year 5'!G24</f>
        <v>0</v>
      </c>
      <c r="R24" s="166">
        <f>ROUNDDOWN((1-N24)*P24,0)</f>
        <v>0</v>
      </c>
      <c r="S24" s="166">
        <f>ROUND((1-O24)*Q24,0)</f>
        <v>0</v>
      </c>
      <c r="T24" s="122">
        <f>AU21</f>
        <v>0.21527777777777779</v>
      </c>
      <c r="U24" s="149">
        <f>T24+$AL$15</f>
        <v>0.27777777777777779</v>
      </c>
      <c r="V24" s="157">
        <f>V10</f>
        <v>0.27777777777777779</v>
      </c>
      <c r="W24" s="154">
        <f>(U24/V24-1)*10*$AU$1</f>
        <v>0</v>
      </c>
      <c r="X24" s="154">
        <f>(U24/V24-1)*10*$BD$1</f>
        <v>0</v>
      </c>
      <c r="Y24" s="155">
        <f>'Revenue - Year 5'!I24</f>
        <v>0</v>
      </c>
      <c r="Z24" s="155">
        <f>'Revenue - Year 5'!J24</f>
        <v>0</v>
      </c>
      <c r="AA24" s="166">
        <f>ROUNDDOWN((1-W24)*Y24,0)</f>
        <v>0</v>
      </c>
      <c r="AB24" s="166">
        <f>ROUND((1-X24)*Z24,0)</f>
        <v>0</v>
      </c>
      <c r="AC24" s="122">
        <f>AU22</f>
        <v>0.46527777777777773</v>
      </c>
      <c r="AD24" s="149">
        <f>AC24+$AL$15</f>
        <v>0.52777777777777768</v>
      </c>
      <c r="AE24" s="149">
        <f t="shared" si="51"/>
        <v>0.5</v>
      </c>
      <c r="AF24" s="154">
        <f t="shared" si="59"/>
        <v>2.7777777777777679E-2</v>
      </c>
      <c r="AG24" s="154">
        <f t="shared" si="60"/>
        <v>1.1111111111111072E-2</v>
      </c>
      <c r="AH24" s="155">
        <f>'Revenue - Year 5'!L24</f>
        <v>0</v>
      </c>
      <c r="AI24" s="155">
        <f>'Revenue - Year 5'!M24</f>
        <v>0</v>
      </c>
      <c r="AJ24" s="166">
        <f t="shared" si="61"/>
        <v>0</v>
      </c>
      <c r="AK24" s="166">
        <f t="shared" si="62"/>
        <v>0</v>
      </c>
      <c r="AL24" s="122">
        <f>AU23</f>
        <v>0.46875</v>
      </c>
      <c r="AM24" s="149">
        <f>AL24+$AL$15</f>
        <v>0.53125</v>
      </c>
      <c r="AN24" s="149">
        <f>AN10</f>
        <v>0.53125</v>
      </c>
      <c r="AO24" s="154">
        <f>(AM24/AN24-1)*10*$AU$1</f>
        <v>0</v>
      </c>
      <c r="AP24" s="154">
        <f>(AM24/AN24-1)*10*$BD$1</f>
        <v>0</v>
      </c>
      <c r="AQ24" s="155">
        <f>'Revenue - Year 5'!O24</f>
        <v>0</v>
      </c>
      <c r="AR24" s="155">
        <f>'Revenue - Year 5'!P24</f>
        <v>0</v>
      </c>
      <c r="AS24" s="166">
        <f t="shared" ref="AS24:AS25" si="63">ROUNDDOWN((1-AO24)*AQ24,0)</f>
        <v>0</v>
      </c>
      <c r="AT24" s="166">
        <f t="shared" ref="AT24:AT25" si="64">ROUND((1-AP24)*AR24,0)</f>
        <v>0</v>
      </c>
      <c r="AU24" s="119">
        <v>0</v>
      </c>
      <c r="AV24" s="148"/>
      <c r="AW24" s="148"/>
      <c r="AX24" s="148"/>
      <c r="AY24" s="148"/>
      <c r="AZ24" s="120">
        <v>0</v>
      </c>
      <c r="BA24" s="120">
        <v>0</v>
      </c>
      <c r="BB24" s="120">
        <v>0</v>
      </c>
      <c r="BC24" s="120">
        <v>0</v>
      </c>
      <c r="BD24" s="122">
        <v>0.125</v>
      </c>
      <c r="BE24" s="156">
        <f>'Revenue - Year 5'!U24</f>
        <v>0</v>
      </c>
      <c r="BF24" s="156">
        <f>'Revenue - Year 5'!V24</f>
        <v>0</v>
      </c>
      <c r="BG24" s="169">
        <f t="shared" si="52"/>
        <v>0</v>
      </c>
      <c r="BH24" s="169">
        <f t="shared" si="52"/>
        <v>0</v>
      </c>
      <c r="BI24" s="115" t="str">
        <f t="shared" si="50"/>
        <v>OK</v>
      </c>
      <c r="BJ24" s="135" t="s">
        <v>59</v>
      </c>
      <c r="BK24" s="135"/>
      <c r="BL24" s="135"/>
      <c r="BM24" s="136">
        <f>BM26-BM25</f>
        <v>0</v>
      </c>
    </row>
    <row r="25" spans="1:65" ht="29.25" customHeight="1" thickBot="1" x14ac:dyDescent="0.6">
      <c r="A25" s="142" t="s">
        <v>18</v>
      </c>
      <c r="B25" s="122">
        <f>BD19</f>
        <v>0.13194444444444445</v>
      </c>
      <c r="C25" s="149"/>
      <c r="D25" s="157"/>
      <c r="E25" s="149"/>
      <c r="F25" s="149"/>
      <c r="G25" s="155">
        <f>'Revenue - Year 5'!C25</f>
        <v>0</v>
      </c>
      <c r="H25" s="155">
        <f>'Revenue - Year 5'!D25</f>
        <v>0</v>
      </c>
      <c r="I25" s="166">
        <f t="shared" si="57"/>
        <v>0</v>
      </c>
      <c r="J25" s="166">
        <f t="shared" si="58"/>
        <v>0</v>
      </c>
      <c r="K25" s="122">
        <f>BD20</f>
        <v>0.25</v>
      </c>
      <c r="L25" s="149"/>
      <c r="M25" s="157"/>
      <c r="N25" s="149"/>
      <c r="O25" s="149"/>
      <c r="P25" s="155">
        <f>'Revenue - Year 5'!F25</f>
        <v>0</v>
      </c>
      <c r="Q25" s="155">
        <f>'Revenue - Year 5'!G25</f>
        <v>0</v>
      </c>
      <c r="R25" s="166">
        <f t="shared" ref="R25" si="65">ROUNDDOWN((1-N25)*P25,0)</f>
        <v>0</v>
      </c>
      <c r="S25" s="166">
        <f t="shared" ref="S25" si="66">ROUND((1-O25)*Q25,0)</f>
        <v>0</v>
      </c>
      <c r="T25" s="122">
        <f>BD21</f>
        <v>9.0277777777777776E-2</v>
      </c>
      <c r="U25" s="149"/>
      <c r="V25" s="157"/>
      <c r="W25" s="149"/>
      <c r="X25" s="149"/>
      <c r="Y25" s="155">
        <f>'Revenue - Year 5'!I25</f>
        <v>0</v>
      </c>
      <c r="Z25" s="155">
        <f>'Revenue - Year 5'!J25</f>
        <v>0</v>
      </c>
      <c r="AA25" s="166">
        <f t="shared" ref="AA25" si="67">ROUNDDOWN((1-W25)*Y25,0)</f>
        <v>0</v>
      </c>
      <c r="AB25" s="166">
        <f t="shared" ref="AB25" si="68">ROUND((1-X25)*Z25,0)</f>
        <v>0</v>
      </c>
      <c r="AC25" s="122">
        <f>BD22</f>
        <v>0.34027777777777773</v>
      </c>
      <c r="AD25" s="149"/>
      <c r="AE25" s="157"/>
      <c r="AF25" s="149"/>
      <c r="AG25" s="149"/>
      <c r="AH25" s="155">
        <f>'Revenue - Year 5'!L25</f>
        <v>0</v>
      </c>
      <c r="AI25" s="155">
        <f>'Revenue - Year 5'!M25</f>
        <v>0</v>
      </c>
      <c r="AJ25" s="166">
        <f t="shared" si="61"/>
        <v>0</v>
      </c>
      <c r="AK25" s="166">
        <f t="shared" si="62"/>
        <v>0</v>
      </c>
      <c r="AL25" s="122">
        <f>BD23</f>
        <v>0.34375</v>
      </c>
      <c r="AM25" s="149"/>
      <c r="AN25" s="157"/>
      <c r="AO25" s="149"/>
      <c r="AP25" s="149"/>
      <c r="AQ25" s="155">
        <f>'Revenue - Year 5'!O25</f>
        <v>0</v>
      </c>
      <c r="AR25" s="155">
        <f>'Revenue - Year 5'!P25</f>
        <v>0</v>
      </c>
      <c r="AS25" s="166">
        <f t="shared" si="63"/>
        <v>0</v>
      </c>
      <c r="AT25" s="166">
        <f t="shared" si="64"/>
        <v>0</v>
      </c>
      <c r="AU25" s="122">
        <f>BD24</f>
        <v>0.125</v>
      </c>
      <c r="AV25" s="149"/>
      <c r="AW25" s="149"/>
      <c r="AX25" s="154"/>
      <c r="AY25" s="154"/>
      <c r="AZ25" s="155">
        <f>'Revenue - Year 5'!R25</f>
        <v>0</v>
      </c>
      <c r="BA25" s="155">
        <f>'Revenue - Year 5'!S25</f>
        <v>0</v>
      </c>
      <c r="BB25" s="166">
        <f t="shared" ref="BB25" si="69">ROUNDDOWN((1-AX25)*AZ25,0)</f>
        <v>0</v>
      </c>
      <c r="BC25" s="166">
        <f t="shared" ref="BC25" si="70">ROUND((1-AY25)*BA25,0)</f>
        <v>0</v>
      </c>
      <c r="BD25" s="119">
        <v>0</v>
      </c>
      <c r="BE25" s="120">
        <v>0</v>
      </c>
      <c r="BF25" s="120">
        <v>0</v>
      </c>
      <c r="BG25" s="169">
        <f t="shared" si="52"/>
        <v>0</v>
      </c>
      <c r="BH25" s="169">
        <f t="shared" si="52"/>
        <v>0</v>
      </c>
      <c r="BI25" s="115" t="str">
        <f t="shared" si="50"/>
        <v>OK</v>
      </c>
      <c r="BJ25" s="135" t="s">
        <v>60</v>
      </c>
      <c r="BK25" s="135"/>
      <c r="BL25" s="135"/>
      <c r="BM25" s="136">
        <f>SUM(I25:J25,R25:S25,AA25:AB25,AJ25:AK25,AS25:AT25,BB25:BC25)+SUM(BE19:BF24)</f>
        <v>0</v>
      </c>
    </row>
    <row r="26" spans="1:65" ht="29.4" thickBot="1" x14ac:dyDescent="0.6">
      <c r="A26" s="128" t="s">
        <v>40</v>
      </c>
      <c r="B26" s="122"/>
      <c r="C26" s="122"/>
      <c r="D26" s="122"/>
      <c r="E26" s="122"/>
      <c r="F26" s="122"/>
      <c r="G26" s="165"/>
      <c r="H26" s="165"/>
      <c r="I26" s="129">
        <f>SUM(I19:I25)</f>
        <v>0</v>
      </c>
      <c r="J26" s="129">
        <f>SUM(J19:J25)</f>
        <v>0</v>
      </c>
      <c r="K26" s="122"/>
      <c r="L26" s="122"/>
      <c r="M26" s="122"/>
      <c r="N26" s="122"/>
      <c r="O26" s="122"/>
      <c r="P26" s="165"/>
      <c r="Q26" s="165"/>
      <c r="R26" s="129">
        <f>SUM(R19:R25)</f>
        <v>0</v>
      </c>
      <c r="S26" s="129">
        <f>SUM(S19:S25)</f>
        <v>0</v>
      </c>
      <c r="T26" s="122"/>
      <c r="U26" s="122"/>
      <c r="V26" s="122"/>
      <c r="W26" s="122"/>
      <c r="X26" s="122"/>
      <c r="Y26" s="165"/>
      <c r="Z26" s="165"/>
      <c r="AA26" s="129">
        <f>SUM(AA19:AA25)</f>
        <v>0</v>
      </c>
      <c r="AB26" s="129">
        <f>SUM(AB19:AB25)</f>
        <v>0</v>
      </c>
      <c r="AC26" s="122"/>
      <c r="AD26" s="122"/>
      <c r="AE26" s="122"/>
      <c r="AF26" s="122"/>
      <c r="AG26" s="122"/>
      <c r="AH26" s="165"/>
      <c r="AI26" s="165"/>
      <c r="AJ26" s="129">
        <f>SUM(AJ19:AJ25)</f>
        <v>0</v>
      </c>
      <c r="AK26" s="129">
        <f>SUM(AK19:AK25)</f>
        <v>0</v>
      </c>
      <c r="AL26" s="122"/>
      <c r="AM26" s="122"/>
      <c r="AN26" s="122"/>
      <c r="AO26" s="122"/>
      <c r="AP26" s="122"/>
      <c r="AQ26" s="165"/>
      <c r="AR26" s="165"/>
      <c r="AS26" s="129">
        <f>SUM(AS19:AS25)</f>
        <v>0</v>
      </c>
      <c r="AT26" s="129">
        <f>SUM(AT19:AT25)</f>
        <v>0</v>
      </c>
      <c r="AU26" s="122"/>
      <c r="AV26" s="122"/>
      <c r="AW26" s="122"/>
      <c r="AX26" s="122"/>
      <c r="AY26" s="122"/>
      <c r="AZ26" s="165"/>
      <c r="BA26" s="165"/>
      <c r="BB26" s="129">
        <f>SUM(BB19:BB25)</f>
        <v>0</v>
      </c>
      <c r="BC26" s="129">
        <f>SUM(BC19:BC25)</f>
        <v>0</v>
      </c>
      <c r="BD26" s="122"/>
      <c r="BE26" s="129">
        <f>SUM(BE19:BE25)</f>
        <v>0</v>
      </c>
      <c r="BF26" s="129">
        <f>SUM(BF19:BF25)</f>
        <v>0</v>
      </c>
      <c r="BG26" s="169">
        <f t="shared" si="52"/>
        <v>0</v>
      </c>
      <c r="BH26" s="169">
        <f t="shared" si="52"/>
        <v>0</v>
      </c>
      <c r="BI26" s="115" t="str">
        <f t="shared" si="50"/>
        <v>OK</v>
      </c>
      <c r="BJ26" s="181" t="s">
        <v>61</v>
      </c>
      <c r="BK26" s="135"/>
      <c r="BL26" s="135"/>
      <c r="BM26" s="136">
        <f>SUM(B26:BF26)</f>
        <v>0</v>
      </c>
    </row>
    <row r="27" spans="1:65" ht="28.8" x14ac:dyDescent="0.55000000000000004">
      <c r="A27" s="115"/>
      <c r="B27" s="115"/>
      <c r="C27" s="115" t="str">
        <f>+IF(C18="Y",IF(C26&gt;270,"PB","OK"),IF(C26&gt;70,"PB","OK"))</f>
        <v>OK</v>
      </c>
      <c r="D27" s="115" t="str">
        <f t="shared" ref="D27" si="71">+IF(D18="Y",IF(D26&gt;270,"PB","ok"),IF(D26&gt;70,"PB","OK"))</f>
        <v>OK</v>
      </c>
      <c r="E27" s="115"/>
      <c r="F27" s="115" t="str">
        <f t="shared" ref="F27" si="72">+IF(F18="Y",IF(F26&gt;270,"PB","ok"),IF(F26&gt;70,"PB","OK"))</f>
        <v>OK</v>
      </c>
      <c r="I27" s="115" t="str">
        <f>+IF(I18="Traffic Y",IF(I26&gt;270,"PB","OK"),IF(I26&gt;70,"PB","OK"))</f>
        <v>OK</v>
      </c>
      <c r="J27" s="115" t="str">
        <f>+IF(H18="Y",IF(H26&gt;270,"PB","ok"),IF(H26&gt;70,"PB","OK"))</f>
        <v>OK</v>
      </c>
      <c r="K27" s="115"/>
      <c r="L27" s="115" t="str">
        <f t="shared" ref="L27:M27" si="73">+IF(L18="Y",IF(L26&gt;270,"PB","ok"),IF(L26&gt;70,"PB","OK"))</f>
        <v>OK</v>
      </c>
      <c r="M27" s="115" t="str">
        <f t="shared" si="73"/>
        <v>OK</v>
      </c>
      <c r="N27" s="115"/>
      <c r="O27" s="115" t="str">
        <f t="shared" ref="O27" si="74">+IF(O18="Y",IF(O26&gt;270,"PB","ok"),IF(O26&gt;70,"PB","OK"))</f>
        <v>OK</v>
      </c>
      <c r="R27" s="115" t="str">
        <f>+IF(R18="Traffic Y",IF(R26&gt;270,"PB","OK"),IF(R26&gt;70,"PB","OK"))</f>
        <v>OK</v>
      </c>
      <c r="S27" s="115" t="str">
        <f>+IF(Q18="Y",IF(Q26&gt;270,"PB","ok"),IF(Q26&gt;70,"PB","OK"))</f>
        <v>OK</v>
      </c>
      <c r="T27" s="115"/>
      <c r="U27" s="115" t="str">
        <f>+IF(U18="Y",IF(U26&gt;270,"PB","OK"),IF(U26&gt;70,"PB","OK"))</f>
        <v>OK</v>
      </c>
      <c r="V27" s="115" t="str">
        <f>+IF(V18="Y",IF(V26&gt;270,"PB","OK"),IF(V26&gt;70,"PB","OK"))</f>
        <v>OK</v>
      </c>
      <c r="W27" s="139"/>
      <c r="X27" s="139"/>
      <c r="AA27" s="115" t="str">
        <f>+IF(AA18="Traffic Y",IF(AA26&gt;270,"PB","OK"),IF(AA26&gt;70,"PB","OK"))</f>
        <v>OK</v>
      </c>
      <c r="AB27" s="115" t="str">
        <f>+IF(Z18="Y",IF(Z26&gt;270,"PB","ok"),IF(Z26&gt;70,"PB","OK"))</f>
        <v>OK</v>
      </c>
      <c r="AC27" s="134"/>
      <c r="AD27" s="134"/>
      <c r="AE27" s="134"/>
      <c r="AF27" s="134"/>
      <c r="AG27" s="134"/>
      <c r="AJ27" s="115" t="str">
        <f>+IF(AJ18="Traffic Y",IF(AJ26&gt;270,"PB","OK"),IF(AJ26&gt;70,"PB","OK"))</f>
        <v>OK</v>
      </c>
      <c r="AK27" s="115" t="str">
        <f>+IF(AI18="Y",IF(AI26&gt;270,"PB","ok"),IF(AI26&gt;70,"PB","OK"))</f>
        <v>OK</v>
      </c>
      <c r="AL27" s="134"/>
      <c r="AM27" s="134"/>
      <c r="AN27" s="134"/>
      <c r="AO27" s="134"/>
      <c r="AP27" s="134"/>
      <c r="AS27" s="115" t="str">
        <f>+IF(AS18="Traffic Y",IF(AS26&gt;270,"PB","OK"),IF(AS26&gt;70,"PB","OK"))</f>
        <v>OK</v>
      </c>
      <c r="AT27" s="115" t="str">
        <f>+IF(AR18="Y",IF(AR26&gt;270,"PB","ok"),IF(AR26&gt;70,"PB","OK"))</f>
        <v>OK</v>
      </c>
      <c r="AU27" s="134"/>
      <c r="AV27" s="134"/>
      <c r="AW27" s="134"/>
      <c r="AX27" s="134"/>
      <c r="AY27" s="134"/>
      <c r="BB27" s="115" t="str">
        <f>+IF(BB18="Traffic Y",IF(BB26&gt;270,"PB","OK"),IF(BB26&gt;70,"PB","OK"))</f>
        <v>OK</v>
      </c>
      <c r="BC27" s="115" t="str">
        <f>+IF(BA18="Y",IF(BA26&gt;270,"PB","ok"),IF(BA26&gt;70,"PB","OK"))</f>
        <v>OK</v>
      </c>
      <c r="BD27" s="134"/>
      <c r="BE27" s="115" t="str">
        <f>+IF(BE18="Traffic Y",IF(BE26&gt;270,"PB","ok"),IF(BE26&gt;70,"PB","OK"))</f>
        <v>OK</v>
      </c>
      <c r="BF27" s="115" t="str">
        <f>+IF(BF18="Traffic Y",IF(BF26&gt;270,"PB","ok"),IF(BF26&gt;70,"PB","OK"))</f>
        <v>OK</v>
      </c>
      <c r="BG27" s="134"/>
      <c r="BH27" s="134"/>
      <c r="BI27" s="139"/>
      <c r="BJ27" s="181" t="s">
        <v>120</v>
      </c>
      <c r="BK27" s="135"/>
      <c r="BL27" s="135"/>
      <c r="BM27" s="180">
        <f>(BM25+2*BM24)/2040</f>
        <v>0</v>
      </c>
    </row>
    <row r="28" spans="1:65" x14ac:dyDescent="0.3">
      <c r="A28" s="115"/>
      <c r="B28" s="144"/>
      <c r="C28" s="144"/>
      <c r="D28" s="144"/>
      <c r="E28" s="144"/>
      <c r="F28" s="144"/>
      <c r="G28" s="134"/>
      <c r="H28" s="134"/>
      <c r="I28" s="134"/>
      <c r="J28" s="134"/>
      <c r="K28" s="144"/>
      <c r="L28" s="144"/>
      <c r="M28" s="144"/>
      <c r="N28" s="144"/>
      <c r="O28" s="144"/>
      <c r="P28" s="134"/>
      <c r="Q28" s="134"/>
      <c r="R28" s="134"/>
      <c r="S28" s="134"/>
      <c r="T28" s="144"/>
      <c r="U28" s="144"/>
      <c r="V28" s="144"/>
      <c r="W28" s="144"/>
      <c r="X28" s="144"/>
      <c r="Y28" s="134"/>
      <c r="Z28" s="134"/>
      <c r="AA28" s="134"/>
      <c r="AB28" s="134"/>
      <c r="AC28" s="144"/>
      <c r="AD28" s="144"/>
      <c r="AE28" s="144"/>
      <c r="AF28" s="144"/>
      <c r="AG28" s="144"/>
      <c r="AH28" s="134"/>
      <c r="AI28" s="134"/>
      <c r="AJ28" s="134"/>
      <c r="AK28" s="134"/>
      <c r="AL28" s="144"/>
      <c r="AM28" s="144"/>
      <c r="AN28" s="144"/>
      <c r="AO28" s="144"/>
      <c r="AP28" s="144"/>
      <c r="AQ28" s="134"/>
      <c r="AR28" s="134"/>
      <c r="AS28" s="134"/>
      <c r="AT28" s="134"/>
      <c r="AU28" s="144"/>
      <c r="AV28" s="144"/>
      <c r="AW28" s="144"/>
      <c r="AX28" s="144"/>
      <c r="AY28" s="144"/>
      <c r="AZ28" s="134"/>
      <c r="BA28" s="134"/>
      <c r="BB28" s="134"/>
      <c r="BC28" s="134"/>
      <c r="BD28" s="144"/>
      <c r="BE28" s="134"/>
      <c r="BF28" s="134"/>
      <c r="BG28" s="141"/>
      <c r="BH28" s="141"/>
      <c r="BI28" s="141"/>
      <c r="BJ28" s="134"/>
      <c r="BK28" s="134"/>
      <c r="BL28" s="134"/>
      <c r="BM28" s="134"/>
    </row>
    <row r="29" spans="1:65" ht="15" customHeight="1" x14ac:dyDescent="0.3">
      <c r="A29" s="216" t="s">
        <v>76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32"/>
      <c r="AL29" s="226">
        <v>4.1666666666666664E-2</v>
      </c>
      <c r="AM29" s="227"/>
      <c r="AN29" s="227"/>
      <c r="AO29" s="227"/>
      <c r="AP29" s="227"/>
      <c r="AQ29" s="227"/>
      <c r="AR29" s="227"/>
      <c r="AS29" s="227"/>
      <c r="AT29" s="227"/>
      <c r="AU29" s="230">
        <v>0.05</v>
      </c>
      <c r="AV29" s="231"/>
      <c r="AW29" s="231"/>
      <c r="AX29" s="231"/>
      <c r="AY29" s="231"/>
      <c r="AZ29" s="231"/>
      <c r="BA29" s="231"/>
      <c r="BB29" s="231"/>
      <c r="BC29" s="231"/>
      <c r="BD29" s="230">
        <v>0.02</v>
      </c>
      <c r="BE29" s="227"/>
      <c r="BF29" s="227"/>
      <c r="BG29" s="131"/>
      <c r="BH29" s="131"/>
      <c r="BI29" s="131"/>
      <c r="BJ29" s="217" t="s">
        <v>114</v>
      </c>
      <c r="BK29" s="217"/>
      <c r="BL29" s="217"/>
      <c r="BM29" s="217"/>
    </row>
    <row r="30" spans="1:65" ht="15.75" customHeight="1" thickBot="1" x14ac:dyDescent="0.35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32"/>
      <c r="AL30" s="228"/>
      <c r="AM30" s="229"/>
      <c r="AN30" s="229"/>
      <c r="AO30" s="229"/>
      <c r="AP30" s="229"/>
      <c r="AQ30" s="229"/>
      <c r="AR30" s="229"/>
      <c r="AS30" s="229"/>
      <c r="AT30" s="229"/>
      <c r="AU30" s="228"/>
      <c r="AV30" s="229"/>
      <c r="AW30" s="229"/>
      <c r="AX30" s="229"/>
      <c r="AY30" s="229"/>
      <c r="AZ30" s="229"/>
      <c r="BA30" s="229"/>
      <c r="BB30" s="229"/>
      <c r="BC30" s="229"/>
      <c r="BD30" s="228"/>
      <c r="BE30" s="229"/>
      <c r="BF30" s="229"/>
      <c r="BG30" s="131"/>
      <c r="BH30" s="131"/>
      <c r="BI30" s="131"/>
      <c r="BJ30" s="217"/>
      <c r="BK30" s="217"/>
      <c r="BL30" s="217"/>
      <c r="BM30" s="217"/>
    </row>
    <row r="31" spans="1:65" ht="27" customHeight="1" thickBot="1" x14ac:dyDescent="0.35">
      <c r="A31" s="113" t="s">
        <v>63</v>
      </c>
      <c r="B31" s="218" t="s">
        <v>11</v>
      </c>
      <c r="C31" s="202"/>
      <c r="D31" s="202"/>
      <c r="E31" s="202"/>
      <c r="F31" s="202"/>
      <c r="G31" s="202"/>
      <c r="H31" s="202"/>
      <c r="I31" s="202"/>
      <c r="J31" s="203"/>
      <c r="K31" s="204" t="s">
        <v>12</v>
      </c>
      <c r="L31" s="205"/>
      <c r="M31" s="205"/>
      <c r="N31" s="205"/>
      <c r="O31" s="205"/>
      <c r="P31" s="205"/>
      <c r="Q31" s="205"/>
      <c r="R31" s="205"/>
      <c r="S31" s="206"/>
      <c r="T31" s="207" t="s">
        <v>15</v>
      </c>
      <c r="U31" s="208"/>
      <c r="V31" s="208"/>
      <c r="W31" s="208"/>
      <c r="X31" s="208"/>
      <c r="Y31" s="208"/>
      <c r="Z31" s="208"/>
      <c r="AA31" s="208"/>
      <c r="AB31" s="208"/>
      <c r="AC31" s="210" t="s">
        <v>13</v>
      </c>
      <c r="AD31" s="211"/>
      <c r="AE31" s="211"/>
      <c r="AF31" s="211"/>
      <c r="AG31" s="211"/>
      <c r="AH31" s="211"/>
      <c r="AI31" s="211"/>
      <c r="AJ31" s="211"/>
      <c r="AK31" s="211"/>
      <c r="AL31" s="213" t="s">
        <v>16</v>
      </c>
      <c r="AM31" s="214"/>
      <c r="AN31" s="214"/>
      <c r="AO31" s="214"/>
      <c r="AP31" s="214"/>
      <c r="AQ31" s="214"/>
      <c r="AR31" s="214"/>
      <c r="AS31" s="214"/>
      <c r="AT31" s="214"/>
      <c r="AU31" s="187" t="s">
        <v>14</v>
      </c>
      <c r="AV31" s="188"/>
      <c r="AW31" s="188"/>
      <c r="AX31" s="188"/>
      <c r="AY31" s="188"/>
      <c r="AZ31" s="188"/>
      <c r="BA31" s="188"/>
      <c r="BB31" s="188"/>
      <c r="BC31" s="188"/>
      <c r="BD31" s="219" t="s">
        <v>19</v>
      </c>
      <c r="BE31" s="220"/>
      <c r="BF31" s="220"/>
      <c r="BG31" s="200" t="s">
        <v>69</v>
      </c>
      <c r="BH31" s="200"/>
      <c r="BI31" s="177"/>
      <c r="BJ31" s="217"/>
      <c r="BK31" s="217"/>
      <c r="BL31" s="217"/>
      <c r="BM31" s="217"/>
    </row>
    <row r="32" spans="1:65" ht="31.8" thickBot="1" x14ac:dyDescent="0.35">
      <c r="A32" s="113" t="s">
        <v>39</v>
      </c>
      <c r="B32" s="114" t="s">
        <v>36</v>
      </c>
      <c r="C32" s="114" t="s">
        <v>79</v>
      </c>
      <c r="D32" s="114" t="s">
        <v>73</v>
      </c>
      <c r="E32" s="163" t="s">
        <v>71</v>
      </c>
      <c r="F32" s="163" t="s">
        <v>72</v>
      </c>
      <c r="G32" s="117" t="s">
        <v>77</v>
      </c>
      <c r="H32" s="117" t="s">
        <v>78</v>
      </c>
      <c r="I32" s="117" t="s">
        <v>37</v>
      </c>
      <c r="J32" s="117" t="s">
        <v>38</v>
      </c>
      <c r="K32" s="114" t="s">
        <v>36</v>
      </c>
      <c r="L32" s="114" t="s">
        <v>79</v>
      </c>
      <c r="M32" s="114" t="s">
        <v>73</v>
      </c>
      <c r="N32" s="163" t="s">
        <v>71</v>
      </c>
      <c r="O32" s="163" t="s">
        <v>72</v>
      </c>
      <c r="P32" s="117" t="s">
        <v>77</v>
      </c>
      <c r="Q32" s="117" t="s">
        <v>78</v>
      </c>
      <c r="R32" s="117" t="s">
        <v>37</v>
      </c>
      <c r="S32" s="117" t="s">
        <v>38</v>
      </c>
      <c r="T32" s="114" t="s">
        <v>36</v>
      </c>
      <c r="U32" s="114" t="s">
        <v>79</v>
      </c>
      <c r="V32" s="114" t="s">
        <v>73</v>
      </c>
      <c r="W32" s="163" t="s">
        <v>71</v>
      </c>
      <c r="X32" s="163" t="s">
        <v>72</v>
      </c>
      <c r="Y32" s="117" t="s">
        <v>77</v>
      </c>
      <c r="Z32" s="117" t="s">
        <v>78</v>
      </c>
      <c r="AA32" s="117" t="s">
        <v>37</v>
      </c>
      <c r="AB32" s="117" t="s">
        <v>38</v>
      </c>
      <c r="AC32" s="114" t="s">
        <v>36</v>
      </c>
      <c r="AD32" s="114" t="s">
        <v>79</v>
      </c>
      <c r="AE32" s="114" t="s">
        <v>73</v>
      </c>
      <c r="AF32" s="163" t="s">
        <v>71</v>
      </c>
      <c r="AG32" s="163" t="s">
        <v>72</v>
      </c>
      <c r="AH32" s="117" t="s">
        <v>77</v>
      </c>
      <c r="AI32" s="117" t="s">
        <v>78</v>
      </c>
      <c r="AJ32" s="117" t="s">
        <v>37</v>
      </c>
      <c r="AK32" s="117" t="s">
        <v>38</v>
      </c>
      <c r="AL32" s="114" t="s">
        <v>36</v>
      </c>
      <c r="AM32" s="114" t="s">
        <v>79</v>
      </c>
      <c r="AN32" s="114" t="s">
        <v>73</v>
      </c>
      <c r="AO32" s="163" t="s">
        <v>71</v>
      </c>
      <c r="AP32" s="163" t="s">
        <v>72</v>
      </c>
      <c r="AQ32" s="117" t="s">
        <v>77</v>
      </c>
      <c r="AR32" s="117" t="s">
        <v>78</v>
      </c>
      <c r="AS32" s="117" t="s">
        <v>37</v>
      </c>
      <c r="AT32" s="117" t="s">
        <v>38</v>
      </c>
      <c r="AU32" s="114" t="s">
        <v>36</v>
      </c>
      <c r="AV32" s="114" t="s">
        <v>79</v>
      </c>
      <c r="AW32" s="114" t="s">
        <v>73</v>
      </c>
      <c r="AX32" s="163" t="s">
        <v>71</v>
      </c>
      <c r="AY32" s="163" t="s">
        <v>72</v>
      </c>
      <c r="AZ32" s="117" t="s">
        <v>77</v>
      </c>
      <c r="BA32" s="117" t="s">
        <v>78</v>
      </c>
      <c r="BB32" s="117" t="s">
        <v>37</v>
      </c>
      <c r="BC32" s="117" t="s">
        <v>38</v>
      </c>
      <c r="BD32" s="114" t="s">
        <v>36</v>
      </c>
      <c r="BE32" s="164" t="s">
        <v>37</v>
      </c>
      <c r="BF32" s="164" t="s">
        <v>38</v>
      </c>
      <c r="BG32" s="167" t="s">
        <v>21</v>
      </c>
      <c r="BH32" s="167" t="s">
        <v>20</v>
      </c>
      <c r="BI32" s="133"/>
      <c r="BJ32" s="168"/>
      <c r="BK32" s="168"/>
      <c r="BL32" s="168"/>
      <c r="BM32" s="168"/>
    </row>
    <row r="33" spans="1:65" ht="29.4" thickBot="1" x14ac:dyDescent="0.6">
      <c r="A33" s="118" t="s">
        <v>11</v>
      </c>
      <c r="B33" s="119">
        <v>0</v>
      </c>
      <c r="C33" s="148"/>
      <c r="D33" s="148"/>
      <c r="E33" s="148"/>
      <c r="F33" s="148"/>
      <c r="G33" s="120">
        <v>0</v>
      </c>
      <c r="H33" s="120">
        <v>0</v>
      </c>
      <c r="I33" s="120">
        <v>0</v>
      </c>
      <c r="J33" s="120">
        <v>0</v>
      </c>
      <c r="K33" s="178">
        <v>0.34027777777777773</v>
      </c>
      <c r="L33" s="149">
        <f>K33+$AL$29</f>
        <v>0.38194444444444442</v>
      </c>
      <c r="M33" s="158">
        <f>M5</f>
        <v>0.38194444444444442</v>
      </c>
      <c r="N33" s="154">
        <f>(L33/M33-1)*10*$AU$1</f>
        <v>0</v>
      </c>
      <c r="O33" s="154">
        <f>(L33/M33-1)*10*$BD$1</f>
        <v>0</v>
      </c>
      <c r="P33" s="155">
        <f>'Revenue - Year 5'!F33</f>
        <v>0</v>
      </c>
      <c r="Q33" s="155">
        <f>'Revenue - Year 5'!G33</f>
        <v>0</v>
      </c>
      <c r="R33" s="166">
        <f>ROUNDDOWN((1-N33)*P33,0)</f>
        <v>0</v>
      </c>
      <c r="S33" s="166">
        <f>ROUND((1-O33)*Q33,0)</f>
        <v>0</v>
      </c>
      <c r="T33" s="122">
        <v>0.28472222222222221</v>
      </c>
      <c r="U33" s="149">
        <f>T33+$AL$29</f>
        <v>0.3263888888888889</v>
      </c>
      <c r="V33" s="151">
        <f>V5</f>
        <v>0.28472222222222221</v>
      </c>
      <c r="W33" s="154">
        <f>(U33/V33-1)*10*$AU$1</f>
        <v>7.3170731707317138E-2</v>
      </c>
      <c r="X33" s="154">
        <f>(U33/V33-1)*10*$BD$1</f>
        <v>2.9268292682926855E-2</v>
      </c>
      <c r="Y33" s="155">
        <f>'Revenue - Year 5'!I33</f>
        <v>0</v>
      </c>
      <c r="Z33" s="155">
        <f>'Revenue - Year 5'!J33</f>
        <v>0</v>
      </c>
      <c r="AA33" s="166">
        <f>ROUNDDOWN((1-W33)*Y33,0)</f>
        <v>0</v>
      </c>
      <c r="AB33" s="166">
        <f>ROUND((1-X33)*Z33,0)</f>
        <v>0</v>
      </c>
      <c r="AC33" s="122">
        <v>0.44444444444444442</v>
      </c>
      <c r="AD33" s="159">
        <f>AC33+$AL$29</f>
        <v>0.4861111111111111</v>
      </c>
      <c r="AE33" s="158">
        <f>AE5</f>
        <v>0.4861111111111111</v>
      </c>
      <c r="AF33" s="160">
        <f>(AD33/AE33-1)*10*$AU$1</f>
        <v>0</v>
      </c>
      <c r="AG33" s="154">
        <f>(AD33/AE33-1)*10*$BD$1</f>
        <v>0</v>
      </c>
      <c r="AH33" s="155">
        <f>'Revenue - Year 5'!L33</f>
        <v>0</v>
      </c>
      <c r="AI33" s="155">
        <f>'Revenue - Year 5'!M33</f>
        <v>0</v>
      </c>
      <c r="AJ33" s="166">
        <f>ROUNDDOWN((1-AF33)*AH33,0)</f>
        <v>0</v>
      </c>
      <c r="AK33" s="166">
        <f>ROUND((1-AG33)*AI33,0)</f>
        <v>0</v>
      </c>
      <c r="AL33" s="122">
        <v>0.49305555555555558</v>
      </c>
      <c r="AM33" s="159">
        <f>AL33+$AL$29</f>
        <v>0.53472222222222221</v>
      </c>
      <c r="AN33" s="158">
        <f>AN5</f>
        <v>0.53472222222222221</v>
      </c>
      <c r="AO33" s="160">
        <f>(AM33/AN33-1)*10*$AU$1</f>
        <v>0</v>
      </c>
      <c r="AP33" s="154">
        <f>(AM33/AN33-1)*10*$BD$1</f>
        <v>0</v>
      </c>
      <c r="AQ33" s="155">
        <f>'Revenue - Year 5'!O33</f>
        <v>0</v>
      </c>
      <c r="AR33" s="155">
        <f>'Revenue - Year 5'!P33</f>
        <v>0</v>
      </c>
      <c r="AS33" s="166">
        <f>ROUNDDOWN((1-AO33)*AQ33,0)</f>
        <v>0</v>
      </c>
      <c r="AT33" s="166">
        <f>ROUND((1-AP33)*AR33,0)</f>
        <v>0</v>
      </c>
      <c r="AU33" s="122">
        <v>0.19444444444444445</v>
      </c>
      <c r="AV33" s="149">
        <f>AU33+$AL$29</f>
        <v>0.2361111111111111</v>
      </c>
      <c r="AW33" s="158">
        <f>AW5</f>
        <v>0.2361111111111111</v>
      </c>
      <c r="AX33" s="154">
        <f>(AV33/AW33-1)*10*$AU$1</f>
        <v>0</v>
      </c>
      <c r="AY33" s="154">
        <f>(AV33/AW33-1)*10*$BD$1</f>
        <v>0</v>
      </c>
      <c r="AZ33" s="155">
        <f>'Revenue - Year 5'!R33</f>
        <v>0</v>
      </c>
      <c r="BA33" s="155">
        <f>'Revenue - Year 5'!S33</f>
        <v>0</v>
      </c>
      <c r="BB33" s="166">
        <f t="shared" ref="BB33:BB37" si="75">ROUNDDOWN((1-AX33)*AZ33,0)</f>
        <v>0</v>
      </c>
      <c r="BC33" s="166">
        <f t="shared" ref="BC33:BC37" si="76">ROUND((1-AY33)*BA33,0)</f>
        <v>0</v>
      </c>
      <c r="BD33" s="122">
        <v>9.0277777777777776E-2</v>
      </c>
      <c r="BE33" s="156">
        <f>'Revenue - Year 5'!U33</f>
        <v>0</v>
      </c>
      <c r="BF33" s="156">
        <f>'Revenue - Year 5'!V33</f>
        <v>0</v>
      </c>
      <c r="BG33" s="169">
        <f>I33+R33+AA33+AJ33+AS33+BB33+BE33</f>
        <v>0</v>
      </c>
      <c r="BH33" s="169">
        <f>J33+S33+AB33+AK33+AT33+BC33+BF33</f>
        <v>0</v>
      </c>
      <c r="BI33" s="115" t="str">
        <f t="shared" ref="BI33:BI40" si="77">IF(OR(BG33&gt;70,BH33&gt;270),"PB","OK")</f>
        <v>OK</v>
      </c>
      <c r="BJ33" s="135" t="s">
        <v>57</v>
      </c>
      <c r="BK33" s="135"/>
      <c r="BL33" s="135"/>
      <c r="BM33" s="136">
        <f>1440/60*4*(SUMPRODUCT($B$33:$B$39,I33:I39)+SUMPRODUCT($K$33:$K$39,$R$33:$R$39)+SUMPRODUCT($T$33:$T$39,$AA$33:$AA$39)+SUMPRODUCT($AC$33:$AC$39,$AJ$33:$AJ$39)+SUMPRODUCT($AL$33:$AL$39,$AS$33:$AS$39)+SUMPRODUCT($AU$33:$AU$39,$BB$33:$BB$39)+SUMPRODUCT($BD$33:$BD$39,BE33:BE39))</f>
        <v>0</v>
      </c>
    </row>
    <row r="34" spans="1:65" ht="29.4" thickBot="1" x14ac:dyDescent="0.6">
      <c r="A34" s="121" t="s">
        <v>12</v>
      </c>
      <c r="B34" s="122">
        <f>K33</f>
        <v>0.34027777777777773</v>
      </c>
      <c r="C34" s="149">
        <f>B34+$AL$29</f>
        <v>0.38194444444444442</v>
      </c>
      <c r="D34" s="157">
        <f>D6</f>
        <v>0.38194444444444442</v>
      </c>
      <c r="E34" s="154">
        <f>(C34/D34-1)*10*$AU$1</f>
        <v>0</v>
      </c>
      <c r="F34" s="154">
        <f>(C34/D34-1)*10*$BD$1</f>
        <v>0</v>
      </c>
      <c r="G34" s="155">
        <f>'Revenue - Year 5'!C34</f>
        <v>0</v>
      </c>
      <c r="H34" s="155">
        <f>'Revenue - Year 5'!D34</f>
        <v>0</v>
      </c>
      <c r="I34" s="166">
        <f>ROUNDDOWN((1-E34)*G34,0)</f>
        <v>0</v>
      </c>
      <c r="J34" s="166">
        <f>ROUND((1-F34)*H34,0)</f>
        <v>0</v>
      </c>
      <c r="K34" s="119">
        <v>0</v>
      </c>
      <c r="L34" s="148"/>
      <c r="M34" s="148"/>
      <c r="N34" s="148"/>
      <c r="O34" s="148"/>
      <c r="P34" s="120">
        <v>0</v>
      </c>
      <c r="Q34" s="120">
        <v>0</v>
      </c>
      <c r="R34" s="120">
        <v>0</v>
      </c>
      <c r="S34" s="120">
        <v>0</v>
      </c>
      <c r="T34" s="122">
        <v>0.44444444444444442</v>
      </c>
      <c r="U34" s="149">
        <f>T34+$AL$29</f>
        <v>0.4861111111111111</v>
      </c>
      <c r="V34" s="151">
        <f>V6</f>
        <v>0.40277777777777773</v>
      </c>
      <c r="W34" s="154">
        <f>(U34/V34-1)*10*$AU$1</f>
        <v>0.10344827586206906</v>
      </c>
      <c r="X34" s="154">
        <f>(U34/V34-1)*10*$BD$1</f>
        <v>4.1379310344827627E-2</v>
      </c>
      <c r="Y34" s="155">
        <f>'Revenue - Year 5'!I34</f>
        <v>0</v>
      </c>
      <c r="Z34" s="155">
        <f>'Revenue - Year 5'!J34</f>
        <v>0</v>
      </c>
      <c r="AA34" s="166">
        <f>ROUNDDOWN((1-W34)*Y34,0)</f>
        <v>0</v>
      </c>
      <c r="AB34" s="166">
        <f>ROUND((1-X34)*Z34,0)</f>
        <v>0</v>
      </c>
      <c r="AC34" s="179">
        <v>0.60416666666666663</v>
      </c>
      <c r="AD34" s="159">
        <f>AC34+$AL$29</f>
        <v>0.64583333333333326</v>
      </c>
      <c r="AE34" s="158">
        <f>AE6</f>
        <v>0.64583333333333326</v>
      </c>
      <c r="AF34" s="160">
        <f>(AD34/AE34-1)*10*$AU$1</f>
        <v>0</v>
      </c>
      <c r="AG34" s="154">
        <f>(AD34/AE34-1)*10*$BD$1</f>
        <v>0</v>
      </c>
      <c r="AH34" s="155">
        <f>'Revenue - Year 5'!L34</f>
        <v>0</v>
      </c>
      <c r="AI34" s="155">
        <f>'Revenue - Year 5'!M34</f>
        <v>0</v>
      </c>
      <c r="AJ34" s="166">
        <f>ROUNDDOWN((1-AF34)*AH34,0)</f>
        <v>0</v>
      </c>
      <c r="AK34" s="166">
        <f>ROUND((1-AG34)*AI34,0)</f>
        <v>0</v>
      </c>
      <c r="AL34" s="122">
        <v>0.65277777777777779</v>
      </c>
      <c r="AM34" s="159">
        <f>AL34+$AL$29</f>
        <v>0.69444444444444442</v>
      </c>
      <c r="AN34" s="158">
        <f>AN6</f>
        <v>0.65625</v>
      </c>
      <c r="AO34" s="160">
        <f>(AM34/AN34-1)*10*$AU$1</f>
        <v>2.9100529100529071E-2</v>
      </c>
      <c r="AP34" s="154">
        <f>(AM34/AN34-1)*10*$BD$1</f>
        <v>1.164021164021163E-2</v>
      </c>
      <c r="AQ34" s="155">
        <f>'Revenue - Year 5'!O34</f>
        <v>0</v>
      </c>
      <c r="AR34" s="155">
        <f>'Revenue - Year 5'!P34</f>
        <v>0</v>
      </c>
      <c r="AS34" s="166">
        <f>ROUNDDOWN((1-AO34)*AQ34,0)</f>
        <v>0</v>
      </c>
      <c r="AT34" s="166">
        <f>ROUND((1-AP34)*AR34,0)</f>
        <v>0</v>
      </c>
      <c r="AU34" s="122">
        <v>0.35416666666666669</v>
      </c>
      <c r="AV34" s="159">
        <f>AU34+$AL$29</f>
        <v>0.39583333333333337</v>
      </c>
      <c r="AW34" s="158">
        <f>AW6</f>
        <v>0.39583333333333337</v>
      </c>
      <c r="AX34" s="154">
        <f>(AV34/AW34-1)*10*$AU$1</f>
        <v>0</v>
      </c>
      <c r="AY34" s="154">
        <f>(AV34/AW34-1)*10*$BD$1</f>
        <v>0</v>
      </c>
      <c r="AZ34" s="155">
        <f>'Revenue - Year 5'!R34</f>
        <v>0</v>
      </c>
      <c r="BA34" s="155">
        <f>'Revenue - Year 5'!S34</f>
        <v>0</v>
      </c>
      <c r="BB34" s="166">
        <f t="shared" si="75"/>
        <v>0</v>
      </c>
      <c r="BC34" s="166">
        <f t="shared" si="76"/>
        <v>0</v>
      </c>
      <c r="BD34" s="122">
        <v>0.25</v>
      </c>
      <c r="BE34" s="156">
        <f>'Revenue - Year 5'!U34</f>
        <v>0</v>
      </c>
      <c r="BF34" s="156">
        <f>'Revenue - Year 5'!V34</f>
        <v>0</v>
      </c>
      <c r="BG34" s="169">
        <f t="shared" ref="BG34:BH40" si="78">I34+R34+AA34+AJ34+AS34+BB34+BE34</f>
        <v>0</v>
      </c>
      <c r="BH34" s="169">
        <f t="shared" si="78"/>
        <v>0</v>
      </c>
      <c r="BI34" s="115" t="str">
        <f t="shared" si="77"/>
        <v>OK</v>
      </c>
      <c r="BJ34" s="135" t="s">
        <v>68</v>
      </c>
      <c r="BK34" s="135"/>
      <c r="BL34" s="135"/>
      <c r="BM34" s="136">
        <f>1440/60*(SUMPRODUCT(B33:B39,J33:J39)+SUMPRODUCT(K33:K39,S33:S39)+SUMPRODUCT(T33:T39,AB33:AB39)+SUMPRODUCT(AC33:AC39,AK33:AK39)+SUMPRODUCT(AL33:AL39,AT33:AT39)+SUMPRODUCT(AU33:AU39,BC33:BC39)+SUMPRODUCT(BD33:BD39*BF33:BF39))</f>
        <v>0</v>
      </c>
    </row>
    <row r="35" spans="1:65" ht="29.4" thickBot="1" x14ac:dyDescent="0.6">
      <c r="A35" s="123" t="s">
        <v>15</v>
      </c>
      <c r="B35" s="122">
        <f>T33</f>
        <v>0.28472222222222221</v>
      </c>
      <c r="C35" s="149">
        <f>B35+$AL$29</f>
        <v>0.3263888888888889</v>
      </c>
      <c r="D35" s="157">
        <f>D7</f>
        <v>0.28472222222222221</v>
      </c>
      <c r="E35" s="154">
        <f t="shared" ref="E35:E38" si="79">(C35/D35-1)*10*$AU$1</f>
        <v>7.3170731707317138E-2</v>
      </c>
      <c r="F35" s="154">
        <f t="shared" ref="F35:F38" si="80">(C35/D35-1)*10*$BD$1</f>
        <v>2.9268292682926855E-2</v>
      </c>
      <c r="G35" s="155">
        <f>'Revenue - Year 5'!C35</f>
        <v>0</v>
      </c>
      <c r="H35" s="155">
        <f>'Revenue - Year 5'!D35</f>
        <v>0</v>
      </c>
      <c r="I35" s="166">
        <f t="shared" ref="I35:I39" si="81">ROUNDDOWN((1-E35)*G35,0)</f>
        <v>0</v>
      </c>
      <c r="J35" s="166">
        <f t="shared" ref="J35:J39" si="82">ROUND((1-F35)*H35,0)</f>
        <v>0</v>
      </c>
      <c r="K35" s="122">
        <f>T34</f>
        <v>0.44444444444444442</v>
      </c>
      <c r="L35" s="149">
        <f>K35+$AL$29</f>
        <v>0.4861111111111111</v>
      </c>
      <c r="M35" s="157">
        <f>M7</f>
        <v>0.40277777777777773</v>
      </c>
      <c r="N35" s="154">
        <f t="shared" ref="N35:N38" si="83">(L35/M35-1)*10*$AU$1</f>
        <v>0.10344827586206906</v>
      </c>
      <c r="O35" s="154">
        <f t="shared" ref="O35:O38" si="84">(L35/M35-1)*10*$BD$1</f>
        <v>4.1379310344827627E-2</v>
      </c>
      <c r="P35" s="155">
        <f>'Revenue - Year 5'!F35</f>
        <v>0</v>
      </c>
      <c r="Q35" s="155">
        <f>'Revenue - Year 5'!G35</f>
        <v>0</v>
      </c>
      <c r="R35" s="166">
        <f t="shared" ref="R35:R39" si="85">ROUNDDOWN((1-N35)*P35,0)</f>
        <v>0</v>
      </c>
      <c r="S35" s="166">
        <f t="shared" ref="S35:S39" si="86">ROUND((1-O35)*Q35,0)</f>
        <v>0</v>
      </c>
      <c r="T35" s="119">
        <v>0</v>
      </c>
      <c r="U35" s="148"/>
      <c r="V35" s="148"/>
      <c r="W35" s="148"/>
      <c r="X35" s="148"/>
      <c r="Y35" s="120">
        <v>0</v>
      </c>
      <c r="Z35" s="120">
        <v>0</v>
      </c>
      <c r="AA35" s="120">
        <v>0</v>
      </c>
      <c r="AB35" s="120">
        <v>0</v>
      </c>
      <c r="AC35" s="179">
        <v>0.54861111111111105</v>
      </c>
      <c r="AD35" s="159">
        <f>AC35+$AL$29</f>
        <v>0.59027777777777768</v>
      </c>
      <c r="AE35" s="158">
        <f>AE7</f>
        <v>0.49305555555555558</v>
      </c>
      <c r="AF35" s="160">
        <f>(AD35/AE35-1)*10*$AU$1</f>
        <v>9.8591549295774517E-2</v>
      </c>
      <c r="AG35" s="154">
        <f>(AD35/AE35-1)*10*$BD$1</f>
        <v>3.9436619718309807E-2</v>
      </c>
      <c r="AH35" s="155">
        <f>'Revenue - Year 5'!L35</f>
        <v>0</v>
      </c>
      <c r="AI35" s="155">
        <f>'Revenue - Year 5'!M35</f>
        <v>0</v>
      </c>
      <c r="AJ35" s="166">
        <f>ROUNDDOWN((1-AF35)*AH35,0)</f>
        <v>0</v>
      </c>
      <c r="AK35" s="166">
        <f>ROUND((1-AG35)*AI35,0)</f>
        <v>0</v>
      </c>
      <c r="AL35" s="122">
        <v>0.59722222222222221</v>
      </c>
      <c r="AM35" s="159">
        <f>AL35+$AL$29</f>
        <v>0.63888888888888884</v>
      </c>
      <c r="AN35" s="158">
        <f>AN7</f>
        <v>0.49652777777777773</v>
      </c>
      <c r="AO35" s="160">
        <f>(AM35/AN35-1)*10*$AU$1</f>
        <v>0.14335664335664333</v>
      </c>
      <c r="AP35" s="154">
        <f>(AM35/AN35-1)*10*$BD$1</f>
        <v>5.7342657342657331E-2</v>
      </c>
      <c r="AQ35" s="155">
        <f>'Revenue - Year 5'!O35</f>
        <v>0</v>
      </c>
      <c r="AR35" s="155">
        <f>'Revenue - Year 5'!P35</f>
        <v>0</v>
      </c>
      <c r="AS35" s="166">
        <f>ROUNDDOWN((1-AO35)*AQ35,0)</f>
        <v>0</v>
      </c>
      <c r="AT35" s="166">
        <f>ROUND((1-AP35)*AR35,0)</f>
        <v>0</v>
      </c>
      <c r="AU35" s="122">
        <v>0.2986111111111111</v>
      </c>
      <c r="AV35" s="159">
        <f>AU35+$AL$29</f>
        <v>0.34027777777777779</v>
      </c>
      <c r="AW35" s="158">
        <f>AW7</f>
        <v>0.27777777777777779</v>
      </c>
      <c r="AX35" s="154">
        <f>(AV35/AW35-1)*10*$AU$1</f>
        <v>0.11250000000000004</v>
      </c>
      <c r="AY35" s="154">
        <f>(AV35/AW35-1)*10*$BD$1</f>
        <v>4.5000000000000019E-2</v>
      </c>
      <c r="AZ35" s="155">
        <f>'Revenue - Year 5'!R35</f>
        <v>0</v>
      </c>
      <c r="BA35" s="155">
        <f>'Revenue - Year 5'!S35</f>
        <v>0</v>
      </c>
      <c r="BB35" s="166">
        <f t="shared" si="75"/>
        <v>0</v>
      </c>
      <c r="BC35" s="166">
        <f t="shared" si="76"/>
        <v>0</v>
      </c>
      <c r="BD35" s="122">
        <v>0.19444444444444445</v>
      </c>
      <c r="BE35" s="156">
        <f>'Revenue - Year 5'!U35</f>
        <v>0</v>
      </c>
      <c r="BF35" s="156">
        <f>'Revenue - Year 5'!V35</f>
        <v>0</v>
      </c>
      <c r="BG35" s="169">
        <f t="shared" si="78"/>
        <v>0</v>
      </c>
      <c r="BH35" s="169">
        <f t="shared" si="78"/>
        <v>0</v>
      </c>
      <c r="BI35" s="115" t="str">
        <f t="shared" si="77"/>
        <v>OK</v>
      </c>
      <c r="BJ35" s="135" t="s">
        <v>58</v>
      </c>
      <c r="BK35" s="135"/>
      <c r="BL35" s="135"/>
      <c r="BM35" s="137">
        <f>BM33+BM34</f>
        <v>0</v>
      </c>
    </row>
    <row r="36" spans="1:65" ht="29.4" thickBot="1" x14ac:dyDescent="0.6">
      <c r="A36" s="124" t="s">
        <v>13</v>
      </c>
      <c r="B36" s="122">
        <f>AC33</f>
        <v>0.44444444444444442</v>
      </c>
      <c r="C36" s="149">
        <f>B36+$AL$29</f>
        <v>0.4861111111111111</v>
      </c>
      <c r="D36" s="157">
        <f>D8</f>
        <v>0.4861111111111111</v>
      </c>
      <c r="E36" s="154">
        <f t="shared" si="79"/>
        <v>0</v>
      </c>
      <c r="F36" s="154">
        <f t="shared" si="80"/>
        <v>0</v>
      </c>
      <c r="G36" s="155">
        <f>'Revenue - Year 5'!C36</f>
        <v>0</v>
      </c>
      <c r="H36" s="155">
        <f>'Revenue - Year 5'!D36</f>
        <v>0</v>
      </c>
      <c r="I36" s="166">
        <f t="shared" si="81"/>
        <v>0</v>
      </c>
      <c r="J36" s="166">
        <f t="shared" si="82"/>
        <v>0</v>
      </c>
      <c r="K36" s="122">
        <f>AC34</f>
        <v>0.60416666666666663</v>
      </c>
      <c r="L36" s="149">
        <f>K36+$AL$29</f>
        <v>0.64583333333333326</v>
      </c>
      <c r="M36" s="157">
        <f>M8</f>
        <v>0.64583333333333326</v>
      </c>
      <c r="N36" s="154">
        <f t="shared" si="83"/>
        <v>0</v>
      </c>
      <c r="O36" s="154">
        <f t="shared" si="84"/>
        <v>0</v>
      </c>
      <c r="P36" s="155">
        <f>'Revenue - Year 5'!F36</f>
        <v>0</v>
      </c>
      <c r="Q36" s="155">
        <f>'Revenue - Year 5'!G36</f>
        <v>0</v>
      </c>
      <c r="R36" s="166">
        <f t="shared" si="85"/>
        <v>0</v>
      </c>
      <c r="S36" s="166">
        <f t="shared" si="86"/>
        <v>0</v>
      </c>
      <c r="T36" s="122">
        <f>AC35</f>
        <v>0.54861111111111105</v>
      </c>
      <c r="U36" s="149">
        <f>T36+$AL$29</f>
        <v>0.59027777777777768</v>
      </c>
      <c r="V36" s="157">
        <f>V8</f>
        <v>0.49305555555555558</v>
      </c>
      <c r="W36" s="154">
        <f>(U36/V36-1)*10*$AU$1</f>
        <v>9.8591549295774517E-2</v>
      </c>
      <c r="X36" s="154">
        <f>(U36/V36-1)*10*$BD$1</f>
        <v>3.9436619718309807E-2</v>
      </c>
      <c r="Y36" s="155">
        <f>'Revenue - Year 5'!I36</f>
        <v>0</v>
      </c>
      <c r="Z36" s="155">
        <f>'Revenue - Year 5'!J36</f>
        <v>0</v>
      </c>
      <c r="AA36" s="166">
        <f t="shared" ref="AA36:AA39" si="87">ROUNDDOWN((1-W36)*Y36,0)</f>
        <v>0</v>
      </c>
      <c r="AB36" s="166">
        <f t="shared" ref="AB36:AB39" si="88">ROUND((1-X36)*Z36,0)</f>
        <v>0</v>
      </c>
      <c r="AC36" s="119">
        <v>0</v>
      </c>
      <c r="AD36" s="148"/>
      <c r="AE36" s="161"/>
      <c r="AF36" s="162"/>
      <c r="AG36" s="148"/>
      <c r="AH36" s="120">
        <v>0</v>
      </c>
      <c r="AI36" s="120">
        <v>0</v>
      </c>
      <c r="AJ36" s="120">
        <v>0</v>
      </c>
      <c r="AK36" s="120">
        <v>0</v>
      </c>
      <c r="AL36" s="122">
        <v>0.75694444444444453</v>
      </c>
      <c r="AM36" s="159">
        <f>AL36+$AL$29</f>
        <v>0.79861111111111116</v>
      </c>
      <c r="AN36" s="158">
        <f>AN8</f>
        <v>0.68055555555555558</v>
      </c>
      <c r="AO36" s="160">
        <f>(AM36/AN36-1)*10*$AU$1</f>
        <v>8.6734693877551061E-2</v>
      </c>
      <c r="AP36" s="154">
        <f>(AM36/AN36-1)*10*$BD$1</f>
        <v>3.4693877551020429E-2</v>
      </c>
      <c r="AQ36" s="155">
        <f>'Revenue - Year 5'!O36</f>
        <v>0</v>
      </c>
      <c r="AR36" s="155">
        <f>'Revenue - Year 5'!P36</f>
        <v>0</v>
      </c>
      <c r="AS36" s="166">
        <f>ROUNDDOWN((1-AO36)*AQ36,0)</f>
        <v>0</v>
      </c>
      <c r="AT36" s="166">
        <f>ROUND((1-AP36)*AR36,0)</f>
        <v>0</v>
      </c>
      <c r="AU36" s="122">
        <v>0.45833333333333331</v>
      </c>
      <c r="AV36" s="159">
        <f>AU36+$AL$29</f>
        <v>0.5</v>
      </c>
      <c r="AW36" s="158">
        <f>AW8</f>
        <v>0.5</v>
      </c>
      <c r="AX36" s="154">
        <f>(AV36/AW36-1)*10*$AU$1</f>
        <v>0</v>
      </c>
      <c r="AY36" s="154">
        <f>(AV36/AW36-1)*10*$BD$1</f>
        <v>0</v>
      </c>
      <c r="AZ36" s="155">
        <f>'Revenue - Year 5'!R36</f>
        <v>0</v>
      </c>
      <c r="BA36" s="155">
        <f>'Revenue - Year 5'!S36</f>
        <v>0</v>
      </c>
      <c r="BB36" s="166">
        <f t="shared" si="75"/>
        <v>0</v>
      </c>
      <c r="BC36" s="166">
        <f t="shared" si="76"/>
        <v>0</v>
      </c>
      <c r="BD36" s="122">
        <v>0.35416666666666669</v>
      </c>
      <c r="BE36" s="156">
        <f>'Revenue - Year 5'!U36</f>
        <v>0</v>
      </c>
      <c r="BF36" s="156">
        <f>'Revenue - Year 5'!V36</f>
        <v>0</v>
      </c>
      <c r="BG36" s="169">
        <f t="shared" si="78"/>
        <v>0</v>
      </c>
      <c r="BH36" s="169">
        <f t="shared" si="78"/>
        <v>0</v>
      </c>
      <c r="BI36" s="115" t="str">
        <f t="shared" si="77"/>
        <v>OK</v>
      </c>
      <c r="BJ36" s="181" t="s">
        <v>74</v>
      </c>
      <c r="BK36" s="135"/>
      <c r="BL36" s="135"/>
      <c r="BM36" s="138">
        <f>35*BM35</f>
        <v>0</v>
      </c>
    </row>
    <row r="37" spans="1:65" ht="29.4" thickBot="1" x14ac:dyDescent="0.6">
      <c r="A37" s="125" t="s">
        <v>16</v>
      </c>
      <c r="B37" s="122">
        <f>AL33</f>
        <v>0.49305555555555558</v>
      </c>
      <c r="C37" s="149">
        <f>B37+$AL$29</f>
        <v>0.53472222222222221</v>
      </c>
      <c r="D37" s="157">
        <f>D9</f>
        <v>0.53472222222222221</v>
      </c>
      <c r="E37" s="154">
        <f t="shared" si="79"/>
        <v>0</v>
      </c>
      <c r="F37" s="154">
        <f t="shared" si="80"/>
        <v>0</v>
      </c>
      <c r="G37" s="155">
        <f>'Revenue - Year 5'!C37</f>
        <v>0</v>
      </c>
      <c r="H37" s="155">
        <f>'Revenue - Year 5'!D37</f>
        <v>0</v>
      </c>
      <c r="I37" s="166">
        <f t="shared" si="81"/>
        <v>0</v>
      </c>
      <c r="J37" s="166">
        <f t="shared" si="82"/>
        <v>0</v>
      </c>
      <c r="K37" s="122">
        <f>AL34</f>
        <v>0.65277777777777779</v>
      </c>
      <c r="L37" s="149">
        <f>K37+$AL$29</f>
        <v>0.69444444444444442</v>
      </c>
      <c r="M37" s="157">
        <f>M9</f>
        <v>0.65625</v>
      </c>
      <c r="N37" s="154">
        <f t="shared" si="83"/>
        <v>2.9100529100529071E-2</v>
      </c>
      <c r="O37" s="154">
        <f t="shared" si="84"/>
        <v>1.164021164021163E-2</v>
      </c>
      <c r="P37" s="155">
        <f>'Revenue - Year 5'!F37</f>
        <v>0</v>
      </c>
      <c r="Q37" s="155">
        <f>'Revenue - Year 5'!G37</f>
        <v>0</v>
      </c>
      <c r="R37" s="166">
        <f t="shared" si="85"/>
        <v>0</v>
      </c>
      <c r="S37" s="166">
        <f t="shared" si="86"/>
        <v>0</v>
      </c>
      <c r="T37" s="122">
        <f>AL35</f>
        <v>0.59722222222222221</v>
      </c>
      <c r="U37" s="149">
        <f>T37+$AL$29</f>
        <v>0.63888888888888884</v>
      </c>
      <c r="V37" s="157">
        <f>V9</f>
        <v>0.49652777777777773</v>
      </c>
      <c r="W37" s="154">
        <f>(U37/V37-1)*10*$AU$1</f>
        <v>0.14335664335664333</v>
      </c>
      <c r="X37" s="154">
        <f>(U37/V37-1)*10*$BD$1</f>
        <v>5.7342657342657331E-2</v>
      </c>
      <c r="Y37" s="155">
        <f>'Revenue - Year 5'!I37</f>
        <v>0</v>
      </c>
      <c r="Z37" s="155">
        <f>'Revenue - Year 5'!J37</f>
        <v>0</v>
      </c>
      <c r="AA37" s="166">
        <f t="shared" si="87"/>
        <v>0</v>
      </c>
      <c r="AB37" s="166">
        <f t="shared" si="88"/>
        <v>0</v>
      </c>
      <c r="AC37" s="122">
        <f>AL36</f>
        <v>0.75694444444444453</v>
      </c>
      <c r="AD37" s="159">
        <f>AC37+$AL$29</f>
        <v>0.79861111111111116</v>
      </c>
      <c r="AE37" s="158">
        <f>AE9</f>
        <v>0.68055555555555558</v>
      </c>
      <c r="AF37" s="160">
        <f>(AD37/AE37-1)*10*$AU$1</f>
        <v>8.6734693877551061E-2</v>
      </c>
      <c r="AG37" s="154">
        <f>(AD37/AE37-1)*10*$BD$1</f>
        <v>3.4693877551020429E-2</v>
      </c>
      <c r="AH37" s="155">
        <f>'Revenue - Year 5'!L37</f>
        <v>0</v>
      </c>
      <c r="AI37" s="155">
        <f>'Revenue - Year 5'!M37</f>
        <v>0</v>
      </c>
      <c r="AJ37" s="166">
        <f t="shared" ref="AJ37:AJ39" si="89">ROUNDDOWN((1-AF37)*AH37,0)</f>
        <v>0</v>
      </c>
      <c r="AK37" s="166">
        <f t="shared" ref="AK37:AK39" si="90">ROUND((1-AG37)*AI37,0)</f>
        <v>0</v>
      </c>
      <c r="AL37" s="119">
        <v>0</v>
      </c>
      <c r="AM37" s="148"/>
      <c r="AN37" s="148"/>
      <c r="AO37" s="162"/>
      <c r="AP37" s="148"/>
      <c r="AQ37" s="120">
        <v>0</v>
      </c>
      <c r="AR37" s="120">
        <v>0</v>
      </c>
      <c r="AS37" s="120">
        <v>0</v>
      </c>
      <c r="AT37" s="120">
        <v>0</v>
      </c>
      <c r="AU37" s="122">
        <v>0.50694444444444442</v>
      </c>
      <c r="AV37" s="159">
        <f>AU37+$AL$29</f>
        <v>0.54861111111111105</v>
      </c>
      <c r="AW37" s="158">
        <f>AW9</f>
        <v>0.53125</v>
      </c>
      <c r="AX37" s="154">
        <f>(AV37/AW37-1)*10*$AU$1</f>
        <v>1.6339869281045694E-2</v>
      </c>
      <c r="AY37" s="154">
        <f>(AV37/AW37-1)*10*$BD$1</f>
        <v>6.5359477124182774E-3</v>
      </c>
      <c r="AZ37" s="155">
        <f>'Revenue - Year 5'!R37</f>
        <v>0</v>
      </c>
      <c r="BA37" s="155">
        <f>'Revenue - Year 5'!S37</f>
        <v>0</v>
      </c>
      <c r="BB37" s="166">
        <f t="shared" si="75"/>
        <v>0</v>
      </c>
      <c r="BC37" s="166">
        <f t="shared" si="76"/>
        <v>0</v>
      </c>
      <c r="BD37" s="122">
        <v>0.40277777777777773</v>
      </c>
      <c r="BE37" s="156">
        <f>'Revenue - Year 5'!U37</f>
        <v>0</v>
      </c>
      <c r="BF37" s="156">
        <f>'Revenue - Year 5'!V37</f>
        <v>0</v>
      </c>
      <c r="BG37" s="169">
        <f t="shared" si="78"/>
        <v>0</v>
      </c>
      <c r="BH37" s="169">
        <f t="shared" si="78"/>
        <v>0</v>
      </c>
      <c r="BI37" s="115" t="str">
        <f t="shared" si="77"/>
        <v>OK</v>
      </c>
      <c r="BJ37" s="135"/>
      <c r="BK37" s="135" t="s">
        <v>121</v>
      </c>
      <c r="BL37" s="135"/>
      <c r="BM37" s="182" t="e">
        <f>(BM36/'Revenue - Year 6'!BM36)-1</f>
        <v>#DIV/0!</v>
      </c>
    </row>
    <row r="38" spans="1:65" ht="29.4" thickBot="1" x14ac:dyDescent="0.6">
      <c r="A38" s="126" t="s">
        <v>14</v>
      </c>
      <c r="B38" s="122">
        <f>AU33</f>
        <v>0.19444444444444445</v>
      </c>
      <c r="C38" s="149">
        <f>B38+$AL$29</f>
        <v>0.2361111111111111</v>
      </c>
      <c r="D38" s="157">
        <f>D10</f>
        <v>0.2361111111111111</v>
      </c>
      <c r="E38" s="154">
        <f t="shared" si="79"/>
        <v>0</v>
      </c>
      <c r="F38" s="154">
        <f t="shared" si="80"/>
        <v>0</v>
      </c>
      <c r="G38" s="155">
        <f>'Revenue - Year 5'!C38</f>
        <v>0</v>
      </c>
      <c r="H38" s="155">
        <f>'Revenue - Year 5'!D38</f>
        <v>0</v>
      </c>
      <c r="I38" s="166">
        <f t="shared" si="81"/>
        <v>0</v>
      </c>
      <c r="J38" s="166">
        <f t="shared" si="82"/>
        <v>0</v>
      </c>
      <c r="K38" s="122">
        <f>AU34</f>
        <v>0.35416666666666669</v>
      </c>
      <c r="L38" s="149">
        <f>K38+$AL$29</f>
        <v>0.39583333333333337</v>
      </c>
      <c r="M38" s="157">
        <f>M10</f>
        <v>0.39583333333333337</v>
      </c>
      <c r="N38" s="154">
        <f t="shared" si="83"/>
        <v>0</v>
      </c>
      <c r="O38" s="154">
        <f t="shared" si="84"/>
        <v>0</v>
      </c>
      <c r="P38" s="155">
        <f>'Revenue - Year 5'!F38</f>
        <v>0</v>
      </c>
      <c r="Q38" s="155">
        <f>'Revenue - Year 5'!G38</f>
        <v>0</v>
      </c>
      <c r="R38" s="166">
        <f t="shared" si="85"/>
        <v>0</v>
      </c>
      <c r="S38" s="166">
        <f t="shared" si="86"/>
        <v>0</v>
      </c>
      <c r="T38" s="122">
        <f>AU35</f>
        <v>0.2986111111111111</v>
      </c>
      <c r="U38" s="149">
        <f>T38+$AL$29</f>
        <v>0.34027777777777779</v>
      </c>
      <c r="V38" s="157">
        <f>V10</f>
        <v>0.27777777777777779</v>
      </c>
      <c r="W38" s="154">
        <f>(U38/V38-1)*10*$AU$1</f>
        <v>0.11250000000000004</v>
      </c>
      <c r="X38" s="154">
        <f>(U38/V38-1)*10*$BD$1</f>
        <v>4.5000000000000019E-2</v>
      </c>
      <c r="Y38" s="155">
        <f>'Revenue - Year 5'!I38</f>
        <v>0</v>
      </c>
      <c r="Z38" s="155">
        <f>'Revenue - Year 5'!J38</f>
        <v>0</v>
      </c>
      <c r="AA38" s="166">
        <f t="shared" si="87"/>
        <v>0</v>
      </c>
      <c r="AB38" s="166">
        <f t="shared" si="88"/>
        <v>0</v>
      </c>
      <c r="AC38" s="122">
        <f>AU36</f>
        <v>0.45833333333333331</v>
      </c>
      <c r="AD38" s="159">
        <f>AC38+$AL$29</f>
        <v>0.5</v>
      </c>
      <c r="AE38" s="158">
        <f>AE10</f>
        <v>0.5</v>
      </c>
      <c r="AF38" s="160">
        <f>(AD38/AE38-1)*10*$AU$1</f>
        <v>0</v>
      </c>
      <c r="AG38" s="154">
        <f>(AD38/AE38-1)*10*$BD$1</f>
        <v>0</v>
      </c>
      <c r="AH38" s="155">
        <f>'Revenue - Year 5'!L38</f>
        <v>0</v>
      </c>
      <c r="AI38" s="155">
        <f>'Revenue - Year 5'!M38</f>
        <v>0</v>
      </c>
      <c r="AJ38" s="166">
        <f t="shared" si="89"/>
        <v>0</v>
      </c>
      <c r="AK38" s="166">
        <f t="shared" si="90"/>
        <v>0</v>
      </c>
      <c r="AL38" s="122">
        <f>AU37</f>
        <v>0.50694444444444442</v>
      </c>
      <c r="AM38" s="159">
        <f>AL38+$AL$29</f>
        <v>0.54861111111111105</v>
      </c>
      <c r="AN38" s="158">
        <f>AN10</f>
        <v>0.53125</v>
      </c>
      <c r="AO38" s="160">
        <f>(AM38/AN38-1)*10*$AU$1</f>
        <v>1.6339869281045694E-2</v>
      </c>
      <c r="AP38" s="154">
        <f>(AM38/AN38-1)*10*$BD$1</f>
        <v>6.5359477124182774E-3</v>
      </c>
      <c r="AQ38" s="155">
        <f>'Revenue - Year 5'!O38</f>
        <v>0</v>
      </c>
      <c r="AR38" s="155">
        <f>'Revenue - Year 5'!P38</f>
        <v>0</v>
      </c>
      <c r="AS38" s="166">
        <f>ROUNDDOWN((1-AO38)*AQ38,0)</f>
        <v>0</v>
      </c>
      <c r="AT38" s="166">
        <f>ROUND((1-AP38)*AR38,0)</f>
        <v>0</v>
      </c>
      <c r="AU38" s="119">
        <v>0</v>
      </c>
      <c r="AV38" s="148"/>
      <c r="AW38" s="148"/>
      <c r="AX38" s="162"/>
      <c r="AY38" s="148"/>
      <c r="AZ38" s="120">
        <v>0</v>
      </c>
      <c r="BA38" s="120">
        <v>0</v>
      </c>
      <c r="BB38" s="120">
        <v>0</v>
      </c>
      <c r="BC38" s="120">
        <v>0</v>
      </c>
      <c r="BD38" s="122">
        <v>0.10416666666666667</v>
      </c>
      <c r="BE38" s="156">
        <f>'Revenue - Year 5'!U38</f>
        <v>0</v>
      </c>
      <c r="BF38" s="156">
        <f>'Revenue - Year 5'!V38</f>
        <v>0</v>
      </c>
      <c r="BG38" s="169">
        <f t="shared" si="78"/>
        <v>0</v>
      </c>
      <c r="BH38" s="169">
        <f t="shared" si="78"/>
        <v>0</v>
      </c>
      <c r="BI38" s="115" t="str">
        <f t="shared" si="77"/>
        <v>OK</v>
      </c>
      <c r="BJ38" s="135" t="s">
        <v>59</v>
      </c>
      <c r="BK38" s="135"/>
      <c r="BL38" s="135"/>
      <c r="BM38" s="136">
        <f>BM40-BM39</f>
        <v>0</v>
      </c>
    </row>
    <row r="39" spans="1:65" ht="29.25" customHeight="1" thickBot="1" x14ac:dyDescent="0.6">
      <c r="A39" s="143" t="s">
        <v>19</v>
      </c>
      <c r="B39" s="122">
        <f>BD33</f>
        <v>9.0277777777777776E-2</v>
      </c>
      <c r="C39" s="149"/>
      <c r="D39" s="149"/>
      <c r="E39" s="149"/>
      <c r="F39" s="149"/>
      <c r="G39" s="155">
        <f>'Revenue - Year 5'!C39</f>
        <v>0</v>
      </c>
      <c r="H39" s="155">
        <f>'Revenue - Year 5'!D39</f>
        <v>0</v>
      </c>
      <c r="I39" s="166">
        <f t="shared" si="81"/>
        <v>0</v>
      </c>
      <c r="J39" s="166">
        <f t="shared" si="82"/>
        <v>0</v>
      </c>
      <c r="K39" s="122">
        <v>0.19444444444444445</v>
      </c>
      <c r="L39" s="149"/>
      <c r="M39" s="149"/>
      <c r="N39" s="149"/>
      <c r="O39" s="149"/>
      <c r="P39" s="155">
        <f>'Revenue - Year 5'!F39</f>
        <v>0</v>
      </c>
      <c r="Q39" s="155">
        <f>'Revenue - Year 5'!G39</f>
        <v>0</v>
      </c>
      <c r="R39" s="166">
        <f t="shared" si="85"/>
        <v>0</v>
      </c>
      <c r="S39" s="166">
        <f t="shared" si="86"/>
        <v>0</v>
      </c>
      <c r="T39" s="122">
        <v>0.125</v>
      </c>
      <c r="U39" s="149"/>
      <c r="V39" s="149"/>
      <c r="W39" s="149"/>
      <c r="X39" s="149"/>
      <c r="Y39" s="155">
        <f>'Revenue - Year 5'!I39</f>
        <v>0</v>
      </c>
      <c r="Z39" s="155">
        <f>'Revenue - Year 5'!J39</f>
        <v>0</v>
      </c>
      <c r="AA39" s="166">
        <f t="shared" si="87"/>
        <v>0</v>
      </c>
      <c r="AB39" s="166">
        <f t="shared" si="88"/>
        <v>0</v>
      </c>
      <c r="AC39" s="122">
        <v>0.35416666666666669</v>
      </c>
      <c r="AD39" s="149"/>
      <c r="AE39" s="149"/>
      <c r="AF39" s="149"/>
      <c r="AG39" s="149"/>
      <c r="AH39" s="155">
        <f>'Revenue - Year 5'!L39</f>
        <v>0</v>
      </c>
      <c r="AI39" s="155">
        <f>'Revenue - Year 5'!M39</f>
        <v>0</v>
      </c>
      <c r="AJ39" s="166">
        <f t="shared" si="89"/>
        <v>0</v>
      </c>
      <c r="AK39" s="166">
        <f t="shared" si="90"/>
        <v>0</v>
      </c>
      <c r="AL39" s="122">
        <v>0.40277777777777773</v>
      </c>
      <c r="AM39" s="149"/>
      <c r="AN39" s="149"/>
      <c r="AO39" s="149"/>
      <c r="AP39" s="149"/>
      <c r="AQ39" s="155">
        <f>'Revenue - Year 5'!O39</f>
        <v>0</v>
      </c>
      <c r="AR39" s="155">
        <f>'Revenue - Year 5'!P39</f>
        <v>0</v>
      </c>
      <c r="AS39" s="166">
        <f>ROUNDDOWN((1-AO39)*AQ39,0)</f>
        <v>0</v>
      </c>
      <c r="AT39" s="166">
        <f>ROUND((1-AP39)*AR39,0)</f>
        <v>0</v>
      </c>
      <c r="AU39" s="122">
        <f>BD38</f>
        <v>0.10416666666666667</v>
      </c>
      <c r="AV39" s="149"/>
      <c r="AW39" s="149"/>
      <c r="AX39" s="149"/>
      <c r="AY39" s="149"/>
      <c r="AZ39" s="155">
        <f>'Revenue - Year 5'!R39</f>
        <v>0</v>
      </c>
      <c r="BA39" s="155">
        <f>'Revenue - Year 5'!S39</f>
        <v>0</v>
      </c>
      <c r="BB39" s="166">
        <f t="shared" ref="BB39" si="91">ROUNDDOWN((1-AX39)*AZ39,0)</f>
        <v>0</v>
      </c>
      <c r="BC39" s="166">
        <f t="shared" ref="BC39" si="92">ROUND((1-AY39)*BA39,0)</f>
        <v>0</v>
      </c>
      <c r="BD39" s="119">
        <v>0</v>
      </c>
      <c r="BE39" s="120">
        <v>0</v>
      </c>
      <c r="BF39" s="120">
        <v>0</v>
      </c>
      <c r="BG39" s="169">
        <f t="shared" si="78"/>
        <v>0</v>
      </c>
      <c r="BH39" s="169">
        <f t="shared" si="78"/>
        <v>0</v>
      </c>
      <c r="BI39" s="115" t="str">
        <f t="shared" si="77"/>
        <v>OK</v>
      </c>
      <c r="BJ39" s="135" t="s">
        <v>60</v>
      </c>
      <c r="BK39" s="135"/>
      <c r="BL39" s="135"/>
      <c r="BM39" s="136">
        <f>SUM(I39:J39,R39:S39,AA39:AB39,AJ39:AK39,AS39:AT39,BB39:BC39)+SUM(BE33:BF38)</f>
        <v>0</v>
      </c>
    </row>
    <row r="40" spans="1:65" ht="29.4" thickBot="1" x14ac:dyDescent="0.6">
      <c r="A40" s="128" t="s">
        <v>40</v>
      </c>
      <c r="B40" s="122"/>
      <c r="C40" s="122"/>
      <c r="D40" s="122"/>
      <c r="E40" s="122"/>
      <c r="F40" s="122"/>
      <c r="G40" s="165"/>
      <c r="H40" s="165"/>
      <c r="I40" s="129">
        <f>SUM(I33:I39)</f>
        <v>0</v>
      </c>
      <c r="J40" s="129">
        <f>SUM(J33:J39)</f>
        <v>0</v>
      </c>
      <c r="K40" s="122"/>
      <c r="L40" s="122"/>
      <c r="M40" s="122"/>
      <c r="N40" s="122"/>
      <c r="O40" s="122"/>
      <c r="P40" s="165"/>
      <c r="Q40" s="165"/>
      <c r="R40" s="129">
        <f>SUM(R33:R39)</f>
        <v>0</v>
      </c>
      <c r="S40" s="129">
        <f>SUM(S33:S39)</f>
        <v>0</v>
      </c>
      <c r="T40" s="122"/>
      <c r="U40" s="122"/>
      <c r="V40" s="122"/>
      <c r="W40" s="122"/>
      <c r="X40" s="122"/>
      <c r="Y40" s="165"/>
      <c r="Z40" s="165"/>
      <c r="AA40" s="129">
        <f>SUM(AA33:AA39)</f>
        <v>0</v>
      </c>
      <c r="AB40" s="129">
        <f>SUM(AB33:AB39)</f>
        <v>0</v>
      </c>
      <c r="AC40" s="122"/>
      <c r="AD40" s="122"/>
      <c r="AE40" s="122"/>
      <c r="AF40" s="122"/>
      <c r="AG40" s="122"/>
      <c r="AH40" s="165"/>
      <c r="AI40" s="165"/>
      <c r="AJ40" s="129">
        <f>SUM(AJ33:AJ39)</f>
        <v>0</v>
      </c>
      <c r="AK40" s="129">
        <f>SUM(AK33:AK39)</f>
        <v>0</v>
      </c>
      <c r="AL40" s="122"/>
      <c r="AM40" s="122"/>
      <c r="AN40" s="122"/>
      <c r="AO40" s="122"/>
      <c r="AP40" s="122"/>
      <c r="AQ40" s="165"/>
      <c r="AR40" s="165"/>
      <c r="AS40" s="129">
        <f>SUM(AS33:AS39)</f>
        <v>0</v>
      </c>
      <c r="AT40" s="129">
        <f>SUM(AT33:AT39)</f>
        <v>0</v>
      </c>
      <c r="AU40" s="122"/>
      <c r="AV40" s="122"/>
      <c r="AW40" s="122"/>
      <c r="AX40" s="122"/>
      <c r="AY40" s="122"/>
      <c r="AZ40" s="165"/>
      <c r="BA40" s="165"/>
      <c r="BB40" s="129">
        <f>SUM(BB33:BB39)</f>
        <v>0</v>
      </c>
      <c r="BC40" s="129">
        <f>SUM(BC33:BC39)</f>
        <v>0</v>
      </c>
      <c r="BD40" s="122"/>
      <c r="BE40" s="129">
        <f>SUM(BE33:BE39)</f>
        <v>0</v>
      </c>
      <c r="BF40" s="129">
        <f>SUM(BF33:BF39)</f>
        <v>0</v>
      </c>
      <c r="BG40" s="169">
        <f t="shared" si="78"/>
        <v>0</v>
      </c>
      <c r="BH40" s="169">
        <f t="shared" si="78"/>
        <v>0</v>
      </c>
      <c r="BI40" s="115" t="str">
        <f t="shared" si="77"/>
        <v>OK</v>
      </c>
      <c r="BJ40" s="181" t="s">
        <v>61</v>
      </c>
      <c r="BK40" s="135"/>
      <c r="BL40" s="135"/>
      <c r="BM40" s="136">
        <f>SUM(B40:BF40)</f>
        <v>0</v>
      </c>
    </row>
    <row r="41" spans="1:65" ht="28.8" x14ac:dyDescent="0.55000000000000004">
      <c r="A41" s="115"/>
      <c r="B41" s="115"/>
      <c r="C41" s="115" t="str">
        <f>+IF(C32="Y",IF(C40&gt;270,"PB","OK"),IF(C40&gt;70,"PB","OK"))</f>
        <v>OK</v>
      </c>
      <c r="D41" s="115" t="str">
        <f t="shared" ref="D41" si="93">+IF(D32="Y",IF(D40&gt;270,"PB","ok"),IF(D40&gt;70,"PB","OK"))</f>
        <v>OK</v>
      </c>
      <c r="E41" s="115"/>
      <c r="F41" s="115" t="str">
        <f t="shared" ref="F41" si="94">+IF(F32="Y",IF(F40&gt;270,"PB","ok"),IF(F40&gt;70,"PB","OK"))</f>
        <v>OK</v>
      </c>
      <c r="I41" s="115" t="str">
        <f>+IF(I32="Traffic Y",IF(I40&gt;270,"PB","OK"),IF(I40&gt;70,"PB","OK"))</f>
        <v>OK</v>
      </c>
      <c r="J41" s="115" t="str">
        <f>+IF(H32="Y",IF(H40&gt;270,"PB","ok"),IF(H40&gt;70,"PB","OK"))</f>
        <v>OK</v>
      </c>
      <c r="K41" s="115"/>
      <c r="L41" s="115" t="str">
        <f t="shared" ref="L41:M41" si="95">+IF(L32="Y",IF(L40&gt;270,"PB","ok"),IF(L40&gt;70,"PB","OK"))</f>
        <v>OK</v>
      </c>
      <c r="M41" s="115" t="str">
        <f t="shared" si="95"/>
        <v>OK</v>
      </c>
      <c r="N41" s="115"/>
      <c r="O41" s="115" t="str">
        <f t="shared" ref="O41" si="96">+IF(O32="Y",IF(O40&gt;270,"PB","ok"),IF(O40&gt;70,"PB","OK"))</f>
        <v>OK</v>
      </c>
      <c r="R41" s="115" t="str">
        <f>+IF(R32="Traffic Y",IF(R40&gt;270,"PB","OK"),IF(R40&gt;70,"PB","OK"))</f>
        <v>OK</v>
      </c>
      <c r="S41" s="115" t="str">
        <f>+IF(Q32="Y",IF(Q40&gt;270,"PB","ok"),IF(Q40&gt;70,"PB","OK"))</f>
        <v>OK</v>
      </c>
      <c r="T41" s="115"/>
      <c r="U41" s="115" t="str">
        <f>+IF(U32="Y",IF(U40&gt;270,"PB","OK"),IF(U40&gt;70,"PB","OK"))</f>
        <v>OK</v>
      </c>
      <c r="V41" s="115" t="str">
        <f>+IF(V32="Y",IF(V40&gt;270,"PB","OK"),IF(V40&gt;70,"PB","OK"))</f>
        <v>OK</v>
      </c>
      <c r="W41" s="139"/>
      <c r="X41" s="139"/>
      <c r="AA41" s="115" t="str">
        <f>+IF(AA32="Traffic Y",IF(AA40&gt;270,"PB","OK"),IF(AA40&gt;70,"PB","OK"))</f>
        <v>OK</v>
      </c>
      <c r="AB41" s="115" t="str">
        <f>+IF(Z32="Y",IF(Z40&gt;270,"PB","ok"),IF(Z40&gt;70,"PB","OK"))</f>
        <v>OK</v>
      </c>
      <c r="AC41" s="134"/>
      <c r="AD41" s="134"/>
      <c r="AE41" s="134"/>
      <c r="AF41" s="134"/>
      <c r="AG41" s="134"/>
      <c r="AJ41" s="115" t="str">
        <f>+IF(AJ32="Traffic Y",IF(AJ40&gt;270,"PB","OK"),IF(AJ40&gt;70,"PB","OK"))</f>
        <v>OK</v>
      </c>
      <c r="AK41" s="115" t="str">
        <f>+IF(AI32="Y",IF(AI40&gt;270,"PB","ok"),IF(AI40&gt;70,"PB","OK"))</f>
        <v>OK</v>
      </c>
      <c r="AL41" s="134"/>
      <c r="AM41" s="134"/>
      <c r="AN41" s="134"/>
      <c r="AO41" s="134"/>
      <c r="AP41" s="134"/>
      <c r="AS41" s="115" t="str">
        <f>+IF(AS32="Traffic Y",IF(AS40&gt;270,"PB","OK"),IF(AS40&gt;70,"PB","OK"))</f>
        <v>OK</v>
      </c>
      <c r="AT41" s="115" t="str">
        <f>+IF(AR32="Y",IF(AR40&gt;270,"PB","ok"),IF(AR40&gt;70,"PB","OK"))</f>
        <v>OK</v>
      </c>
      <c r="AU41" s="134"/>
      <c r="AV41" s="134"/>
      <c r="AW41" s="134"/>
      <c r="AX41" s="134"/>
      <c r="AY41" s="134"/>
      <c r="BB41" s="115" t="str">
        <f>+IF(BB32="Traffic Y",IF(BB40&gt;270,"PB","OK"),IF(BB40&gt;70,"PB","OK"))</f>
        <v>OK</v>
      </c>
      <c r="BC41" s="115" t="str">
        <f>+IF(BA32="Y",IF(BA40&gt;270,"PB","ok"),IF(BA40&gt;70,"PB","OK"))</f>
        <v>OK</v>
      </c>
      <c r="BD41" s="134"/>
      <c r="BE41" s="115" t="str">
        <f>+IF(BE32="Traffic Y",IF(BE40&gt;270,"PB","ok"),IF(BE40&gt;70,"PB","OK"))</f>
        <v>OK</v>
      </c>
      <c r="BF41" s="115" t="str">
        <f>+IF(BF32="Traffic Y",IF(BF40&gt;270,"PB","ok"),IF(BF40&gt;70,"PB","OK"))</f>
        <v>OK</v>
      </c>
      <c r="BG41" s="134"/>
      <c r="BH41" s="134"/>
      <c r="BI41" s="139"/>
      <c r="BJ41" s="181" t="s">
        <v>120</v>
      </c>
      <c r="BK41" s="135"/>
      <c r="BL41" s="135"/>
      <c r="BM41" s="180">
        <f>(BM39+2*BM38)/2040</f>
        <v>0</v>
      </c>
    </row>
    <row r="42" spans="1:65" x14ac:dyDescent="0.3">
      <c r="A42" s="115"/>
      <c r="B42" s="144"/>
      <c r="C42" s="144"/>
      <c r="D42" s="144"/>
      <c r="E42" s="144"/>
      <c r="F42" s="144"/>
      <c r="G42" s="134"/>
      <c r="H42" s="134"/>
      <c r="I42" s="134"/>
      <c r="J42" s="134"/>
      <c r="K42" s="144"/>
      <c r="L42" s="144"/>
      <c r="M42" s="144"/>
      <c r="N42" s="144"/>
      <c r="O42" s="144"/>
      <c r="P42" s="134"/>
      <c r="Q42" s="134"/>
      <c r="R42" s="134"/>
      <c r="S42" s="134"/>
      <c r="T42" s="144"/>
      <c r="U42" s="144"/>
      <c r="V42" s="144"/>
      <c r="W42" s="144"/>
      <c r="X42" s="144"/>
      <c r="Y42" s="134"/>
      <c r="Z42" s="134"/>
      <c r="AA42" s="134"/>
      <c r="AB42" s="134"/>
      <c r="AC42" s="144"/>
      <c r="AD42" s="144"/>
      <c r="AE42" s="144"/>
      <c r="AF42" s="144"/>
      <c r="AG42" s="144"/>
      <c r="AH42" s="134"/>
      <c r="AI42" s="134"/>
      <c r="AJ42" s="134"/>
      <c r="AK42" s="134"/>
      <c r="AL42" s="144"/>
      <c r="AM42" s="144"/>
      <c r="AN42" s="144"/>
      <c r="AO42" s="144"/>
      <c r="AP42" s="144"/>
      <c r="AQ42" s="134"/>
      <c r="AR42" s="134"/>
      <c r="AS42" s="134"/>
      <c r="AT42" s="134"/>
      <c r="AU42" s="144"/>
      <c r="AV42" s="144"/>
      <c r="AW42" s="144"/>
      <c r="AX42" s="144"/>
      <c r="AY42" s="144"/>
      <c r="AZ42" s="134"/>
      <c r="BA42" s="134"/>
      <c r="BB42" s="134"/>
      <c r="BC42" s="134"/>
      <c r="BD42" s="144"/>
      <c r="BE42" s="134"/>
      <c r="BF42" s="134"/>
      <c r="BG42" s="141"/>
      <c r="BH42" s="141"/>
      <c r="BI42" s="141"/>
      <c r="BJ42" s="134"/>
      <c r="BK42" s="134"/>
      <c r="BL42" s="134"/>
      <c r="BM42" s="134"/>
    </row>
    <row r="43" spans="1:65" ht="28.8" x14ac:dyDescent="0.3">
      <c r="BI43" s="145"/>
    </row>
    <row r="44" spans="1:65" ht="14.4" x14ac:dyDescent="0.3">
      <c r="A44" s="101"/>
      <c r="B44" s="101"/>
      <c r="C44" s="101"/>
      <c r="D44" s="101"/>
      <c r="E44" s="101"/>
      <c r="F44" s="101"/>
      <c r="K44" s="101"/>
      <c r="L44" s="101"/>
      <c r="M44" s="101"/>
      <c r="N44" s="101"/>
      <c r="O44" s="101"/>
      <c r="T44" s="101"/>
      <c r="U44" s="101"/>
      <c r="V44" s="101"/>
      <c r="W44" s="101"/>
      <c r="X44" s="101"/>
      <c r="AC44" s="101"/>
      <c r="AD44" s="101"/>
      <c r="AE44" s="101"/>
      <c r="AF44" s="101"/>
      <c r="AG44" s="101"/>
      <c r="AL44" s="101"/>
      <c r="AM44" s="101"/>
      <c r="AN44" s="101"/>
      <c r="AO44" s="101"/>
      <c r="AP44" s="101"/>
      <c r="AU44" s="101"/>
      <c r="AV44" s="101"/>
      <c r="AW44" s="101"/>
      <c r="AX44" s="101"/>
      <c r="AY44" s="101"/>
      <c r="BD44" s="101"/>
      <c r="BG44" s="101"/>
      <c r="BH44" s="101"/>
      <c r="BI44" s="101"/>
    </row>
    <row r="45" spans="1:65" ht="14.4" x14ac:dyDescent="0.3">
      <c r="A45" s="101"/>
      <c r="B45" s="101"/>
      <c r="C45" s="101"/>
      <c r="D45" s="101"/>
      <c r="E45" s="101"/>
      <c r="F45" s="101"/>
      <c r="K45" s="101"/>
      <c r="L45" s="101"/>
      <c r="M45" s="101"/>
      <c r="N45" s="101"/>
      <c r="O45" s="101"/>
      <c r="T45" s="101"/>
      <c r="U45" s="101"/>
      <c r="V45" s="101"/>
      <c r="W45" s="101"/>
      <c r="X45" s="101"/>
      <c r="AC45" s="101"/>
      <c r="AD45" s="101"/>
      <c r="AE45" s="101"/>
      <c r="AF45" s="101"/>
      <c r="AG45" s="101"/>
      <c r="AL45" s="101"/>
      <c r="AM45" s="101"/>
      <c r="AN45" s="101"/>
      <c r="AO45" s="101"/>
      <c r="AP45" s="101"/>
      <c r="AU45" s="101"/>
      <c r="AV45" s="101"/>
      <c r="AW45" s="101"/>
      <c r="AX45" s="101"/>
      <c r="AY45" s="101"/>
      <c r="BD45" s="101"/>
      <c r="BG45" s="101"/>
      <c r="BH45" s="101"/>
      <c r="BI45" s="101"/>
    </row>
    <row r="46" spans="1:65" ht="14.4" x14ac:dyDescent="0.3">
      <c r="A46" s="101"/>
      <c r="B46" s="101"/>
      <c r="C46" s="101"/>
      <c r="D46" s="101"/>
      <c r="E46" s="101"/>
      <c r="F46" s="101"/>
      <c r="K46" s="101"/>
      <c r="L46" s="101"/>
      <c r="M46" s="101"/>
      <c r="N46" s="101"/>
      <c r="O46" s="101"/>
      <c r="T46" s="101"/>
      <c r="U46" s="101"/>
      <c r="V46" s="101"/>
      <c r="W46" s="101"/>
      <c r="X46" s="101"/>
      <c r="AC46" s="101"/>
      <c r="AD46" s="101"/>
      <c r="AE46" s="101"/>
      <c r="AF46" s="101"/>
      <c r="AG46" s="101"/>
      <c r="AL46" s="101"/>
      <c r="AM46" s="101"/>
      <c r="AN46" s="101"/>
      <c r="AO46" s="101"/>
      <c r="AP46" s="101"/>
      <c r="AU46" s="101"/>
      <c r="AV46" s="101"/>
      <c r="AW46" s="101"/>
      <c r="AX46" s="101"/>
      <c r="AY46" s="101"/>
      <c r="BD46" s="101"/>
      <c r="BG46" s="101"/>
      <c r="BH46" s="101"/>
      <c r="BI46" s="101"/>
    </row>
    <row r="47" spans="1:65" ht="14.4" x14ac:dyDescent="0.3">
      <c r="A47" s="101"/>
      <c r="B47" s="101"/>
      <c r="C47" s="101"/>
      <c r="D47" s="101"/>
      <c r="E47" s="101"/>
      <c r="F47" s="101"/>
      <c r="K47" s="101"/>
      <c r="L47" s="101"/>
      <c r="M47" s="101"/>
      <c r="N47" s="101"/>
      <c r="O47" s="101"/>
      <c r="T47" s="101"/>
      <c r="U47" s="101"/>
      <c r="V47" s="101"/>
      <c r="W47" s="101"/>
      <c r="X47" s="101"/>
      <c r="AC47" s="101"/>
      <c r="AD47" s="101"/>
      <c r="AE47" s="101"/>
      <c r="AF47" s="101"/>
      <c r="AG47" s="101"/>
      <c r="AL47" s="101"/>
      <c r="AM47" s="101"/>
      <c r="AN47" s="101"/>
      <c r="AO47" s="101"/>
      <c r="AP47" s="101"/>
      <c r="AU47" s="101"/>
      <c r="AV47" s="101"/>
      <c r="AW47" s="101"/>
      <c r="AX47" s="101"/>
      <c r="AY47" s="101"/>
      <c r="BD47" s="101"/>
      <c r="BG47" s="101"/>
      <c r="BH47" s="101"/>
      <c r="BI47" s="101"/>
    </row>
    <row r="48" spans="1:65" ht="14.4" x14ac:dyDescent="0.3">
      <c r="A48" s="101"/>
      <c r="B48" s="101"/>
      <c r="C48" s="101"/>
      <c r="D48" s="101"/>
      <c r="E48" s="101"/>
      <c r="F48" s="101"/>
      <c r="K48" s="101"/>
      <c r="L48" s="101"/>
      <c r="M48" s="101"/>
      <c r="N48" s="101"/>
      <c r="O48" s="101"/>
      <c r="T48" s="101"/>
      <c r="U48" s="101"/>
      <c r="V48" s="101"/>
      <c r="W48" s="101"/>
      <c r="X48" s="101"/>
      <c r="AC48" s="101"/>
      <c r="AD48" s="101"/>
      <c r="AE48" s="101"/>
      <c r="AF48" s="101"/>
      <c r="AG48" s="101"/>
      <c r="AL48" s="101"/>
      <c r="AM48" s="101"/>
      <c r="AN48" s="101"/>
      <c r="AO48" s="101"/>
      <c r="AP48" s="101"/>
      <c r="AU48" s="101"/>
      <c r="AV48" s="101"/>
      <c r="AW48" s="101"/>
      <c r="AX48" s="101"/>
      <c r="AY48" s="101"/>
      <c r="BD48" s="101"/>
      <c r="BG48" s="101"/>
      <c r="BH48" s="101"/>
      <c r="BI48" s="101"/>
    </row>
    <row r="49" spans="1:61" ht="14.4" x14ac:dyDescent="0.3">
      <c r="A49" s="101"/>
      <c r="B49" s="101"/>
      <c r="C49" s="101"/>
      <c r="D49" s="101"/>
      <c r="E49" s="101"/>
      <c r="F49" s="101"/>
      <c r="K49" s="101"/>
      <c r="L49" s="101"/>
      <c r="M49" s="101"/>
      <c r="N49" s="101"/>
      <c r="O49" s="101"/>
      <c r="T49" s="101"/>
      <c r="U49" s="101"/>
      <c r="V49" s="101"/>
      <c r="W49" s="101"/>
      <c r="X49" s="101"/>
      <c r="AC49" s="101"/>
      <c r="AD49" s="101"/>
      <c r="AE49" s="101"/>
      <c r="AF49" s="101"/>
      <c r="AG49" s="101"/>
      <c r="AL49" s="101"/>
      <c r="AM49" s="101"/>
      <c r="AN49" s="101"/>
      <c r="AO49" s="101"/>
      <c r="AP49" s="101"/>
      <c r="AU49" s="101"/>
      <c r="AV49" s="101"/>
      <c r="AW49" s="101"/>
      <c r="AX49" s="101"/>
      <c r="AY49" s="101"/>
      <c r="BD49" s="101"/>
      <c r="BG49" s="101"/>
      <c r="BH49" s="101"/>
      <c r="BI49" s="101"/>
    </row>
    <row r="50" spans="1:61" ht="14.4" x14ac:dyDescent="0.3">
      <c r="A50" s="101"/>
      <c r="B50" s="101"/>
      <c r="C50" s="101"/>
      <c r="D50" s="101"/>
      <c r="E50" s="101"/>
      <c r="F50" s="101"/>
      <c r="K50" s="101"/>
      <c r="L50" s="101"/>
      <c r="M50" s="101"/>
      <c r="N50" s="101"/>
      <c r="O50" s="101"/>
      <c r="T50" s="101"/>
      <c r="U50" s="101"/>
      <c r="V50" s="101"/>
      <c r="W50" s="101"/>
      <c r="X50" s="101"/>
      <c r="AC50" s="101"/>
      <c r="AD50" s="101"/>
      <c r="AE50" s="101"/>
      <c r="AF50" s="101"/>
      <c r="AG50" s="101"/>
      <c r="AL50" s="101"/>
      <c r="AM50" s="101"/>
      <c r="AN50" s="101"/>
      <c r="AO50" s="101"/>
      <c r="AP50" s="101"/>
      <c r="AU50" s="101"/>
      <c r="AV50" s="101"/>
      <c r="AW50" s="101"/>
      <c r="AX50" s="101"/>
      <c r="AY50" s="101"/>
      <c r="BD50" s="101"/>
      <c r="BG50" s="101"/>
      <c r="BH50" s="101"/>
      <c r="BI50" s="101"/>
    </row>
    <row r="51" spans="1:61" ht="14.4" x14ac:dyDescent="0.3">
      <c r="A51" s="101"/>
      <c r="B51" s="101"/>
      <c r="C51" s="101"/>
      <c r="D51" s="101"/>
      <c r="E51" s="101"/>
      <c r="F51" s="101"/>
      <c r="K51" s="101"/>
      <c r="L51" s="101"/>
      <c r="M51" s="101"/>
      <c r="N51" s="101"/>
      <c r="O51" s="101"/>
      <c r="T51" s="101"/>
      <c r="U51" s="101"/>
      <c r="V51" s="101"/>
      <c r="W51" s="101"/>
      <c r="X51" s="101"/>
      <c r="AC51" s="101"/>
      <c r="AD51" s="101"/>
      <c r="AE51" s="101"/>
      <c r="AF51" s="101"/>
      <c r="AG51" s="101"/>
      <c r="AL51" s="101"/>
      <c r="AM51" s="101"/>
      <c r="AN51" s="101"/>
      <c r="AO51" s="101"/>
      <c r="AP51" s="101"/>
      <c r="AU51" s="101"/>
      <c r="AV51" s="101"/>
      <c r="AW51" s="101"/>
      <c r="AX51" s="101"/>
      <c r="AY51" s="101"/>
      <c r="BD51" s="101"/>
      <c r="BG51" s="101"/>
      <c r="BH51" s="101"/>
      <c r="BI51" s="101"/>
    </row>
    <row r="52" spans="1:61" ht="14.4" x14ac:dyDescent="0.3">
      <c r="A52" s="101"/>
      <c r="B52" s="101"/>
      <c r="C52" s="101"/>
      <c r="D52" s="101"/>
      <c r="E52" s="101"/>
      <c r="F52" s="101"/>
      <c r="K52" s="101"/>
      <c r="L52" s="101"/>
      <c r="M52" s="101"/>
      <c r="N52" s="101"/>
      <c r="O52" s="101"/>
      <c r="T52" s="101"/>
      <c r="U52" s="101"/>
      <c r="V52" s="101"/>
      <c r="W52" s="101"/>
      <c r="X52" s="101"/>
      <c r="AC52" s="101"/>
      <c r="AD52" s="101"/>
      <c r="AE52" s="101"/>
      <c r="AF52" s="101"/>
      <c r="AG52" s="101"/>
      <c r="AL52" s="101"/>
      <c r="AM52" s="101"/>
      <c r="AN52" s="101"/>
      <c r="AO52" s="101"/>
      <c r="AP52" s="101"/>
      <c r="AU52" s="101"/>
      <c r="AV52" s="101"/>
      <c r="AW52" s="101"/>
      <c r="AX52" s="101"/>
      <c r="AY52" s="101"/>
      <c r="BD52" s="101"/>
      <c r="BG52" s="101"/>
      <c r="BH52" s="101"/>
      <c r="BI52" s="101"/>
    </row>
    <row r="53" spans="1:61" ht="14.4" x14ac:dyDescent="0.3">
      <c r="A53" s="101"/>
      <c r="B53" s="101"/>
      <c r="C53" s="101"/>
      <c r="D53" s="101"/>
      <c r="E53" s="101"/>
      <c r="F53" s="101"/>
      <c r="K53" s="101"/>
      <c r="L53" s="101"/>
      <c r="M53" s="101"/>
      <c r="N53" s="101"/>
      <c r="O53" s="101"/>
      <c r="T53" s="101"/>
      <c r="U53" s="101"/>
      <c r="V53" s="101"/>
      <c r="W53" s="101"/>
      <c r="X53" s="101"/>
      <c r="AC53" s="101"/>
      <c r="AD53" s="101"/>
      <c r="AE53" s="101"/>
      <c r="AF53" s="101"/>
      <c r="AG53" s="101"/>
      <c r="AL53" s="101"/>
      <c r="AM53" s="101"/>
      <c r="AN53" s="101"/>
      <c r="AO53" s="101"/>
      <c r="AP53" s="101"/>
      <c r="AU53" s="101"/>
      <c r="AV53" s="101"/>
      <c r="AW53" s="101"/>
      <c r="AX53" s="101"/>
      <c r="AY53" s="101"/>
      <c r="BD53" s="101"/>
      <c r="BG53" s="101"/>
      <c r="BH53" s="101"/>
      <c r="BI53" s="101"/>
    </row>
    <row r="54" spans="1:61" ht="14.4" x14ac:dyDescent="0.3">
      <c r="A54" s="101"/>
      <c r="B54" s="101"/>
      <c r="C54" s="101"/>
      <c r="D54" s="101"/>
      <c r="E54" s="101"/>
      <c r="F54" s="101"/>
      <c r="K54" s="101"/>
      <c r="L54" s="101"/>
      <c r="M54" s="101"/>
      <c r="N54" s="101"/>
      <c r="O54" s="101"/>
      <c r="T54" s="101"/>
      <c r="U54" s="101"/>
      <c r="V54" s="101"/>
      <c r="W54" s="101"/>
      <c r="X54" s="101"/>
      <c r="AC54" s="101"/>
      <c r="AD54" s="101"/>
      <c r="AE54" s="101"/>
      <c r="AF54" s="101"/>
      <c r="AG54" s="101"/>
      <c r="AL54" s="101"/>
      <c r="AM54" s="101"/>
      <c r="AN54" s="101"/>
      <c r="AO54" s="101"/>
      <c r="AP54" s="101"/>
      <c r="AU54" s="101"/>
      <c r="AV54" s="101"/>
      <c r="AW54" s="101"/>
      <c r="AX54" s="101"/>
      <c r="AY54" s="101"/>
      <c r="BD54" s="101"/>
      <c r="BG54" s="101"/>
      <c r="BH54" s="101"/>
      <c r="BI54" s="101"/>
    </row>
    <row r="55" spans="1:61" ht="14.4" x14ac:dyDescent="0.3">
      <c r="A55" s="101"/>
      <c r="B55" s="101"/>
      <c r="C55" s="101"/>
      <c r="D55" s="101"/>
      <c r="E55" s="101"/>
      <c r="F55" s="101"/>
      <c r="K55" s="101"/>
      <c r="L55" s="101"/>
      <c r="M55" s="101"/>
      <c r="N55" s="101"/>
      <c r="O55" s="101"/>
      <c r="T55" s="101"/>
      <c r="U55" s="101"/>
      <c r="V55" s="101"/>
      <c r="W55" s="101"/>
      <c r="X55" s="101"/>
      <c r="AC55" s="101"/>
      <c r="AD55" s="101"/>
      <c r="AE55" s="101"/>
      <c r="AF55" s="101"/>
      <c r="AG55" s="101"/>
      <c r="AL55" s="101"/>
      <c r="AM55" s="101"/>
      <c r="AN55" s="101"/>
      <c r="AO55" s="101"/>
      <c r="AP55" s="101"/>
      <c r="AU55" s="101"/>
      <c r="AV55" s="101"/>
      <c r="AW55" s="101"/>
      <c r="AX55" s="101"/>
      <c r="AY55" s="101"/>
      <c r="BD55" s="101"/>
      <c r="BG55" s="101"/>
      <c r="BH55" s="101"/>
      <c r="BI55" s="101"/>
    </row>
    <row r="56" spans="1:61" ht="14.4" x14ac:dyDescent="0.3">
      <c r="A56" s="101"/>
      <c r="B56" s="101"/>
      <c r="C56" s="101"/>
      <c r="D56" s="101"/>
      <c r="E56" s="101"/>
      <c r="F56" s="101"/>
      <c r="K56" s="101"/>
      <c r="L56" s="101"/>
      <c r="M56" s="101"/>
      <c r="N56" s="101"/>
      <c r="O56" s="101"/>
      <c r="T56" s="101"/>
      <c r="U56" s="101"/>
      <c r="V56" s="101"/>
      <c r="W56" s="101"/>
      <c r="X56" s="101"/>
      <c r="AC56" s="101"/>
      <c r="AD56" s="101"/>
      <c r="AE56" s="101"/>
      <c r="AF56" s="101"/>
      <c r="AG56" s="101"/>
      <c r="AL56" s="101"/>
      <c r="AM56" s="101"/>
      <c r="AN56" s="101"/>
      <c r="AO56" s="101"/>
      <c r="AP56" s="101"/>
      <c r="AU56" s="101"/>
      <c r="AV56" s="101"/>
      <c r="AW56" s="101"/>
      <c r="AX56" s="101"/>
      <c r="AY56" s="101"/>
      <c r="BD56" s="101"/>
      <c r="BG56" s="101"/>
      <c r="BH56" s="101"/>
      <c r="BI56" s="101"/>
    </row>
    <row r="57" spans="1:61" ht="14.4" x14ac:dyDescent="0.3">
      <c r="A57" s="101"/>
      <c r="B57" s="101"/>
      <c r="C57" s="101"/>
      <c r="D57" s="101"/>
      <c r="E57" s="101"/>
      <c r="F57" s="101"/>
      <c r="K57" s="101"/>
      <c r="L57" s="101"/>
      <c r="M57" s="101"/>
      <c r="N57" s="101"/>
      <c r="O57" s="101"/>
      <c r="T57" s="101"/>
      <c r="U57" s="101"/>
      <c r="V57" s="101"/>
      <c r="W57" s="101"/>
      <c r="X57" s="101"/>
      <c r="AC57" s="101"/>
      <c r="AD57" s="101"/>
      <c r="AE57" s="101"/>
      <c r="AF57" s="101"/>
      <c r="AG57" s="101"/>
      <c r="AL57" s="101"/>
      <c r="AM57" s="101"/>
      <c r="AN57" s="101"/>
      <c r="AO57" s="101"/>
      <c r="AP57" s="101"/>
      <c r="AU57" s="101"/>
      <c r="AV57" s="101"/>
      <c r="AW57" s="101"/>
      <c r="AX57" s="101"/>
      <c r="AY57" s="101"/>
      <c r="BD57" s="101"/>
      <c r="BG57" s="101"/>
      <c r="BH57" s="101"/>
      <c r="BI57" s="101"/>
    </row>
    <row r="58" spans="1:61" ht="14.4" x14ac:dyDescent="0.3">
      <c r="A58" s="101"/>
      <c r="B58" s="101"/>
      <c r="C58" s="101"/>
      <c r="D58" s="101"/>
      <c r="E58" s="101"/>
      <c r="F58" s="101"/>
      <c r="K58" s="101"/>
      <c r="L58" s="101"/>
      <c r="M58" s="101"/>
      <c r="N58" s="101"/>
      <c r="O58" s="101"/>
      <c r="T58" s="101"/>
      <c r="U58" s="101"/>
      <c r="V58" s="101"/>
      <c r="W58" s="101"/>
      <c r="X58" s="101"/>
      <c r="AC58" s="101"/>
      <c r="AD58" s="101"/>
      <c r="AE58" s="101"/>
      <c r="AF58" s="101"/>
      <c r="AG58" s="101"/>
      <c r="AL58" s="101"/>
      <c r="AM58" s="101"/>
      <c r="AN58" s="101"/>
      <c r="AO58" s="101"/>
      <c r="AP58" s="101"/>
      <c r="AU58" s="101"/>
      <c r="AV58" s="101"/>
      <c r="AW58" s="101"/>
      <c r="AX58" s="101"/>
      <c r="AY58" s="101"/>
      <c r="BD58" s="101"/>
      <c r="BG58" s="101"/>
      <c r="BH58" s="101"/>
      <c r="BI58" s="101"/>
    </row>
    <row r="59" spans="1:61" ht="14.4" x14ac:dyDescent="0.3">
      <c r="A59" s="101"/>
      <c r="B59" s="101"/>
      <c r="C59" s="101"/>
      <c r="D59" s="101"/>
      <c r="E59" s="101"/>
      <c r="F59" s="101"/>
      <c r="K59" s="101"/>
      <c r="L59" s="101"/>
      <c r="M59" s="101"/>
      <c r="N59" s="101"/>
      <c r="O59" s="101"/>
      <c r="T59" s="101"/>
      <c r="U59" s="101"/>
      <c r="V59" s="101"/>
      <c r="W59" s="101"/>
      <c r="X59" s="101"/>
      <c r="AC59" s="101"/>
      <c r="AD59" s="101"/>
      <c r="AE59" s="101"/>
      <c r="AF59" s="101"/>
      <c r="AG59" s="101"/>
      <c r="AL59" s="101"/>
      <c r="AM59" s="101"/>
      <c r="AN59" s="101"/>
      <c r="AO59" s="101"/>
      <c r="AP59" s="101"/>
      <c r="AU59" s="101"/>
      <c r="AV59" s="101"/>
      <c r="AW59" s="101"/>
      <c r="AX59" s="101"/>
      <c r="AY59" s="101"/>
      <c r="BD59" s="101"/>
      <c r="BG59" s="101"/>
      <c r="BH59" s="101"/>
      <c r="BI59" s="101"/>
    </row>
    <row r="60" spans="1:61" ht="14.4" x14ac:dyDescent="0.3">
      <c r="A60" s="101"/>
      <c r="B60" s="101"/>
      <c r="C60" s="101"/>
      <c r="D60" s="101"/>
      <c r="E60" s="101"/>
      <c r="F60" s="101"/>
      <c r="K60" s="101"/>
      <c r="L60" s="101"/>
      <c r="M60" s="101"/>
      <c r="N60" s="101"/>
      <c r="O60" s="101"/>
      <c r="T60" s="101"/>
      <c r="U60" s="101"/>
      <c r="V60" s="101"/>
      <c r="W60" s="101"/>
      <c r="X60" s="101"/>
      <c r="AC60" s="101"/>
      <c r="AD60" s="101"/>
      <c r="AE60" s="101"/>
      <c r="AF60" s="101"/>
      <c r="AG60" s="101"/>
      <c r="AL60" s="101"/>
      <c r="AM60" s="101"/>
      <c r="AN60" s="101"/>
      <c r="AO60" s="101"/>
      <c r="AP60" s="101"/>
      <c r="AU60" s="101"/>
      <c r="AV60" s="101"/>
      <c r="AW60" s="101"/>
      <c r="AX60" s="101"/>
      <c r="AY60" s="101"/>
      <c r="BD60" s="101"/>
      <c r="BG60" s="101"/>
      <c r="BH60" s="101"/>
      <c r="BI60" s="101"/>
    </row>
    <row r="61" spans="1:61" ht="14.4" x14ac:dyDescent="0.3">
      <c r="A61" s="101"/>
      <c r="B61" s="101"/>
      <c r="C61" s="101"/>
      <c r="D61" s="101"/>
      <c r="E61" s="101"/>
      <c r="F61" s="101"/>
      <c r="K61" s="101"/>
      <c r="L61" s="101"/>
      <c r="M61" s="101"/>
      <c r="N61" s="101"/>
      <c r="O61" s="101"/>
      <c r="T61" s="101"/>
      <c r="U61" s="101"/>
      <c r="V61" s="101"/>
      <c r="W61" s="101"/>
      <c r="X61" s="101"/>
      <c r="AC61" s="101"/>
      <c r="AD61" s="101"/>
      <c r="AE61" s="101"/>
      <c r="AF61" s="101"/>
      <c r="AG61" s="101"/>
      <c r="AL61" s="101"/>
      <c r="AM61" s="101"/>
      <c r="AN61" s="101"/>
      <c r="AO61" s="101"/>
      <c r="AP61" s="101"/>
      <c r="AU61" s="101"/>
      <c r="AV61" s="101"/>
      <c r="AW61" s="101"/>
      <c r="AX61" s="101"/>
      <c r="AY61" s="101"/>
      <c r="BD61" s="101"/>
      <c r="BG61" s="101"/>
      <c r="BH61" s="101"/>
      <c r="BI61" s="101"/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BJ8" name="Range1_2_1"/>
    <protectedRange algorithmName="SHA-512" hashValue="O3nVqS4WLk4xSwel02S7eaXy8tGCWXJyK2lfu+biOYQmABDVg5zp9yhHMIQgyZW+O3EzpAVmz3gg0T+9nAeyTA==" saltValue="wbZmK8/bm/bSkq9ih+cKbA==" spinCount="100000" sqref="BJ22" name="Range1_2_1_1"/>
    <protectedRange algorithmName="SHA-512" hashValue="O3nVqS4WLk4xSwel02S7eaXy8tGCWXJyK2lfu+biOYQmABDVg5zp9yhHMIQgyZW+O3EzpAVmz3gg0T+9nAeyTA==" saltValue="wbZmK8/bm/bSkq9ih+cKbA==" spinCount="100000" sqref="BJ36" name="Range1_2_1_2"/>
    <protectedRange algorithmName="SHA-512" hashValue="O3nVqS4WLk4xSwel02S7eaXy8tGCWXJyK2lfu+biOYQmABDVg5zp9yhHMIQgyZW+O3EzpAVmz3gg0T+9nAeyTA==" saltValue="wbZmK8/bm/bSkq9ih+cKbA==" spinCount="100000" sqref="BJ13:BM13 BJ27:BM27 BJ41:BM41" name="Range1_3"/>
    <protectedRange algorithmName="SHA-512" hashValue="O3nVqS4WLk4xSwel02S7eaXy8tGCWXJyK2lfu+biOYQmABDVg5zp9yhHMIQgyZW+O3EzpAVmz3gg0T+9nAeyTA==" saltValue="wbZmK8/bm/bSkq9ih+cKbA==" spinCount="100000" sqref="BK9:BM9 BK23:BM23 BK37:BM37" name="Range1_2_2_1"/>
  </protectedRanges>
  <mergeCells count="39">
    <mergeCell ref="A1:AK2"/>
    <mergeCell ref="AL1:AT2"/>
    <mergeCell ref="AU1:BC2"/>
    <mergeCell ref="BD1:BF2"/>
    <mergeCell ref="BJ1:BM3"/>
    <mergeCell ref="B3:J3"/>
    <mergeCell ref="K3:S3"/>
    <mergeCell ref="T3:AB3"/>
    <mergeCell ref="AC3:AK3"/>
    <mergeCell ref="AL3:AT3"/>
    <mergeCell ref="AU3:BC3"/>
    <mergeCell ref="BD3:BF3"/>
    <mergeCell ref="BG3:BH3"/>
    <mergeCell ref="A15:AK16"/>
    <mergeCell ref="AL15:AT16"/>
    <mergeCell ref="AU15:BC16"/>
    <mergeCell ref="BD15:BF16"/>
    <mergeCell ref="BJ15:BM17"/>
    <mergeCell ref="B17:J17"/>
    <mergeCell ref="K17:S17"/>
    <mergeCell ref="T17:AB17"/>
    <mergeCell ref="AC17:AK17"/>
    <mergeCell ref="AL17:AT17"/>
    <mergeCell ref="AU17:BC17"/>
    <mergeCell ref="BD17:BF17"/>
    <mergeCell ref="BG17:BH17"/>
    <mergeCell ref="BJ29:BM31"/>
    <mergeCell ref="B31:J31"/>
    <mergeCell ref="K31:S31"/>
    <mergeCell ref="T31:AB31"/>
    <mergeCell ref="AC31:AK31"/>
    <mergeCell ref="AL31:AT31"/>
    <mergeCell ref="AU31:BC31"/>
    <mergeCell ref="BD31:BF31"/>
    <mergeCell ref="BG31:BH31"/>
    <mergeCell ref="A29:AK30"/>
    <mergeCell ref="AL29:AT30"/>
    <mergeCell ref="AU29:BC30"/>
    <mergeCell ref="BD29:BF30"/>
  </mergeCells>
  <conditionalFormatting sqref="A13:F13 I13:O13">
    <cfRule type="cellIs" dxfId="59" priority="30" operator="equal">
      <formula>"PB"</formula>
    </cfRule>
  </conditionalFormatting>
  <conditionalFormatting sqref="BE13">
    <cfRule type="cellIs" dxfId="58" priority="29" operator="equal">
      <formula>"PB"</formula>
    </cfRule>
  </conditionalFormatting>
  <conditionalFormatting sqref="BF13">
    <cfRule type="cellIs" dxfId="57" priority="28" operator="equal">
      <formula>"PB"</formula>
    </cfRule>
  </conditionalFormatting>
  <conditionalFormatting sqref="BI5:BI12">
    <cfRule type="cellIs" dxfId="56" priority="27" operator="equal">
      <formula>"PB"</formula>
    </cfRule>
  </conditionalFormatting>
  <conditionalFormatting sqref="BI19:BI26">
    <cfRule type="cellIs" dxfId="55" priority="26" operator="equal">
      <formula>"PB"</formula>
    </cfRule>
  </conditionalFormatting>
  <conditionalFormatting sqref="BI33:BI40">
    <cfRule type="cellIs" dxfId="54" priority="25" operator="equal">
      <formula>"PB"</formula>
    </cfRule>
  </conditionalFormatting>
  <conditionalFormatting sqref="A27:F27 K27:O27 T27:V27">
    <cfRule type="cellIs" dxfId="53" priority="24" operator="equal">
      <formula>"PB"</formula>
    </cfRule>
  </conditionalFormatting>
  <conditionalFormatting sqref="BF41">
    <cfRule type="cellIs" dxfId="52" priority="19" operator="equal">
      <formula>"PB"</formula>
    </cfRule>
  </conditionalFormatting>
  <conditionalFormatting sqref="BE27">
    <cfRule type="cellIs" dxfId="51" priority="23" operator="equal">
      <formula>"PB"</formula>
    </cfRule>
  </conditionalFormatting>
  <conditionalFormatting sqref="BF27">
    <cfRule type="cellIs" dxfId="50" priority="22" operator="equal">
      <formula>"PB"</formula>
    </cfRule>
  </conditionalFormatting>
  <conditionalFormatting sqref="A41:F41 K41:O41 T41:V41">
    <cfRule type="cellIs" dxfId="49" priority="21" operator="equal">
      <formula>"PB"</formula>
    </cfRule>
  </conditionalFormatting>
  <conditionalFormatting sqref="BE41">
    <cfRule type="cellIs" dxfId="48" priority="20" operator="equal">
      <formula>"PB"</formula>
    </cfRule>
  </conditionalFormatting>
  <conditionalFormatting sqref="R13:S13">
    <cfRule type="cellIs" dxfId="47" priority="18" operator="equal">
      <formula>"PB"</formula>
    </cfRule>
  </conditionalFormatting>
  <conditionalFormatting sqref="V13:W13">
    <cfRule type="cellIs" dxfId="46" priority="17" operator="equal">
      <formula>"PB"</formula>
    </cfRule>
  </conditionalFormatting>
  <conditionalFormatting sqref="AA13:AB13">
    <cfRule type="cellIs" dxfId="45" priority="16" operator="equal">
      <formula>"PB"</formula>
    </cfRule>
  </conditionalFormatting>
  <conditionalFormatting sqref="AJ13:AK13">
    <cfRule type="cellIs" dxfId="44" priority="15" operator="equal">
      <formula>"PB"</formula>
    </cfRule>
  </conditionalFormatting>
  <conditionalFormatting sqref="AS13:AT13">
    <cfRule type="cellIs" dxfId="43" priority="14" operator="equal">
      <formula>"PB"</formula>
    </cfRule>
  </conditionalFormatting>
  <conditionalFormatting sqref="BB13:BC13">
    <cfRule type="cellIs" dxfId="42" priority="13" operator="equal">
      <formula>"PB"</formula>
    </cfRule>
  </conditionalFormatting>
  <conditionalFormatting sqref="I27:J27">
    <cfRule type="cellIs" dxfId="41" priority="12" operator="equal">
      <formula>"PB"</formula>
    </cfRule>
  </conditionalFormatting>
  <conditionalFormatting sqref="R27:S27">
    <cfRule type="cellIs" dxfId="40" priority="11" operator="equal">
      <formula>"PB"</formula>
    </cfRule>
  </conditionalFormatting>
  <conditionalFormatting sqref="AA27:AB27">
    <cfRule type="cellIs" dxfId="39" priority="10" operator="equal">
      <formula>"PB"</formula>
    </cfRule>
  </conditionalFormatting>
  <conditionalFormatting sqref="AJ27:AK27">
    <cfRule type="cellIs" dxfId="38" priority="9" operator="equal">
      <formula>"PB"</formula>
    </cfRule>
  </conditionalFormatting>
  <conditionalFormatting sqref="AS27:AT27">
    <cfRule type="cellIs" dxfId="37" priority="8" operator="equal">
      <formula>"PB"</formula>
    </cfRule>
  </conditionalFormatting>
  <conditionalFormatting sqref="BB27:BC27">
    <cfRule type="cellIs" dxfId="36" priority="7" operator="equal">
      <formula>"PB"</formula>
    </cfRule>
  </conditionalFormatting>
  <conditionalFormatting sqref="I41:J41">
    <cfRule type="cellIs" dxfId="35" priority="6" operator="equal">
      <formula>"PB"</formula>
    </cfRule>
  </conditionalFormatting>
  <conditionalFormatting sqref="R41:S41">
    <cfRule type="cellIs" dxfId="34" priority="5" operator="equal">
      <formula>"PB"</formula>
    </cfRule>
  </conditionalFormatting>
  <conditionalFormatting sqref="AA41:AB41">
    <cfRule type="cellIs" dxfId="33" priority="4" operator="equal">
      <formula>"PB"</formula>
    </cfRule>
  </conditionalFormatting>
  <conditionalFormatting sqref="AJ41:AK41">
    <cfRule type="cellIs" dxfId="32" priority="3" operator="equal">
      <formula>"PB"</formula>
    </cfRule>
  </conditionalFormatting>
  <conditionalFormatting sqref="AS41:AT41">
    <cfRule type="cellIs" dxfId="31" priority="2" operator="equal">
      <formula>"PB"</formula>
    </cfRule>
  </conditionalFormatting>
  <conditionalFormatting sqref="BB41:BC41">
    <cfRule type="cellIs" dxfId="30" priority="1" operator="equal">
      <formula>"PB"</formula>
    </cfRule>
  </conditionalFormatting>
  <dataValidations count="1">
    <dataValidation type="whole" allowBlank="1" showInputMessage="1" showErrorMessage="1" sqref="G6:H12 P5:Q5 P7:Q12 Y5:Z6 Y8:Z12 AH5:AI7 AH9:AI12 AQ5:AR8 AQ10:AR12 AZ5:BA9 AZ11:BA12 BE5:BF10 G20:H26 P19:Q19 P21:Q26 Y19:Z20 Y22:Z26 AH19:AI21 AH23:AI26 AQ19:AR22 AQ24:AR26 AZ19:BA23 AZ25:BA26 BE19:BF24 G34:H40 P33:Q33 P35:Q40 Y33:Z34 Y36:Z40 AH33:AI35 AH37:AI40 AQ33:AR36 AQ38:AR40 AZ33:BA37 AZ39:BA40 BE33:BF38" xr:uid="{00000000-0002-0000-0600-000000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6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Q61"/>
  <sheetViews>
    <sheetView zoomScale="40" zoomScaleNormal="40" workbookViewId="0">
      <selection activeCell="BM35" sqref="BM35"/>
    </sheetView>
  </sheetViews>
  <sheetFormatPr baseColWidth="10" defaultColWidth="8.88671875" defaultRowHeight="15.6" x14ac:dyDescent="0.3"/>
  <cols>
    <col min="1" max="1" width="19.5546875" style="105" bestFit="1" customWidth="1"/>
    <col min="2" max="2" width="8.88671875" style="107"/>
    <col min="3" max="6" width="9.109375" style="107" hidden="1" customWidth="1"/>
    <col min="7" max="8" width="9.109375" style="101" customWidth="1"/>
    <col min="9" max="9" width="8.88671875" style="101"/>
    <col min="10" max="10" width="9.109375" style="101" customWidth="1"/>
    <col min="11" max="11" width="8.88671875" style="107"/>
    <col min="12" max="15" width="9.109375" style="107" hidden="1" customWidth="1"/>
    <col min="16" max="17" width="9.109375" style="101" customWidth="1"/>
    <col min="18" max="18" width="8.88671875" style="101"/>
    <col min="19" max="19" width="9.109375" style="101" customWidth="1"/>
    <col min="20" max="20" width="8.88671875" style="107"/>
    <col min="21" max="24" width="9.109375" style="107" hidden="1" customWidth="1"/>
    <col min="25" max="26" width="9.109375" style="101" customWidth="1"/>
    <col min="27" max="27" width="8.88671875" style="101"/>
    <col min="28" max="28" width="9.109375" style="101" customWidth="1"/>
    <col min="29" max="29" width="8.88671875" style="107"/>
    <col min="30" max="33" width="9.109375" style="107" hidden="1" customWidth="1"/>
    <col min="34" max="35" width="9.109375" style="101" customWidth="1"/>
    <col min="36" max="36" width="8.88671875" style="101"/>
    <col min="37" max="37" width="9.109375" style="101" customWidth="1"/>
    <col min="38" max="38" width="8.88671875" style="107"/>
    <col min="39" max="42" width="9.109375" style="107" hidden="1" customWidth="1"/>
    <col min="43" max="44" width="9.109375" style="101" customWidth="1"/>
    <col min="45" max="45" width="8.88671875" style="101"/>
    <col min="46" max="46" width="9.109375" style="101" customWidth="1"/>
    <col min="47" max="47" width="8.88671875" style="107"/>
    <col min="48" max="51" width="9.109375" style="107" hidden="1" customWidth="1"/>
    <col min="52" max="53" width="9.109375" style="101" customWidth="1"/>
    <col min="54" max="54" width="8.88671875" style="101"/>
    <col min="55" max="55" width="9.109375" style="101" customWidth="1"/>
    <col min="56" max="56" width="8.88671875" style="107"/>
    <col min="57" max="58" width="9.109375" style="101" customWidth="1"/>
    <col min="59" max="61" width="8.88671875" style="108"/>
    <col min="62" max="62" width="36.44140625" style="101" bestFit="1" customWidth="1"/>
    <col min="63" max="63" width="8.88671875" style="101"/>
    <col min="64" max="64" width="4.5546875" style="101" bestFit="1" customWidth="1"/>
    <col min="65" max="65" width="26.33203125" style="101" customWidth="1"/>
    <col min="66" max="16384" width="8.88671875" style="101"/>
  </cols>
  <sheetData>
    <row r="1" spans="1:69" s="152" customFormat="1" ht="20.25" customHeight="1" x14ac:dyDescent="0.3">
      <c r="A1" s="225" t="s">
        <v>62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34"/>
      <c r="AL1" s="226">
        <v>0.125</v>
      </c>
      <c r="AM1" s="227"/>
      <c r="AN1" s="227"/>
      <c r="AO1" s="227"/>
      <c r="AP1" s="227"/>
      <c r="AQ1" s="227"/>
      <c r="AR1" s="227"/>
      <c r="AS1" s="227"/>
      <c r="AT1" s="227"/>
      <c r="AU1" s="230">
        <v>0.05</v>
      </c>
      <c r="AV1" s="231"/>
      <c r="AW1" s="231"/>
      <c r="AX1" s="231"/>
      <c r="AY1" s="231"/>
      <c r="AZ1" s="231"/>
      <c r="BA1" s="231"/>
      <c r="BB1" s="231"/>
      <c r="BC1" s="231"/>
      <c r="BD1" s="230">
        <v>0.02</v>
      </c>
      <c r="BE1" s="227"/>
      <c r="BF1" s="227"/>
      <c r="BG1" s="131"/>
      <c r="BH1" s="131"/>
      <c r="BI1" s="131"/>
      <c r="BJ1" s="186" t="s">
        <v>70</v>
      </c>
      <c r="BK1" s="186"/>
      <c r="BL1" s="186"/>
      <c r="BM1" s="186"/>
      <c r="BN1" s="101"/>
      <c r="BO1" s="101"/>
      <c r="BP1" s="101"/>
      <c r="BQ1" s="101"/>
    </row>
    <row r="2" spans="1:69" s="152" customFormat="1" ht="18.75" customHeight="1" thickBot="1" x14ac:dyDescent="0.3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34"/>
      <c r="AL2" s="228"/>
      <c r="AM2" s="229"/>
      <c r="AN2" s="229"/>
      <c r="AO2" s="229"/>
      <c r="AP2" s="229"/>
      <c r="AQ2" s="229"/>
      <c r="AR2" s="229"/>
      <c r="AS2" s="229"/>
      <c r="AT2" s="229"/>
      <c r="AU2" s="228"/>
      <c r="AV2" s="229"/>
      <c r="AW2" s="229"/>
      <c r="AX2" s="229"/>
      <c r="AY2" s="229"/>
      <c r="AZ2" s="229"/>
      <c r="BA2" s="229"/>
      <c r="BB2" s="229"/>
      <c r="BC2" s="229"/>
      <c r="BD2" s="228"/>
      <c r="BE2" s="229"/>
      <c r="BF2" s="229"/>
      <c r="BG2" s="131"/>
      <c r="BH2" s="131"/>
      <c r="BI2" s="131"/>
      <c r="BJ2" s="186"/>
      <c r="BK2" s="186"/>
      <c r="BL2" s="186"/>
      <c r="BM2" s="186"/>
      <c r="BN2" s="101"/>
      <c r="BO2" s="101"/>
      <c r="BP2" s="101"/>
      <c r="BQ2" s="101"/>
    </row>
    <row r="3" spans="1:69" s="103" customFormat="1" ht="26.4" thickBot="1" x14ac:dyDescent="0.55000000000000004">
      <c r="A3" s="113" t="s">
        <v>66</v>
      </c>
      <c r="B3" s="218" t="s">
        <v>11</v>
      </c>
      <c r="C3" s="202"/>
      <c r="D3" s="202"/>
      <c r="E3" s="202"/>
      <c r="F3" s="202"/>
      <c r="G3" s="202"/>
      <c r="H3" s="202"/>
      <c r="I3" s="202"/>
      <c r="J3" s="203"/>
      <c r="K3" s="204" t="s">
        <v>12</v>
      </c>
      <c r="L3" s="205"/>
      <c r="M3" s="205"/>
      <c r="N3" s="205"/>
      <c r="O3" s="205"/>
      <c r="P3" s="205"/>
      <c r="Q3" s="205"/>
      <c r="R3" s="205"/>
      <c r="S3" s="206"/>
      <c r="T3" s="207" t="s">
        <v>15</v>
      </c>
      <c r="U3" s="208"/>
      <c r="V3" s="208"/>
      <c r="W3" s="208"/>
      <c r="X3" s="208"/>
      <c r="Y3" s="208"/>
      <c r="Z3" s="208"/>
      <c r="AA3" s="208"/>
      <c r="AB3" s="208"/>
      <c r="AC3" s="210" t="s">
        <v>13</v>
      </c>
      <c r="AD3" s="211"/>
      <c r="AE3" s="211"/>
      <c r="AF3" s="211"/>
      <c r="AG3" s="211"/>
      <c r="AH3" s="211"/>
      <c r="AI3" s="211"/>
      <c r="AJ3" s="211"/>
      <c r="AK3" s="211"/>
      <c r="AL3" s="213" t="s">
        <v>16</v>
      </c>
      <c r="AM3" s="214"/>
      <c r="AN3" s="214"/>
      <c r="AO3" s="214"/>
      <c r="AP3" s="214"/>
      <c r="AQ3" s="214"/>
      <c r="AR3" s="214"/>
      <c r="AS3" s="214"/>
      <c r="AT3" s="214"/>
      <c r="AU3" s="187" t="s">
        <v>14</v>
      </c>
      <c r="AV3" s="188"/>
      <c r="AW3" s="188"/>
      <c r="AX3" s="188"/>
      <c r="AY3" s="188"/>
      <c r="AZ3" s="188"/>
      <c r="BA3" s="188"/>
      <c r="BB3" s="188"/>
      <c r="BC3" s="188"/>
      <c r="BD3" s="190" t="s">
        <v>35</v>
      </c>
      <c r="BE3" s="191"/>
      <c r="BF3" s="191"/>
      <c r="BG3" s="200" t="s">
        <v>69</v>
      </c>
      <c r="BH3" s="200"/>
      <c r="BI3" s="177"/>
      <c r="BJ3" s="186"/>
      <c r="BK3" s="186"/>
      <c r="BL3" s="186"/>
      <c r="BM3" s="186"/>
    </row>
    <row r="4" spans="1:69" s="153" customFormat="1" ht="31.8" thickBot="1" x14ac:dyDescent="0.35">
      <c r="A4" s="113" t="s">
        <v>39</v>
      </c>
      <c r="B4" s="114" t="s">
        <v>36</v>
      </c>
      <c r="C4" s="114" t="s">
        <v>79</v>
      </c>
      <c r="D4" s="114" t="s">
        <v>73</v>
      </c>
      <c r="E4" s="163" t="s">
        <v>83</v>
      </c>
      <c r="F4" s="163" t="s">
        <v>82</v>
      </c>
      <c r="G4" s="164" t="s">
        <v>80</v>
      </c>
      <c r="H4" s="164" t="s">
        <v>81</v>
      </c>
      <c r="I4" s="164" t="s">
        <v>37</v>
      </c>
      <c r="J4" s="164" t="s">
        <v>38</v>
      </c>
      <c r="K4" s="114" t="s">
        <v>36</v>
      </c>
      <c r="L4" s="114" t="s">
        <v>79</v>
      </c>
      <c r="M4" s="114" t="s">
        <v>73</v>
      </c>
      <c r="N4" s="163" t="s">
        <v>83</v>
      </c>
      <c r="O4" s="163" t="s">
        <v>82</v>
      </c>
      <c r="P4" s="164" t="s">
        <v>80</v>
      </c>
      <c r="Q4" s="164" t="s">
        <v>81</v>
      </c>
      <c r="R4" s="164" t="s">
        <v>37</v>
      </c>
      <c r="S4" s="164" t="s">
        <v>38</v>
      </c>
      <c r="T4" s="114" t="s">
        <v>36</v>
      </c>
      <c r="U4" s="114" t="s">
        <v>79</v>
      </c>
      <c r="V4" s="114" t="s">
        <v>73</v>
      </c>
      <c r="W4" s="163" t="s">
        <v>83</v>
      </c>
      <c r="X4" s="163" t="s">
        <v>82</v>
      </c>
      <c r="Y4" s="164" t="s">
        <v>80</v>
      </c>
      <c r="Z4" s="164" t="s">
        <v>81</v>
      </c>
      <c r="AA4" s="164" t="s">
        <v>37</v>
      </c>
      <c r="AB4" s="164" t="s">
        <v>38</v>
      </c>
      <c r="AC4" s="114" t="s">
        <v>36</v>
      </c>
      <c r="AD4" s="114" t="s">
        <v>79</v>
      </c>
      <c r="AE4" s="114" t="s">
        <v>73</v>
      </c>
      <c r="AF4" s="163" t="s">
        <v>83</v>
      </c>
      <c r="AG4" s="163" t="s">
        <v>82</v>
      </c>
      <c r="AH4" s="164" t="s">
        <v>80</v>
      </c>
      <c r="AI4" s="164" t="s">
        <v>81</v>
      </c>
      <c r="AJ4" s="164" t="s">
        <v>37</v>
      </c>
      <c r="AK4" s="164" t="s">
        <v>38</v>
      </c>
      <c r="AL4" s="114" t="s">
        <v>36</v>
      </c>
      <c r="AM4" s="114" t="s">
        <v>79</v>
      </c>
      <c r="AN4" s="114" t="s">
        <v>73</v>
      </c>
      <c r="AO4" s="163" t="s">
        <v>83</v>
      </c>
      <c r="AP4" s="163" t="s">
        <v>82</v>
      </c>
      <c r="AQ4" s="164" t="s">
        <v>80</v>
      </c>
      <c r="AR4" s="164" t="s">
        <v>81</v>
      </c>
      <c r="AS4" s="164" t="s">
        <v>37</v>
      </c>
      <c r="AT4" s="164" t="s">
        <v>38</v>
      </c>
      <c r="AU4" s="114" t="s">
        <v>36</v>
      </c>
      <c r="AV4" s="114" t="s">
        <v>79</v>
      </c>
      <c r="AW4" s="114" t="s">
        <v>73</v>
      </c>
      <c r="AX4" s="163" t="s">
        <v>83</v>
      </c>
      <c r="AY4" s="163" t="s">
        <v>82</v>
      </c>
      <c r="AZ4" s="164" t="s">
        <v>80</v>
      </c>
      <c r="BA4" s="164" t="s">
        <v>81</v>
      </c>
      <c r="BB4" s="164" t="s">
        <v>37</v>
      </c>
      <c r="BC4" s="164" t="s">
        <v>38</v>
      </c>
      <c r="BD4" s="114" t="s">
        <v>36</v>
      </c>
      <c r="BE4" s="164" t="s">
        <v>37</v>
      </c>
      <c r="BF4" s="164" t="s">
        <v>38</v>
      </c>
      <c r="BG4" s="167" t="s">
        <v>21</v>
      </c>
      <c r="BH4" s="167" t="s">
        <v>20</v>
      </c>
      <c r="BI4" s="133"/>
      <c r="BJ4" s="168"/>
      <c r="BK4" s="168"/>
      <c r="BL4" s="168"/>
      <c r="BM4" s="168"/>
    </row>
    <row r="5" spans="1:69" ht="29.4" thickBot="1" x14ac:dyDescent="0.6">
      <c r="A5" s="118" t="s">
        <v>11</v>
      </c>
      <c r="B5" s="119">
        <v>0</v>
      </c>
      <c r="C5" s="119"/>
      <c r="D5" s="119"/>
      <c r="E5" s="119"/>
      <c r="F5" s="119"/>
      <c r="G5" s="120">
        <v>0</v>
      </c>
      <c r="H5" s="120">
        <v>0</v>
      </c>
      <c r="I5" s="120">
        <v>0</v>
      </c>
      <c r="J5" s="120">
        <v>0</v>
      </c>
      <c r="K5" s="122">
        <v>0.50694444444444442</v>
      </c>
      <c r="L5" s="149">
        <f>K5+$AL$1</f>
        <v>0.63194444444444442</v>
      </c>
      <c r="M5" s="149">
        <f>MIN($L5,$L19,$L33)</f>
        <v>0.38194444444444442</v>
      </c>
      <c r="N5" s="154">
        <f t="shared" ref="N5" si="0">(L5/M5-1)*10*$AU$1</f>
        <v>0.32727272727272727</v>
      </c>
      <c r="O5" s="154">
        <f t="shared" ref="O5" si="1">(L5/M5-1)*10*$BD$1</f>
        <v>0.13090909090909089</v>
      </c>
      <c r="P5" s="155">
        <f>'Revenue - Year 7'!P5</f>
        <v>0</v>
      </c>
      <c r="Q5" s="155">
        <f>'Revenue - Year 7'!Q5</f>
        <v>0</v>
      </c>
      <c r="R5" s="166">
        <f t="shared" ref="R5" si="2">ROUNDDOWN((1-N5)*P5,0)</f>
        <v>0</v>
      </c>
      <c r="S5" s="166">
        <f t="shared" ref="S5" si="3">ROUND((1-O5)*Q5,0)</f>
        <v>0</v>
      </c>
      <c r="T5" s="122">
        <v>0.40972222222222227</v>
      </c>
      <c r="U5" s="149">
        <f>T5+$AL$1</f>
        <v>0.53472222222222232</v>
      </c>
      <c r="V5" s="149">
        <f>MIN($U5,$U19,$U33)</f>
        <v>0.28472222222222221</v>
      </c>
      <c r="W5" s="154">
        <f t="shared" ref="W5:W6" si="4">(U5/V5-1)*10*$AU$1</f>
        <v>0.43902439024390266</v>
      </c>
      <c r="X5" s="154">
        <f t="shared" ref="X5:X6" si="5">(U5/V5-1)*10*$BD$1</f>
        <v>0.17560975609756108</v>
      </c>
      <c r="Y5" s="155">
        <f>'Revenue - Year 7'!Y5</f>
        <v>0</v>
      </c>
      <c r="Z5" s="155">
        <f>'Revenue - Year 7'!Z5</f>
        <v>0</v>
      </c>
      <c r="AA5" s="166">
        <f t="shared" ref="AA5:AA6" si="6">ROUNDDOWN((1-W5)*Y5,0)</f>
        <v>0</v>
      </c>
      <c r="AB5" s="166">
        <f t="shared" ref="AB5:AB6" si="7">ROUND((1-X5)*Z5,0)</f>
        <v>0</v>
      </c>
      <c r="AC5" s="122">
        <v>0.47916666666666669</v>
      </c>
      <c r="AD5" s="149">
        <f>AC5+$AL$1</f>
        <v>0.60416666666666674</v>
      </c>
      <c r="AE5" s="149">
        <f>MIN($AD5,$AD19,$AD33)</f>
        <v>0.4861111111111111</v>
      </c>
      <c r="AF5" s="154">
        <f>(AD5/AE5-1)*10*$AU$1</f>
        <v>0.12142857142857155</v>
      </c>
      <c r="AG5" s="154">
        <f>(AD5/AE5-1)*10*$BD$1</f>
        <v>4.857142857142862E-2</v>
      </c>
      <c r="AH5" s="155">
        <f>'Revenue - Year 7'!AH5</f>
        <v>0</v>
      </c>
      <c r="AI5" s="155">
        <f>'Revenue - Year 7'!AI5</f>
        <v>0</v>
      </c>
      <c r="AJ5" s="166">
        <f t="shared" ref="AJ5:AJ7" si="8">ROUNDDOWN((1-AF5)*AH5,0)</f>
        <v>0</v>
      </c>
      <c r="AK5" s="166">
        <f t="shared" ref="AK5:AK7" si="9">ROUND((1-AG5)*AI5,0)</f>
        <v>0</v>
      </c>
      <c r="AL5" s="122">
        <v>0.53472222222222221</v>
      </c>
      <c r="AM5" s="149">
        <f>AL5+$AL$1</f>
        <v>0.65972222222222221</v>
      </c>
      <c r="AN5" s="149">
        <f>MIN($AM5,$AM19,$AM33)</f>
        <v>0.53472222222222221</v>
      </c>
      <c r="AO5" s="154">
        <f>(AM5/AN5-1)*10*$AU$1</f>
        <v>0.11688311688311692</v>
      </c>
      <c r="AP5" s="154">
        <f>(AM5/AN5-1)*10*$BD$1</f>
        <v>4.6753246753246769E-2</v>
      </c>
      <c r="AQ5" s="155">
        <f>'Revenue - Year 7'!AQ5</f>
        <v>0</v>
      </c>
      <c r="AR5" s="155">
        <f>'Revenue - Year 7'!AR5</f>
        <v>0</v>
      </c>
      <c r="AS5" s="166">
        <f t="shared" ref="AS5:AS8" si="10">ROUNDDOWN((1-AO5)*AQ5,0)</f>
        <v>0</v>
      </c>
      <c r="AT5" s="166">
        <f t="shared" ref="AT5:AT8" si="11">ROUND((1-AP5)*AR5,0)</f>
        <v>0</v>
      </c>
      <c r="AU5" s="122">
        <v>0.45833333333333331</v>
      </c>
      <c r="AV5" s="149">
        <f>AU5+$AL$1</f>
        <v>0.58333333333333326</v>
      </c>
      <c r="AW5" s="149">
        <f>MIN($AV5,$AV19,$AV33)</f>
        <v>0.2361111111111111</v>
      </c>
      <c r="AX5" s="154">
        <f>(AV5/AW5-1)*10*$AU$1</f>
        <v>0.73529411764705876</v>
      </c>
      <c r="AY5" s="154">
        <f>(AV5/AW5-1)*10*$BD$1</f>
        <v>0.29411764705882348</v>
      </c>
      <c r="AZ5" s="155">
        <f>'Revenue - Year 7'!AZ5</f>
        <v>0</v>
      </c>
      <c r="BA5" s="155">
        <f>'Revenue - Year 7'!BA5</f>
        <v>0</v>
      </c>
      <c r="BB5" s="166">
        <f t="shared" ref="BB5:BB9" si="12">ROUNDDOWN((1-AX5)*AZ5,0)</f>
        <v>0</v>
      </c>
      <c r="BC5" s="166">
        <f t="shared" ref="BC5:BC9" si="13">ROUND((1-AY5)*BA5,0)</f>
        <v>0</v>
      </c>
      <c r="BD5" s="122">
        <v>0.22916666666666666</v>
      </c>
      <c r="BE5" s="156">
        <f>'Revenue - Year 7'!BE5</f>
        <v>0</v>
      </c>
      <c r="BF5" s="156">
        <f>'Revenue - Year 7'!BF5</f>
        <v>0</v>
      </c>
      <c r="BG5" s="169">
        <f>I5+R5+AA5+AJ5+AS5+BB5+BE5</f>
        <v>0</v>
      </c>
      <c r="BH5" s="169">
        <f>J5+S5+AB5+AK5+AT5+BC5+BF5</f>
        <v>0</v>
      </c>
      <c r="BI5" s="115" t="str">
        <f>IF(OR(BG5&gt;70,BH5&gt;270),"PB","OK")</f>
        <v>OK</v>
      </c>
      <c r="BJ5" s="135" t="s">
        <v>57</v>
      </c>
      <c r="BK5" s="135"/>
      <c r="BL5" s="135"/>
      <c r="BM5" s="136">
        <f>1440/60*4*(SUMPRODUCT($B$5:$B$11,I5:I11)+SUMPRODUCT($K$5:$K$11,$R$5:$R$11)+SUMPRODUCT($T$5:$T$11,$AA$5:$AA$11)+SUMPRODUCT($AC$5:$AC$11,$AJ$5:$AJ$11)+SUMPRODUCT($AL$5:$AL$11,$AS$5:$AS$11)+SUMPRODUCT($AU$5:$AU$11,$BB$5:$BB$11)+SUMPRODUCT($BD$5:$BD$11,BE5:BE11))</f>
        <v>0</v>
      </c>
    </row>
    <row r="6" spans="1:69" ht="29.4" thickBot="1" x14ac:dyDescent="0.6">
      <c r="A6" s="121" t="s">
        <v>12</v>
      </c>
      <c r="B6" s="149">
        <v>0.50694444444444442</v>
      </c>
      <c r="C6" s="149">
        <f>B6+$AL$1</f>
        <v>0.63194444444444442</v>
      </c>
      <c r="D6" s="157">
        <f>MIN($C34,$C20,$C6)</f>
        <v>0.38194444444444442</v>
      </c>
      <c r="E6" s="154">
        <f>(C6/D6-1)*10*$AU$1</f>
        <v>0.32727272727272727</v>
      </c>
      <c r="F6" s="154">
        <f>(C6/D6-1)*10*$BD$1</f>
        <v>0.13090909090909089</v>
      </c>
      <c r="G6" s="155">
        <f>'Revenue - Year 7'!G6</f>
        <v>0</v>
      </c>
      <c r="H6" s="155">
        <f>'Revenue - Year 7'!H6</f>
        <v>0</v>
      </c>
      <c r="I6" s="166">
        <f>ROUNDDOWN((1-E6)*G6,0)</f>
        <v>0</v>
      </c>
      <c r="J6" s="166">
        <f>ROUND((1-F6)*H6,0)</f>
        <v>0</v>
      </c>
      <c r="K6" s="119">
        <v>0</v>
      </c>
      <c r="L6" s="148"/>
      <c r="M6" s="148"/>
      <c r="N6" s="148"/>
      <c r="O6" s="148"/>
      <c r="P6" s="120">
        <v>0</v>
      </c>
      <c r="Q6" s="120">
        <v>0</v>
      </c>
      <c r="R6" s="120">
        <v>0</v>
      </c>
      <c r="S6" s="120">
        <v>0</v>
      </c>
      <c r="T6" s="122">
        <v>0.45833333333333331</v>
      </c>
      <c r="U6" s="149">
        <f>T6+$AL$1</f>
        <v>0.58333333333333326</v>
      </c>
      <c r="V6" s="149">
        <f>MIN($U6,$U20,$U34)</f>
        <v>0.40277777777777773</v>
      </c>
      <c r="W6" s="154">
        <f t="shared" si="4"/>
        <v>0.22413793103448276</v>
      </c>
      <c r="X6" s="154">
        <f t="shared" si="5"/>
        <v>8.9655172413793102E-2</v>
      </c>
      <c r="Y6" s="155">
        <f>'Revenue - Year 7'!Y6</f>
        <v>0</v>
      </c>
      <c r="Z6" s="155">
        <f>'Revenue - Year 7'!Z6</f>
        <v>0</v>
      </c>
      <c r="AA6" s="166">
        <f t="shared" si="6"/>
        <v>0</v>
      </c>
      <c r="AB6" s="166">
        <f t="shared" si="7"/>
        <v>0</v>
      </c>
      <c r="AC6" s="122">
        <v>0.52777777777777779</v>
      </c>
      <c r="AD6" s="149">
        <f>AC6+$AL$1</f>
        <v>0.65277777777777779</v>
      </c>
      <c r="AE6" s="149">
        <f>MIN($AD6,$AD20,$AD34)</f>
        <v>0.64583333333333326</v>
      </c>
      <c r="AF6" s="154">
        <f t="shared" ref="AF6:AF7" si="14">(AD6/AE6-1)*10*$AU$1</f>
        <v>5.3763440860216116E-3</v>
      </c>
      <c r="AG6" s="154">
        <f t="shared" ref="AG6:AG7" si="15">(AD6/AE6-1)*10*$BD$1</f>
        <v>2.1505376344086446E-3</v>
      </c>
      <c r="AH6" s="155">
        <f>'Revenue - Year 7'!AH6</f>
        <v>0</v>
      </c>
      <c r="AI6" s="155">
        <f>'Revenue - Year 7'!AI6</f>
        <v>0</v>
      </c>
      <c r="AJ6" s="166">
        <f t="shared" si="8"/>
        <v>0</v>
      </c>
      <c r="AK6" s="166">
        <f t="shared" si="9"/>
        <v>0</v>
      </c>
      <c r="AL6" s="122">
        <v>0.58333333333333337</v>
      </c>
      <c r="AM6" s="149">
        <f>AL6+$AL$1</f>
        <v>0.70833333333333337</v>
      </c>
      <c r="AN6" s="149">
        <f>MIN($AM6,$AM20,$AM34)</f>
        <v>0.65625</v>
      </c>
      <c r="AO6" s="154">
        <f>(AM6/AN6-1)*10*$AU$1</f>
        <v>3.9682539682539764E-2</v>
      </c>
      <c r="AP6" s="154">
        <f>(AM6/AN6-1)*10*$BD$1</f>
        <v>1.5873015873015907E-2</v>
      </c>
      <c r="AQ6" s="155">
        <f>'Revenue - Year 7'!AQ6</f>
        <v>0</v>
      </c>
      <c r="AR6" s="155">
        <f>'Revenue - Year 7'!AR6</f>
        <v>0</v>
      </c>
      <c r="AS6" s="166">
        <f t="shared" si="10"/>
        <v>0</v>
      </c>
      <c r="AT6" s="166">
        <f t="shared" si="11"/>
        <v>0</v>
      </c>
      <c r="AU6" s="122">
        <v>0.50694444444444442</v>
      </c>
      <c r="AV6" s="149">
        <f>AU6+$AL$1</f>
        <v>0.63194444444444442</v>
      </c>
      <c r="AW6" s="149">
        <f>MIN($AV6,$AV20,$AV34)</f>
        <v>0.39583333333333337</v>
      </c>
      <c r="AX6" s="154">
        <f>(AV6/AW6-1)*10*$AU$1</f>
        <v>0.2982456140350877</v>
      </c>
      <c r="AY6" s="154">
        <f>(AV6/AW6-1)*10*$BD$1</f>
        <v>0.11929824561403507</v>
      </c>
      <c r="AZ6" s="155">
        <f>'Revenue - Year 7'!AZ6</f>
        <v>0</v>
      </c>
      <c r="BA6" s="155">
        <f>'Revenue - Year 7'!BA6</f>
        <v>0</v>
      </c>
      <c r="BB6" s="166">
        <f t="shared" si="12"/>
        <v>0</v>
      </c>
      <c r="BC6" s="166">
        <f t="shared" si="13"/>
        <v>0</v>
      </c>
      <c r="BD6" s="122">
        <v>0.27777777777777779</v>
      </c>
      <c r="BE6" s="156">
        <f>'Revenue - Year 7'!BE6</f>
        <v>0</v>
      </c>
      <c r="BF6" s="156">
        <f>'Revenue - Year 7'!BF6</f>
        <v>0</v>
      </c>
      <c r="BG6" s="169">
        <f t="shared" ref="BG6:BH12" si="16">I6+R6+AA6+AJ6+AS6+BB6+BE6</f>
        <v>0</v>
      </c>
      <c r="BH6" s="169">
        <f t="shared" si="16"/>
        <v>0</v>
      </c>
      <c r="BI6" s="115" t="str">
        <f t="shared" ref="BI6:BI12" si="17">IF(OR(BG6&gt;70,BH6&gt;270),"PB","OK")</f>
        <v>OK</v>
      </c>
      <c r="BJ6" s="135" t="s">
        <v>68</v>
      </c>
      <c r="BK6" s="135"/>
      <c r="BL6" s="135"/>
      <c r="BM6" s="136">
        <f>1440/60*(SUMPRODUCT(B5:B11,J5:J11)+SUMPRODUCT(K5:K11,S5:S11)+SUMPRODUCT(T5:T11,AB5:AB11)+SUMPRODUCT(AC5:AC11,AK5:AK11)+SUMPRODUCT(AL5:AL11,AT5:AT11)+SUMPRODUCT(AU5:AU11,BC5:BC11)+SUMPRODUCT(BD5:BD11*BF5:BF11))</f>
        <v>0</v>
      </c>
    </row>
    <row r="7" spans="1:69" ht="29.4" thickBot="1" x14ac:dyDescent="0.6">
      <c r="A7" s="123" t="s">
        <v>15</v>
      </c>
      <c r="B7" s="149">
        <v>0.40972222222222227</v>
      </c>
      <c r="C7" s="149">
        <f>B7+$AL$1</f>
        <v>0.53472222222222232</v>
      </c>
      <c r="D7" s="157">
        <f>MIN($C35,$C21,$C7)</f>
        <v>0.28472222222222221</v>
      </c>
      <c r="E7" s="154">
        <f t="shared" ref="E7:E10" si="18">(C7/D7-1)*10*$AU$1</f>
        <v>0.43902439024390266</v>
      </c>
      <c r="F7" s="154">
        <f t="shared" ref="F7:F10" si="19">(C7/D7-1)*10*$BD$1</f>
        <v>0.17560975609756108</v>
      </c>
      <c r="G7" s="155">
        <f>'Revenue - Year 7'!G7</f>
        <v>0</v>
      </c>
      <c r="H7" s="155">
        <f>'Revenue - Year 7'!H7</f>
        <v>0</v>
      </c>
      <c r="I7" s="166">
        <f t="shared" ref="I7:I11" si="20">ROUNDDOWN((1-E7)*G7,0)</f>
        <v>0</v>
      </c>
      <c r="J7" s="166">
        <f t="shared" ref="J7:J11" si="21">ROUND((1-F7)*H7,0)</f>
        <v>0</v>
      </c>
      <c r="K7" s="122">
        <v>0.45833333333333331</v>
      </c>
      <c r="L7" s="149">
        <f>K7+$AL$1</f>
        <v>0.58333333333333326</v>
      </c>
      <c r="M7" s="158">
        <f>MIN($L7,$L21,$L35)</f>
        <v>0.40277777777777773</v>
      </c>
      <c r="N7" s="154">
        <f t="shared" ref="N7:N10" si="22">(L7/M7-1)*10*$AU$1</f>
        <v>0.22413793103448276</v>
      </c>
      <c r="O7" s="154">
        <f t="shared" ref="O7:O10" si="23">(L7/M7-1)*10*$BD$1</f>
        <v>8.9655172413793102E-2</v>
      </c>
      <c r="P7" s="155">
        <f>'Revenue - Year 7'!P7</f>
        <v>0</v>
      </c>
      <c r="Q7" s="155">
        <f>'Revenue - Year 7'!Q7</f>
        <v>0</v>
      </c>
      <c r="R7" s="166">
        <f t="shared" ref="R7:R11" si="24">ROUNDDOWN((1-N7)*P7,0)</f>
        <v>0</v>
      </c>
      <c r="S7" s="166">
        <f>ROUND((1-O7)*Q7,0)</f>
        <v>0</v>
      </c>
      <c r="T7" s="119">
        <v>0</v>
      </c>
      <c r="U7" s="148"/>
      <c r="V7" s="148"/>
      <c r="W7" s="148"/>
      <c r="X7" s="148"/>
      <c r="Y7" s="120">
        <v>0</v>
      </c>
      <c r="Z7" s="120">
        <v>0</v>
      </c>
      <c r="AA7" s="120">
        <v>0</v>
      </c>
      <c r="AB7" s="120">
        <v>0</v>
      </c>
      <c r="AC7" s="122">
        <v>0.43055555555555558</v>
      </c>
      <c r="AD7" s="149">
        <f>AC7+$AL$1</f>
        <v>0.55555555555555558</v>
      </c>
      <c r="AE7" s="149">
        <f>MIN($AD7,$AD21,$AD35)</f>
        <v>0.49305555555555558</v>
      </c>
      <c r="AF7" s="154">
        <f t="shared" si="14"/>
        <v>6.3380281690140872E-2</v>
      </c>
      <c r="AG7" s="154">
        <f t="shared" si="15"/>
        <v>2.5352112676056349E-2</v>
      </c>
      <c r="AH7" s="155">
        <f>'Revenue - Year 7'!AH7</f>
        <v>0</v>
      </c>
      <c r="AI7" s="155">
        <f>'Revenue - Year 7'!AI7</f>
        <v>0</v>
      </c>
      <c r="AJ7" s="166">
        <f t="shared" si="8"/>
        <v>0</v>
      </c>
      <c r="AK7" s="166">
        <f t="shared" si="9"/>
        <v>0</v>
      </c>
      <c r="AL7" s="122">
        <v>0.4861111111111111</v>
      </c>
      <c r="AM7" s="149">
        <f>AL7+$AL$1</f>
        <v>0.61111111111111116</v>
      </c>
      <c r="AN7" s="149">
        <f>MIN($AM7,$AM21,$AM35)</f>
        <v>0.49652777777777773</v>
      </c>
      <c r="AO7" s="154">
        <f>(AM7/AN7-1)*10*$AU$1</f>
        <v>0.11538461538461553</v>
      </c>
      <c r="AP7" s="154">
        <f>(AM7/AN7-1)*10*$BD$1</f>
        <v>4.6153846153846212E-2</v>
      </c>
      <c r="AQ7" s="155">
        <f>'Revenue - Year 7'!AQ7</f>
        <v>0</v>
      </c>
      <c r="AR7" s="155">
        <f>'Revenue - Year 7'!AR7</f>
        <v>0</v>
      </c>
      <c r="AS7" s="166">
        <f t="shared" si="10"/>
        <v>0</v>
      </c>
      <c r="AT7" s="166">
        <f t="shared" si="11"/>
        <v>0</v>
      </c>
      <c r="AU7" s="122">
        <v>0.40972222222222227</v>
      </c>
      <c r="AV7" s="149">
        <f>AU7+$AL$1</f>
        <v>0.53472222222222232</v>
      </c>
      <c r="AW7" s="149">
        <f>MIN($AV7,$AV21,$AV35)</f>
        <v>0.27777777777777779</v>
      </c>
      <c r="AX7" s="154">
        <f>(AV7/AW7-1)*10*$AU$1</f>
        <v>0.46250000000000019</v>
      </c>
      <c r="AY7" s="154">
        <f>(AV7/AW7-1)*10*$BD$1</f>
        <v>0.18500000000000008</v>
      </c>
      <c r="AZ7" s="155">
        <f>'Revenue - Year 7'!AZ7</f>
        <v>0</v>
      </c>
      <c r="BA7" s="155">
        <f>'Revenue - Year 7'!BA7</f>
        <v>0</v>
      </c>
      <c r="BB7" s="166">
        <f t="shared" si="12"/>
        <v>0</v>
      </c>
      <c r="BC7" s="166">
        <f t="shared" si="13"/>
        <v>0</v>
      </c>
      <c r="BD7" s="122">
        <v>0.18055555555555555</v>
      </c>
      <c r="BE7" s="156">
        <f>'Revenue - Year 7'!BE7</f>
        <v>0</v>
      </c>
      <c r="BF7" s="156">
        <f>'Revenue - Year 7'!BF7</f>
        <v>0</v>
      </c>
      <c r="BG7" s="169">
        <f t="shared" si="16"/>
        <v>0</v>
      </c>
      <c r="BH7" s="169">
        <f t="shared" si="16"/>
        <v>0</v>
      </c>
      <c r="BI7" s="115" t="str">
        <f t="shared" si="17"/>
        <v>OK</v>
      </c>
      <c r="BJ7" s="135" t="s">
        <v>58</v>
      </c>
      <c r="BK7" s="135"/>
      <c r="BL7" s="135"/>
      <c r="BM7" s="137">
        <f>BM5+BM6</f>
        <v>0</v>
      </c>
    </row>
    <row r="8" spans="1:69" ht="29.4" thickBot="1" x14ac:dyDescent="0.6">
      <c r="A8" s="124" t="s">
        <v>13</v>
      </c>
      <c r="B8" s="149">
        <v>0.47916666666666669</v>
      </c>
      <c r="C8" s="149">
        <f>B8+$AL$1</f>
        <v>0.60416666666666674</v>
      </c>
      <c r="D8" s="157">
        <f>MIN($C36,$C22,$C8)</f>
        <v>0.4861111111111111</v>
      </c>
      <c r="E8" s="154">
        <f t="shared" si="18"/>
        <v>0.12142857142857155</v>
      </c>
      <c r="F8" s="154">
        <f t="shared" si="19"/>
        <v>4.857142857142862E-2</v>
      </c>
      <c r="G8" s="155">
        <f>'Revenue - Year 7'!G8</f>
        <v>0</v>
      </c>
      <c r="H8" s="155">
        <f>'Revenue - Year 7'!H8</f>
        <v>0</v>
      </c>
      <c r="I8" s="166">
        <f t="shared" si="20"/>
        <v>0</v>
      </c>
      <c r="J8" s="166">
        <f t="shared" si="21"/>
        <v>0</v>
      </c>
      <c r="K8" s="122">
        <v>0.52777777777777779</v>
      </c>
      <c r="L8" s="149">
        <f>K8+$AL$1</f>
        <v>0.65277777777777779</v>
      </c>
      <c r="M8" s="158">
        <f>MIN($L8,$L22,$L36)</f>
        <v>0.64583333333333326</v>
      </c>
      <c r="N8" s="154">
        <f t="shared" si="22"/>
        <v>5.3763440860216116E-3</v>
      </c>
      <c r="O8" s="154">
        <f t="shared" si="23"/>
        <v>2.1505376344086446E-3</v>
      </c>
      <c r="P8" s="155">
        <f>'Revenue - Year 7'!P8</f>
        <v>0</v>
      </c>
      <c r="Q8" s="155">
        <f>'Revenue - Year 7'!Q8</f>
        <v>0</v>
      </c>
      <c r="R8" s="166">
        <f t="shared" si="24"/>
        <v>0</v>
      </c>
      <c r="S8" s="166">
        <f t="shared" ref="S8:S11" si="25">ROUND((1-O8)*Q8,0)</f>
        <v>0</v>
      </c>
      <c r="T8" s="122">
        <v>0.43055555555555558</v>
      </c>
      <c r="U8" s="149">
        <f>T8+$AL$1</f>
        <v>0.55555555555555558</v>
      </c>
      <c r="V8" s="149">
        <f>MIN($U8,$U22,$U36)</f>
        <v>0.49305555555555558</v>
      </c>
      <c r="W8" s="154">
        <f t="shared" ref="W8:W10" si="26">(U8/V8-1)*10*$AU$1</f>
        <v>6.3380281690140872E-2</v>
      </c>
      <c r="X8" s="154">
        <f t="shared" ref="X8:X10" si="27">(U8/V8-1)*10*$BD$1</f>
        <v>2.5352112676056349E-2</v>
      </c>
      <c r="Y8" s="155">
        <f>'Revenue - Year 7'!Y8</f>
        <v>0</v>
      </c>
      <c r="Z8" s="155">
        <f>'Revenue - Year 7'!Z8</f>
        <v>0</v>
      </c>
      <c r="AA8" s="166">
        <f t="shared" ref="AA8:AA11" si="28">ROUNDDOWN((1-W8)*Y8,0)</f>
        <v>0</v>
      </c>
      <c r="AB8" s="166">
        <f t="shared" ref="AB8:AB11" si="29">ROUND((1-X8)*Z8,0)</f>
        <v>0</v>
      </c>
      <c r="AC8" s="119">
        <v>0</v>
      </c>
      <c r="AD8" s="148"/>
      <c r="AE8" s="148"/>
      <c r="AF8" s="148"/>
      <c r="AG8" s="148"/>
      <c r="AH8" s="120">
        <v>0</v>
      </c>
      <c r="AI8" s="120">
        <v>0</v>
      </c>
      <c r="AJ8" s="120">
        <v>0</v>
      </c>
      <c r="AK8" s="120">
        <v>0</v>
      </c>
      <c r="AL8" s="122">
        <v>0.55555555555555558</v>
      </c>
      <c r="AM8" s="149">
        <f>AL8+$AL$1</f>
        <v>0.68055555555555558</v>
      </c>
      <c r="AN8" s="149">
        <f>MIN($AM8,$AM23,$AM37)</f>
        <v>0.68055555555555558</v>
      </c>
      <c r="AO8" s="154">
        <f>(AM8/AN8-1)*10*$AU$1</f>
        <v>0</v>
      </c>
      <c r="AP8" s="154">
        <f>(AM8/AN8-1)*10*$BD$1</f>
        <v>0</v>
      </c>
      <c r="AQ8" s="155">
        <f>'Revenue - Year 7'!AQ8</f>
        <v>0</v>
      </c>
      <c r="AR8" s="155">
        <f>'Revenue - Year 7'!AR8</f>
        <v>0</v>
      </c>
      <c r="AS8" s="166">
        <f t="shared" si="10"/>
        <v>0</v>
      </c>
      <c r="AT8" s="166">
        <f t="shared" si="11"/>
        <v>0</v>
      </c>
      <c r="AU8" s="122">
        <v>0.47916666666666669</v>
      </c>
      <c r="AV8" s="149">
        <f>AU8+$AL$1</f>
        <v>0.60416666666666674</v>
      </c>
      <c r="AW8" s="149">
        <f>MIN($AV8,$AV22,$AV36)</f>
        <v>0.5</v>
      </c>
      <c r="AX8" s="154">
        <f>(AV8/AW8-1)*10*$AU$1</f>
        <v>0.10416666666666674</v>
      </c>
      <c r="AY8" s="154">
        <f>(AV8/AW8-1)*10*$BD$1</f>
        <v>4.1666666666666699E-2</v>
      </c>
      <c r="AZ8" s="155">
        <f>'Revenue - Year 7'!AZ8</f>
        <v>0</v>
      </c>
      <c r="BA8" s="155">
        <f>'Revenue - Year 7'!BA8</f>
        <v>0</v>
      </c>
      <c r="BB8" s="166">
        <f t="shared" si="12"/>
        <v>0</v>
      </c>
      <c r="BC8" s="166">
        <f t="shared" si="13"/>
        <v>0</v>
      </c>
      <c r="BD8" s="122">
        <v>0.25</v>
      </c>
      <c r="BE8" s="156">
        <f>'Revenue - Year 7'!BE8</f>
        <v>0</v>
      </c>
      <c r="BF8" s="156">
        <f>'Revenue - Year 7'!BF8</f>
        <v>0</v>
      </c>
      <c r="BG8" s="169">
        <f t="shared" si="16"/>
        <v>0</v>
      </c>
      <c r="BH8" s="169">
        <f t="shared" si="16"/>
        <v>0</v>
      </c>
      <c r="BI8" s="115" t="str">
        <f t="shared" si="17"/>
        <v>OK</v>
      </c>
      <c r="BJ8" s="181" t="s">
        <v>74</v>
      </c>
      <c r="BK8" s="135"/>
      <c r="BL8" s="135"/>
      <c r="BM8" s="138">
        <f>35*BM7</f>
        <v>0</v>
      </c>
    </row>
    <row r="9" spans="1:69" ht="29.4" thickBot="1" x14ac:dyDescent="0.6">
      <c r="A9" s="125" t="s">
        <v>16</v>
      </c>
      <c r="B9" s="149">
        <v>0.53472222222222221</v>
      </c>
      <c r="C9" s="149">
        <f>B9+$AL$1</f>
        <v>0.65972222222222221</v>
      </c>
      <c r="D9" s="157">
        <f>MIN($C37,$C23,$C9)</f>
        <v>0.53472222222222221</v>
      </c>
      <c r="E9" s="154">
        <f t="shared" si="18"/>
        <v>0.11688311688311692</v>
      </c>
      <c r="F9" s="154">
        <f t="shared" si="19"/>
        <v>4.6753246753246769E-2</v>
      </c>
      <c r="G9" s="155">
        <f>'Revenue - Year 7'!G9</f>
        <v>0</v>
      </c>
      <c r="H9" s="155">
        <f>'Revenue - Year 7'!H9</f>
        <v>0</v>
      </c>
      <c r="I9" s="166">
        <f t="shared" si="20"/>
        <v>0</v>
      </c>
      <c r="J9" s="166">
        <f t="shared" si="21"/>
        <v>0</v>
      </c>
      <c r="K9" s="122">
        <v>0.58333333333333337</v>
      </c>
      <c r="L9" s="149">
        <f>K9+$AL$1</f>
        <v>0.70833333333333337</v>
      </c>
      <c r="M9" s="158">
        <f>MIN($L9,$L23,$L37)</f>
        <v>0.65625</v>
      </c>
      <c r="N9" s="154">
        <f t="shared" si="22"/>
        <v>3.9682539682539764E-2</v>
      </c>
      <c r="O9" s="154">
        <f t="shared" si="23"/>
        <v>1.5873015873015907E-2</v>
      </c>
      <c r="P9" s="155">
        <f>'Revenue - Year 7'!P9</f>
        <v>0</v>
      </c>
      <c r="Q9" s="155">
        <f>'Revenue - Year 7'!Q9</f>
        <v>0</v>
      </c>
      <c r="R9" s="166">
        <f t="shared" si="24"/>
        <v>0</v>
      </c>
      <c r="S9" s="166">
        <f t="shared" si="25"/>
        <v>0</v>
      </c>
      <c r="T9" s="122">
        <v>0.4861111111111111</v>
      </c>
      <c r="U9" s="149">
        <f>T9+$AL$1</f>
        <v>0.61111111111111116</v>
      </c>
      <c r="V9" s="149">
        <f>MIN($U9,$U23,$U37)</f>
        <v>0.49652777777777773</v>
      </c>
      <c r="W9" s="154">
        <f t="shared" si="26"/>
        <v>0.11538461538461553</v>
      </c>
      <c r="X9" s="154">
        <f t="shared" si="27"/>
        <v>4.6153846153846212E-2</v>
      </c>
      <c r="Y9" s="155">
        <f>'Revenue - Year 7'!Y9</f>
        <v>0</v>
      </c>
      <c r="Z9" s="155">
        <f>'Revenue - Year 7'!Z9</f>
        <v>0</v>
      </c>
      <c r="AA9" s="166">
        <f t="shared" si="28"/>
        <v>0</v>
      </c>
      <c r="AB9" s="166">
        <f t="shared" si="29"/>
        <v>0</v>
      </c>
      <c r="AC9" s="122">
        <v>0.55555555555555558</v>
      </c>
      <c r="AD9" s="149">
        <f>AC9+$AL$1</f>
        <v>0.68055555555555558</v>
      </c>
      <c r="AE9" s="149">
        <f>MIN($AD9,$AD23,$AD37)</f>
        <v>0.68055555555555558</v>
      </c>
      <c r="AF9" s="154">
        <f t="shared" ref="AF9:AF10" si="30">(AD9/AE9-1)*10*$AU$1</f>
        <v>0</v>
      </c>
      <c r="AG9" s="154">
        <f t="shared" ref="AG9:AG10" si="31">(AD9/AE9-1)*10*$BD$1</f>
        <v>0</v>
      </c>
      <c r="AH9" s="155">
        <f>'Revenue - Year 7'!AH9</f>
        <v>0</v>
      </c>
      <c r="AI9" s="155">
        <f>'Revenue - Year 7'!AI9</f>
        <v>0</v>
      </c>
      <c r="AJ9" s="166">
        <f t="shared" ref="AJ9:AJ11" si="32">ROUNDDOWN((1-AF9)*AH9,0)</f>
        <v>0</v>
      </c>
      <c r="AK9" s="166">
        <f t="shared" ref="AK9:AK11" si="33">ROUND((1-AG9)*AI9,0)</f>
        <v>0</v>
      </c>
      <c r="AL9" s="119">
        <v>0</v>
      </c>
      <c r="AM9" s="148"/>
      <c r="AN9" s="148"/>
      <c r="AO9" s="148"/>
      <c r="AP9" s="148"/>
      <c r="AQ9" s="120">
        <v>0</v>
      </c>
      <c r="AR9" s="120">
        <v>0</v>
      </c>
      <c r="AS9" s="120">
        <v>0</v>
      </c>
      <c r="AT9" s="120">
        <v>0</v>
      </c>
      <c r="AU9" s="122">
        <v>0.53472222222222221</v>
      </c>
      <c r="AV9" s="149">
        <f>AU9+$AL$1</f>
        <v>0.65972222222222221</v>
      </c>
      <c r="AW9" s="149">
        <f>MIN($AV9,$AV23,$AV37)</f>
        <v>0.53125</v>
      </c>
      <c r="AX9" s="154">
        <f>(AV9/AW9-1)*10*$AU$1</f>
        <v>0.12091503267973858</v>
      </c>
      <c r="AY9" s="154">
        <f>(AV9/AW9-1)*10*$BD$1</f>
        <v>4.8366013071895433E-2</v>
      </c>
      <c r="AZ9" s="155">
        <f>'Revenue - Year 7'!AZ9</f>
        <v>0</v>
      </c>
      <c r="BA9" s="155">
        <f>'Revenue - Year 7'!BA9</f>
        <v>0</v>
      </c>
      <c r="BB9" s="166">
        <f t="shared" si="12"/>
        <v>0</v>
      </c>
      <c r="BC9" s="166">
        <f t="shared" si="13"/>
        <v>0</v>
      </c>
      <c r="BD9" s="122">
        <v>0.30555555555555552</v>
      </c>
      <c r="BE9" s="156">
        <f>'Revenue - Year 7'!BE9</f>
        <v>0</v>
      </c>
      <c r="BF9" s="156">
        <f>'Revenue - Year 7'!BF9</f>
        <v>0</v>
      </c>
      <c r="BG9" s="169">
        <f t="shared" si="16"/>
        <v>0</v>
      </c>
      <c r="BH9" s="169">
        <f t="shared" si="16"/>
        <v>0</v>
      </c>
      <c r="BI9" s="115" t="str">
        <f t="shared" si="17"/>
        <v>OK</v>
      </c>
      <c r="BJ9" s="135"/>
      <c r="BK9" s="135" t="s">
        <v>121</v>
      </c>
      <c r="BL9" s="135"/>
      <c r="BM9" s="182" t="e">
        <f>BM8/'Revenue - Year 7'!BM8</f>
        <v>#DIV/0!</v>
      </c>
    </row>
    <row r="10" spans="1:69" ht="29.4" thickBot="1" x14ac:dyDescent="0.6">
      <c r="A10" s="126" t="s">
        <v>14</v>
      </c>
      <c r="B10" s="149">
        <v>0.45833333333333331</v>
      </c>
      <c r="C10" s="149">
        <f>B10+$AL$1</f>
        <v>0.58333333333333326</v>
      </c>
      <c r="D10" s="157">
        <f>MIN($C38,$C24,$C10)</f>
        <v>0.2361111111111111</v>
      </c>
      <c r="E10" s="154">
        <f t="shared" si="18"/>
        <v>0.73529411764705876</v>
      </c>
      <c r="F10" s="154">
        <f t="shared" si="19"/>
        <v>0.29411764705882348</v>
      </c>
      <c r="G10" s="155">
        <f>'Revenue - Year 7'!G10</f>
        <v>0</v>
      </c>
      <c r="H10" s="155">
        <f>'Revenue - Year 7'!H10</f>
        <v>0</v>
      </c>
      <c r="I10" s="166">
        <f t="shared" si="20"/>
        <v>0</v>
      </c>
      <c r="J10" s="166">
        <f t="shared" si="21"/>
        <v>0</v>
      </c>
      <c r="K10" s="122">
        <v>0.50694444444444442</v>
      </c>
      <c r="L10" s="149">
        <f>K10+$AL$1</f>
        <v>0.63194444444444442</v>
      </c>
      <c r="M10" s="158">
        <f>MIN($L10,$L24,$L38)</f>
        <v>0.39583333333333337</v>
      </c>
      <c r="N10" s="154">
        <f t="shared" si="22"/>
        <v>0.2982456140350877</v>
      </c>
      <c r="O10" s="154">
        <f t="shared" si="23"/>
        <v>0.11929824561403507</v>
      </c>
      <c r="P10" s="155">
        <f>'Revenue - Year 7'!P10</f>
        <v>0</v>
      </c>
      <c r="Q10" s="155">
        <f>'Revenue - Year 7'!Q10</f>
        <v>0</v>
      </c>
      <c r="R10" s="166">
        <f t="shared" si="24"/>
        <v>0</v>
      </c>
      <c r="S10" s="166">
        <f t="shared" si="25"/>
        <v>0</v>
      </c>
      <c r="T10" s="122">
        <v>0.40972222222222227</v>
      </c>
      <c r="U10" s="149">
        <f>T10+$AL$1</f>
        <v>0.53472222222222232</v>
      </c>
      <c r="V10" s="149">
        <f>MIN($U10,$U24,$U38)</f>
        <v>0.27777777777777779</v>
      </c>
      <c r="W10" s="154">
        <f t="shared" si="26"/>
        <v>0.46250000000000019</v>
      </c>
      <c r="X10" s="154">
        <f t="shared" si="27"/>
        <v>0.18500000000000008</v>
      </c>
      <c r="Y10" s="155">
        <f>'Revenue - Year 7'!Y10</f>
        <v>0</v>
      </c>
      <c r="Z10" s="155">
        <f>'Revenue - Year 7'!Z10</f>
        <v>0</v>
      </c>
      <c r="AA10" s="166">
        <f t="shared" si="28"/>
        <v>0</v>
      </c>
      <c r="AB10" s="166">
        <f t="shared" si="29"/>
        <v>0</v>
      </c>
      <c r="AC10" s="122">
        <v>0.47916666666666669</v>
      </c>
      <c r="AD10" s="149">
        <f>AC10+$AL$1</f>
        <v>0.60416666666666674</v>
      </c>
      <c r="AE10" s="149">
        <f>MIN($AD10,$AD24,$AD38)</f>
        <v>0.5</v>
      </c>
      <c r="AF10" s="154">
        <f t="shared" si="30"/>
        <v>0.10416666666666674</v>
      </c>
      <c r="AG10" s="154">
        <f t="shared" si="31"/>
        <v>4.1666666666666699E-2</v>
      </c>
      <c r="AH10" s="155">
        <f>'Revenue - Year 7'!AH10</f>
        <v>0</v>
      </c>
      <c r="AI10" s="155">
        <f>'Revenue - Year 7'!AI10</f>
        <v>0</v>
      </c>
      <c r="AJ10" s="166">
        <f t="shared" si="32"/>
        <v>0</v>
      </c>
      <c r="AK10" s="166">
        <f t="shared" si="33"/>
        <v>0</v>
      </c>
      <c r="AL10" s="122">
        <v>0.53472222222222221</v>
      </c>
      <c r="AM10" s="149">
        <f>AL10+$AL$1</f>
        <v>0.65972222222222221</v>
      </c>
      <c r="AN10" s="149">
        <f>MIN($AM10,$AM24,$AM38)</f>
        <v>0.53125</v>
      </c>
      <c r="AO10" s="154">
        <f>(AM10/AN10-1)*10*$AU$1</f>
        <v>0.12091503267973858</v>
      </c>
      <c r="AP10" s="154">
        <f>(AM10/AN10-1)*10*$BD$1</f>
        <v>4.8366013071895433E-2</v>
      </c>
      <c r="AQ10" s="155">
        <f>'Revenue - Year 7'!AQ10</f>
        <v>0</v>
      </c>
      <c r="AR10" s="155">
        <f>'Revenue - Year 7'!AR10</f>
        <v>0</v>
      </c>
      <c r="AS10" s="166">
        <f t="shared" ref="AS10:AS11" si="34">ROUNDDOWN((1-AO10)*AQ10,0)</f>
        <v>0</v>
      </c>
      <c r="AT10" s="166">
        <f t="shared" ref="AT10:AT11" si="35">ROUND((1-AP10)*AR10,0)</f>
        <v>0</v>
      </c>
      <c r="AU10" s="119">
        <v>0</v>
      </c>
      <c r="AV10" s="148"/>
      <c r="AW10" s="148"/>
      <c r="AX10" s="148"/>
      <c r="AY10" s="148"/>
      <c r="AZ10" s="120">
        <v>0</v>
      </c>
      <c r="BA10" s="120">
        <v>0</v>
      </c>
      <c r="BB10" s="120">
        <v>0</v>
      </c>
      <c r="BC10" s="120">
        <v>0</v>
      </c>
      <c r="BD10" s="122">
        <v>0.22916666666666666</v>
      </c>
      <c r="BE10" s="156">
        <f>'Revenue - Year 7'!BE10</f>
        <v>0</v>
      </c>
      <c r="BF10" s="156">
        <f>'Revenue - Year 7'!BF10</f>
        <v>0</v>
      </c>
      <c r="BG10" s="169">
        <f t="shared" si="16"/>
        <v>0</v>
      </c>
      <c r="BH10" s="169">
        <f t="shared" si="16"/>
        <v>0</v>
      </c>
      <c r="BI10" s="115" t="str">
        <f t="shared" si="17"/>
        <v>OK</v>
      </c>
      <c r="BJ10" s="135" t="s">
        <v>59</v>
      </c>
      <c r="BK10" s="135"/>
      <c r="BL10" s="135"/>
      <c r="BM10" s="136">
        <f>BM12-BM11</f>
        <v>0</v>
      </c>
    </row>
    <row r="11" spans="1:69" ht="29.4" thickBot="1" x14ac:dyDescent="0.6">
      <c r="A11" s="127" t="s">
        <v>35</v>
      </c>
      <c r="B11" s="149">
        <v>0.22916666666666666</v>
      </c>
      <c r="C11" s="149"/>
      <c r="D11" s="149"/>
      <c r="E11" s="154"/>
      <c r="F11" s="154"/>
      <c r="G11" s="155">
        <f>'Revenue - Year 7'!G11</f>
        <v>0</v>
      </c>
      <c r="H11" s="155">
        <f>'Revenue - Year 7'!H11</f>
        <v>0</v>
      </c>
      <c r="I11" s="166">
        <f t="shared" si="20"/>
        <v>0</v>
      </c>
      <c r="J11" s="166">
        <f t="shared" si="21"/>
        <v>0</v>
      </c>
      <c r="K11" s="122">
        <v>0.27777777777777779</v>
      </c>
      <c r="L11" s="149"/>
      <c r="M11" s="149"/>
      <c r="N11" s="154"/>
      <c r="O11" s="154"/>
      <c r="P11" s="155">
        <f>'Revenue - Year 7'!P11</f>
        <v>0</v>
      </c>
      <c r="Q11" s="155">
        <f>'Revenue - Year 7'!Q11</f>
        <v>0</v>
      </c>
      <c r="R11" s="166">
        <f t="shared" si="24"/>
        <v>0</v>
      </c>
      <c r="S11" s="166">
        <f t="shared" si="25"/>
        <v>0</v>
      </c>
      <c r="T11" s="122">
        <v>0.18055555555555555</v>
      </c>
      <c r="U11" s="149"/>
      <c r="V11" s="149"/>
      <c r="W11" s="154"/>
      <c r="X11" s="154"/>
      <c r="Y11" s="155">
        <f>'Revenue - Year 7'!Y11</f>
        <v>0</v>
      </c>
      <c r="Z11" s="155">
        <f>'Revenue - Year 7'!Z11</f>
        <v>0</v>
      </c>
      <c r="AA11" s="166">
        <f t="shared" si="28"/>
        <v>0</v>
      </c>
      <c r="AB11" s="166">
        <f t="shared" si="29"/>
        <v>0</v>
      </c>
      <c r="AC11" s="122">
        <v>0.25</v>
      </c>
      <c r="AD11" s="149"/>
      <c r="AE11" s="149"/>
      <c r="AF11" s="154"/>
      <c r="AG11" s="154"/>
      <c r="AH11" s="155">
        <f>'Revenue - Year 7'!AH11</f>
        <v>0</v>
      </c>
      <c r="AI11" s="155">
        <f>'Revenue - Year 7'!AI11</f>
        <v>0</v>
      </c>
      <c r="AJ11" s="166">
        <f t="shared" si="32"/>
        <v>0</v>
      </c>
      <c r="AK11" s="166">
        <f t="shared" si="33"/>
        <v>0</v>
      </c>
      <c r="AL11" s="122">
        <v>0.30555555555555552</v>
      </c>
      <c r="AM11" s="149"/>
      <c r="AN11" s="149"/>
      <c r="AO11" s="154"/>
      <c r="AP11" s="154"/>
      <c r="AQ11" s="155">
        <f>'Revenue - Year 7'!AQ11</f>
        <v>0</v>
      </c>
      <c r="AR11" s="155">
        <f>'Revenue - Year 7'!AR11</f>
        <v>0</v>
      </c>
      <c r="AS11" s="166">
        <f t="shared" si="34"/>
        <v>0</v>
      </c>
      <c r="AT11" s="166">
        <f t="shared" si="35"/>
        <v>0</v>
      </c>
      <c r="AU11" s="122">
        <v>0.22916666666666666</v>
      </c>
      <c r="AV11" s="149"/>
      <c r="AW11" s="149"/>
      <c r="AX11" s="154"/>
      <c r="AY11" s="154"/>
      <c r="AZ11" s="155">
        <f>'Revenue - Year 7'!AZ11</f>
        <v>0</v>
      </c>
      <c r="BA11" s="155">
        <f>'Revenue - Year 7'!BA11</f>
        <v>0</v>
      </c>
      <c r="BB11" s="166">
        <f t="shared" ref="BB11" si="36">ROUNDDOWN((1-AX11)*AZ11,0)</f>
        <v>0</v>
      </c>
      <c r="BC11" s="166">
        <f t="shared" ref="BC11" si="37">ROUND((1-AY11)*BA11,0)</f>
        <v>0</v>
      </c>
      <c r="BD11" s="119">
        <v>0</v>
      </c>
      <c r="BE11" s="120">
        <v>0</v>
      </c>
      <c r="BF11" s="120">
        <v>0</v>
      </c>
      <c r="BG11" s="169">
        <f t="shared" si="16"/>
        <v>0</v>
      </c>
      <c r="BH11" s="169">
        <f t="shared" si="16"/>
        <v>0</v>
      </c>
      <c r="BI11" s="115" t="str">
        <f t="shared" si="17"/>
        <v>OK</v>
      </c>
      <c r="BJ11" s="135" t="s">
        <v>60</v>
      </c>
      <c r="BK11" s="135"/>
      <c r="BL11" s="135"/>
      <c r="BM11" s="136">
        <f>SUM(I11:J11,R11:S11,AA11:AB11,AJ11:AK11,AS11:AT11,BB11:BC11)+SUM(BE5:BF10)</f>
        <v>0</v>
      </c>
    </row>
    <row r="12" spans="1:69" ht="29.4" thickBot="1" x14ac:dyDescent="0.6">
      <c r="A12" s="128" t="s">
        <v>40</v>
      </c>
      <c r="B12" s="122"/>
      <c r="C12" s="122"/>
      <c r="D12" s="122"/>
      <c r="E12" s="122"/>
      <c r="F12" s="122"/>
      <c r="G12" s="165"/>
      <c r="H12" s="165"/>
      <c r="I12" s="129">
        <f>SUM(I5:I11)</f>
        <v>0</v>
      </c>
      <c r="J12" s="129">
        <f>SUM(J5:J11)</f>
        <v>0</v>
      </c>
      <c r="K12" s="122"/>
      <c r="L12" s="122"/>
      <c r="M12" s="122"/>
      <c r="N12" s="122"/>
      <c r="O12" s="122"/>
      <c r="P12" s="165"/>
      <c r="Q12" s="165"/>
      <c r="R12" s="129">
        <f>SUM(R5:R11)</f>
        <v>0</v>
      </c>
      <c r="S12" s="129">
        <f>SUM(S5:S11)</f>
        <v>0</v>
      </c>
      <c r="T12" s="122"/>
      <c r="U12" s="122"/>
      <c r="V12" s="122"/>
      <c r="W12" s="122"/>
      <c r="X12" s="122"/>
      <c r="Y12" s="165"/>
      <c r="Z12" s="165"/>
      <c r="AA12" s="129">
        <f>SUM(AA5:AA11)</f>
        <v>0</v>
      </c>
      <c r="AB12" s="129">
        <f>SUM(AB5:AB11)</f>
        <v>0</v>
      </c>
      <c r="AC12" s="122"/>
      <c r="AD12" s="122"/>
      <c r="AE12" s="122"/>
      <c r="AF12" s="122"/>
      <c r="AG12" s="122"/>
      <c r="AH12" s="165"/>
      <c r="AI12" s="165"/>
      <c r="AJ12" s="129">
        <f>SUM(AJ5:AJ11)</f>
        <v>0</v>
      </c>
      <c r="AK12" s="129">
        <f>SUM(AK5:AK11)</f>
        <v>0</v>
      </c>
      <c r="AL12" s="122"/>
      <c r="AM12" s="122"/>
      <c r="AN12" s="122"/>
      <c r="AO12" s="122"/>
      <c r="AP12" s="122"/>
      <c r="AQ12" s="165"/>
      <c r="AR12" s="165"/>
      <c r="AS12" s="129">
        <f>SUM(AS5:AS11)</f>
        <v>0</v>
      </c>
      <c r="AT12" s="129">
        <f>SUM(AT5:AT11)</f>
        <v>0</v>
      </c>
      <c r="AU12" s="122"/>
      <c r="AV12" s="122"/>
      <c r="AW12" s="122"/>
      <c r="AX12" s="122"/>
      <c r="AY12" s="122"/>
      <c r="AZ12" s="165"/>
      <c r="BA12" s="165"/>
      <c r="BB12" s="129">
        <f>SUM(BB5:BB11)</f>
        <v>0</v>
      </c>
      <c r="BC12" s="129">
        <f>SUM(BC5:BC11)</f>
        <v>0</v>
      </c>
      <c r="BD12" s="122"/>
      <c r="BE12" s="129">
        <f>SUM(BE5:BE11)</f>
        <v>0</v>
      </c>
      <c r="BF12" s="129">
        <f>SUM(BF5:BF11)</f>
        <v>0</v>
      </c>
      <c r="BG12" s="169">
        <f t="shared" si="16"/>
        <v>0</v>
      </c>
      <c r="BH12" s="169">
        <f t="shared" si="16"/>
        <v>0</v>
      </c>
      <c r="BI12" s="115" t="str">
        <f t="shared" si="17"/>
        <v>OK</v>
      </c>
      <c r="BJ12" s="181" t="s">
        <v>61</v>
      </c>
      <c r="BK12" s="135"/>
      <c r="BL12" s="135"/>
      <c r="BM12" s="136">
        <f>SUM(B12:BF12)</f>
        <v>0</v>
      </c>
    </row>
    <row r="13" spans="1:69" ht="28.8" x14ac:dyDescent="0.55000000000000004">
      <c r="A13" s="115"/>
      <c r="B13" s="115"/>
      <c r="C13" s="115" t="str">
        <f>+IF(C4="Y",IF(C12&gt;270,"PB","OK"),IF(C12&gt;70,"PB","OK"))</f>
        <v>OK</v>
      </c>
      <c r="D13" s="115" t="str">
        <f t="shared" ref="D13" si="38">+IF(D4="Y",IF(D12&gt;270,"PB","ok"),IF(D12&gt;70,"PB","OK"))</f>
        <v>OK</v>
      </c>
      <c r="E13" s="115"/>
      <c r="F13" s="115" t="str">
        <f t="shared" ref="F13" si="39">+IF(F4="Y",IF(F12&gt;270,"PB","ok"),IF(F12&gt;70,"PB","OK"))</f>
        <v>OK</v>
      </c>
      <c r="I13" s="115" t="str">
        <f>+IF(I4="Traffic Y",IF(I12&gt;270,"PB","OK"),IF(I12&gt;70,"PB","OK"))</f>
        <v>OK</v>
      </c>
      <c r="J13" s="115" t="str">
        <f>+IF(H4="Y",IF(H12&gt;270,"PB","ok"),IF(H12&gt;70,"PB","OK"))</f>
        <v>OK</v>
      </c>
      <c r="K13" s="115"/>
      <c r="L13" s="115" t="str">
        <f t="shared" ref="L13:M13" si="40">+IF(L4="Y",IF(L12&gt;270,"PB","ok"),IF(L12&gt;70,"PB","OK"))</f>
        <v>OK</v>
      </c>
      <c r="M13" s="115" t="str">
        <f t="shared" si="40"/>
        <v>OK</v>
      </c>
      <c r="N13" s="115"/>
      <c r="O13" s="115" t="str">
        <f t="shared" ref="O13" si="41">+IF(O4="Y",IF(O12&gt;270,"PB","ok"),IF(O12&gt;70,"PB","OK"))</f>
        <v>OK</v>
      </c>
      <c r="R13" s="115" t="str">
        <f>+IF(R4="Traffic Y",IF(R12&gt;270,"PB","OK"),IF(R12&gt;70,"PB","OK"))</f>
        <v>OK</v>
      </c>
      <c r="S13" s="115" t="str">
        <f>+IF(Q4="Y",IF(Q12&gt;270,"PB","ok"),IF(Q12&gt;70,"PB","OK"))</f>
        <v>OK</v>
      </c>
      <c r="T13" s="101"/>
      <c r="U13" s="101"/>
      <c r="V13" s="115" t="str">
        <f>+IF(V4="Traffic Y",IF(V12&gt;270,"PB","OK"),IF(V12&gt;70,"PB","OK"))</f>
        <v>OK</v>
      </c>
      <c r="W13" s="115" t="str">
        <f>+IF(U4="Y",IF(U12&gt;270,"PB","ok"),IF(U12&gt;70,"PB","OK"))</f>
        <v>OK</v>
      </c>
      <c r="X13" s="139"/>
      <c r="AA13" s="115" t="str">
        <f>+IF(AA4="Traffic Y",IF(AA12&gt;270,"PB","OK"),IF(AA12&gt;70,"PB","OK"))</f>
        <v>OK</v>
      </c>
      <c r="AB13" s="115" t="str">
        <f>+IF(Z4="Y",IF(Z12&gt;270,"PB","ok"),IF(Z12&gt;70,"PB","OK"))</f>
        <v>OK</v>
      </c>
      <c r="AC13" s="134"/>
      <c r="AD13" s="134"/>
      <c r="AE13" s="134"/>
      <c r="AF13" s="134"/>
      <c r="AG13" s="134"/>
      <c r="AJ13" s="115" t="str">
        <f>+IF(AJ4="Traffic Y",IF(AJ12&gt;270,"PB","OK"),IF(AJ12&gt;70,"PB","OK"))</f>
        <v>OK</v>
      </c>
      <c r="AK13" s="115" t="str">
        <f>+IF(AI4="Y",IF(AI12&gt;270,"PB","ok"),IF(AI12&gt;70,"PB","OK"))</f>
        <v>OK</v>
      </c>
      <c r="AL13" s="134"/>
      <c r="AM13" s="134"/>
      <c r="AN13" s="134"/>
      <c r="AO13" s="134"/>
      <c r="AP13" s="134"/>
      <c r="AS13" s="115" t="str">
        <f>+IF(AS4="Traffic Y",IF(AS12&gt;270,"PB","OK"),IF(AS12&gt;70,"PB","OK"))</f>
        <v>OK</v>
      </c>
      <c r="AT13" s="115" t="str">
        <f>+IF(AR4="Y",IF(AR12&gt;270,"PB","ok"),IF(AR12&gt;70,"PB","OK"))</f>
        <v>OK</v>
      </c>
      <c r="AU13" s="134"/>
      <c r="AV13" s="134"/>
      <c r="AW13" s="134"/>
      <c r="AX13" s="134"/>
      <c r="AY13" s="134"/>
      <c r="BB13" s="115" t="str">
        <f>+IF(BB4="Traffic Y",IF(BB12&gt;270,"PB","OK"),IF(BB12&gt;70,"PB","OK"))</f>
        <v>OK</v>
      </c>
      <c r="BC13" s="115" t="str">
        <f>+IF(BA4="Y",IF(BA12&gt;270,"PB","ok"),IF(BA12&gt;70,"PB","OK"))</f>
        <v>OK</v>
      </c>
      <c r="BD13" s="134"/>
      <c r="BE13" s="115" t="str">
        <f>+IF(BE4="Traffic Y",IF(BE12&gt;270,"PB","ok"),IF(BE12&gt;70,"PB","OK"))</f>
        <v>OK</v>
      </c>
      <c r="BF13" s="115" t="str">
        <f>+IF(BF4="Traffic Y",IF(BF12&gt;270,"PB","ok"),IF(BF12&gt;70,"PB","OK"))</f>
        <v>OK</v>
      </c>
      <c r="BG13" s="134"/>
      <c r="BH13" s="134"/>
      <c r="BI13" s="139"/>
      <c r="BJ13" s="181" t="s">
        <v>120</v>
      </c>
      <c r="BK13" s="135"/>
      <c r="BL13" s="135"/>
      <c r="BM13" s="180">
        <f>(2*BM10+BM11)/2040</f>
        <v>0</v>
      </c>
    </row>
    <row r="14" spans="1:69" x14ac:dyDescent="0.3">
      <c r="A14" s="115"/>
      <c r="B14" s="144"/>
      <c r="C14" s="144"/>
      <c r="D14" s="144"/>
      <c r="E14" s="144"/>
      <c r="F14" s="144"/>
      <c r="G14" s="134"/>
      <c r="H14" s="134"/>
      <c r="I14" s="134"/>
      <c r="J14" s="134"/>
      <c r="K14" s="144"/>
      <c r="L14" s="144"/>
      <c r="M14" s="144"/>
      <c r="N14" s="144"/>
      <c r="O14" s="144"/>
      <c r="P14" s="134"/>
      <c r="Q14" s="134"/>
      <c r="R14" s="134"/>
      <c r="S14" s="134"/>
      <c r="T14" s="144"/>
      <c r="U14" s="144"/>
      <c r="V14" s="144"/>
      <c r="W14" s="144"/>
      <c r="X14" s="144"/>
      <c r="Y14" s="134"/>
      <c r="Z14" s="134"/>
      <c r="AA14" s="134"/>
      <c r="AB14" s="134"/>
      <c r="AC14" s="144"/>
      <c r="AD14" s="144"/>
      <c r="AE14" s="144"/>
      <c r="AF14" s="144"/>
      <c r="AG14" s="144"/>
      <c r="AH14" s="134"/>
      <c r="AI14" s="134"/>
      <c r="AJ14" s="134"/>
      <c r="AK14" s="134"/>
      <c r="AL14" s="144"/>
      <c r="AM14" s="144"/>
      <c r="AN14" s="144"/>
      <c r="AO14" s="144"/>
      <c r="AP14" s="144"/>
      <c r="AQ14" s="134"/>
      <c r="AR14" s="134"/>
      <c r="AS14" s="134"/>
      <c r="AT14" s="134"/>
      <c r="AU14" s="144"/>
      <c r="AV14" s="144"/>
      <c r="AW14" s="144"/>
      <c r="AX14" s="144"/>
      <c r="AY14" s="144"/>
      <c r="AZ14" s="134"/>
      <c r="BA14" s="134"/>
      <c r="BB14" s="134"/>
      <c r="BC14" s="134"/>
      <c r="BD14" s="144"/>
      <c r="BE14" s="134"/>
      <c r="BF14" s="134"/>
      <c r="BG14" s="141"/>
      <c r="BH14" s="141"/>
      <c r="BI14" s="141"/>
      <c r="BJ14" s="134"/>
      <c r="BK14" s="134"/>
      <c r="BL14" s="134"/>
      <c r="BM14" s="134"/>
    </row>
    <row r="15" spans="1:69" ht="15" customHeight="1" x14ac:dyDescent="0.3">
      <c r="A15" s="221" t="s">
        <v>75</v>
      </c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33"/>
      <c r="AL15" s="226">
        <v>6.25E-2</v>
      </c>
      <c r="AM15" s="227"/>
      <c r="AN15" s="227"/>
      <c r="AO15" s="227"/>
      <c r="AP15" s="227"/>
      <c r="AQ15" s="227"/>
      <c r="AR15" s="227"/>
      <c r="AS15" s="227"/>
      <c r="AT15" s="227"/>
      <c r="AU15" s="230">
        <v>0.05</v>
      </c>
      <c r="AV15" s="231"/>
      <c r="AW15" s="231"/>
      <c r="AX15" s="231"/>
      <c r="AY15" s="231"/>
      <c r="AZ15" s="231"/>
      <c r="BA15" s="231"/>
      <c r="BB15" s="231"/>
      <c r="BC15" s="231"/>
      <c r="BD15" s="230">
        <v>0.02</v>
      </c>
      <c r="BE15" s="227"/>
      <c r="BF15" s="227"/>
      <c r="BG15" s="131"/>
      <c r="BH15" s="131"/>
      <c r="BI15" s="131"/>
      <c r="BJ15" s="222" t="s">
        <v>113</v>
      </c>
      <c r="BK15" s="222"/>
      <c r="BL15" s="222"/>
      <c r="BM15" s="222"/>
    </row>
    <row r="16" spans="1:69" ht="15.75" customHeight="1" thickBot="1" x14ac:dyDescent="0.3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33"/>
      <c r="AL16" s="228"/>
      <c r="AM16" s="229"/>
      <c r="AN16" s="229"/>
      <c r="AO16" s="229"/>
      <c r="AP16" s="229"/>
      <c r="AQ16" s="229"/>
      <c r="AR16" s="229"/>
      <c r="AS16" s="229"/>
      <c r="AT16" s="229"/>
      <c r="AU16" s="228"/>
      <c r="AV16" s="229"/>
      <c r="AW16" s="229"/>
      <c r="AX16" s="229"/>
      <c r="AY16" s="229"/>
      <c r="AZ16" s="229"/>
      <c r="BA16" s="229"/>
      <c r="BB16" s="229"/>
      <c r="BC16" s="229"/>
      <c r="BD16" s="228"/>
      <c r="BE16" s="229"/>
      <c r="BF16" s="229"/>
      <c r="BG16" s="131"/>
      <c r="BH16" s="131"/>
      <c r="BI16" s="131"/>
      <c r="BJ16" s="222"/>
      <c r="BK16" s="222"/>
      <c r="BL16" s="222"/>
      <c r="BM16" s="222"/>
    </row>
    <row r="17" spans="1:65" ht="27" customHeight="1" thickBot="1" x14ac:dyDescent="0.35">
      <c r="A17" s="113" t="s">
        <v>63</v>
      </c>
      <c r="B17" s="218" t="s">
        <v>11</v>
      </c>
      <c r="C17" s="202"/>
      <c r="D17" s="202"/>
      <c r="E17" s="202"/>
      <c r="F17" s="202"/>
      <c r="G17" s="202"/>
      <c r="H17" s="202"/>
      <c r="I17" s="202"/>
      <c r="J17" s="203"/>
      <c r="K17" s="204" t="s">
        <v>12</v>
      </c>
      <c r="L17" s="205"/>
      <c r="M17" s="205"/>
      <c r="N17" s="205"/>
      <c r="O17" s="205"/>
      <c r="P17" s="205"/>
      <c r="Q17" s="205"/>
      <c r="R17" s="205"/>
      <c r="S17" s="206"/>
      <c r="T17" s="207" t="s">
        <v>15</v>
      </c>
      <c r="U17" s="208"/>
      <c r="V17" s="208"/>
      <c r="W17" s="208"/>
      <c r="X17" s="208"/>
      <c r="Y17" s="208"/>
      <c r="Z17" s="208"/>
      <c r="AA17" s="208"/>
      <c r="AB17" s="208"/>
      <c r="AC17" s="210" t="s">
        <v>13</v>
      </c>
      <c r="AD17" s="211"/>
      <c r="AE17" s="211"/>
      <c r="AF17" s="211"/>
      <c r="AG17" s="211"/>
      <c r="AH17" s="211"/>
      <c r="AI17" s="211"/>
      <c r="AJ17" s="211"/>
      <c r="AK17" s="211"/>
      <c r="AL17" s="213" t="s">
        <v>16</v>
      </c>
      <c r="AM17" s="214"/>
      <c r="AN17" s="214"/>
      <c r="AO17" s="214"/>
      <c r="AP17" s="214"/>
      <c r="AQ17" s="214"/>
      <c r="AR17" s="214"/>
      <c r="AS17" s="214"/>
      <c r="AT17" s="214"/>
      <c r="AU17" s="187" t="s">
        <v>14</v>
      </c>
      <c r="AV17" s="188"/>
      <c r="AW17" s="188"/>
      <c r="AX17" s="188"/>
      <c r="AY17" s="188"/>
      <c r="AZ17" s="188"/>
      <c r="BA17" s="188"/>
      <c r="BB17" s="188"/>
      <c r="BC17" s="188"/>
      <c r="BD17" s="223" t="s">
        <v>18</v>
      </c>
      <c r="BE17" s="224"/>
      <c r="BF17" s="224"/>
      <c r="BG17" s="200" t="s">
        <v>69</v>
      </c>
      <c r="BH17" s="200"/>
      <c r="BI17" s="177"/>
      <c r="BJ17" s="222"/>
      <c r="BK17" s="222"/>
      <c r="BL17" s="222"/>
      <c r="BM17" s="222"/>
    </row>
    <row r="18" spans="1:65" ht="31.8" thickBot="1" x14ac:dyDescent="0.35">
      <c r="A18" s="113" t="s">
        <v>39</v>
      </c>
      <c r="B18" s="114" t="s">
        <v>36</v>
      </c>
      <c r="C18" s="114" t="s">
        <v>79</v>
      </c>
      <c r="D18" s="114" t="s">
        <v>73</v>
      </c>
      <c r="E18" s="163" t="s">
        <v>71</v>
      </c>
      <c r="F18" s="163" t="s">
        <v>72</v>
      </c>
      <c r="G18" s="117" t="s">
        <v>77</v>
      </c>
      <c r="H18" s="117" t="s">
        <v>78</v>
      </c>
      <c r="I18" s="117" t="s">
        <v>37</v>
      </c>
      <c r="J18" s="117" t="s">
        <v>38</v>
      </c>
      <c r="K18" s="114" t="s">
        <v>36</v>
      </c>
      <c r="L18" s="114" t="s">
        <v>79</v>
      </c>
      <c r="M18" s="114" t="s">
        <v>73</v>
      </c>
      <c r="N18" s="163" t="s">
        <v>71</v>
      </c>
      <c r="O18" s="163" t="s">
        <v>72</v>
      </c>
      <c r="P18" s="117" t="s">
        <v>77</v>
      </c>
      <c r="Q18" s="117" t="s">
        <v>78</v>
      </c>
      <c r="R18" s="117" t="s">
        <v>37</v>
      </c>
      <c r="S18" s="117" t="s">
        <v>38</v>
      </c>
      <c r="T18" s="114" t="s">
        <v>36</v>
      </c>
      <c r="U18" s="114" t="s">
        <v>79</v>
      </c>
      <c r="V18" s="114" t="s">
        <v>73</v>
      </c>
      <c r="W18" s="163" t="s">
        <v>71</v>
      </c>
      <c r="X18" s="163" t="s">
        <v>72</v>
      </c>
      <c r="Y18" s="117" t="s">
        <v>77</v>
      </c>
      <c r="Z18" s="117" t="s">
        <v>78</v>
      </c>
      <c r="AA18" s="117" t="s">
        <v>37</v>
      </c>
      <c r="AB18" s="117" t="s">
        <v>38</v>
      </c>
      <c r="AC18" s="114" t="s">
        <v>36</v>
      </c>
      <c r="AD18" s="114" t="s">
        <v>79</v>
      </c>
      <c r="AE18" s="114" t="s">
        <v>73</v>
      </c>
      <c r="AF18" s="163" t="s">
        <v>71</v>
      </c>
      <c r="AG18" s="163" t="s">
        <v>72</v>
      </c>
      <c r="AH18" s="117" t="s">
        <v>77</v>
      </c>
      <c r="AI18" s="117" t="s">
        <v>78</v>
      </c>
      <c r="AJ18" s="117" t="s">
        <v>37</v>
      </c>
      <c r="AK18" s="117" t="s">
        <v>38</v>
      </c>
      <c r="AL18" s="114" t="s">
        <v>36</v>
      </c>
      <c r="AM18" s="114" t="s">
        <v>79</v>
      </c>
      <c r="AN18" s="114" t="s">
        <v>73</v>
      </c>
      <c r="AO18" s="163" t="s">
        <v>71</v>
      </c>
      <c r="AP18" s="163" t="s">
        <v>72</v>
      </c>
      <c r="AQ18" s="117" t="s">
        <v>77</v>
      </c>
      <c r="AR18" s="117" t="s">
        <v>78</v>
      </c>
      <c r="AS18" s="117" t="s">
        <v>37</v>
      </c>
      <c r="AT18" s="117" t="s">
        <v>38</v>
      </c>
      <c r="AU18" s="114" t="s">
        <v>36</v>
      </c>
      <c r="AV18" s="114" t="s">
        <v>79</v>
      </c>
      <c r="AW18" s="114" t="s">
        <v>73</v>
      </c>
      <c r="AX18" s="163" t="s">
        <v>71</v>
      </c>
      <c r="AY18" s="163" t="s">
        <v>72</v>
      </c>
      <c r="AZ18" s="117" t="s">
        <v>77</v>
      </c>
      <c r="BA18" s="117" t="s">
        <v>78</v>
      </c>
      <c r="BB18" s="117" t="s">
        <v>37</v>
      </c>
      <c r="BC18" s="117" t="s">
        <v>38</v>
      </c>
      <c r="BD18" s="114" t="s">
        <v>36</v>
      </c>
      <c r="BE18" s="164" t="s">
        <v>37</v>
      </c>
      <c r="BF18" s="164" t="s">
        <v>38</v>
      </c>
      <c r="BG18" s="167" t="s">
        <v>21</v>
      </c>
      <c r="BH18" s="167" t="s">
        <v>20</v>
      </c>
      <c r="BI18" s="133"/>
      <c r="BJ18" s="168"/>
      <c r="BK18" s="168"/>
      <c r="BL18" s="168"/>
      <c r="BM18" s="168"/>
    </row>
    <row r="19" spans="1:65" ht="29.4" thickBot="1" x14ac:dyDescent="0.6">
      <c r="A19" s="118" t="s">
        <v>11</v>
      </c>
      <c r="B19" s="119">
        <v>0</v>
      </c>
      <c r="C19" s="148"/>
      <c r="D19" s="148"/>
      <c r="E19" s="148"/>
      <c r="F19" s="148"/>
      <c r="G19" s="120">
        <v>0</v>
      </c>
      <c r="H19" s="120">
        <v>0</v>
      </c>
      <c r="I19" s="120">
        <v>0</v>
      </c>
      <c r="J19" s="120">
        <v>0</v>
      </c>
      <c r="K19" s="122">
        <v>0.38194444444444442</v>
      </c>
      <c r="L19" s="149">
        <f>K19+$AL$15</f>
        <v>0.44444444444444442</v>
      </c>
      <c r="M19" s="157">
        <f>M5</f>
        <v>0.38194444444444442</v>
      </c>
      <c r="N19" s="154">
        <f>(L19/M19-1)*10*$AU$1</f>
        <v>8.181818181818179E-2</v>
      </c>
      <c r="O19" s="154">
        <f>(L19/M19-1)*10*$BD$1</f>
        <v>3.2727272727272716E-2</v>
      </c>
      <c r="P19" s="155">
        <f>'Revenue - Year 7'!P19</f>
        <v>0</v>
      </c>
      <c r="Q19" s="155">
        <f>'Revenue - Year 7'!Q19</f>
        <v>0</v>
      </c>
      <c r="R19" s="166">
        <f>ROUNDDOWN((1-N19)*P19,0)</f>
        <v>0</v>
      </c>
      <c r="S19" s="166">
        <f>ROUND((1-O19)*Q19,0)</f>
        <v>0</v>
      </c>
      <c r="T19" s="122">
        <v>0.22222222222222221</v>
      </c>
      <c r="U19" s="149">
        <f>T19+$AL$15</f>
        <v>0.28472222222222221</v>
      </c>
      <c r="V19" s="157">
        <f>V5</f>
        <v>0.28472222222222221</v>
      </c>
      <c r="W19" s="154">
        <f>(U19/V19-1)*10*$AU$1</f>
        <v>0</v>
      </c>
      <c r="X19" s="154">
        <f>(U19/V19-1)*10*$BD$1</f>
        <v>0</v>
      </c>
      <c r="Y19" s="155">
        <f>'Revenue - Year 7'!Y19</f>
        <v>0</v>
      </c>
      <c r="Z19" s="155">
        <f>'Revenue - Year 7'!Z19</f>
        <v>0</v>
      </c>
      <c r="AA19" s="166">
        <f>ROUNDDOWN((1-W19)*Y19,0)</f>
        <v>0</v>
      </c>
      <c r="AB19" s="166">
        <f>ROUND((1-X19)*Z19,0)</f>
        <v>0</v>
      </c>
      <c r="AC19" s="122">
        <v>0.47222222222222227</v>
      </c>
      <c r="AD19" s="149">
        <f>AC19+$AL$15</f>
        <v>0.53472222222222232</v>
      </c>
      <c r="AE19" s="149">
        <f>AE5</f>
        <v>0.4861111111111111</v>
      </c>
      <c r="AF19" s="154">
        <f t="shared" ref="AF19:AF21" si="42">(AD19/AE19-1)*10*$AU$1</f>
        <v>5.0000000000000155E-2</v>
      </c>
      <c r="AG19" s="154">
        <f t="shared" ref="AG19:AG21" si="43">(AD19/AE19-1)*10*$BD$1</f>
        <v>2.0000000000000063E-2</v>
      </c>
      <c r="AH19" s="155">
        <f>'Revenue - Year 7'!AH19</f>
        <v>0</v>
      </c>
      <c r="AI19" s="155">
        <f>'Revenue - Year 7'!AI19</f>
        <v>0</v>
      </c>
      <c r="AJ19" s="166">
        <f t="shared" ref="AJ19:AJ21" si="44">ROUNDDOWN((1-AF19)*AH19,0)</f>
        <v>0</v>
      </c>
      <c r="AK19" s="166">
        <f t="shared" ref="AK19:AK21" si="45">ROUND((1-AG19)*AI19,0)</f>
        <v>0</v>
      </c>
      <c r="AL19" s="122">
        <v>0.47569444444444442</v>
      </c>
      <c r="AM19" s="149">
        <f>AL19+$AL$15</f>
        <v>0.53819444444444442</v>
      </c>
      <c r="AN19" s="149">
        <f>AN5</f>
        <v>0.53472222222222221</v>
      </c>
      <c r="AO19" s="154">
        <f>(AM19/AN19-1)*10*$AU$1</f>
        <v>3.2467532467532756E-3</v>
      </c>
      <c r="AP19" s="154">
        <f>(AM19/AN19-1)*10*$BD$1</f>
        <v>1.2987012987013102E-3</v>
      </c>
      <c r="AQ19" s="155">
        <f>'Revenue - Year 7'!AQ19</f>
        <v>0</v>
      </c>
      <c r="AR19" s="155">
        <f>'Revenue - Year 7'!AR19</f>
        <v>0</v>
      </c>
      <c r="AS19" s="166">
        <f t="shared" ref="AS19:AS22" si="46">ROUNDDOWN((1-AO19)*AQ19,0)</f>
        <v>0</v>
      </c>
      <c r="AT19" s="166">
        <f t="shared" ref="AT19:AT22" si="47">ROUND((1-AP19)*AR19,0)</f>
        <v>0</v>
      </c>
      <c r="AU19" s="122">
        <v>0.25694444444444448</v>
      </c>
      <c r="AV19" s="149">
        <f>AU19+$AL$15</f>
        <v>0.31944444444444448</v>
      </c>
      <c r="AW19" s="149">
        <f>AW5</f>
        <v>0.2361111111111111</v>
      </c>
      <c r="AX19" s="154">
        <f>(AV19/AW19-1)*10*$AU$1</f>
        <v>0.17647058823529416</v>
      </c>
      <c r="AY19" s="154">
        <f>(AV19/AW19-1)*10*$BD$1</f>
        <v>7.058823529411766E-2</v>
      </c>
      <c r="AZ19" s="155">
        <f>'Revenue - Year 7'!AZ19</f>
        <v>0</v>
      </c>
      <c r="BA19" s="155">
        <f>'Revenue - Year 7'!BA19</f>
        <v>0</v>
      </c>
      <c r="BB19" s="166">
        <f t="shared" ref="BB19:BB23" si="48">ROUNDDOWN((1-AX19)*AZ19,0)</f>
        <v>0</v>
      </c>
      <c r="BC19" s="166">
        <f t="shared" ref="BC19:BC23" si="49">ROUND((1-AY19)*BA19,0)</f>
        <v>0</v>
      </c>
      <c r="BD19" s="122">
        <v>0.13194444444444445</v>
      </c>
      <c r="BE19" s="156">
        <f>'Revenue - Year 7'!BE19</f>
        <v>0</v>
      </c>
      <c r="BF19" s="156">
        <f>'Revenue - Year 7'!BF19</f>
        <v>0</v>
      </c>
      <c r="BG19" s="169">
        <f>I19+R19+AA19+AJ19+AS19+BB19+BE19</f>
        <v>0</v>
      </c>
      <c r="BH19" s="169">
        <f>J19+S19+AB19+AK19+AT19+BC19+BF19</f>
        <v>0</v>
      </c>
      <c r="BI19" s="115" t="str">
        <f t="shared" ref="BI19:BI26" si="50">IF(OR(BG19&gt;70,BH19&gt;270),"PB","OK")</f>
        <v>OK</v>
      </c>
      <c r="BJ19" s="135" t="s">
        <v>57</v>
      </c>
      <c r="BK19" s="135"/>
      <c r="BL19" s="135"/>
      <c r="BM19" s="136">
        <f>1440/60*4*(SUMPRODUCT($B$19:$B$25,I19:I25)+SUMPRODUCT($K$19:$K$25,$R$19:$R$25)+SUMPRODUCT($T$19:$T$25,$AA$19:$AA$25)+SUMPRODUCT($AC$19:$AC$25,$AJ$19:$AJ$25)+SUMPRODUCT($AL$19:$AL$25,$AS$19:$AS$25)+SUMPRODUCT($AU$19:$AU$25,$BB$19:$BB$25)+SUMPRODUCT($BD$19:$BD$25,BE19:BE25))</f>
        <v>0</v>
      </c>
    </row>
    <row r="20" spans="1:65" ht="29.4" thickBot="1" x14ac:dyDescent="0.6">
      <c r="A20" s="121" t="s">
        <v>12</v>
      </c>
      <c r="B20" s="122">
        <f>K19</f>
        <v>0.38194444444444442</v>
      </c>
      <c r="C20" s="149">
        <f>B20+$AL$15</f>
        <v>0.44444444444444442</v>
      </c>
      <c r="D20" s="157">
        <f>D6</f>
        <v>0.38194444444444442</v>
      </c>
      <c r="E20" s="154">
        <f>(C20/D20-1)*10*$AU$1</f>
        <v>8.181818181818179E-2</v>
      </c>
      <c r="F20" s="154">
        <f>(C20/D20-1)*10*$BD$1</f>
        <v>3.2727272727272716E-2</v>
      </c>
      <c r="G20" s="155">
        <f>'Revenue - Year 7'!G20</f>
        <v>0</v>
      </c>
      <c r="H20" s="155">
        <f>'Revenue - Year 7'!H20</f>
        <v>0</v>
      </c>
      <c r="I20" s="166">
        <f>ROUNDDOWN((1-E20)*G20,0)</f>
        <v>0</v>
      </c>
      <c r="J20" s="166">
        <f>ROUND((1-F20)*H20,0)</f>
        <v>0</v>
      </c>
      <c r="K20" s="119">
        <v>0</v>
      </c>
      <c r="L20" s="148"/>
      <c r="M20" s="148"/>
      <c r="N20" s="148"/>
      <c r="O20" s="148"/>
      <c r="P20" s="120">
        <v>0</v>
      </c>
      <c r="Q20" s="120">
        <v>0</v>
      </c>
      <c r="R20" s="120">
        <v>0</v>
      </c>
      <c r="S20" s="120">
        <v>0</v>
      </c>
      <c r="T20" s="122">
        <v>0.34027777777777773</v>
      </c>
      <c r="U20" s="149">
        <f>T20+$AL$15</f>
        <v>0.40277777777777773</v>
      </c>
      <c r="V20" s="157">
        <f>V6</f>
        <v>0.40277777777777773</v>
      </c>
      <c r="W20" s="154">
        <f>(U20/V20-1)*10*$AU$1</f>
        <v>0</v>
      </c>
      <c r="X20" s="154">
        <f>(U20/V20-1)*10*$BD$1</f>
        <v>0</v>
      </c>
      <c r="Y20" s="155">
        <f>'Revenue - Year 7'!Y20</f>
        <v>0</v>
      </c>
      <c r="Z20" s="155">
        <f>'Revenue - Year 7'!Z20</f>
        <v>0</v>
      </c>
      <c r="AA20" s="166">
        <f>ROUNDDOWN((1-W20)*Y20,0)</f>
        <v>0</v>
      </c>
      <c r="AB20" s="166">
        <f>ROUND((1-X20)*Z20,0)</f>
        <v>0</v>
      </c>
      <c r="AC20" s="122">
        <v>0.59027777777777779</v>
      </c>
      <c r="AD20" s="149">
        <f>AC20+$AL$15</f>
        <v>0.65277777777777779</v>
      </c>
      <c r="AE20" s="149">
        <f t="shared" ref="AE20:AE24" si="51">AE6</f>
        <v>0.64583333333333326</v>
      </c>
      <c r="AF20" s="154">
        <f t="shared" si="42"/>
        <v>5.3763440860216116E-3</v>
      </c>
      <c r="AG20" s="154">
        <f t="shared" si="43"/>
        <v>2.1505376344086446E-3</v>
      </c>
      <c r="AH20" s="155">
        <f>'Revenue - Year 7'!AH20</f>
        <v>0</v>
      </c>
      <c r="AI20" s="155">
        <f>'Revenue - Year 7'!AI20</f>
        <v>0</v>
      </c>
      <c r="AJ20" s="166">
        <f t="shared" si="44"/>
        <v>0</v>
      </c>
      <c r="AK20" s="166">
        <f t="shared" si="45"/>
        <v>0</v>
      </c>
      <c r="AL20" s="122">
        <v>0.59375</v>
      </c>
      <c r="AM20" s="149">
        <f>AL20+$AL$15</f>
        <v>0.65625</v>
      </c>
      <c r="AN20" s="149">
        <f>AN6</f>
        <v>0.65625</v>
      </c>
      <c r="AO20" s="154">
        <f>(AM20/AN20-1)*10*$AU$1</f>
        <v>0</v>
      </c>
      <c r="AP20" s="154">
        <f>(AM20/AN20-1)*10*$BD$1</f>
        <v>0</v>
      </c>
      <c r="AQ20" s="155">
        <f>'Revenue - Year 7'!AQ20</f>
        <v>0</v>
      </c>
      <c r="AR20" s="155">
        <f>'Revenue - Year 7'!AR20</f>
        <v>0</v>
      </c>
      <c r="AS20" s="166">
        <f t="shared" si="46"/>
        <v>0</v>
      </c>
      <c r="AT20" s="166">
        <f t="shared" si="47"/>
        <v>0</v>
      </c>
      <c r="AU20" s="122">
        <v>0.375</v>
      </c>
      <c r="AV20" s="149">
        <f>AU20+$AL$15</f>
        <v>0.4375</v>
      </c>
      <c r="AW20" s="149">
        <f>AW6</f>
        <v>0.39583333333333337</v>
      </c>
      <c r="AX20" s="154">
        <f>(AV20/AW20-1)*10*$AU$1</f>
        <v>5.2631578947368363E-2</v>
      </c>
      <c r="AY20" s="154">
        <f>(AV20/AW20-1)*10*$BD$1</f>
        <v>2.1052631578947347E-2</v>
      </c>
      <c r="AZ20" s="155">
        <f>'Revenue - Year 7'!AZ20</f>
        <v>0</v>
      </c>
      <c r="BA20" s="155">
        <f>'Revenue - Year 7'!BA20</f>
        <v>0</v>
      </c>
      <c r="BB20" s="166">
        <f t="shared" si="48"/>
        <v>0</v>
      </c>
      <c r="BC20" s="166">
        <f t="shared" si="49"/>
        <v>0</v>
      </c>
      <c r="BD20" s="122">
        <v>0.25</v>
      </c>
      <c r="BE20" s="156">
        <f>'Revenue - Year 7'!BE20</f>
        <v>0</v>
      </c>
      <c r="BF20" s="156">
        <f>'Revenue - Year 7'!BF20</f>
        <v>0</v>
      </c>
      <c r="BG20" s="169">
        <f t="shared" ref="BG20:BH26" si="52">I20+R20+AA20+AJ20+AS20+BB20+BE20</f>
        <v>0</v>
      </c>
      <c r="BH20" s="169">
        <f t="shared" si="52"/>
        <v>0</v>
      </c>
      <c r="BI20" s="115" t="str">
        <f t="shared" si="50"/>
        <v>OK</v>
      </c>
      <c r="BJ20" s="135" t="s">
        <v>68</v>
      </c>
      <c r="BK20" s="135"/>
      <c r="BL20" s="135"/>
      <c r="BM20" s="136">
        <f>1440/60*(SUMPRODUCT(B19:B25,J19:J25)+SUMPRODUCT(K19:K25,S19:S25)+SUMPRODUCT(T19:T25,AB19:AB25)+SUMPRODUCT(AC19:AC25,AK19:AK25)+SUMPRODUCT(AL19:AL25,AT19:AT25)+SUMPRODUCT(AU19:AU25,BC19:BC25)+SUMPRODUCT(BD19:BD25*BF19:BF25))</f>
        <v>0</v>
      </c>
    </row>
    <row r="21" spans="1:65" ht="29.4" thickBot="1" x14ac:dyDescent="0.6">
      <c r="A21" s="123" t="s">
        <v>15</v>
      </c>
      <c r="B21" s="122">
        <f>T19</f>
        <v>0.22222222222222221</v>
      </c>
      <c r="C21" s="149">
        <f t="shared" ref="C21:C24" si="53">B21+$AL$15</f>
        <v>0.28472222222222221</v>
      </c>
      <c r="D21" s="157">
        <f t="shared" ref="D21:D24" si="54">D7</f>
        <v>0.28472222222222221</v>
      </c>
      <c r="E21" s="154">
        <f t="shared" ref="E21:E24" si="55">(C21/D21-1)*10*$AU$1</f>
        <v>0</v>
      </c>
      <c r="F21" s="154">
        <f t="shared" ref="F21:F24" si="56">(C21/D21-1)*10*$BD$1</f>
        <v>0</v>
      </c>
      <c r="G21" s="155">
        <f>'Revenue - Year 7'!G21</f>
        <v>0</v>
      </c>
      <c r="H21" s="155">
        <f>'Revenue - Year 7'!H21</f>
        <v>0</v>
      </c>
      <c r="I21" s="166">
        <f t="shared" ref="I21:I25" si="57">ROUNDDOWN((1-E21)*G21,0)</f>
        <v>0</v>
      </c>
      <c r="J21" s="166">
        <f t="shared" ref="J21:J25" si="58">ROUND((1-F21)*H21,0)</f>
        <v>0</v>
      </c>
      <c r="K21" s="122">
        <f>T20</f>
        <v>0.34027777777777773</v>
      </c>
      <c r="L21" s="149">
        <f>K21+$AL$15</f>
        <v>0.40277777777777773</v>
      </c>
      <c r="M21" s="157">
        <f>M7</f>
        <v>0.40277777777777773</v>
      </c>
      <c r="N21" s="154">
        <f>(L21/M21-1)*10*$AU$1</f>
        <v>0</v>
      </c>
      <c r="O21" s="154">
        <f>(L21/M21-1)*10*$BD$1</f>
        <v>0</v>
      </c>
      <c r="P21" s="155">
        <f>'Revenue - Year 7'!P21</f>
        <v>0</v>
      </c>
      <c r="Q21" s="155">
        <f>'Revenue - Year 7'!Q21</f>
        <v>0</v>
      </c>
      <c r="R21" s="166">
        <f>ROUNDDOWN((1-N21)*P21,0)</f>
        <v>0</v>
      </c>
      <c r="S21" s="166">
        <f>ROUND((1-O21)*Q21,0)</f>
        <v>0</v>
      </c>
      <c r="T21" s="119">
        <v>0</v>
      </c>
      <c r="U21" s="148"/>
      <c r="V21" s="148"/>
      <c r="W21" s="148"/>
      <c r="X21" s="148"/>
      <c r="Y21" s="120">
        <v>0</v>
      </c>
      <c r="Z21" s="120">
        <v>0</v>
      </c>
      <c r="AA21" s="120">
        <v>0</v>
      </c>
      <c r="AB21" s="120">
        <v>0</v>
      </c>
      <c r="AC21" s="122">
        <v>0.43055555555555558</v>
      </c>
      <c r="AD21" s="149">
        <f>AC21+$AL$15</f>
        <v>0.49305555555555558</v>
      </c>
      <c r="AE21" s="149">
        <f t="shared" si="51"/>
        <v>0.49305555555555558</v>
      </c>
      <c r="AF21" s="154">
        <f t="shared" si="42"/>
        <v>0</v>
      </c>
      <c r="AG21" s="154">
        <f t="shared" si="43"/>
        <v>0</v>
      </c>
      <c r="AH21" s="155">
        <f>'Revenue - Year 7'!AH21</f>
        <v>0</v>
      </c>
      <c r="AI21" s="155">
        <f>'Revenue - Year 7'!AI21</f>
        <v>0</v>
      </c>
      <c r="AJ21" s="166">
        <f t="shared" si="44"/>
        <v>0</v>
      </c>
      <c r="AK21" s="166">
        <f t="shared" si="45"/>
        <v>0</v>
      </c>
      <c r="AL21" s="122">
        <v>0.43402777777777773</v>
      </c>
      <c r="AM21" s="149">
        <f>AL21+$AL$15</f>
        <v>0.49652777777777773</v>
      </c>
      <c r="AN21" s="149">
        <f>AN7</f>
        <v>0.49652777777777773</v>
      </c>
      <c r="AO21" s="154">
        <f>(AM21/AN21-1)*10*$AU$1</f>
        <v>0</v>
      </c>
      <c r="AP21" s="154">
        <f>(AM21/AN21-1)*10*$BD$1</f>
        <v>0</v>
      </c>
      <c r="AQ21" s="155">
        <f>'Revenue - Year 7'!AQ21</f>
        <v>0</v>
      </c>
      <c r="AR21" s="155">
        <f>'Revenue - Year 7'!AR21</f>
        <v>0</v>
      </c>
      <c r="AS21" s="166">
        <f t="shared" si="46"/>
        <v>0</v>
      </c>
      <c r="AT21" s="166">
        <f t="shared" si="47"/>
        <v>0</v>
      </c>
      <c r="AU21" s="122">
        <v>0.21527777777777779</v>
      </c>
      <c r="AV21" s="149">
        <f>AU21+$AL$15</f>
        <v>0.27777777777777779</v>
      </c>
      <c r="AW21" s="149">
        <f>AW7</f>
        <v>0.27777777777777779</v>
      </c>
      <c r="AX21" s="154">
        <f>(AV21/AW21-1)*10*$AU$1</f>
        <v>0</v>
      </c>
      <c r="AY21" s="154">
        <f>(AV21/AW21-1)*10*$BD$1</f>
        <v>0</v>
      </c>
      <c r="AZ21" s="155">
        <f>'Revenue - Year 7'!AZ21</f>
        <v>0</v>
      </c>
      <c r="BA21" s="155">
        <f>'Revenue - Year 7'!BA21</f>
        <v>0</v>
      </c>
      <c r="BB21" s="166">
        <f t="shared" si="48"/>
        <v>0</v>
      </c>
      <c r="BC21" s="166">
        <f t="shared" si="49"/>
        <v>0</v>
      </c>
      <c r="BD21" s="122">
        <v>9.0277777777777776E-2</v>
      </c>
      <c r="BE21" s="156">
        <f>'Revenue - Year 7'!BE21</f>
        <v>0</v>
      </c>
      <c r="BF21" s="156">
        <f>'Revenue - Year 7'!BF21</f>
        <v>0</v>
      </c>
      <c r="BG21" s="169">
        <f t="shared" si="52"/>
        <v>0</v>
      </c>
      <c r="BH21" s="169">
        <f t="shared" si="52"/>
        <v>0</v>
      </c>
      <c r="BI21" s="115" t="str">
        <f t="shared" si="50"/>
        <v>OK</v>
      </c>
      <c r="BJ21" s="135" t="s">
        <v>58</v>
      </c>
      <c r="BK21" s="135"/>
      <c r="BL21" s="135"/>
      <c r="BM21" s="137">
        <f>BM19+BM20</f>
        <v>0</v>
      </c>
    </row>
    <row r="22" spans="1:65" ht="29.4" thickBot="1" x14ac:dyDescent="0.6">
      <c r="A22" s="124" t="s">
        <v>13</v>
      </c>
      <c r="B22" s="122">
        <f>AC19</f>
        <v>0.47222222222222227</v>
      </c>
      <c r="C22" s="149">
        <f t="shared" si="53"/>
        <v>0.53472222222222232</v>
      </c>
      <c r="D22" s="157">
        <f t="shared" si="54"/>
        <v>0.4861111111111111</v>
      </c>
      <c r="E22" s="154">
        <f t="shared" si="55"/>
        <v>5.0000000000000155E-2</v>
      </c>
      <c r="F22" s="154">
        <f t="shared" si="56"/>
        <v>2.0000000000000063E-2</v>
      </c>
      <c r="G22" s="155">
        <f>'Revenue - Year 7'!G22</f>
        <v>0</v>
      </c>
      <c r="H22" s="155">
        <f>'Revenue - Year 7'!H22</f>
        <v>0</v>
      </c>
      <c r="I22" s="166">
        <f t="shared" si="57"/>
        <v>0</v>
      </c>
      <c r="J22" s="166">
        <f t="shared" si="58"/>
        <v>0</v>
      </c>
      <c r="K22" s="122">
        <f>AC20</f>
        <v>0.59027777777777779</v>
      </c>
      <c r="L22" s="149">
        <f>K22+$AL$15</f>
        <v>0.65277777777777779</v>
      </c>
      <c r="M22" s="157">
        <f>M8</f>
        <v>0.64583333333333326</v>
      </c>
      <c r="N22" s="154">
        <f>(L22/M22-1)*10*$AU$1</f>
        <v>5.3763440860216116E-3</v>
      </c>
      <c r="O22" s="154">
        <f>(L22/M22-1)*10*$BD$1</f>
        <v>2.1505376344086446E-3</v>
      </c>
      <c r="P22" s="155">
        <f>'Revenue - Year 7'!P22</f>
        <v>0</v>
      </c>
      <c r="Q22" s="155">
        <f>'Revenue - Year 7'!Q22</f>
        <v>0</v>
      </c>
      <c r="R22" s="166">
        <f>ROUNDDOWN((1-N22)*P22,0)</f>
        <v>0</v>
      </c>
      <c r="S22" s="166">
        <f>ROUND((1-O22)*Q22,0)</f>
        <v>0</v>
      </c>
      <c r="T22" s="122">
        <f>AC21</f>
        <v>0.43055555555555558</v>
      </c>
      <c r="U22" s="149">
        <f>T22+$AL$15</f>
        <v>0.49305555555555558</v>
      </c>
      <c r="V22" s="157">
        <f>V8</f>
        <v>0.49305555555555558</v>
      </c>
      <c r="W22" s="154">
        <f>(U22/V22-1)*10*$AU$1</f>
        <v>0</v>
      </c>
      <c r="X22" s="154">
        <f>(U22/V22-1)*10*$BD$1</f>
        <v>0</v>
      </c>
      <c r="Y22" s="155">
        <f>'Revenue - Year 7'!Y22</f>
        <v>0</v>
      </c>
      <c r="Z22" s="155">
        <f>'Revenue - Year 7'!Z22</f>
        <v>0</v>
      </c>
      <c r="AA22" s="166">
        <f>ROUNDDOWN((1-W22)*Y22,0)</f>
        <v>0</v>
      </c>
      <c r="AB22" s="166">
        <f>ROUND((1-X22)*Z22,0)</f>
        <v>0</v>
      </c>
      <c r="AC22" s="119">
        <v>0</v>
      </c>
      <c r="AD22" s="148"/>
      <c r="AE22" s="148"/>
      <c r="AF22" s="148"/>
      <c r="AG22" s="148"/>
      <c r="AH22" s="120">
        <v>0</v>
      </c>
      <c r="AI22" s="120">
        <v>0</v>
      </c>
      <c r="AJ22" s="120">
        <v>0</v>
      </c>
      <c r="AK22" s="120">
        <v>0</v>
      </c>
      <c r="AL22" s="122">
        <v>0.68402777777777779</v>
      </c>
      <c r="AM22" s="149">
        <f>AL22+$AL$15</f>
        <v>0.74652777777777779</v>
      </c>
      <c r="AN22" s="149">
        <f>AN8</f>
        <v>0.68055555555555558</v>
      </c>
      <c r="AO22" s="154">
        <f>(AM22/AN22-1)*10*$AU$1</f>
        <v>4.8469387755102011E-2</v>
      </c>
      <c r="AP22" s="154">
        <f>(AM22/AN22-1)*10*$BD$1</f>
        <v>1.9387755102040806E-2</v>
      </c>
      <c r="AQ22" s="155">
        <f>'Revenue - Year 7'!AQ22</f>
        <v>0</v>
      </c>
      <c r="AR22" s="155">
        <f>'Revenue - Year 7'!AR22</f>
        <v>0</v>
      </c>
      <c r="AS22" s="166">
        <f t="shared" si="46"/>
        <v>0</v>
      </c>
      <c r="AT22" s="166">
        <f t="shared" si="47"/>
        <v>0</v>
      </c>
      <c r="AU22" s="122">
        <v>0.46527777777777773</v>
      </c>
      <c r="AV22" s="149">
        <f>AU22+$AL$15</f>
        <v>0.52777777777777768</v>
      </c>
      <c r="AW22" s="149">
        <f>AW8</f>
        <v>0.5</v>
      </c>
      <c r="AX22" s="154">
        <f>(AV22/AW22-1)*10*$AU$1</f>
        <v>2.7777777777777679E-2</v>
      </c>
      <c r="AY22" s="154">
        <f>(AV22/AW22-1)*10*$BD$1</f>
        <v>1.1111111111111072E-2</v>
      </c>
      <c r="AZ22" s="155">
        <f>'Revenue - Year 7'!AZ22</f>
        <v>0</v>
      </c>
      <c r="BA22" s="155">
        <f>'Revenue - Year 7'!BA22</f>
        <v>0</v>
      </c>
      <c r="BB22" s="166">
        <f t="shared" si="48"/>
        <v>0</v>
      </c>
      <c r="BC22" s="166">
        <f t="shared" si="49"/>
        <v>0</v>
      </c>
      <c r="BD22" s="122">
        <v>0.34027777777777773</v>
      </c>
      <c r="BE22" s="156">
        <f>'Revenue - Year 7'!BE22</f>
        <v>0</v>
      </c>
      <c r="BF22" s="156">
        <f>'Revenue - Year 7'!BF22</f>
        <v>0</v>
      </c>
      <c r="BG22" s="169">
        <f t="shared" si="52"/>
        <v>0</v>
      </c>
      <c r="BH22" s="169">
        <f t="shared" si="52"/>
        <v>0</v>
      </c>
      <c r="BI22" s="115" t="str">
        <f t="shared" si="50"/>
        <v>OK</v>
      </c>
      <c r="BJ22" s="181" t="s">
        <v>74</v>
      </c>
      <c r="BK22" s="135"/>
      <c r="BL22" s="135"/>
      <c r="BM22" s="138">
        <f>35*BM21</f>
        <v>0</v>
      </c>
    </row>
    <row r="23" spans="1:65" ht="29.4" thickBot="1" x14ac:dyDescent="0.6">
      <c r="A23" s="125" t="s">
        <v>16</v>
      </c>
      <c r="B23" s="122">
        <f>AL19</f>
        <v>0.47569444444444442</v>
      </c>
      <c r="C23" s="149">
        <f t="shared" si="53"/>
        <v>0.53819444444444442</v>
      </c>
      <c r="D23" s="157">
        <f t="shared" si="54"/>
        <v>0.53472222222222221</v>
      </c>
      <c r="E23" s="154">
        <f t="shared" si="55"/>
        <v>3.2467532467532756E-3</v>
      </c>
      <c r="F23" s="154">
        <f t="shared" si="56"/>
        <v>1.2987012987013102E-3</v>
      </c>
      <c r="G23" s="155">
        <f>'Revenue - Year 7'!G23</f>
        <v>0</v>
      </c>
      <c r="H23" s="155">
        <f>'Revenue - Year 7'!H23</f>
        <v>0</v>
      </c>
      <c r="I23" s="166">
        <f t="shared" si="57"/>
        <v>0</v>
      </c>
      <c r="J23" s="166">
        <f t="shared" si="58"/>
        <v>0</v>
      </c>
      <c r="K23" s="122">
        <f>AL20</f>
        <v>0.59375</v>
      </c>
      <c r="L23" s="149">
        <f>K23+$AL$15</f>
        <v>0.65625</v>
      </c>
      <c r="M23" s="157">
        <f>M9</f>
        <v>0.65625</v>
      </c>
      <c r="N23" s="154">
        <f>(L23/M23-1)*10*$AU$1</f>
        <v>0</v>
      </c>
      <c r="O23" s="154">
        <f>(L23/M23-1)*10*$BD$1</f>
        <v>0</v>
      </c>
      <c r="P23" s="155">
        <f>'Revenue - Year 7'!P23</f>
        <v>0</v>
      </c>
      <c r="Q23" s="155">
        <f>'Revenue - Year 7'!Q23</f>
        <v>0</v>
      </c>
      <c r="R23" s="166">
        <f>ROUNDDOWN((1-N23)*P23,0)</f>
        <v>0</v>
      </c>
      <c r="S23" s="166">
        <f>ROUND((1-O23)*Q23,0)</f>
        <v>0</v>
      </c>
      <c r="T23" s="122">
        <f>AL21</f>
        <v>0.43402777777777773</v>
      </c>
      <c r="U23" s="149">
        <f>T23+$AL$15</f>
        <v>0.49652777777777773</v>
      </c>
      <c r="V23" s="157">
        <f>V9</f>
        <v>0.49652777777777773</v>
      </c>
      <c r="W23" s="154">
        <f>(U23/V23-1)*10*$AU$1</f>
        <v>0</v>
      </c>
      <c r="X23" s="154">
        <f>(U23/V23-1)*10*$BD$1</f>
        <v>0</v>
      </c>
      <c r="Y23" s="155">
        <f>'Revenue - Year 7'!Y23</f>
        <v>0</v>
      </c>
      <c r="Z23" s="155">
        <f>'Revenue - Year 7'!Z23</f>
        <v>0</v>
      </c>
      <c r="AA23" s="166">
        <f>ROUNDDOWN((1-W23)*Y23,0)</f>
        <v>0</v>
      </c>
      <c r="AB23" s="166">
        <f>ROUND((1-X23)*Z23,0)</f>
        <v>0</v>
      </c>
      <c r="AC23" s="122">
        <f>AL22</f>
        <v>0.68402777777777779</v>
      </c>
      <c r="AD23" s="149">
        <f>AC23+$AL$15</f>
        <v>0.74652777777777779</v>
      </c>
      <c r="AE23" s="149">
        <f t="shared" si="51"/>
        <v>0.68055555555555558</v>
      </c>
      <c r="AF23" s="154">
        <f t="shared" ref="AF23:AF24" si="59">(AD23/AE23-1)*10*$AU$1</f>
        <v>4.8469387755102011E-2</v>
      </c>
      <c r="AG23" s="154">
        <f t="shared" ref="AG23:AG24" si="60">(AD23/AE23-1)*10*$BD$1</f>
        <v>1.9387755102040806E-2</v>
      </c>
      <c r="AH23" s="155">
        <f>'Revenue - Year 7'!AH23</f>
        <v>0</v>
      </c>
      <c r="AI23" s="155">
        <f>'Revenue - Year 7'!AI23</f>
        <v>0</v>
      </c>
      <c r="AJ23" s="166">
        <f t="shared" ref="AJ23:AJ25" si="61">ROUNDDOWN((1-AF23)*AH23,0)</f>
        <v>0</v>
      </c>
      <c r="AK23" s="166">
        <f t="shared" ref="AK23:AK25" si="62">ROUND((1-AG23)*AI23,0)</f>
        <v>0</v>
      </c>
      <c r="AL23" s="119">
        <v>0</v>
      </c>
      <c r="AM23" s="148"/>
      <c r="AN23" s="148"/>
      <c r="AO23" s="148"/>
      <c r="AP23" s="148"/>
      <c r="AQ23" s="120">
        <v>0</v>
      </c>
      <c r="AR23" s="120">
        <v>0</v>
      </c>
      <c r="AS23" s="120">
        <v>0</v>
      </c>
      <c r="AT23" s="120">
        <v>0</v>
      </c>
      <c r="AU23" s="122">
        <v>0.46875</v>
      </c>
      <c r="AV23" s="149">
        <f>AU23+$AL$15</f>
        <v>0.53125</v>
      </c>
      <c r="AW23" s="149">
        <f>AW9</f>
        <v>0.53125</v>
      </c>
      <c r="AX23" s="154">
        <f>(AV23/AW23-1)*10*$AU$1</f>
        <v>0</v>
      </c>
      <c r="AY23" s="154">
        <f>(AV23/AW23-1)*10*$BD$1</f>
        <v>0</v>
      </c>
      <c r="AZ23" s="155">
        <f>'Revenue - Year 7'!AZ23</f>
        <v>0</v>
      </c>
      <c r="BA23" s="155">
        <f>'Revenue - Year 7'!BA23</f>
        <v>0</v>
      </c>
      <c r="BB23" s="166">
        <f t="shared" si="48"/>
        <v>0</v>
      </c>
      <c r="BC23" s="166">
        <f t="shared" si="49"/>
        <v>0</v>
      </c>
      <c r="BD23" s="122">
        <v>0.34375</v>
      </c>
      <c r="BE23" s="156">
        <f>'Revenue - Year 7'!BE23</f>
        <v>0</v>
      </c>
      <c r="BF23" s="156">
        <f>'Revenue - Year 7'!BF23</f>
        <v>0</v>
      </c>
      <c r="BG23" s="169">
        <f t="shared" si="52"/>
        <v>0</v>
      </c>
      <c r="BH23" s="169">
        <f t="shared" si="52"/>
        <v>0</v>
      </c>
      <c r="BI23" s="115" t="str">
        <f t="shared" si="50"/>
        <v>OK</v>
      </c>
      <c r="BJ23" s="135"/>
      <c r="BK23" s="135" t="s">
        <v>121</v>
      </c>
      <c r="BL23" s="135"/>
      <c r="BM23" s="182" t="e">
        <f>BM22/'Revenue - Year 7'!BM22</f>
        <v>#DIV/0!</v>
      </c>
    </row>
    <row r="24" spans="1:65" ht="29.4" thickBot="1" x14ac:dyDescent="0.6">
      <c r="A24" s="126" t="s">
        <v>14</v>
      </c>
      <c r="B24" s="122">
        <f>AU19</f>
        <v>0.25694444444444448</v>
      </c>
      <c r="C24" s="149">
        <f t="shared" si="53"/>
        <v>0.31944444444444448</v>
      </c>
      <c r="D24" s="157">
        <f t="shared" si="54"/>
        <v>0.2361111111111111</v>
      </c>
      <c r="E24" s="154">
        <f t="shared" si="55"/>
        <v>0.17647058823529416</v>
      </c>
      <c r="F24" s="154">
        <f t="shared" si="56"/>
        <v>7.058823529411766E-2</v>
      </c>
      <c r="G24" s="155">
        <f>'Revenue - Year 7'!G24</f>
        <v>0</v>
      </c>
      <c r="H24" s="155">
        <f>'Revenue - Year 7'!H24</f>
        <v>0</v>
      </c>
      <c r="I24" s="166">
        <f t="shared" si="57"/>
        <v>0</v>
      </c>
      <c r="J24" s="166">
        <f t="shared" si="58"/>
        <v>0</v>
      </c>
      <c r="K24" s="122">
        <f>AU20</f>
        <v>0.375</v>
      </c>
      <c r="L24" s="149">
        <f>K24+$AL$15</f>
        <v>0.4375</v>
      </c>
      <c r="M24" s="157">
        <f>M10</f>
        <v>0.39583333333333337</v>
      </c>
      <c r="N24" s="154">
        <f>(L24/M24-1)*10*$AU$1</f>
        <v>5.2631578947368363E-2</v>
      </c>
      <c r="O24" s="154">
        <f>(L24/M24-1)*10*$BD$1</f>
        <v>2.1052631578947347E-2</v>
      </c>
      <c r="P24" s="155">
        <f>'Revenue - Year 7'!P24</f>
        <v>0</v>
      </c>
      <c r="Q24" s="155">
        <f>'Revenue - Year 7'!Q24</f>
        <v>0</v>
      </c>
      <c r="R24" s="166">
        <f>ROUNDDOWN((1-N24)*P24,0)</f>
        <v>0</v>
      </c>
      <c r="S24" s="166">
        <f>ROUND((1-O24)*Q24,0)</f>
        <v>0</v>
      </c>
      <c r="T24" s="122">
        <f>AU21</f>
        <v>0.21527777777777779</v>
      </c>
      <c r="U24" s="149">
        <f>T24+$AL$15</f>
        <v>0.27777777777777779</v>
      </c>
      <c r="V24" s="157">
        <f>V10</f>
        <v>0.27777777777777779</v>
      </c>
      <c r="W24" s="154">
        <f>(U24/V24-1)*10*$AU$1</f>
        <v>0</v>
      </c>
      <c r="X24" s="154">
        <f>(U24/V24-1)*10*$BD$1</f>
        <v>0</v>
      </c>
      <c r="Y24" s="155">
        <f>'Revenue - Year 7'!Y24</f>
        <v>0</v>
      </c>
      <c r="Z24" s="155">
        <f>'Revenue - Year 7'!Z24</f>
        <v>0</v>
      </c>
      <c r="AA24" s="166">
        <f>ROUNDDOWN((1-W24)*Y24,0)</f>
        <v>0</v>
      </c>
      <c r="AB24" s="166">
        <f>ROUND((1-X24)*Z24,0)</f>
        <v>0</v>
      </c>
      <c r="AC24" s="122">
        <f>AU22</f>
        <v>0.46527777777777773</v>
      </c>
      <c r="AD24" s="149">
        <f>AC24+$AL$15</f>
        <v>0.52777777777777768</v>
      </c>
      <c r="AE24" s="149">
        <f t="shared" si="51"/>
        <v>0.5</v>
      </c>
      <c r="AF24" s="154">
        <f t="shared" si="59"/>
        <v>2.7777777777777679E-2</v>
      </c>
      <c r="AG24" s="154">
        <f t="shared" si="60"/>
        <v>1.1111111111111072E-2</v>
      </c>
      <c r="AH24" s="155">
        <f>'Revenue - Year 7'!AH24</f>
        <v>0</v>
      </c>
      <c r="AI24" s="155">
        <f>'Revenue - Year 7'!AI24</f>
        <v>0</v>
      </c>
      <c r="AJ24" s="166">
        <f t="shared" si="61"/>
        <v>0</v>
      </c>
      <c r="AK24" s="166">
        <f t="shared" si="62"/>
        <v>0</v>
      </c>
      <c r="AL24" s="122">
        <f>AU23</f>
        <v>0.46875</v>
      </c>
      <c r="AM24" s="149">
        <f>AL24+$AL$15</f>
        <v>0.53125</v>
      </c>
      <c r="AN24" s="149">
        <f>AN10</f>
        <v>0.53125</v>
      </c>
      <c r="AO24" s="154">
        <f>(AM24/AN24-1)*10*$AU$1</f>
        <v>0</v>
      </c>
      <c r="AP24" s="154">
        <f>(AM24/AN24-1)*10*$BD$1</f>
        <v>0</v>
      </c>
      <c r="AQ24" s="155">
        <f>'Revenue - Year 7'!AQ24</f>
        <v>0</v>
      </c>
      <c r="AR24" s="155">
        <f>'Revenue - Year 7'!AR24</f>
        <v>0</v>
      </c>
      <c r="AS24" s="166">
        <f t="shared" ref="AS24:AS25" si="63">ROUNDDOWN((1-AO24)*AQ24,0)</f>
        <v>0</v>
      </c>
      <c r="AT24" s="166">
        <f t="shared" ref="AT24:AT25" si="64">ROUND((1-AP24)*AR24,0)</f>
        <v>0</v>
      </c>
      <c r="AU24" s="119">
        <v>0</v>
      </c>
      <c r="AV24" s="148"/>
      <c r="AW24" s="148"/>
      <c r="AX24" s="148"/>
      <c r="AY24" s="148"/>
      <c r="AZ24" s="120">
        <v>0</v>
      </c>
      <c r="BA24" s="120">
        <v>0</v>
      </c>
      <c r="BB24" s="120">
        <v>0</v>
      </c>
      <c r="BC24" s="120">
        <v>0</v>
      </c>
      <c r="BD24" s="122">
        <v>0.125</v>
      </c>
      <c r="BE24" s="156">
        <f>'Revenue - Year 7'!BE24</f>
        <v>0</v>
      </c>
      <c r="BF24" s="156">
        <f>'Revenue - Year 7'!BF24</f>
        <v>0</v>
      </c>
      <c r="BG24" s="169">
        <f t="shared" si="52"/>
        <v>0</v>
      </c>
      <c r="BH24" s="169">
        <f t="shared" si="52"/>
        <v>0</v>
      </c>
      <c r="BI24" s="115" t="str">
        <f t="shared" si="50"/>
        <v>OK</v>
      </c>
      <c r="BJ24" s="135" t="s">
        <v>59</v>
      </c>
      <c r="BK24" s="135"/>
      <c r="BL24" s="135"/>
      <c r="BM24" s="136">
        <f>BM26-BM25</f>
        <v>0</v>
      </c>
    </row>
    <row r="25" spans="1:65" ht="29.25" customHeight="1" thickBot="1" x14ac:dyDescent="0.6">
      <c r="A25" s="142" t="s">
        <v>18</v>
      </c>
      <c r="B25" s="122">
        <f>BD19</f>
        <v>0.13194444444444445</v>
      </c>
      <c r="C25" s="149"/>
      <c r="D25" s="157"/>
      <c r="E25" s="149"/>
      <c r="F25" s="149"/>
      <c r="G25" s="155">
        <f>'Revenue - Year 7'!G25</f>
        <v>0</v>
      </c>
      <c r="H25" s="155">
        <f>'Revenue - Year 7'!H25</f>
        <v>0</v>
      </c>
      <c r="I25" s="166">
        <f t="shared" si="57"/>
        <v>0</v>
      </c>
      <c r="J25" s="166">
        <f t="shared" si="58"/>
        <v>0</v>
      </c>
      <c r="K25" s="122">
        <f>BD20</f>
        <v>0.25</v>
      </c>
      <c r="L25" s="149"/>
      <c r="M25" s="157"/>
      <c r="N25" s="149"/>
      <c r="O25" s="149"/>
      <c r="P25" s="155">
        <f>'Revenue - Year 7'!P25</f>
        <v>0</v>
      </c>
      <c r="Q25" s="155">
        <f>'Revenue - Year 7'!Q25</f>
        <v>0</v>
      </c>
      <c r="R25" s="166">
        <f t="shared" ref="R25" si="65">ROUNDDOWN((1-N25)*P25,0)</f>
        <v>0</v>
      </c>
      <c r="S25" s="166">
        <f t="shared" ref="S25" si="66">ROUND((1-O25)*Q25,0)</f>
        <v>0</v>
      </c>
      <c r="T25" s="122">
        <f>BD21</f>
        <v>9.0277777777777776E-2</v>
      </c>
      <c r="U25" s="149"/>
      <c r="V25" s="157"/>
      <c r="W25" s="149"/>
      <c r="X25" s="149"/>
      <c r="Y25" s="155">
        <f>'Revenue - Year 7'!Y25</f>
        <v>0</v>
      </c>
      <c r="Z25" s="155">
        <f>'Revenue - Year 7'!Z25</f>
        <v>0</v>
      </c>
      <c r="AA25" s="166">
        <f t="shared" ref="AA25" si="67">ROUNDDOWN((1-W25)*Y25,0)</f>
        <v>0</v>
      </c>
      <c r="AB25" s="166">
        <f t="shared" ref="AB25" si="68">ROUND((1-X25)*Z25,0)</f>
        <v>0</v>
      </c>
      <c r="AC25" s="122">
        <f>BD22</f>
        <v>0.34027777777777773</v>
      </c>
      <c r="AD25" s="149"/>
      <c r="AE25" s="157"/>
      <c r="AF25" s="149"/>
      <c r="AG25" s="149"/>
      <c r="AH25" s="155">
        <f>'Revenue - Year 7'!AH25</f>
        <v>0</v>
      </c>
      <c r="AI25" s="155">
        <f>'Revenue - Year 7'!AI25</f>
        <v>0</v>
      </c>
      <c r="AJ25" s="166">
        <f t="shared" si="61"/>
        <v>0</v>
      </c>
      <c r="AK25" s="166">
        <f t="shared" si="62"/>
        <v>0</v>
      </c>
      <c r="AL25" s="122">
        <f>BD23</f>
        <v>0.34375</v>
      </c>
      <c r="AM25" s="149"/>
      <c r="AN25" s="157"/>
      <c r="AO25" s="149"/>
      <c r="AP25" s="149"/>
      <c r="AQ25" s="155">
        <f>'Revenue - Year 7'!AQ25</f>
        <v>0</v>
      </c>
      <c r="AR25" s="155">
        <f>'Revenue - Year 7'!AR25</f>
        <v>0</v>
      </c>
      <c r="AS25" s="166">
        <f t="shared" si="63"/>
        <v>0</v>
      </c>
      <c r="AT25" s="166">
        <f t="shared" si="64"/>
        <v>0</v>
      </c>
      <c r="AU25" s="122">
        <f>BD24</f>
        <v>0.125</v>
      </c>
      <c r="AV25" s="149"/>
      <c r="AW25" s="149"/>
      <c r="AX25" s="154"/>
      <c r="AY25" s="154"/>
      <c r="AZ25" s="155">
        <f>'Revenue - Year 7'!AZ25</f>
        <v>0</v>
      </c>
      <c r="BA25" s="155">
        <f>'Revenue - Year 7'!BA25</f>
        <v>0</v>
      </c>
      <c r="BB25" s="166">
        <f t="shared" ref="BB25" si="69">ROUNDDOWN((1-AX25)*AZ25,0)</f>
        <v>0</v>
      </c>
      <c r="BC25" s="166">
        <f t="shared" ref="BC25" si="70">ROUND((1-AY25)*BA25,0)</f>
        <v>0</v>
      </c>
      <c r="BD25" s="119">
        <v>0</v>
      </c>
      <c r="BE25" s="120">
        <v>0</v>
      </c>
      <c r="BF25" s="120">
        <v>0</v>
      </c>
      <c r="BG25" s="169">
        <f t="shared" si="52"/>
        <v>0</v>
      </c>
      <c r="BH25" s="169">
        <f t="shared" si="52"/>
        <v>0</v>
      </c>
      <c r="BI25" s="115" t="str">
        <f t="shared" si="50"/>
        <v>OK</v>
      </c>
      <c r="BJ25" s="135" t="s">
        <v>60</v>
      </c>
      <c r="BK25" s="135"/>
      <c r="BL25" s="135"/>
      <c r="BM25" s="136">
        <f>SUM(I25:J25,R25:S25,AA25:AB25,AJ25:AK25,AS25:AT25,BB25:BC25)+SUM(BE19:BF24)</f>
        <v>0</v>
      </c>
    </row>
    <row r="26" spans="1:65" ht="29.4" thickBot="1" x14ac:dyDescent="0.6">
      <c r="A26" s="128" t="s">
        <v>40</v>
      </c>
      <c r="B26" s="122"/>
      <c r="C26" s="122"/>
      <c r="D26" s="122"/>
      <c r="E26" s="122"/>
      <c r="F26" s="122"/>
      <c r="G26" s="165"/>
      <c r="H26" s="165"/>
      <c r="I26" s="129">
        <f>SUM(I19:I25)</f>
        <v>0</v>
      </c>
      <c r="J26" s="129">
        <f>SUM(J19:J25)</f>
        <v>0</v>
      </c>
      <c r="K26" s="122"/>
      <c r="L26" s="122"/>
      <c r="M26" s="122"/>
      <c r="N26" s="122"/>
      <c r="O26" s="122"/>
      <c r="P26" s="165"/>
      <c r="Q26" s="165"/>
      <c r="R26" s="129">
        <f>SUM(R19:R25)</f>
        <v>0</v>
      </c>
      <c r="S26" s="129">
        <f>SUM(S19:S25)</f>
        <v>0</v>
      </c>
      <c r="T26" s="122"/>
      <c r="U26" s="122"/>
      <c r="V26" s="122"/>
      <c r="W26" s="122"/>
      <c r="X26" s="122"/>
      <c r="Y26" s="165"/>
      <c r="Z26" s="165"/>
      <c r="AA26" s="129">
        <f>SUM(AA19:AA25)</f>
        <v>0</v>
      </c>
      <c r="AB26" s="129">
        <f>SUM(AB19:AB25)</f>
        <v>0</v>
      </c>
      <c r="AC26" s="122"/>
      <c r="AD26" s="122"/>
      <c r="AE26" s="122"/>
      <c r="AF26" s="122"/>
      <c r="AG26" s="122"/>
      <c r="AH26" s="165"/>
      <c r="AI26" s="165"/>
      <c r="AJ26" s="129">
        <f>SUM(AJ19:AJ25)</f>
        <v>0</v>
      </c>
      <c r="AK26" s="129">
        <f>SUM(AK19:AK25)</f>
        <v>0</v>
      </c>
      <c r="AL26" s="122"/>
      <c r="AM26" s="122"/>
      <c r="AN26" s="122"/>
      <c r="AO26" s="122"/>
      <c r="AP26" s="122"/>
      <c r="AQ26" s="165"/>
      <c r="AR26" s="165"/>
      <c r="AS26" s="129">
        <f>SUM(AS19:AS25)</f>
        <v>0</v>
      </c>
      <c r="AT26" s="129">
        <f>SUM(AT19:AT25)</f>
        <v>0</v>
      </c>
      <c r="AU26" s="122"/>
      <c r="AV26" s="122"/>
      <c r="AW26" s="122"/>
      <c r="AX26" s="122"/>
      <c r="AY26" s="122"/>
      <c r="AZ26" s="165"/>
      <c r="BA26" s="165"/>
      <c r="BB26" s="129">
        <f>SUM(BB19:BB25)</f>
        <v>0</v>
      </c>
      <c r="BC26" s="129">
        <f>SUM(BC19:BC25)</f>
        <v>0</v>
      </c>
      <c r="BD26" s="122"/>
      <c r="BE26" s="129">
        <f>SUM(BE19:BE25)</f>
        <v>0</v>
      </c>
      <c r="BF26" s="129">
        <f>SUM(BF19:BF25)</f>
        <v>0</v>
      </c>
      <c r="BG26" s="169">
        <f t="shared" si="52"/>
        <v>0</v>
      </c>
      <c r="BH26" s="169">
        <f t="shared" si="52"/>
        <v>0</v>
      </c>
      <c r="BI26" s="115" t="str">
        <f t="shared" si="50"/>
        <v>OK</v>
      </c>
      <c r="BJ26" s="181" t="s">
        <v>61</v>
      </c>
      <c r="BK26" s="135"/>
      <c r="BL26" s="135"/>
      <c r="BM26" s="136">
        <f>SUM(B26:BF26)</f>
        <v>0</v>
      </c>
    </row>
    <row r="27" spans="1:65" ht="28.8" x14ac:dyDescent="0.55000000000000004">
      <c r="A27" s="115"/>
      <c r="B27" s="115"/>
      <c r="C27" s="115" t="str">
        <f>+IF(C18="Y",IF(C26&gt;270,"PB","OK"),IF(C26&gt;70,"PB","OK"))</f>
        <v>OK</v>
      </c>
      <c r="D27" s="115" t="str">
        <f t="shared" ref="D27" si="71">+IF(D18="Y",IF(D26&gt;270,"PB","ok"),IF(D26&gt;70,"PB","OK"))</f>
        <v>OK</v>
      </c>
      <c r="E27" s="115"/>
      <c r="F27" s="115" t="str">
        <f t="shared" ref="F27" si="72">+IF(F18="Y",IF(F26&gt;270,"PB","ok"),IF(F26&gt;70,"PB","OK"))</f>
        <v>OK</v>
      </c>
      <c r="I27" s="115" t="str">
        <f>+IF(I18="Traffic Y",IF(I26&gt;270,"PB","OK"),IF(I26&gt;70,"PB","OK"))</f>
        <v>OK</v>
      </c>
      <c r="J27" s="115" t="str">
        <f>+IF(H18="Y",IF(H26&gt;270,"PB","ok"),IF(H26&gt;70,"PB","OK"))</f>
        <v>OK</v>
      </c>
      <c r="K27" s="115"/>
      <c r="L27" s="115" t="str">
        <f t="shared" ref="L27:M27" si="73">+IF(L18="Y",IF(L26&gt;270,"PB","ok"),IF(L26&gt;70,"PB","OK"))</f>
        <v>OK</v>
      </c>
      <c r="M27" s="115" t="str">
        <f t="shared" si="73"/>
        <v>OK</v>
      </c>
      <c r="N27" s="115"/>
      <c r="O27" s="115" t="str">
        <f t="shared" ref="O27" si="74">+IF(O18="Y",IF(O26&gt;270,"PB","ok"),IF(O26&gt;70,"PB","OK"))</f>
        <v>OK</v>
      </c>
      <c r="R27" s="115" t="str">
        <f>+IF(R18="Traffic Y",IF(R26&gt;270,"PB","OK"),IF(R26&gt;70,"PB","OK"))</f>
        <v>OK</v>
      </c>
      <c r="S27" s="115" t="str">
        <f>+IF(Q18="Y",IF(Q26&gt;270,"PB","ok"),IF(Q26&gt;70,"PB","OK"))</f>
        <v>OK</v>
      </c>
      <c r="T27" s="115"/>
      <c r="U27" s="115" t="str">
        <f>+IF(U18="Y",IF(U26&gt;270,"PB","OK"),IF(U26&gt;70,"PB","OK"))</f>
        <v>OK</v>
      </c>
      <c r="V27" s="115" t="str">
        <f>+IF(V18="Y",IF(V26&gt;270,"PB","OK"),IF(V26&gt;70,"PB","OK"))</f>
        <v>OK</v>
      </c>
      <c r="W27" s="139"/>
      <c r="X27" s="139"/>
      <c r="AA27" s="115" t="str">
        <f>+IF(AA18="Traffic Y",IF(AA26&gt;270,"PB","OK"),IF(AA26&gt;70,"PB","OK"))</f>
        <v>OK</v>
      </c>
      <c r="AB27" s="115" t="str">
        <f>+IF(Z18="Y",IF(Z26&gt;270,"PB","ok"),IF(Z26&gt;70,"PB","OK"))</f>
        <v>OK</v>
      </c>
      <c r="AC27" s="134"/>
      <c r="AD27" s="134"/>
      <c r="AE27" s="134"/>
      <c r="AF27" s="134"/>
      <c r="AG27" s="134"/>
      <c r="AJ27" s="115" t="str">
        <f>+IF(AJ18="Traffic Y",IF(AJ26&gt;270,"PB","OK"),IF(AJ26&gt;70,"PB","OK"))</f>
        <v>OK</v>
      </c>
      <c r="AK27" s="115" t="str">
        <f>+IF(AI18="Y",IF(AI26&gt;270,"PB","ok"),IF(AI26&gt;70,"PB","OK"))</f>
        <v>OK</v>
      </c>
      <c r="AL27" s="134"/>
      <c r="AM27" s="134"/>
      <c r="AN27" s="134"/>
      <c r="AO27" s="134"/>
      <c r="AP27" s="134"/>
      <c r="AS27" s="115" t="str">
        <f>+IF(AS18="Traffic Y",IF(AS26&gt;270,"PB","OK"),IF(AS26&gt;70,"PB","OK"))</f>
        <v>OK</v>
      </c>
      <c r="AT27" s="115" t="str">
        <f>+IF(AR18="Y",IF(AR26&gt;270,"PB","ok"),IF(AR26&gt;70,"PB","OK"))</f>
        <v>OK</v>
      </c>
      <c r="AU27" s="134"/>
      <c r="AV27" s="134"/>
      <c r="AW27" s="134"/>
      <c r="AX27" s="134"/>
      <c r="AY27" s="134"/>
      <c r="BB27" s="115" t="str">
        <f>+IF(BB18="Traffic Y",IF(BB26&gt;270,"PB","OK"),IF(BB26&gt;70,"PB","OK"))</f>
        <v>OK</v>
      </c>
      <c r="BC27" s="115" t="str">
        <f>+IF(BA18="Y",IF(BA26&gt;270,"PB","ok"),IF(BA26&gt;70,"PB","OK"))</f>
        <v>OK</v>
      </c>
      <c r="BD27" s="134"/>
      <c r="BE27" s="115" t="str">
        <f>+IF(BE18="Traffic Y",IF(BE26&gt;270,"PB","ok"),IF(BE26&gt;70,"PB","OK"))</f>
        <v>OK</v>
      </c>
      <c r="BF27" s="115" t="str">
        <f>+IF(BF18="Traffic Y",IF(BF26&gt;270,"PB","ok"),IF(BF26&gt;70,"PB","OK"))</f>
        <v>OK</v>
      </c>
      <c r="BG27" s="134"/>
      <c r="BH27" s="134"/>
      <c r="BI27" s="139"/>
      <c r="BJ27" s="181" t="s">
        <v>120</v>
      </c>
      <c r="BK27" s="135"/>
      <c r="BL27" s="135"/>
      <c r="BM27" s="180">
        <f>(2*BM24+BM25)/2040</f>
        <v>0</v>
      </c>
    </row>
    <row r="28" spans="1:65" x14ac:dyDescent="0.3">
      <c r="A28" s="115"/>
      <c r="B28" s="144"/>
      <c r="C28" s="144"/>
      <c r="D28" s="144"/>
      <c r="E28" s="144"/>
      <c r="F28" s="144"/>
      <c r="G28" s="134"/>
      <c r="H28" s="134"/>
      <c r="I28" s="134"/>
      <c r="J28" s="134"/>
      <c r="K28" s="144"/>
      <c r="L28" s="144"/>
      <c r="M28" s="144"/>
      <c r="N28" s="144"/>
      <c r="O28" s="144"/>
      <c r="P28" s="134"/>
      <c r="Q28" s="134"/>
      <c r="R28" s="134"/>
      <c r="S28" s="134"/>
      <c r="T28" s="144"/>
      <c r="U28" s="144"/>
      <c r="V28" s="144"/>
      <c r="W28" s="144"/>
      <c r="X28" s="144"/>
      <c r="Y28" s="134"/>
      <c r="Z28" s="134"/>
      <c r="AA28" s="134"/>
      <c r="AB28" s="134"/>
      <c r="AC28" s="144"/>
      <c r="AD28" s="144"/>
      <c r="AE28" s="144"/>
      <c r="AF28" s="144"/>
      <c r="AG28" s="144"/>
      <c r="AH28" s="134"/>
      <c r="AI28" s="134"/>
      <c r="AJ28" s="134"/>
      <c r="AK28" s="134"/>
      <c r="AL28" s="144"/>
      <c r="AM28" s="144"/>
      <c r="AN28" s="144"/>
      <c r="AO28" s="144"/>
      <c r="AP28" s="144"/>
      <c r="AQ28" s="134"/>
      <c r="AR28" s="134"/>
      <c r="AS28" s="134"/>
      <c r="AT28" s="134"/>
      <c r="AU28" s="144"/>
      <c r="AV28" s="144"/>
      <c r="AW28" s="144"/>
      <c r="AX28" s="144"/>
      <c r="AY28" s="144"/>
      <c r="AZ28" s="134"/>
      <c r="BA28" s="134"/>
      <c r="BB28" s="134"/>
      <c r="BC28" s="134"/>
      <c r="BD28" s="144"/>
      <c r="BE28" s="134"/>
      <c r="BF28" s="134"/>
      <c r="BG28" s="141"/>
      <c r="BH28" s="141"/>
      <c r="BI28" s="141"/>
      <c r="BJ28" s="134"/>
      <c r="BK28" s="134"/>
      <c r="BL28" s="134"/>
      <c r="BM28" s="134"/>
    </row>
    <row r="29" spans="1:65" ht="15" customHeight="1" x14ac:dyDescent="0.3">
      <c r="A29" s="216" t="s">
        <v>76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32"/>
      <c r="AL29" s="226">
        <v>4.1666666666666664E-2</v>
      </c>
      <c r="AM29" s="227"/>
      <c r="AN29" s="227"/>
      <c r="AO29" s="227"/>
      <c r="AP29" s="227"/>
      <c r="AQ29" s="227"/>
      <c r="AR29" s="227"/>
      <c r="AS29" s="227"/>
      <c r="AT29" s="227"/>
      <c r="AU29" s="230">
        <v>0.05</v>
      </c>
      <c r="AV29" s="231"/>
      <c r="AW29" s="231"/>
      <c r="AX29" s="231"/>
      <c r="AY29" s="231"/>
      <c r="AZ29" s="231"/>
      <c r="BA29" s="231"/>
      <c r="BB29" s="231"/>
      <c r="BC29" s="231"/>
      <c r="BD29" s="230">
        <v>0.02</v>
      </c>
      <c r="BE29" s="227"/>
      <c r="BF29" s="227"/>
      <c r="BG29" s="131"/>
      <c r="BH29" s="131"/>
      <c r="BI29" s="131"/>
      <c r="BJ29" s="217" t="s">
        <v>114</v>
      </c>
      <c r="BK29" s="217"/>
      <c r="BL29" s="217"/>
      <c r="BM29" s="217"/>
    </row>
    <row r="30" spans="1:65" ht="15.75" customHeight="1" thickBot="1" x14ac:dyDescent="0.35">
      <c r="A30" s="216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32"/>
      <c r="AL30" s="228"/>
      <c r="AM30" s="229"/>
      <c r="AN30" s="229"/>
      <c r="AO30" s="229"/>
      <c r="AP30" s="229"/>
      <c r="AQ30" s="229"/>
      <c r="AR30" s="229"/>
      <c r="AS30" s="229"/>
      <c r="AT30" s="229"/>
      <c r="AU30" s="228"/>
      <c r="AV30" s="229"/>
      <c r="AW30" s="229"/>
      <c r="AX30" s="229"/>
      <c r="AY30" s="229"/>
      <c r="AZ30" s="229"/>
      <c r="BA30" s="229"/>
      <c r="BB30" s="229"/>
      <c r="BC30" s="229"/>
      <c r="BD30" s="228"/>
      <c r="BE30" s="229"/>
      <c r="BF30" s="229"/>
      <c r="BG30" s="131"/>
      <c r="BH30" s="131"/>
      <c r="BI30" s="131"/>
      <c r="BJ30" s="217"/>
      <c r="BK30" s="217"/>
      <c r="BL30" s="217"/>
      <c r="BM30" s="217"/>
    </row>
    <row r="31" spans="1:65" ht="27" customHeight="1" thickBot="1" x14ac:dyDescent="0.35">
      <c r="A31" s="113" t="s">
        <v>63</v>
      </c>
      <c r="B31" s="218" t="s">
        <v>11</v>
      </c>
      <c r="C31" s="202"/>
      <c r="D31" s="202"/>
      <c r="E31" s="202"/>
      <c r="F31" s="202"/>
      <c r="G31" s="202"/>
      <c r="H31" s="202"/>
      <c r="I31" s="202"/>
      <c r="J31" s="203"/>
      <c r="K31" s="204" t="s">
        <v>12</v>
      </c>
      <c r="L31" s="205"/>
      <c r="M31" s="205"/>
      <c r="N31" s="205"/>
      <c r="O31" s="205"/>
      <c r="P31" s="205"/>
      <c r="Q31" s="205"/>
      <c r="R31" s="205"/>
      <c r="S31" s="206"/>
      <c r="T31" s="207" t="s">
        <v>15</v>
      </c>
      <c r="U31" s="208"/>
      <c r="V31" s="208"/>
      <c r="W31" s="208"/>
      <c r="X31" s="208"/>
      <c r="Y31" s="208"/>
      <c r="Z31" s="208"/>
      <c r="AA31" s="208"/>
      <c r="AB31" s="208"/>
      <c r="AC31" s="210" t="s">
        <v>13</v>
      </c>
      <c r="AD31" s="211"/>
      <c r="AE31" s="211"/>
      <c r="AF31" s="211"/>
      <c r="AG31" s="211"/>
      <c r="AH31" s="211"/>
      <c r="AI31" s="211"/>
      <c r="AJ31" s="211"/>
      <c r="AK31" s="211"/>
      <c r="AL31" s="213" t="s">
        <v>16</v>
      </c>
      <c r="AM31" s="214"/>
      <c r="AN31" s="214"/>
      <c r="AO31" s="214"/>
      <c r="AP31" s="214"/>
      <c r="AQ31" s="214"/>
      <c r="AR31" s="214"/>
      <c r="AS31" s="214"/>
      <c r="AT31" s="214"/>
      <c r="AU31" s="187" t="s">
        <v>14</v>
      </c>
      <c r="AV31" s="188"/>
      <c r="AW31" s="188"/>
      <c r="AX31" s="188"/>
      <c r="AY31" s="188"/>
      <c r="AZ31" s="188"/>
      <c r="BA31" s="188"/>
      <c r="BB31" s="188"/>
      <c r="BC31" s="188"/>
      <c r="BD31" s="219" t="s">
        <v>19</v>
      </c>
      <c r="BE31" s="220"/>
      <c r="BF31" s="220"/>
      <c r="BG31" s="200" t="s">
        <v>69</v>
      </c>
      <c r="BH31" s="200"/>
      <c r="BI31" s="177"/>
      <c r="BJ31" s="217"/>
      <c r="BK31" s="217"/>
      <c r="BL31" s="217"/>
      <c r="BM31" s="217"/>
    </row>
    <row r="32" spans="1:65" ht="31.8" thickBot="1" x14ac:dyDescent="0.35">
      <c r="A32" s="113" t="s">
        <v>39</v>
      </c>
      <c r="B32" s="114" t="s">
        <v>36</v>
      </c>
      <c r="C32" s="114" t="s">
        <v>79</v>
      </c>
      <c r="D32" s="114" t="s">
        <v>73</v>
      </c>
      <c r="E32" s="163" t="s">
        <v>71</v>
      </c>
      <c r="F32" s="163" t="s">
        <v>72</v>
      </c>
      <c r="G32" s="117" t="s">
        <v>77</v>
      </c>
      <c r="H32" s="117" t="s">
        <v>78</v>
      </c>
      <c r="I32" s="117" t="s">
        <v>37</v>
      </c>
      <c r="J32" s="117" t="s">
        <v>38</v>
      </c>
      <c r="K32" s="114" t="s">
        <v>36</v>
      </c>
      <c r="L32" s="114" t="s">
        <v>79</v>
      </c>
      <c r="M32" s="114" t="s">
        <v>73</v>
      </c>
      <c r="N32" s="163" t="s">
        <v>71</v>
      </c>
      <c r="O32" s="163" t="s">
        <v>72</v>
      </c>
      <c r="P32" s="117" t="s">
        <v>77</v>
      </c>
      <c r="Q32" s="117" t="s">
        <v>78</v>
      </c>
      <c r="R32" s="117" t="s">
        <v>37</v>
      </c>
      <c r="S32" s="117" t="s">
        <v>38</v>
      </c>
      <c r="T32" s="114" t="s">
        <v>36</v>
      </c>
      <c r="U32" s="114" t="s">
        <v>79</v>
      </c>
      <c r="V32" s="114" t="s">
        <v>73</v>
      </c>
      <c r="W32" s="163" t="s">
        <v>71</v>
      </c>
      <c r="X32" s="163" t="s">
        <v>72</v>
      </c>
      <c r="Y32" s="117" t="s">
        <v>77</v>
      </c>
      <c r="Z32" s="117" t="s">
        <v>78</v>
      </c>
      <c r="AA32" s="117" t="s">
        <v>37</v>
      </c>
      <c r="AB32" s="117" t="s">
        <v>38</v>
      </c>
      <c r="AC32" s="114" t="s">
        <v>36</v>
      </c>
      <c r="AD32" s="114" t="s">
        <v>79</v>
      </c>
      <c r="AE32" s="114" t="s">
        <v>73</v>
      </c>
      <c r="AF32" s="163" t="s">
        <v>71</v>
      </c>
      <c r="AG32" s="163" t="s">
        <v>72</v>
      </c>
      <c r="AH32" s="117" t="s">
        <v>77</v>
      </c>
      <c r="AI32" s="117" t="s">
        <v>78</v>
      </c>
      <c r="AJ32" s="117" t="s">
        <v>37</v>
      </c>
      <c r="AK32" s="117" t="s">
        <v>38</v>
      </c>
      <c r="AL32" s="114" t="s">
        <v>36</v>
      </c>
      <c r="AM32" s="114" t="s">
        <v>79</v>
      </c>
      <c r="AN32" s="114" t="s">
        <v>73</v>
      </c>
      <c r="AO32" s="163" t="s">
        <v>71</v>
      </c>
      <c r="AP32" s="163" t="s">
        <v>72</v>
      </c>
      <c r="AQ32" s="117" t="s">
        <v>77</v>
      </c>
      <c r="AR32" s="117" t="s">
        <v>78</v>
      </c>
      <c r="AS32" s="117" t="s">
        <v>37</v>
      </c>
      <c r="AT32" s="117" t="s">
        <v>38</v>
      </c>
      <c r="AU32" s="114" t="s">
        <v>36</v>
      </c>
      <c r="AV32" s="114" t="s">
        <v>79</v>
      </c>
      <c r="AW32" s="114" t="s">
        <v>73</v>
      </c>
      <c r="AX32" s="163" t="s">
        <v>71</v>
      </c>
      <c r="AY32" s="163" t="s">
        <v>72</v>
      </c>
      <c r="AZ32" s="117" t="s">
        <v>77</v>
      </c>
      <c r="BA32" s="117" t="s">
        <v>78</v>
      </c>
      <c r="BB32" s="117" t="s">
        <v>37</v>
      </c>
      <c r="BC32" s="117" t="s">
        <v>38</v>
      </c>
      <c r="BD32" s="114" t="s">
        <v>36</v>
      </c>
      <c r="BE32" s="164" t="s">
        <v>37</v>
      </c>
      <c r="BF32" s="164" t="s">
        <v>38</v>
      </c>
      <c r="BG32" s="167" t="s">
        <v>21</v>
      </c>
      <c r="BH32" s="167" t="s">
        <v>20</v>
      </c>
      <c r="BI32" s="133"/>
      <c r="BJ32" s="168"/>
      <c r="BK32" s="168"/>
      <c r="BL32" s="168"/>
      <c r="BM32" s="168"/>
    </row>
    <row r="33" spans="1:65" ht="29.4" thickBot="1" x14ac:dyDescent="0.6">
      <c r="A33" s="118" t="s">
        <v>11</v>
      </c>
      <c r="B33" s="119">
        <v>0</v>
      </c>
      <c r="C33" s="148"/>
      <c r="D33" s="148"/>
      <c r="E33" s="148"/>
      <c r="F33" s="148"/>
      <c r="G33" s="120">
        <v>0</v>
      </c>
      <c r="H33" s="120">
        <v>0</v>
      </c>
      <c r="I33" s="120">
        <v>0</v>
      </c>
      <c r="J33" s="120">
        <v>0</v>
      </c>
      <c r="K33" s="178">
        <v>0.34027777777777773</v>
      </c>
      <c r="L33" s="149">
        <f>K33+$AL$29</f>
        <v>0.38194444444444442</v>
      </c>
      <c r="M33" s="158">
        <f>M5</f>
        <v>0.38194444444444442</v>
      </c>
      <c r="N33" s="154">
        <f>(L33/M33-1)*10*$AU$1</f>
        <v>0</v>
      </c>
      <c r="O33" s="154">
        <f>(L33/M33-1)*10*$BD$1</f>
        <v>0</v>
      </c>
      <c r="P33" s="155">
        <f>'Revenue - Year 7'!P33</f>
        <v>0</v>
      </c>
      <c r="Q33" s="155">
        <f>'Revenue - Year 7'!Q33</f>
        <v>0</v>
      </c>
      <c r="R33" s="166">
        <f>ROUNDDOWN((1-N33)*P33,0)</f>
        <v>0</v>
      </c>
      <c r="S33" s="166">
        <f>ROUND((1-O33)*Q33,0)</f>
        <v>0</v>
      </c>
      <c r="T33" s="122">
        <v>0.28472222222222221</v>
      </c>
      <c r="U33" s="149">
        <f>T33+$AL$29</f>
        <v>0.3263888888888889</v>
      </c>
      <c r="V33" s="151">
        <f>V5</f>
        <v>0.28472222222222221</v>
      </c>
      <c r="W33" s="154">
        <f>(U33/V33-1)*10*$AU$1</f>
        <v>7.3170731707317138E-2</v>
      </c>
      <c r="X33" s="154">
        <f>(U33/V33-1)*10*$BD$1</f>
        <v>2.9268292682926855E-2</v>
      </c>
      <c r="Y33" s="155">
        <f>'Revenue - Year 7'!Y33</f>
        <v>0</v>
      </c>
      <c r="Z33" s="155">
        <f>'Revenue - Year 7'!Z33</f>
        <v>0</v>
      </c>
      <c r="AA33" s="166">
        <f>ROUNDDOWN((1-W33)*Y33,0)</f>
        <v>0</v>
      </c>
      <c r="AB33" s="166">
        <f>ROUND((1-X33)*Z33,0)</f>
        <v>0</v>
      </c>
      <c r="AC33" s="122">
        <v>0.44444444444444442</v>
      </c>
      <c r="AD33" s="159">
        <f>AC33+$AL$29</f>
        <v>0.4861111111111111</v>
      </c>
      <c r="AE33" s="158">
        <f>AE5</f>
        <v>0.4861111111111111</v>
      </c>
      <c r="AF33" s="160">
        <f>(AD33/AE33-1)*10*$AU$1</f>
        <v>0</v>
      </c>
      <c r="AG33" s="154">
        <f>(AD33/AE33-1)*10*$BD$1</f>
        <v>0</v>
      </c>
      <c r="AH33" s="155">
        <f>'Revenue - Year 7'!AH33</f>
        <v>0</v>
      </c>
      <c r="AI33" s="155">
        <f>'Revenue - Year 7'!AI33</f>
        <v>0</v>
      </c>
      <c r="AJ33" s="166">
        <f>ROUNDDOWN((1-AF33)*AH33,0)</f>
        <v>0</v>
      </c>
      <c r="AK33" s="166">
        <f>ROUND((1-AG33)*AI33,0)</f>
        <v>0</v>
      </c>
      <c r="AL33" s="122">
        <v>0.49305555555555558</v>
      </c>
      <c r="AM33" s="159">
        <f>AL33+$AL$29</f>
        <v>0.53472222222222221</v>
      </c>
      <c r="AN33" s="158">
        <f>AN5</f>
        <v>0.53472222222222221</v>
      </c>
      <c r="AO33" s="160">
        <f>(AM33/AN33-1)*10*$AU$1</f>
        <v>0</v>
      </c>
      <c r="AP33" s="154">
        <f>(AM33/AN33-1)*10*$BD$1</f>
        <v>0</v>
      </c>
      <c r="AQ33" s="155">
        <f>'Revenue - Year 7'!AQ33</f>
        <v>0</v>
      </c>
      <c r="AR33" s="155">
        <f>'Revenue - Year 7'!AR33</f>
        <v>0</v>
      </c>
      <c r="AS33" s="166">
        <f>ROUNDDOWN((1-AO33)*AQ33,0)</f>
        <v>0</v>
      </c>
      <c r="AT33" s="166">
        <f>ROUND((1-AP33)*AR33,0)</f>
        <v>0</v>
      </c>
      <c r="AU33" s="122">
        <v>0.19444444444444445</v>
      </c>
      <c r="AV33" s="149">
        <f>AU33+$AL$29</f>
        <v>0.2361111111111111</v>
      </c>
      <c r="AW33" s="158">
        <f>AW5</f>
        <v>0.2361111111111111</v>
      </c>
      <c r="AX33" s="154">
        <f>(AV33/AW33-1)*10*$AU$1</f>
        <v>0</v>
      </c>
      <c r="AY33" s="154">
        <f>(AV33/AW33-1)*10*$BD$1</f>
        <v>0</v>
      </c>
      <c r="AZ33" s="155">
        <f>'Revenue - Year 7'!AZ33</f>
        <v>0</v>
      </c>
      <c r="BA33" s="155">
        <f>'Revenue - Year 7'!BA33</f>
        <v>0</v>
      </c>
      <c r="BB33" s="166">
        <f t="shared" ref="BB33:BB37" si="75">ROUNDDOWN((1-AX33)*AZ33,0)</f>
        <v>0</v>
      </c>
      <c r="BC33" s="166">
        <f t="shared" ref="BC33:BC37" si="76">ROUND((1-AY33)*BA33,0)</f>
        <v>0</v>
      </c>
      <c r="BD33" s="122">
        <v>9.0277777777777776E-2</v>
      </c>
      <c r="BE33" s="156">
        <f>'Revenue - Year 7'!BE33</f>
        <v>0</v>
      </c>
      <c r="BF33" s="156">
        <f>'Revenue - Year 7'!BF33</f>
        <v>0</v>
      </c>
      <c r="BG33" s="169">
        <f>I33+R33+AA33+AJ33+AS33+BB33+BE33</f>
        <v>0</v>
      </c>
      <c r="BH33" s="169">
        <f>J33+S33+AB33+AK33+AT33+BC33+BF33</f>
        <v>0</v>
      </c>
      <c r="BI33" s="115" t="str">
        <f t="shared" ref="BI33:BI40" si="77">IF(OR(BG33&gt;70,BH33&gt;270),"PB","OK")</f>
        <v>OK</v>
      </c>
      <c r="BJ33" s="135" t="s">
        <v>57</v>
      </c>
      <c r="BK33" s="135"/>
      <c r="BL33" s="135"/>
      <c r="BM33" s="136">
        <f>1440/60*4*(SUMPRODUCT($B$33:$B$39,I33:I39)+SUMPRODUCT($K$33:$K$39,$R$33:$R$39)+SUMPRODUCT($T$33:$T$39,$AA$33:$AA$39)+SUMPRODUCT($AC$33:$AC$39,$AJ$33:$AJ$39)+SUMPRODUCT($AL$33:$AL$39,$AS$33:$AS$39)+SUMPRODUCT($AU$33:$AU$39,$BB$33:$BB$39)+SUMPRODUCT($BD$33:$BD$39,BE33:BE39))</f>
        <v>0</v>
      </c>
    </row>
    <row r="34" spans="1:65" ht="29.4" thickBot="1" x14ac:dyDescent="0.6">
      <c r="A34" s="121" t="s">
        <v>12</v>
      </c>
      <c r="B34" s="122">
        <f>K33</f>
        <v>0.34027777777777773</v>
      </c>
      <c r="C34" s="149">
        <f>B34+$AL$29</f>
        <v>0.38194444444444442</v>
      </c>
      <c r="D34" s="157">
        <f>D6</f>
        <v>0.38194444444444442</v>
      </c>
      <c r="E34" s="154">
        <f>(C34/D34-1)*10*$AU$1</f>
        <v>0</v>
      </c>
      <c r="F34" s="154">
        <f>(C34/D34-1)*10*$BD$1</f>
        <v>0</v>
      </c>
      <c r="G34" s="155">
        <f>'Revenue - Year 7'!G34</f>
        <v>0</v>
      </c>
      <c r="H34" s="155">
        <f>'Revenue - Year 7'!H34</f>
        <v>0</v>
      </c>
      <c r="I34" s="166">
        <f>ROUNDDOWN((1-E34)*G34,0)</f>
        <v>0</v>
      </c>
      <c r="J34" s="166">
        <f>ROUND((1-F34)*H34,0)</f>
        <v>0</v>
      </c>
      <c r="K34" s="119">
        <v>0</v>
      </c>
      <c r="L34" s="148"/>
      <c r="M34" s="148"/>
      <c r="N34" s="148"/>
      <c r="O34" s="148"/>
      <c r="P34" s="120">
        <v>0</v>
      </c>
      <c r="Q34" s="120">
        <v>0</v>
      </c>
      <c r="R34" s="120">
        <v>0</v>
      </c>
      <c r="S34" s="120">
        <v>0</v>
      </c>
      <c r="T34" s="122">
        <v>0.44444444444444442</v>
      </c>
      <c r="U34" s="149">
        <f>T34+$AL$29</f>
        <v>0.4861111111111111</v>
      </c>
      <c r="V34" s="151">
        <f>V6</f>
        <v>0.40277777777777773</v>
      </c>
      <c r="W34" s="154">
        <f>(U34/V34-1)*10*$AU$1</f>
        <v>0.10344827586206906</v>
      </c>
      <c r="X34" s="154">
        <f>(U34/V34-1)*10*$BD$1</f>
        <v>4.1379310344827627E-2</v>
      </c>
      <c r="Y34" s="155">
        <f>'Revenue - Year 7'!Y34</f>
        <v>0</v>
      </c>
      <c r="Z34" s="155">
        <f>'Revenue - Year 7'!Z34</f>
        <v>0</v>
      </c>
      <c r="AA34" s="166">
        <f>ROUNDDOWN((1-W34)*Y34,0)</f>
        <v>0</v>
      </c>
      <c r="AB34" s="166">
        <f>ROUND((1-X34)*Z34,0)</f>
        <v>0</v>
      </c>
      <c r="AC34" s="179">
        <v>0.60416666666666663</v>
      </c>
      <c r="AD34" s="159">
        <f>AC34+$AL$29</f>
        <v>0.64583333333333326</v>
      </c>
      <c r="AE34" s="158">
        <f>AE6</f>
        <v>0.64583333333333326</v>
      </c>
      <c r="AF34" s="160">
        <f>(AD34/AE34-1)*10*$AU$1</f>
        <v>0</v>
      </c>
      <c r="AG34" s="154">
        <f>(AD34/AE34-1)*10*$BD$1</f>
        <v>0</v>
      </c>
      <c r="AH34" s="155">
        <f>'Revenue - Year 7'!AH34</f>
        <v>0</v>
      </c>
      <c r="AI34" s="155">
        <f>'Revenue - Year 7'!AI34</f>
        <v>0</v>
      </c>
      <c r="AJ34" s="166">
        <f>ROUNDDOWN((1-AF34)*AH34,0)</f>
        <v>0</v>
      </c>
      <c r="AK34" s="166">
        <f>ROUND((1-AG34)*AI34,0)</f>
        <v>0</v>
      </c>
      <c r="AL34" s="122">
        <v>0.65277777777777779</v>
      </c>
      <c r="AM34" s="159">
        <f>AL34+$AL$29</f>
        <v>0.69444444444444442</v>
      </c>
      <c r="AN34" s="158">
        <f>AN6</f>
        <v>0.65625</v>
      </c>
      <c r="AO34" s="160">
        <f>(AM34/AN34-1)*10*$AU$1</f>
        <v>2.9100529100529071E-2</v>
      </c>
      <c r="AP34" s="154">
        <f>(AM34/AN34-1)*10*$BD$1</f>
        <v>1.164021164021163E-2</v>
      </c>
      <c r="AQ34" s="155">
        <f>'Revenue - Year 7'!AQ34</f>
        <v>0</v>
      </c>
      <c r="AR34" s="155">
        <f>'Revenue - Year 7'!AR34</f>
        <v>0</v>
      </c>
      <c r="AS34" s="166">
        <f>ROUNDDOWN((1-AO34)*AQ34,0)</f>
        <v>0</v>
      </c>
      <c r="AT34" s="166">
        <f>ROUND((1-AP34)*AR34,0)</f>
        <v>0</v>
      </c>
      <c r="AU34" s="122">
        <v>0.35416666666666669</v>
      </c>
      <c r="AV34" s="159">
        <f>AU34+$AL$29</f>
        <v>0.39583333333333337</v>
      </c>
      <c r="AW34" s="158">
        <f>AW6</f>
        <v>0.39583333333333337</v>
      </c>
      <c r="AX34" s="154">
        <f>(AV34/AW34-1)*10*$AU$1</f>
        <v>0</v>
      </c>
      <c r="AY34" s="154">
        <f>(AV34/AW34-1)*10*$BD$1</f>
        <v>0</v>
      </c>
      <c r="AZ34" s="155">
        <f>'Revenue - Year 7'!AZ34</f>
        <v>0</v>
      </c>
      <c r="BA34" s="155">
        <f>'Revenue - Year 7'!BA34</f>
        <v>0</v>
      </c>
      <c r="BB34" s="166">
        <f t="shared" si="75"/>
        <v>0</v>
      </c>
      <c r="BC34" s="166">
        <f t="shared" si="76"/>
        <v>0</v>
      </c>
      <c r="BD34" s="122">
        <v>0.25</v>
      </c>
      <c r="BE34" s="156">
        <f>'Revenue - Year 7'!BE34</f>
        <v>0</v>
      </c>
      <c r="BF34" s="156">
        <f>'Revenue - Year 7'!BF34</f>
        <v>0</v>
      </c>
      <c r="BG34" s="169">
        <f t="shared" ref="BG34:BH40" si="78">I34+R34+AA34+AJ34+AS34+BB34+BE34</f>
        <v>0</v>
      </c>
      <c r="BH34" s="169">
        <f t="shared" si="78"/>
        <v>0</v>
      </c>
      <c r="BI34" s="115" t="str">
        <f t="shared" si="77"/>
        <v>OK</v>
      </c>
      <c r="BJ34" s="135" t="s">
        <v>68</v>
      </c>
      <c r="BK34" s="135"/>
      <c r="BL34" s="135"/>
      <c r="BM34" s="136">
        <f>1440/60*(SUMPRODUCT(B33:B39,J33:J39)+SUMPRODUCT(K33:K39,S33:S39)+SUMPRODUCT(T33:T39,AB33:AB39)+SUMPRODUCT(AC33:AC39,AK33:AK39)+SUMPRODUCT(AL33:AL39,AT33:AT39)+SUMPRODUCT(AU33:AU39,BC33:BC39)+SUMPRODUCT(BD33:BD39*BF33:BF39))</f>
        <v>0</v>
      </c>
    </row>
    <row r="35" spans="1:65" ht="29.4" thickBot="1" x14ac:dyDescent="0.6">
      <c r="A35" s="123" t="s">
        <v>15</v>
      </c>
      <c r="B35" s="122">
        <f>T33</f>
        <v>0.28472222222222221</v>
      </c>
      <c r="C35" s="149">
        <f>B35+$AL$29</f>
        <v>0.3263888888888889</v>
      </c>
      <c r="D35" s="157">
        <f>D7</f>
        <v>0.28472222222222221</v>
      </c>
      <c r="E35" s="154">
        <f t="shared" ref="E35:E38" si="79">(C35/D35-1)*10*$AU$1</f>
        <v>7.3170731707317138E-2</v>
      </c>
      <c r="F35" s="154">
        <f t="shared" ref="F35:F38" si="80">(C35/D35-1)*10*$BD$1</f>
        <v>2.9268292682926855E-2</v>
      </c>
      <c r="G35" s="155">
        <f>'Revenue - Year 7'!G35</f>
        <v>0</v>
      </c>
      <c r="H35" s="155">
        <f>'Revenue - Year 7'!H35</f>
        <v>0</v>
      </c>
      <c r="I35" s="166">
        <f t="shared" ref="I35:I39" si="81">ROUNDDOWN((1-E35)*G35,0)</f>
        <v>0</v>
      </c>
      <c r="J35" s="166">
        <f t="shared" ref="J35:J39" si="82">ROUND((1-F35)*H35,0)</f>
        <v>0</v>
      </c>
      <c r="K35" s="122">
        <f>T34</f>
        <v>0.44444444444444442</v>
      </c>
      <c r="L35" s="149">
        <f>K35+$AL$29</f>
        <v>0.4861111111111111</v>
      </c>
      <c r="M35" s="157">
        <f>M7</f>
        <v>0.40277777777777773</v>
      </c>
      <c r="N35" s="154">
        <f t="shared" ref="N35:N38" si="83">(L35/M35-1)*10*$AU$1</f>
        <v>0.10344827586206906</v>
      </c>
      <c r="O35" s="154">
        <f t="shared" ref="O35:O38" si="84">(L35/M35-1)*10*$BD$1</f>
        <v>4.1379310344827627E-2</v>
      </c>
      <c r="P35" s="155">
        <f>'Revenue - Year 7'!P35</f>
        <v>0</v>
      </c>
      <c r="Q35" s="155">
        <f>'Revenue - Year 7'!Q35</f>
        <v>0</v>
      </c>
      <c r="R35" s="166">
        <f t="shared" ref="R35:R39" si="85">ROUNDDOWN((1-N35)*P35,0)</f>
        <v>0</v>
      </c>
      <c r="S35" s="166">
        <f t="shared" ref="S35:S39" si="86">ROUND((1-O35)*Q35,0)</f>
        <v>0</v>
      </c>
      <c r="T35" s="119">
        <v>0</v>
      </c>
      <c r="U35" s="148"/>
      <c r="V35" s="148"/>
      <c r="W35" s="148"/>
      <c r="X35" s="148"/>
      <c r="Y35" s="120">
        <v>0</v>
      </c>
      <c r="Z35" s="120">
        <v>0</v>
      </c>
      <c r="AA35" s="120">
        <v>0</v>
      </c>
      <c r="AB35" s="120">
        <v>0</v>
      </c>
      <c r="AC35" s="179">
        <v>0.54861111111111105</v>
      </c>
      <c r="AD35" s="159">
        <f>AC35+$AL$29</f>
        <v>0.59027777777777768</v>
      </c>
      <c r="AE35" s="158">
        <f>AE7</f>
        <v>0.49305555555555558</v>
      </c>
      <c r="AF35" s="160">
        <f>(AD35/AE35-1)*10*$AU$1</f>
        <v>9.8591549295774517E-2</v>
      </c>
      <c r="AG35" s="154">
        <f>(AD35/AE35-1)*10*$BD$1</f>
        <v>3.9436619718309807E-2</v>
      </c>
      <c r="AH35" s="155">
        <f>'Revenue - Year 7'!AH35</f>
        <v>0</v>
      </c>
      <c r="AI35" s="155">
        <f>'Revenue - Year 7'!AI35</f>
        <v>0</v>
      </c>
      <c r="AJ35" s="166">
        <f>ROUNDDOWN((1-AF35)*AH35,0)</f>
        <v>0</v>
      </c>
      <c r="AK35" s="166">
        <f>ROUND((1-AG35)*AI35,0)</f>
        <v>0</v>
      </c>
      <c r="AL35" s="122">
        <v>0.59722222222222221</v>
      </c>
      <c r="AM35" s="159">
        <f>AL35+$AL$29</f>
        <v>0.63888888888888884</v>
      </c>
      <c r="AN35" s="158">
        <f>AN7</f>
        <v>0.49652777777777773</v>
      </c>
      <c r="AO35" s="160">
        <f>(AM35/AN35-1)*10*$AU$1</f>
        <v>0.14335664335664333</v>
      </c>
      <c r="AP35" s="154">
        <f>(AM35/AN35-1)*10*$BD$1</f>
        <v>5.7342657342657331E-2</v>
      </c>
      <c r="AQ35" s="155">
        <f>'Revenue - Year 7'!AQ35</f>
        <v>0</v>
      </c>
      <c r="AR35" s="155">
        <f>'Revenue - Year 7'!AR35</f>
        <v>0</v>
      </c>
      <c r="AS35" s="166">
        <f>ROUNDDOWN((1-AO35)*AQ35,0)</f>
        <v>0</v>
      </c>
      <c r="AT35" s="166">
        <f>ROUND((1-AP35)*AR35,0)</f>
        <v>0</v>
      </c>
      <c r="AU35" s="122">
        <v>0.2986111111111111</v>
      </c>
      <c r="AV35" s="159">
        <f>AU35+$AL$29</f>
        <v>0.34027777777777779</v>
      </c>
      <c r="AW35" s="158">
        <f>AW7</f>
        <v>0.27777777777777779</v>
      </c>
      <c r="AX35" s="154">
        <f>(AV35/AW35-1)*10*$AU$1</f>
        <v>0.11250000000000004</v>
      </c>
      <c r="AY35" s="154">
        <f>(AV35/AW35-1)*10*$BD$1</f>
        <v>4.5000000000000019E-2</v>
      </c>
      <c r="AZ35" s="155">
        <f>'Revenue - Year 7'!AZ35</f>
        <v>0</v>
      </c>
      <c r="BA35" s="155">
        <f>'Revenue - Year 7'!BA35</f>
        <v>0</v>
      </c>
      <c r="BB35" s="166">
        <f t="shared" si="75"/>
        <v>0</v>
      </c>
      <c r="BC35" s="166">
        <f t="shared" si="76"/>
        <v>0</v>
      </c>
      <c r="BD35" s="122">
        <v>0.19444444444444445</v>
      </c>
      <c r="BE35" s="156">
        <f>'Revenue - Year 7'!BE35</f>
        <v>0</v>
      </c>
      <c r="BF35" s="156">
        <f>'Revenue - Year 7'!BF35</f>
        <v>0</v>
      </c>
      <c r="BG35" s="169">
        <f t="shared" si="78"/>
        <v>0</v>
      </c>
      <c r="BH35" s="169">
        <f t="shared" si="78"/>
        <v>0</v>
      </c>
      <c r="BI35" s="115" t="str">
        <f t="shared" si="77"/>
        <v>OK</v>
      </c>
      <c r="BJ35" s="135" t="s">
        <v>58</v>
      </c>
      <c r="BK35" s="135"/>
      <c r="BL35" s="135"/>
      <c r="BM35" s="137">
        <f>BM33+BM34</f>
        <v>0</v>
      </c>
    </row>
    <row r="36" spans="1:65" ht="29.4" thickBot="1" x14ac:dyDescent="0.6">
      <c r="A36" s="124" t="s">
        <v>13</v>
      </c>
      <c r="B36" s="122">
        <f>AC33</f>
        <v>0.44444444444444442</v>
      </c>
      <c r="C36" s="149">
        <f>B36+$AL$29</f>
        <v>0.4861111111111111</v>
      </c>
      <c r="D36" s="157">
        <f>D8</f>
        <v>0.4861111111111111</v>
      </c>
      <c r="E36" s="154">
        <f t="shared" si="79"/>
        <v>0</v>
      </c>
      <c r="F36" s="154">
        <f t="shared" si="80"/>
        <v>0</v>
      </c>
      <c r="G36" s="155">
        <f>'Revenue - Year 7'!G36</f>
        <v>0</v>
      </c>
      <c r="H36" s="155">
        <f>'Revenue - Year 7'!H36</f>
        <v>0</v>
      </c>
      <c r="I36" s="166">
        <f t="shared" si="81"/>
        <v>0</v>
      </c>
      <c r="J36" s="166">
        <f t="shared" si="82"/>
        <v>0</v>
      </c>
      <c r="K36" s="122">
        <f>AC34</f>
        <v>0.60416666666666663</v>
      </c>
      <c r="L36" s="149">
        <f>K36+$AL$29</f>
        <v>0.64583333333333326</v>
      </c>
      <c r="M36" s="157">
        <f>M8</f>
        <v>0.64583333333333326</v>
      </c>
      <c r="N36" s="154">
        <f t="shared" si="83"/>
        <v>0</v>
      </c>
      <c r="O36" s="154">
        <f t="shared" si="84"/>
        <v>0</v>
      </c>
      <c r="P36" s="155">
        <f>'Revenue - Year 7'!P36</f>
        <v>0</v>
      </c>
      <c r="Q36" s="155">
        <f>'Revenue - Year 7'!Q36</f>
        <v>0</v>
      </c>
      <c r="R36" s="166">
        <f t="shared" si="85"/>
        <v>0</v>
      </c>
      <c r="S36" s="166">
        <f t="shared" si="86"/>
        <v>0</v>
      </c>
      <c r="T36" s="122">
        <f>AC35</f>
        <v>0.54861111111111105</v>
      </c>
      <c r="U36" s="149">
        <f>T36+$AL$29</f>
        <v>0.59027777777777768</v>
      </c>
      <c r="V36" s="149">
        <f>V8</f>
        <v>0.49305555555555558</v>
      </c>
      <c r="W36" s="154">
        <f>(U36/V36-1)*10*$AU$1</f>
        <v>9.8591549295774517E-2</v>
      </c>
      <c r="X36" s="154">
        <f>(U36/V36-1)*10*$BD$1</f>
        <v>3.9436619718309807E-2</v>
      </c>
      <c r="Y36" s="155">
        <f>'Revenue - Year 7'!Y36</f>
        <v>0</v>
      </c>
      <c r="Z36" s="155">
        <f>'Revenue - Year 7'!Z36</f>
        <v>0</v>
      </c>
      <c r="AA36" s="166">
        <f t="shared" ref="AA36:AA39" si="87">ROUNDDOWN((1-W36)*Y36,0)</f>
        <v>0</v>
      </c>
      <c r="AB36" s="166">
        <f t="shared" ref="AB36:AB39" si="88">ROUND((1-X36)*Z36,0)</f>
        <v>0</v>
      </c>
      <c r="AC36" s="119">
        <v>0</v>
      </c>
      <c r="AD36" s="148"/>
      <c r="AE36" s="161"/>
      <c r="AF36" s="162"/>
      <c r="AG36" s="148"/>
      <c r="AH36" s="120">
        <v>0</v>
      </c>
      <c r="AI36" s="120">
        <v>0</v>
      </c>
      <c r="AJ36" s="120">
        <v>0</v>
      </c>
      <c r="AK36" s="120">
        <v>0</v>
      </c>
      <c r="AL36" s="122">
        <v>0.75694444444444453</v>
      </c>
      <c r="AM36" s="159">
        <f>AL36+$AL$29</f>
        <v>0.79861111111111116</v>
      </c>
      <c r="AN36" s="158">
        <f>AN8</f>
        <v>0.68055555555555558</v>
      </c>
      <c r="AO36" s="160">
        <f>(AM36/AN36-1)*10*$AU$1</f>
        <v>8.6734693877551061E-2</v>
      </c>
      <c r="AP36" s="154">
        <f>(AM36/AN36-1)*10*$BD$1</f>
        <v>3.4693877551020429E-2</v>
      </c>
      <c r="AQ36" s="155">
        <f>'Revenue - Year 7'!AQ36</f>
        <v>0</v>
      </c>
      <c r="AR36" s="155">
        <f>'Revenue - Year 7'!AR36</f>
        <v>0</v>
      </c>
      <c r="AS36" s="166">
        <f>ROUNDDOWN((1-AO36)*AQ36,0)</f>
        <v>0</v>
      </c>
      <c r="AT36" s="166">
        <f>ROUND((1-AP36)*AR36,0)</f>
        <v>0</v>
      </c>
      <c r="AU36" s="122">
        <v>0.45833333333333331</v>
      </c>
      <c r="AV36" s="159">
        <f>AU36+$AL$29</f>
        <v>0.5</v>
      </c>
      <c r="AW36" s="158">
        <f>AW8</f>
        <v>0.5</v>
      </c>
      <c r="AX36" s="154">
        <f>(AV36/AW36-1)*10*$AU$1</f>
        <v>0</v>
      </c>
      <c r="AY36" s="154">
        <f>(AV36/AW36-1)*10*$BD$1</f>
        <v>0</v>
      </c>
      <c r="AZ36" s="155">
        <f>'Revenue - Year 7'!AZ36</f>
        <v>0</v>
      </c>
      <c r="BA36" s="155">
        <f>'Revenue - Year 7'!BA36</f>
        <v>0</v>
      </c>
      <c r="BB36" s="166">
        <f t="shared" si="75"/>
        <v>0</v>
      </c>
      <c r="BC36" s="166">
        <f t="shared" si="76"/>
        <v>0</v>
      </c>
      <c r="BD36" s="122">
        <v>0.35416666666666669</v>
      </c>
      <c r="BE36" s="156">
        <f>'Revenue - Year 7'!BE36</f>
        <v>0</v>
      </c>
      <c r="BF36" s="156">
        <f>'Revenue - Year 7'!BF36</f>
        <v>0</v>
      </c>
      <c r="BG36" s="169">
        <f t="shared" si="78"/>
        <v>0</v>
      </c>
      <c r="BH36" s="169">
        <f t="shared" si="78"/>
        <v>0</v>
      </c>
      <c r="BI36" s="115" t="str">
        <f t="shared" si="77"/>
        <v>OK</v>
      </c>
      <c r="BJ36" s="181" t="s">
        <v>74</v>
      </c>
      <c r="BK36" s="135"/>
      <c r="BL36" s="135"/>
      <c r="BM36" s="138">
        <f>35*BM35</f>
        <v>0</v>
      </c>
    </row>
    <row r="37" spans="1:65" ht="29.4" thickBot="1" x14ac:dyDescent="0.6">
      <c r="A37" s="125" t="s">
        <v>16</v>
      </c>
      <c r="B37" s="122">
        <f>AL33</f>
        <v>0.49305555555555558</v>
      </c>
      <c r="C37" s="149">
        <f>B37+$AL$29</f>
        <v>0.53472222222222221</v>
      </c>
      <c r="D37" s="157">
        <f>D9</f>
        <v>0.53472222222222221</v>
      </c>
      <c r="E37" s="154">
        <f t="shared" si="79"/>
        <v>0</v>
      </c>
      <c r="F37" s="154">
        <f t="shared" si="80"/>
        <v>0</v>
      </c>
      <c r="G37" s="155">
        <f>'Revenue - Year 7'!G37</f>
        <v>0</v>
      </c>
      <c r="H37" s="155">
        <f>'Revenue - Year 7'!H37</f>
        <v>0</v>
      </c>
      <c r="I37" s="166">
        <f t="shared" si="81"/>
        <v>0</v>
      </c>
      <c r="J37" s="166">
        <f t="shared" si="82"/>
        <v>0</v>
      </c>
      <c r="K37" s="122">
        <f>AL34</f>
        <v>0.65277777777777779</v>
      </c>
      <c r="L37" s="149">
        <f>K37+$AL$29</f>
        <v>0.69444444444444442</v>
      </c>
      <c r="M37" s="157">
        <f>M9</f>
        <v>0.65625</v>
      </c>
      <c r="N37" s="154">
        <f t="shared" si="83"/>
        <v>2.9100529100529071E-2</v>
      </c>
      <c r="O37" s="154">
        <f t="shared" si="84"/>
        <v>1.164021164021163E-2</v>
      </c>
      <c r="P37" s="155">
        <f>'Revenue - Year 7'!P37</f>
        <v>0</v>
      </c>
      <c r="Q37" s="155">
        <f>'Revenue - Year 7'!Q37</f>
        <v>0</v>
      </c>
      <c r="R37" s="166">
        <f t="shared" si="85"/>
        <v>0</v>
      </c>
      <c r="S37" s="166">
        <f t="shared" si="86"/>
        <v>0</v>
      </c>
      <c r="T37" s="122">
        <f>AL35</f>
        <v>0.59722222222222221</v>
      </c>
      <c r="U37" s="149">
        <f>T37+$AL$29</f>
        <v>0.63888888888888884</v>
      </c>
      <c r="V37" s="157">
        <f>V9</f>
        <v>0.49652777777777773</v>
      </c>
      <c r="W37" s="154">
        <f>(U37/V37-1)*10*$AU$1</f>
        <v>0.14335664335664333</v>
      </c>
      <c r="X37" s="154">
        <f>(U37/V37-1)*10*$BD$1</f>
        <v>5.7342657342657331E-2</v>
      </c>
      <c r="Y37" s="155">
        <f>'Revenue - Year 7'!Y37</f>
        <v>0</v>
      </c>
      <c r="Z37" s="155">
        <f>'Revenue - Year 7'!Z37</f>
        <v>0</v>
      </c>
      <c r="AA37" s="166">
        <f t="shared" si="87"/>
        <v>0</v>
      </c>
      <c r="AB37" s="166">
        <f t="shared" si="88"/>
        <v>0</v>
      </c>
      <c r="AC37" s="122">
        <f>AL36</f>
        <v>0.75694444444444453</v>
      </c>
      <c r="AD37" s="159">
        <f>AC37+$AL$29</f>
        <v>0.79861111111111116</v>
      </c>
      <c r="AE37" s="158">
        <f>AE9</f>
        <v>0.68055555555555558</v>
      </c>
      <c r="AF37" s="160">
        <f>(AD37/AE37-1)*10*$AU$1</f>
        <v>8.6734693877551061E-2</v>
      </c>
      <c r="AG37" s="154">
        <f>(AD37/AE37-1)*10*$BD$1</f>
        <v>3.4693877551020429E-2</v>
      </c>
      <c r="AH37" s="155">
        <f>'Revenue - Year 7'!AH37</f>
        <v>0</v>
      </c>
      <c r="AI37" s="155">
        <f>'Revenue - Year 7'!AI37</f>
        <v>0</v>
      </c>
      <c r="AJ37" s="166">
        <f t="shared" ref="AJ37:AJ39" si="89">ROUNDDOWN((1-AF37)*AH37,0)</f>
        <v>0</v>
      </c>
      <c r="AK37" s="166">
        <f t="shared" ref="AK37:AK39" si="90">ROUND((1-AG37)*AI37,0)</f>
        <v>0</v>
      </c>
      <c r="AL37" s="119">
        <v>0</v>
      </c>
      <c r="AM37" s="148"/>
      <c r="AN37" s="148"/>
      <c r="AO37" s="162"/>
      <c r="AP37" s="148"/>
      <c r="AQ37" s="120">
        <v>0</v>
      </c>
      <c r="AR37" s="120">
        <v>0</v>
      </c>
      <c r="AS37" s="120">
        <v>0</v>
      </c>
      <c r="AT37" s="120">
        <v>0</v>
      </c>
      <c r="AU37" s="122">
        <v>0.50694444444444442</v>
      </c>
      <c r="AV37" s="159">
        <f>AU37+$AL$29</f>
        <v>0.54861111111111105</v>
      </c>
      <c r="AW37" s="158">
        <f>AW9</f>
        <v>0.53125</v>
      </c>
      <c r="AX37" s="154">
        <f>(AV37/AW37-1)*10*$AU$1</f>
        <v>1.6339869281045694E-2</v>
      </c>
      <c r="AY37" s="154">
        <f>(AV37/AW37-1)*10*$BD$1</f>
        <v>6.5359477124182774E-3</v>
      </c>
      <c r="AZ37" s="155">
        <f>'Revenue - Year 7'!AZ37</f>
        <v>0</v>
      </c>
      <c r="BA37" s="155">
        <f>'Revenue - Year 7'!BA37</f>
        <v>0</v>
      </c>
      <c r="BB37" s="166">
        <f t="shared" si="75"/>
        <v>0</v>
      </c>
      <c r="BC37" s="166">
        <f t="shared" si="76"/>
        <v>0</v>
      </c>
      <c r="BD37" s="122">
        <v>0.40277777777777773</v>
      </c>
      <c r="BE37" s="156">
        <f>'Revenue - Year 7'!BE37</f>
        <v>0</v>
      </c>
      <c r="BF37" s="156">
        <f>'Revenue - Year 7'!BF37</f>
        <v>0</v>
      </c>
      <c r="BG37" s="169">
        <f t="shared" si="78"/>
        <v>0</v>
      </c>
      <c r="BH37" s="169">
        <f t="shared" si="78"/>
        <v>0</v>
      </c>
      <c r="BI37" s="115" t="str">
        <f t="shared" si="77"/>
        <v>OK</v>
      </c>
      <c r="BJ37" s="135"/>
      <c r="BK37" s="135" t="s">
        <v>121</v>
      </c>
      <c r="BL37" s="135"/>
      <c r="BM37" s="182" t="e">
        <f>BM36/'Revenue - Year 7'!BM36</f>
        <v>#DIV/0!</v>
      </c>
    </row>
    <row r="38" spans="1:65" ht="29.4" thickBot="1" x14ac:dyDescent="0.6">
      <c r="A38" s="126" t="s">
        <v>14</v>
      </c>
      <c r="B38" s="122">
        <f>AU33</f>
        <v>0.19444444444444445</v>
      </c>
      <c r="C38" s="149">
        <f>B38+$AL$29</f>
        <v>0.2361111111111111</v>
      </c>
      <c r="D38" s="157">
        <f>D10</f>
        <v>0.2361111111111111</v>
      </c>
      <c r="E38" s="154">
        <f t="shared" si="79"/>
        <v>0</v>
      </c>
      <c r="F38" s="154">
        <f t="shared" si="80"/>
        <v>0</v>
      </c>
      <c r="G38" s="155">
        <f>'Revenue - Year 7'!G38</f>
        <v>0</v>
      </c>
      <c r="H38" s="155">
        <f>'Revenue - Year 7'!H38</f>
        <v>0</v>
      </c>
      <c r="I38" s="166">
        <f t="shared" si="81"/>
        <v>0</v>
      </c>
      <c r="J38" s="166">
        <f t="shared" si="82"/>
        <v>0</v>
      </c>
      <c r="K38" s="122">
        <f>AU34</f>
        <v>0.35416666666666669</v>
      </c>
      <c r="L38" s="149">
        <f>K38+$AL$29</f>
        <v>0.39583333333333337</v>
      </c>
      <c r="M38" s="157">
        <f>M10</f>
        <v>0.39583333333333337</v>
      </c>
      <c r="N38" s="154">
        <f t="shared" si="83"/>
        <v>0</v>
      </c>
      <c r="O38" s="154">
        <f t="shared" si="84"/>
        <v>0</v>
      </c>
      <c r="P38" s="155">
        <f>'Revenue - Year 7'!P38</f>
        <v>0</v>
      </c>
      <c r="Q38" s="155">
        <f>'Revenue - Year 7'!Q38</f>
        <v>0</v>
      </c>
      <c r="R38" s="166">
        <f t="shared" si="85"/>
        <v>0</v>
      </c>
      <c r="S38" s="166">
        <f t="shared" si="86"/>
        <v>0</v>
      </c>
      <c r="T38" s="122">
        <f>AU35</f>
        <v>0.2986111111111111</v>
      </c>
      <c r="U38" s="149">
        <f>T38+$AL$29</f>
        <v>0.34027777777777779</v>
      </c>
      <c r="V38" s="157">
        <f>V10</f>
        <v>0.27777777777777779</v>
      </c>
      <c r="W38" s="154">
        <f>(U38/V38-1)*10*$AU$1</f>
        <v>0.11250000000000004</v>
      </c>
      <c r="X38" s="154">
        <f>(U38/V38-1)*10*$BD$1</f>
        <v>4.5000000000000019E-2</v>
      </c>
      <c r="Y38" s="155">
        <f>'Revenue - Year 7'!Y38</f>
        <v>0</v>
      </c>
      <c r="Z38" s="155">
        <f>'Revenue - Year 7'!Z38</f>
        <v>0</v>
      </c>
      <c r="AA38" s="166">
        <f t="shared" si="87"/>
        <v>0</v>
      </c>
      <c r="AB38" s="166">
        <f t="shared" si="88"/>
        <v>0</v>
      </c>
      <c r="AC38" s="122">
        <f>AU36</f>
        <v>0.45833333333333331</v>
      </c>
      <c r="AD38" s="159">
        <f>AC38+$AL$29</f>
        <v>0.5</v>
      </c>
      <c r="AE38" s="158">
        <f>AE10</f>
        <v>0.5</v>
      </c>
      <c r="AF38" s="160">
        <f>(AD38/AE38-1)*10*$AU$1</f>
        <v>0</v>
      </c>
      <c r="AG38" s="154">
        <f>(AD38/AE38-1)*10*$BD$1</f>
        <v>0</v>
      </c>
      <c r="AH38" s="155">
        <f>'Revenue - Year 7'!AH38</f>
        <v>0</v>
      </c>
      <c r="AI38" s="155">
        <f>'Revenue - Year 7'!AI38</f>
        <v>0</v>
      </c>
      <c r="AJ38" s="166">
        <f t="shared" si="89"/>
        <v>0</v>
      </c>
      <c r="AK38" s="166">
        <f t="shared" si="90"/>
        <v>0</v>
      </c>
      <c r="AL38" s="122">
        <f>AU37</f>
        <v>0.50694444444444442</v>
      </c>
      <c r="AM38" s="159">
        <f>AL38+$AL$29</f>
        <v>0.54861111111111105</v>
      </c>
      <c r="AN38" s="158">
        <f>AN10</f>
        <v>0.53125</v>
      </c>
      <c r="AO38" s="160">
        <f>(AM38/AN38-1)*10*$AU$1</f>
        <v>1.6339869281045694E-2</v>
      </c>
      <c r="AP38" s="154">
        <f>(AM38/AN38-1)*10*$BD$1</f>
        <v>6.5359477124182774E-3</v>
      </c>
      <c r="AQ38" s="155">
        <f>'Revenue - Year 7'!AQ38</f>
        <v>0</v>
      </c>
      <c r="AR38" s="155">
        <f>'Revenue - Year 7'!AR38</f>
        <v>0</v>
      </c>
      <c r="AS38" s="166">
        <f>ROUNDDOWN((1-AO38)*AQ38,0)</f>
        <v>0</v>
      </c>
      <c r="AT38" s="166">
        <f>ROUND((1-AP38)*AR38,0)</f>
        <v>0</v>
      </c>
      <c r="AU38" s="119">
        <v>0</v>
      </c>
      <c r="AV38" s="148"/>
      <c r="AW38" s="148"/>
      <c r="AX38" s="162"/>
      <c r="AY38" s="148"/>
      <c r="AZ38" s="120">
        <v>0</v>
      </c>
      <c r="BA38" s="120">
        <v>0</v>
      </c>
      <c r="BB38" s="120">
        <v>0</v>
      </c>
      <c r="BC38" s="120">
        <v>0</v>
      </c>
      <c r="BD38" s="122">
        <v>0.10416666666666667</v>
      </c>
      <c r="BE38" s="156">
        <f>'Revenue - Year 7'!BE38</f>
        <v>0</v>
      </c>
      <c r="BF38" s="156">
        <f>'Revenue - Year 7'!BF38</f>
        <v>0</v>
      </c>
      <c r="BG38" s="169">
        <f t="shared" si="78"/>
        <v>0</v>
      </c>
      <c r="BH38" s="169">
        <f t="shared" si="78"/>
        <v>0</v>
      </c>
      <c r="BI38" s="115" t="str">
        <f t="shared" si="77"/>
        <v>OK</v>
      </c>
      <c r="BJ38" s="135" t="s">
        <v>59</v>
      </c>
      <c r="BK38" s="135"/>
      <c r="BL38" s="135"/>
      <c r="BM38" s="136">
        <f>BM40-BM39</f>
        <v>0</v>
      </c>
    </row>
    <row r="39" spans="1:65" ht="29.25" customHeight="1" thickBot="1" x14ac:dyDescent="0.6">
      <c r="A39" s="143" t="s">
        <v>19</v>
      </c>
      <c r="B39" s="122">
        <f>BD33</f>
        <v>9.0277777777777776E-2</v>
      </c>
      <c r="C39" s="149"/>
      <c r="D39" s="149"/>
      <c r="E39" s="149"/>
      <c r="F39" s="149"/>
      <c r="G39" s="155">
        <f>'Revenue - Year 7'!G39</f>
        <v>0</v>
      </c>
      <c r="H39" s="155">
        <f>'Revenue - Year 7'!H39</f>
        <v>0</v>
      </c>
      <c r="I39" s="166">
        <f t="shared" si="81"/>
        <v>0</v>
      </c>
      <c r="J39" s="166">
        <f t="shared" si="82"/>
        <v>0</v>
      </c>
      <c r="K39" s="122">
        <v>0.19444444444444445</v>
      </c>
      <c r="L39" s="149"/>
      <c r="M39" s="149"/>
      <c r="N39" s="149"/>
      <c r="O39" s="149"/>
      <c r="P39" s="155">
        <f>'Revenue - Year 7'!P39</f>
        <v>0</v>
      </c>
      <c r="Q39" s="155">
        <f>'Revenue - Year 7'!Q39</f>
        <v>0</v>
      </c>
      <c r="R39" s="166">
        <f t="shared" si="85"/>
        <v>0</v>
      </c>
      <c r="S39" s="166">
        <f t="shared" si="86"/>
        <v>0</v>
      </c>
      <c r="T39" s="122">
        <v>0.125</v>
      </c>
      <c r="U39" s="149"/>
      <c r="V39" s="149"/>
      <c r="W39" s="149"/>
      <c r="X39" s="149"/>
      <c r="Y39" s="155">
        <f>'Revenue - Year 7'!Y39</f>
        <v>0</v>
      </c>
      <c r="Z39" s="155">
        <f>'Revenue - Year 7'!Z39</f>
        <v>0</v>
      </c>
      <c r="AA39" s="166">
        <f t="shared" si="87"/>
        <v>0</v>
      </c>
      <c r="AB39" s="166">
        <f t="shared" si="88"/>
        <v>0</v>
      </c>
      <c r="AC39" s="122">
        <v>0.35416666666666669</v>
      </c>
      <c r="AD39" s="149"/>
      <c r="AE39" s="149"/>
      <c r="AF39" s="149"/>
      <c r="AG39" s="149"/>
      <c r="AH39" s="155">
        <f>'Revenue - Year 7'!AH39</f>
        <v>0</v>
      </c>
      <c r="AI39" s="155">
        <f>'Revenue - Year 7'!AI39</f>
        <v>0</v>
      </c>
      <c r="AJ39" s="166">
        <f t="shared" si="89"/>
        <v>0</v>
      </c>
      <c r="AK39" s="166">
        <f t="shared" si="90"/>
        <v>0</v>
      </c>
      <c r="AL39" s="122">
        <v>0.40277777777777773</v>
      </c>
      <c r="AM39" s="149"/>
      <c r="AN39" s="149"/>
      <c r="AO39" s="149"/>
      <c r="AP39" s="149"/>
      <c r="AQ39" s="155">
        <f>'Revenue - Year 7'!AQ39</f>
        <v>0</v>
      </c>
      <c r="AR39" s="155">
        <f>'Revenue - Year 7'!AR39</f>
        <v>0</v>
      </c>
      <c r="AS39" s="166">
        <f>ROUNDDOWN((1-AO39)*AQ39,0)</f>
        <v>0</v>
      </c>
      <c r="AT39" s="166">
        <f>ROUND((1-AP39)*AR39,0)</f>
        <v>0</v>
      </c>
      <c r="AU39" s="122">
        <f>BD38</f>
        <v>0.10416666666666667</v>
      </c>
      <c r="AV39" s="149"/>
      <c r="AW39" s="149"/>
      <c r="AX39" s="149"/>
      <c r="AY39" s="149"/>
      <c r="AZ39" s="155">
        <f>'Revenue - Year 7'!AZ39</f>
        <v>0</v>
      </c>
      <c r="BA39" s="155">
        <f>'Revenue - Year 7'!BA39</f>
        <v>0</v>
      </c>
      <c r="BB39" s="166">
        <f t="shared" ref="BB39" si="91">ROUNDDOWN((1-AX39)*AZ39,0)</f>
        <v>0</v>
      </c>
      <c r="BC39" s="166">
        <f t="shared" ref="BC39" si="92">ROUND((1-AY39)*BA39,0)</f>
        <v>0</v>
      </c>
      <c r="BD39" s="119">
        <v>0</v>
      </c>
      <c r="BE39" s="120">
        <v>0</v>
      </c>
      <c r="BF39" s="120">
        <v>0</v>
      </c>
      <c r="BG39" s="169">
        <f t="shared" si="78"/>
        <v>0</v>
      </c>
      <c r="BH39" s="169">
        <f t="shared" si="78"/>
        <v>0</v>
      </c>
      <c r="BI39" s="115" t="str">
        <f t="shared" si="77"/>
        <v>OK</v>
      </c>
      <c r="BJ39" s="135" t="s">
        <v>60</v>
      </c>
      <c r="BK39" s="135"/>
      <c r="BL39" s="135"/>
      <c r="BM39" s="136">
        <f>SUM(I39:J39,R39:S39,AA39:AB39,AJ39:AK39,AS39:AT39,BB39:BC39)+SUM(BE33:BF38)</f>
        <v>0</v>
      </c>
    </row>
    <row r="40" spans="1:65" ht="29.4" thickBot="1" x14ac:dyDescent="0.6">
      <c r="A40" s="128" t="s">
        <v>40</v>
      </c>
      <c r="B40" s="122"/>
      <c r="C40" s="122"/>
      <c r="D40" s="122"/>
      <c r="E40" s="122"/>
      <c r="F40" s="122"/>
      <c r="G40" s="165"/>
      <c r="H40" s="165"/>
      <c r="I40" s="129">
        <f>SUM(I33:I39)</f>
        <v>0</v>
      </c>
      <c r="J40" s="129">
        <f>SUM(J33:J39)</f>
        <v>0</v>
      </c>
      <c r="K40" s="122"/>
      <c r="L40" s="122"/>
      <c r="M40" s="122"/>
      <c r="N40" s="122"/>
      <c r="O40" s="122"/>
      <c r="P40" s="165"/>
      <c r="Q40" s="165"/>
      <c r="R40" s="129">
        <f>SUM(R33:R39)</f>
        <v>0</v>
      </c>
      <c r="S40" s="129">
        <f>SUM(S33:S39)</f>
        <v>0</v>
      </c>
      <c r="T40" s="122"/>
      <c r="U40" s="122"/>
      <c r="V40" s="122"/>
      <c r="W40" s="122"/>
      <c r="X40" s="122"/>
      <c r="Y40" s="165"/>
      <c r="Z40" s="165"/>
      <c r="AA40" s="129">
        <f>SUM(AA33:AA39)</f>
        <v>0</v>
      </c>
      <c r="AB40" s="129">
        <f>SUM(AB33:AB39)</f>
        <v>0</v>
      </c>
      <c r="AC40" s="122"/>
      <c r="AD40" s="122"/>
      <c r="AE40" s="122"/>
      <c r="AF40" s="122"/>
      <c r="AG40" s="122"/>
      <c r="AH40" s="165"/>
      <c r="AI40" s="165"/>
      <c r="AJ40" s="129">
        <f>SUM(AJ33:AJ39)</f>
        <v>0</v>
      </c>
      <c r="AK40" s="129">
        <f>SUM(AK33:AK39)</f>
        <v>0</v>
      </c>
      <c r="AL40" s="122"/>
      <c r="AM40" s="122"/>
      <c r="AN40" s="122"/>
      <c r="AO40" s="122"/>
      <c r="AP40" s="122"/>
      <c r="AQ40" s="165"/>
      <c r="AR40" s="165"/>
      <c r="AS40" s="129">
        <f>SUM(AS33:AS39)</f>
        <v>0</v>
      </c>
      <c r="AT40" s="129">
        <f>SUM(AT33:AT39)</f>
        <v>0</v>
      </c>
      <c r="AU40" s="122"/>
      <c r="AV40" s="122"/>
      <c r="AW40" s="122"/>
      <c r="AX40" s="122"/>
      <c r="AY40" s="122"/>
      <c r="AZ40" s="165"/>
      <c r="BA40" s="165"/>
      <c r="BB40" s="129">
        <f>SUM(BB33:BB39)</f>
        <v>0</v>
      </c>
      <c r="BC40" s="129">
        <f>SUM(BC33:BC39)</f>
        <v>0</v>
      </c>
      <c r="BD40" s="122"/>
      <c r="BE40" s="129">
        <f>SUM(BE33:BE39)</f>
        <v>0</v>
      </c>
      <c r="BF40" s="129">
        <f>SUM(BF33:BF39)</f>
        <v>0</v>
      </c>
      <c r="BG40" s="169">
        <f t="shared" si="78"/>
        <v>0</v>
      </c>
      <c r="BH40" s="169">
        <f t="shared" si="78"/>
        <v>0</v>
      </c>
      <c r="BI40" s="115" t="str">
        <f t="shared" si="77"/>
        <v>OK</v>
      </c>
      <c r="BJ40" s="181" t="s">
        <v>61</v>
      </c>
      <c r="BK40" s="135"/>
      <c r="BL40" s="135"/>
      <c r="BM40" s="136">
        <f>SUM(B40:BF40)</f>
        <v>0</v>
      </c>
    </row>
    <row r="41" spans="1:65" ht="28.8" x14ac:dyDescent="0.55000000000000004">
      <c r="A41" s="115"/>
      <c r="B41" s="115"/>
      <c r="C41" s="115" t="str">
        <f>+IF(C32="Y",IF(C40&gt;270,"PB","OK"),IF(C40&gt;70,"PB","OK"))</f>
        <v>OK</v>
      </c>
      <c r="D41" s="115" t="str">
        <f t="shared" ref="D41" si="93">+IF(D32="Y",IF(D40&gt;270,"PB","ok"),IF(D40&gt;70,"PB","OK"))</f>
        <v>OK</v>
      </c>
      <c r="E41" s="115"/>
      <c r="F41" s="115" t="str">
        <f t="shared" ref="F41" si="94">+IF(F32="Y",IF(F40&gt;270,"PB","ok"),IF(F40&gt;70,"PB","OK"))</f>
        <v>OK</v>
      </c>
      <c r="I41" s="115" t="str">
        <f>+IF(I32="Traffic Y",IF(I40&gt;270,"PB","OK"),IF(I40&gt;70,"PB","OK"))</f>
        <v>OK</v>
      </c>
      <c r="J41" s="115" t="str">
        <f>+IF(H32="Y",IF(H40&gt;270,"PB","ok"),IF(H40&gt;70,"PB","OK"))</f>
        <v>OK</v>
      </c>
      <c r="K41" s="115"/>
      <c r="L41" s="115" t="str">
        <f t="shared" ref="L41:M41" si="95">+IF(L32="Y",IF(L40&gt;270,"PB","ok"),IF(L40&gt;70,"PB","OK"))</f>
        <v>OK</v>
      </c>
      <c r="M41" s="115" t="str">
        <f t="shared" si="95"/>
        <v>OK</v>
      </c>
      <c r="N41" s="115"/>
      <c r="O41" s="115" t="str">
        <f t="shared" ref="O41" si="96">+IF(O32="Y",IF(O40&gt;270,"PB","ok"),IF(O40&gt;70,"PB","OK"))</f>
        <v>OK</v>
      </c>
      <c r="R41" s="115" t="str">
        <f>+IF(R32="Traffic Y",IF(R40&gt;270,"PB","OK"),IF(R40&gt;70,"PB","OK"))</f>
        <v>OK</v>
      </c>
      <c r="S41" s="115" t="str">
        <f>+IF(Q32="Y",IF(Q40&gt;270,"PB","ok"),IF(Q40&gt;70,"PB","OK"))</f>
        <v>OK</v>
      </c>
      <c r="T41" s="115"/>
      <c r="U41" s="115" t="str">
        <f>+IF(U32="Y",IF(U40&gt;270,"PB","OK"),IF(U40&gt;70,"PB","OK"))</f>
        <v>OK</v>
      </c>
      <c r="V41" s="115" t="str">
        <f>+IF(V32="Y",IF(V40&gt;270,"PB","OK"),IF(V40&gt;70,"PB","OK"))</f>
        <v>OK</v>
      </c>
      <c r="W41" s="139"/>
      <c r="X41" s="139"/>
      <c r="AA41" s="115" t="str">
        <f>+IF(AA32="Traffic Y",IF(AA40&gt;270,"PB","OK"),IF(AA40&gt;70,"PB","OK"))</f>
        <v>OK</v>
      </c>
      <c r="AB41" s="115" t="str">
        <f>+IF(Z32="Y",IF(Z40&gt;270,"PB","ok"),IF(Z40&gt;70,"PB","OK"))</f>
        <v>OK</v>
      </c>
      <c r="AC41" s="134"/>
      <c r="AD41" s="134"/>
      <c r="AE41" s="134"/>
      <c r="AF41" s="134"/>
      <c r="AG41" s="134"/>
      <c r="AJ41" s="115" t="str">
        <f>+IF(AJ32="Traffic Y",IF(AJ40&gt;270,"PB","OK"),IF(AJ40&gt;70,"PB","OK"))</f>
        <v>OK</v>
      </c>
      <c r="AK41" s="115" t="str">
        <f>+IF(AI32="Y",IF(AI40&gt;270,"PB","ok"),IF(AI40&gt;70,"PB","OK"))</f>
        <v>OK</v>
      </c>
      <c r="AL41" s="134"/>
      <c r="AM41" s="134"/>
      <c r="AN41" s="134"/>
      <c r="AO41" s="134"/>
      <c r="AP41" s="134"/>
      <c r="AS41" s="115" t="str">
        <f>+IF(AS32="Traffic Y",IF(AS40&gt;270,"PB","OK"),IF(AS40&gt;70,"PB","OK"))</f>
        <v>OK</v>
      </c>
      <c r="AT41" s="115" t="str">
        <f>+IF(AR32="Y",IF(AR40&gt;270,"PB","ok"),IF(AR40&gt;70,"PB","OK"))</f>
        <v>OK</v>
      </c>
      <c r="AU41" s="134"/>
      <c r="AV41" s="134"/>
      <c r="AW41" s="134"/>
      <c r="AX41" s="134"/>
      <c r="AY41" s="134"/>
      <c r="BB41" s="115" t="str">
        <f>+IF(BB32="Traffic Y",IF(BB40&gt;270,"PB","OK"),IF(BB40&gt;70,"PB","OK"))</f>
        <v>OK</v>
      </c>
      <c r="BC41" s="115" t="str">
        <f>+IF(BA32="Y",IF(BA40&gt;270,"PB","ok"),IF(BA40&gt;70,"PB","OK"))</f>
        <v>OK</v>
      </c>
      <c r="BD41" s="134"/>
      <c r="BE41" s="115" t="str">
        <f>+IF(BE32="Traffic Y",IF(BE40&gt;270,"PB","ok"),IF(BE40&gt;70,"PB","OK"))</f>
        <v>OK</v>
      </c>
      <c r="BF41" s="115" t="str">
        <f>+IF(BF32="Traffic Y",IF(BF40&gt;270,"PB","ok"),IF(BF40&gt;70,"PB","OK"))</f>
        <v>OK</v>
      </c>
      <c r="BG41" s="134"/>
      <c r="BH41" s="134"/>
      <c r="BI41" s="139"/>
      <c r="BJ41" s="181" t="s">
        <v>120</v>
      </c>
      <c r="BK41" s="135"/>
      <c r="BL41" s="135"/>
      <c r="BM41" s="180">
        <f>(2*BM38+BM39)/2040</f>
        <v>0</v>
      </c>
    </row>
    <row r="42" spans="1:65" x14ac:dyDescent="0.3">
      <c r="A42" s="115"/>
      <c r="B42" s="144"/>
      <c r="C42" s="144"/>
      <c r="D42" s="144"/>
      <c r="E42" s="144"/>
      <c r="F42" s="144"/>
      <c r="G42" s="134"/>
      <c r="H42" s="134"/>
      <c r="I42" s="134"/>
      <c r="J42" s="134"/>
      <c r="K42" s="144"/>
      <c r="L42" s="144"/>
      <c r="M42" s="144"/>
      <c r="N42" s="144"/>
      <c r="O42" s="144"/>
      <c r="P42" s="134"/>
      <c r="Q42" s="134"/>
      <c r="R42" s="134"/>
      <c r="S42" s="134"/>
      <c r="T42" s="144"/>
      <c r="U42" s="144"/>
      <c r="V42" s="144"/>
      <c r="W42" s="144"/>
      <c r="X42" s="144"/>
      <c r="Y42" s="134"/>
      <c r="Z42" s="134"/>
      <c r="AA42" s="134"/>
      <c r="AB42" s="134"/>
      <c r="AC42" s="144"/>
      <c r="AD42" s="144"/>
      <c r="AE42" s="144"/>
      <c r="AF42" s="144"/>
      <c r="AG42" s="144"/>
      <c r="AH42" s="134"/>
      <c r="AI42" s="134"/>
      <c r="AJ42" s="134"/>
      <c r="AK42" s="134"/>
      <c r="AL42" s="144"/>
      <c r="AM42" s="144"/>
      <c r="AN42" s="144"/>
      <c r="AO42" s="144"/>
      <c r="AP42" s="144"/>
      <c r="AQ42" s="134"/>
      <c r="AR42" s="134"/>
      <c r="AS42" s="134"/>
      <c r="AT42" s="134"/>
      <c r="AU42" s="144"/>
      <c r="AV42" s="144"/>
      <c r="AW42" s="144"/>
      <c r="AX42" s="144"/>
      <c r="AY42" s="144"/>
      <c r="AZ42" s="134"/>
      <c r="BA42" s="134"/>
      <c r="BB42" s="134"/>
      <c r="BC42" s="134"/>
      <c r="BD42" s="144"/>
      <c r="BE42" s="134"/>
      <c r="BF42" s="134"/>
      <c r="BG42" s="141"/>
      <c r="BH42" s="141"/>
      <c r="BI42" s="141"/>
      <c r="BJ42" s="134"/>
      <c r="BK42" s="134"/>
      <c r="BL42" s="134"/>
      <c r="BM42" s="134"/>
    </row>
    <row r="43" spans="1:65" ht="28.8" x14ac:dyDescent="0.3">
      <c r="BI43" s="145"/>
    </row>
    <row r="44" spans="1:65" ht="14.4" x14ac:dyDescent="0.3">
      <c r="A44" s="101"/>
      <c r="B44" s="101"/>
      <c r="C44" s="101"/>
      <c r="D44" s="101"/>
      <c r="E44" s="101"/>
      <c r="F44" s="101"/>
      <c r="K44" s="101"/>
      <c r="L44" s="101"/>
      <c r="M44" s="101"/>
      <c r="N44" s="101"/>
      <c r="O44" s="101"/>
      <c r="T44" s="101"/>
      <c r="U44" s="101"/>
      <c r="V44" s="101"/>
      <c r="W44" s="101"/>
      <c r="X44" s="101"/>
      <c r="AC44" s="101"/>
      <c r="AD44" s="101"/>
      <c r="AE44" s="101"/>
      <c r="AF44" s="101"/>
      <c r="AG44" s="101"/>
      <c r="AL44" s="101"/>
      <c r="AM44" s="101"/>
      <c r="AN44" s="101"/>
      <c r="AO44" s="101"/>
      <c r="AP44" s="101"/>
      <c r="AU44" s="101"/>
      <c r="AV44" s="101"/>
      <c r="AW44" s="101"/>
      <c r="AX44" s="101"/>
      <c r="AY44" s="101"/>
      <c r="BD44" s="101"/>
      <c r="BG44" s="101"/>
      <c r="BH44" s="101"/>
      <c r="BI44" s="101"/>
    </row>
    <row r="45" spans="1:65" ht="14.4" x14ac:dyDescent="0.3">
      <c r="A45" s="101"/>
      <c r="B45" s="101"/>
      <c r="C45" s="101"/>
      <c r="D45" s="101"/>
      <c r="E45" s="101"/>
      <c r="F45" s="101"/>
      <c r="K45" s="101"/>
      <c r="L45" s="101"/>
      <c r="M45" s="101"/>
      <c r="N45" s="101"/>
      <c r="O45" s="101"/>
      <c r="T45" s="101"/>
      <c r="U45" s="101"/>
      <c r="V45" s="101"/>
      <c r="W45" s="101"/>
      <c r="X45" s="101"/>
      <c r="AC45" s="101"/>
      <c r="AD45" s="101"/>
      <c r="AE45" s="101"/>
      <c r="AF45" s="101"/>
      <c r="AG45" s="101"/>
      <c r="AL45" s="101"/>
      <c r="AM45" s="101"/>
      <c r="AN45" s="101"/>
      <c r="AO45" s="101"/>
      <c r="AP45" s="101"/>
      <c r="AU45" s="101"/>
      <c r="AV45" s="101"/>
      <c r="AW45" s="101"/>
      <c r="AX45" s="101"/>
      <c r="AY45" s="101"/>
      <c r="BD45" s="101"/>
      <c r="BG45" s="101"/>
      <c r="BH45" s="101"/>
      <c r="BI45" s="101"/>
    </row>
    <row r="46" spans="1:65" ht="14.4" x14ac:dyDescent="0.3">
      <c r="A46" s="101"/>
      <c r="B46" s="101"/>
      <c r="C46" s="101"/>
      <c r="D46" s="101"/>
      <c r="E46" s="101"/>
      <c r="F46" s="101"/>
      <c r="K46" s="101"/>
      <c r="L46" s="101"/>
      <c r="M46" s="101"/>
      <c r="N46" s="101"/>
      <c r="O46" s="101"/>
      <c r="T46" s="101"/>
      <c r="U46" s="101"/>
      <c r="V46" s="101"/>
      <c r="W46" s="101"/>
      <c r="X46" s="101"/>
      <c r="AC46" s="101"/>
      <c r="AD46" s="101"/>
      <c r="AE46" s="101"/>
      <c r="AF46" s="101"/>
      <c r="AG46" s="101"/>
      <c r="AL46" s="101"/>
      <c r="AM46" s="101"/>
      <c r="AN46" s="101"/>
      <c r="AO46" s="101"/>
      <c r="AP46" s="101"/>
      <c r="AU46" s="101"/>
      <c r="AV46" s="101"/>
      <c r="AW46" s="101"/>
      <c r="AX46" s="101"/>
      <c r="AY46" s="101"/>
      <c r="BD46" s="101"/>
      <c r="BG46" s="101"/>
      <c r="BH46" s="101"/>
      <c r="BI46" s="101"/>
    </row>
    <row r="47" spans="1:65" ht="14.4" x14ac:dyDescent="0.3">
      <c r="A47" s="101"/>
      <c r="B47" s="101"/>
      <c r="C47" s="101"/>
      <c r="D47" s="101"/>
      <c r="E47" s="101"/>
      <c r="F47" s="101"/>
      <c r="K47" s="101"/>
      <c r="L47" s="101"/>
      <c r="M47" s="101"/>
      <c r="N47" s="101"/>
      <c r="O47" s="101"/>
      <c r="T47" s="101"/>
      <c r="U47" s="101"/>
      <c r="V47" s="101"/>
      <c r="W47" s="101"/>
      <c r="X47" s="101"/>
      <c r="AC47" s="101"/>
      <c r="AD47" s="101"/>
      <c r="AE47" s="101"/>
      <c r="AF47" s="101"/>
      <c r="AG47" s="101"/>
      <c r="AL47" s="101"/>
      <c r="AM47" s="101"/>
      <c r="AN47" s="101"/>
      <c r="AO47" s="101"/>
      <c r="AP47" s="101"/>
      <c r="AU47" s="101"/>
      <c r="AV47" s="101"/>
      <c r="AW47" s="101"/>
      <c r="AX47" s="101"/>
      <c r="AY47" s="101"/>
      <c r="BD47" s="101"/>
      <c r="BG47" s="101"/>
      <c r="BH47" s="101"/>
      <c r="BI47" s="101"/>
    </row>
    <row r="48" spans="1:65" ht="14.4" x14ac:dyDescent="0.3">
      <c r="A48" s="101"/>
      <c r="B48" s="101"/>
      <c r="C48" s="101"/>
      <c r="D48" s="101"/>
      <c r="E48" s="101"/>
      <c r="F48" s="101"/>
      <c r="K48" s="101"/>
      <c r="L48" s="101"/>
      <c r="M48" s="101"/>
      <c r="N48" s="101"/>
      <c r="O48" s="101"/>
      <c r="T48" s="101"/>
      <c r="U48" s="101"/>
      <c r="V48" s="101"/>
      <c r="W48" s="101"/>
      <c r="X48" s="101"/>
      <c r="AC48" s="101"/>
      <c r="AD48" s="101"/>
      <c r="AE48" s="101"/>
      <c r="AF48" s="101"/>
      <c r="AG48" s="101"/>
      <c r="AL48" s="101"/>
      <c r="AM48" s="101"/>
      <c r="AN48" s="101"/>
      <c r="AO48" s="101"/>
      <c r="AP48" s="101"/>
      <c r="AU48" s="101"/>
      <c r="AV48" s="101"/>
      <c r="AW48" s="101"/>
      <c r="AX48" s="101"/>
      <c r="AY48" s="101"/>
      <c r="BD48" s="101"/>
      <c r="BG48" s="101"/>
      <c r="BH48" s="101"/>
      <c r="BI48" s="101"/>
    </row>
    <row r="49" spans="1:61" ht="14.4" x14ac:dyDescent="0.3">
      <c r="A49" s="101"/>
      <c r="B49" s="101"/>
      <c r="C49" s="101"/>
      <c r="D49" s="101"/>
      <c r="E49" s="101"/>
      <c r="F49" s="101"/>
      <c r="K49" s="101"/>
      <c r="L49" s="101"/>
      <c r="M49" s="101"/>
      <c r="N49" s="101"/>
      <c r="O49" s="101"/>
      <c r="T49" s="101"/>
      <c r="U49" s="101"/>
      <c r="V49" s="101"/>
      <c r="W49" s="101"/>
      <c r="X49" s="101"/>
      <c r="AC49" s="101"/>
      <c r="AD49" s="101"/>
      <c r="AE49" s="101"/>
      <c r="AF49" s="101"/>
      <c r="AG49" s="101"/>
      <c r="AL49" s="101"/>
      <c r="AM49" s="101"/>
      <c r="AN49" s="101"/>
      <c r="AO49" s="101"/>
      <c r="AP49" s="101"/>
      <c r="AU49" s="101"/>
      <c r="AV49" s="101"/>
      <c r="AW49" s="101"/>
      <c r="AX49" s="101"/>
      <c r="AY49" s="101"/>
      <c r="BD49" s="101"/>
      <c r="BG49" s="101"/>
      <c r="BH49" s="101"/>
      <c r="BI49" s="101"/>
    </row>
    <row r="50" spans="1:61" ht="14.4" x14ac:dyDescent="0.3">
      <c r="A50" s="101"/>
      <c r="B50" s="101"/>
      <c r="C50" s="101"/>
      <c r="D50" s="101"/>
      <c r="E50" s="101"/>
      <c r="F50" s="101"/>
      <c r="K50" s="101"/>
      <c r="L50" s="101"/>
      <c r="M50" s="101"/>
      <c r="N50" s="101"/>
      <c r="O50" s="101"/>
      <c r="T50" s="101"/>
      <c r="U50" s="101"/>
      <c r="V50" s="101"/>
      <c r="W50" s="101"/>
      <c r="X50" s="101"/>
      <c r="AC50" s="101"/>
      <c r="AD50" s="101"/>
      <c r="AE50" s="101"/>
      <c r="AF50" s="101"/>
      <c r="AG50" s="101"/>
      <c r="AL50" s="101"/>
      <c r="AM50" s="101"/>
      <c r="AN50" s="101"/>
      <c r="AO50" s="101"/>
      <c r="AP50" s="101"/>
      <c r="AU50" s="101"/>
      <c r="AV50" s="101"/>
      <c r="AW50" s="101"/>
      <c r="AX50" s="101"/>
      <c r="AY50" s="101"/>
      <c r="BD50" s="101"/>
      <c r="BG50" s="101"/>
      <c r="BH50" s="101"/>
      <c r="BI50" s="101"/>
    </row>
    <row r="51" spans="1:61" ht="14.4" x14ac:dyDescent="0.3">
      <c r="A51" s="101"/>
      <c r="B51" s="101"/>
      <c r="C51" s="101"/>
      <c r="D51" s="101"/>
      <c r="E51" s="101"/>
      <c r="F51" s="101"/>
      <c r="K51" s="101"/>
      <c r="L51" s="101"/>
      <c r="M51" s="101"/>
      <c r="N51" s="101"/>
      <c r="O51" s="101"/>
      <c r="T51" s="101"/>
      <c r="U51" s="101"/>
      <c r="V51" s="101"/>
      <c r="W51" s="101"/>
      <c r="X51" s="101"/>
      <c r="AC51" s="101"/>
      <c r="AD51" s="101"/>
      <c r="AE51" s="101"/>
      <c r="AF51" s="101"/>
      <c r="AG51" s="101"/>
      <c r="AL51" s="101"/>
      <c r="AM51" s="101"/>
      <c r="AN51" s="101"/>
      <c r="AO51" s="101"/>
      <c r="AP51" s="101"/>
      <c r="AU51" s="101"/>
      <c r="AV51" s="101"/>
      <c r="AW51" s="101"/>
      <c r="AX51" s="101"/>
      <c r="AY51" s="101"/>
      <c r="BD51" s="101"/>
      <c r="BG51" s="101"/>
      <c r="BH51" s="101"/>
      <c r="BI51" s="101"/>
    </row>
    <row r="52" spans="1:61" ht="14.4" x14ac:dyDescent="0.3">
      <c r="A52" s="101"/>
      <c r="B52" s="101"/>
      <c r="C52" s="101"/>
      <c r="D52" s="101"/>
      <c r="E52" s="101"/>
      <c r="F52" s="101"/>
      <c r="K52" s="101"/>
      <c r="L52" s="101"/>
      <c r="M52" s="101"/>
      <c r="N52" s="101"/>
      <c r="O52" s="101"/>
      <c r="T52" s="101"/>
      <c r="U52" s="101"/>
      <c r="V52" s="101"/>
      <c r="W52" s="101"/>
      <c r="X52" s="101"/>
      <c r="AC52" s="101"/>
      <c r="AD52" s="101"/>
      <c r="AE52" s="101"/>
      <c r="AF52" s="101"/>
      <c r="AG52" s="101"/>
      <c r="AL52" s="101"/>
      <c r="AM52" s="101"/>
      <c r="AN52" s="101"/>
      <c r="AO52" s="101"/>
      <c r="AP52" s="101"/>
      <c r="AU52" s="101"/>
      <c r="AV52" s="101"/>
      <c r="AW52" s="101"/>
      <c r="AX52" s="101"/>
      <c r="AY52" s="101"/>
      <c r="BD52" s="101"/>
      <c r="BG52" s="101"/>
      <c r="BH52" s="101"/>
      <c r="BI52" s="101"/>
    </row>
    <row r="53" spans="1:61" ht="14.4" x14ac:dyDescent="0.3">
      <c r="A53" s="101"/>
      <c r="B53" s="101"/>
      <c r="C53" s="101"/>
      <c r="D53" s="101"/>
      <c r="E53" s="101"/>
      <c r="F53" s="101"/>
      <c r="K53" s="101"/>
      <c r="L53" s="101"/>
      <c r="M53" s="101"/>
      <c r="N53" s="101"/>
      <c r="O53" s="101"/>
      <c r="T53" s="101"/>
      <c r="U53" s="101"/>
      <c r="V53" s="101"/>
      <c r="W53" s="101"/>
      <c r="X53" s="101"/>
      <c r="AC53" s="101"/>
      <c r="AD53" s="101"/>
      <c r="AE53" s="101"/>
      <c r="AF53" s="101"/>
      <c r="AG53" s="101"/>
      <c r="AL53" s="101"/>
      <c r="AM53" s="101"/>
      <c r="AN53" s="101"/>
      <c r="AO53" s="101"/>
      <c r="AP53" s="101"/>
      <c r="AU53" s="101"/>
      <c r="AV53" s="101"/>
      <c r="AW53" s="101"/>
      <c r="AX53" s="101"/>
      <c r="AY53" s="101"/>
      <c r="BD53" s="101"/>
      <c r="BG53" s="101"/>
      <c r="BH53" s="101"/>
      <c r="BI53" s="101"/>
    </row>
    <row r="54" spans="1:61" ht="14.4" x14ac:dyDescent="0.3">
      <c r="A54" s="101"/>
      <c r="B54" s="101"/>
      <c r="C54" s="101"/>
      <c r="D54" s="101"/>
      <c r="E54" s="101"/>
      <c r="F54" s="101"/>
      <c r="K54" s="101"/>
      <c r="L54" s="101"/>
      <c r="M54" s="101"/>
      <c r="N54" s="101"/>
      <c r="O54" s="101"/>
      <c r="T54" s="101"/>
      <c r="U54" s="101"/>
      <c r="V54" s="101"/>
      <c r="W54" s="101"/>
      <c r="X54" s="101"/>
      <c r="AC54" s="101"/>
      <c r="AD54" s="101"/>
      <c r="AE54" s="101"/>
      <c r="AF54" s="101"/>
      <c r="AG54" s="101"/>
      <c r="AL54" s="101"/>
      <c r="AM54" s="101"/>
      <c r="AN54" s="101"/>
      <c r="AO54" s="101"/>
      <c r="AP54" s="101"/>
      <c r="AU54" s="101"/>
      <c r="AV54" s="101"/>
      <c r="AW54" s="101"/>
      <c r="AX54" s="101"/>
      <c r="AY54" s="101"/>
      <c r="BD54" s="101"/>
      <c r="BG54" s="101"/>
      <c r="BH54" s="101"/>
      <c r="BI54" s="101"/>
    </row>
    <row r="55" spans="1:61" ht="14.4" x14ac:dyDescent="0.3">
      <c r="A55" s="101"/>
      <c r="B55" s="101"/>
      <c r="C55" s="101"/>
      <c r="D55" s="101"/>
      <c r="E55" s="101"/>
      <c r="F55" s="101"/>
      <c r="K55" s="101"/>
      <c r="L55" s="101"/>
      <c r="M55" s="101"/>
      <c r="N55" s="101"/>
      <c r="O55" s="101"/>
      <c r="T55" s="101"/>
      <c r="U55" s="101"/>
      <c r="V55" s="101"/>
      <c r="W55" s="101"/>
      <c r="X55" s="101"/>
      <c r="AC55" s="101"/>
      <c r="AD55" s="101"/>
      <c r="AE55" s="101"/>
      <c r="AF55" s="101"/>
      <c r="AG55" s="101"/>
      <c r="AL55" s="101"/>
      <c r="AM55" s="101"/>
      <c r="AN55" s="101"/>
      <c r="AO55" s="101"/>
      <c r="AP55" s="101"/>
      <c r="AU55" s="101"/>
      <c r="AV55" s="101"/>
      <c r="AW55" s="101"/>
      <c r="AX55" s="101"/>
      <c r="AY55" s="101"/>
      <c r="BD55" s="101"/>
      <c r="BG55" s="101"/>
      <c r="BH55" s="101"/>
      <c r="BI55" s="101"/>
    </row>
    <row r="56" spans="1:61" ht="14.4" x14ac:dyDescent="0.3">
      <c r="A56" s="101"/>
      <c r="B56" s="101"/>
      <c r="C56" s="101"/>
      <c r="D56" s="101"/>
      <c r="E56" s="101"/>
      <c r="F56" s="101"/>
      <c r="K56" s="101"/>
      <c r="L56" s="101"/>
      <c r="M56" s="101"/>
      <c r="N56" s="101"/>
      <c r="O56" s="101"/>
      <c r="T56" s="101"/>
      <c r="U56" s="101"/>
      <c r="V56" s="101"/>
      <c r="W56" s="101"/>
      <c r="X56" s="101"/>
      <c r="AC56" s="101"/>
      <c r="AD56" s="101"/>
      <c r="AE56" s="101"/>
      <c r="AF56" s="101"/>
      <c r="AG56" s="101"/>
      <c r="AL56" s="101"/>
      <c r="AM56" s="101"/>
      <c r="AN56" s="101"/>
      <c r="AO56" s="101"/>
      <c r="AP56" s="101"/>
      <c r="AU56" s="101"/>
      <c r="AV56" s="101"/>
      <c r="AW56" s="101"/>
      <c r="AX56" s="101"/>
      <c r="AY56" s="101"/>
      <c r="BD56" s="101"/>
      <c r="BG56" s="101"/>
      <c r="BH56" s="101"/>
      <c r="BI56" s="101"/>
    </row>
    <row r="57" spans="1:61" ht="14.4" x14ac:dyDescent="0.3">
      <c r="A57" s="101"/>
      <c r="B57" s="101"/>
      <c r="C57" s="101"/>
      <c r="D57" s="101"/>
      <c r="E57" s="101"/>
      <c r="F57" s="101"/>
      <c r="K57" s="101"/>
      <c r="L57" s="101"/>
      <c r="M57" s="101"/>
      <c r="N57" s="101"/>
      <c r="O57" s="101"/>
      <c r="T57" s="101"/>
      <c r="U57" s="101"/>
      <c r="V57" s="101"/>
      <c r="W57" s="101"/>
      <c r="X57" s="101"/>
      <c r="AC57" s="101"/>
      <c r="AD57" s="101"/>
      <c r="AE57" s="101"/>
      <c r="AF57" s="101"/>
      <c r="AG57" s="101"/>
      <c r="AL57" s="101"/>
      <c r="AM57" s="101"/>
      <c r="AN57" s="101"/>
      <c r="AO57" s="101"/>
      <c r="AP57" s="101"/>
      <c r="AU57" s="101"/>
      <c r="AV57" s="101"/>
      <c r="AW57" s="101"/>
      <c r="AX57" s="101"/>
      <c r="AY57" s="101"/>
      <c r="BD57" s="101"/>
      <c r="BG57" s="101"/>
      <c r="BH57" s="101"/>
      <c r="BI57" s="101"/>
    </row>
    <row r="58" spans="1:61" ht="14.4" x14ac:dyDescent="0.3">
      <c r="A58" s="101"/>
      <c r="B58" s="101"/>
      <c r="C58" s="101"/>
      <c r="D58" s="101"/>
      <c r="E58" s="101"/>
      <c r="F58" s="101"/>
      <c r="K58" s="101"/>
      <c r="L58" s="101"/>
      <c r="M58" s="101"/>
      <c r="N58" s="101"/>
      <c r="O58" s="101"/>
      <c r="T58" s="101"/>
      <c r="U58" s="101"/>
      <c r="V58" s="101"/>
      <c r="W58" s="101"/>
      <c r="X58" s="101"/>
      <c r="AC58" s="101"/>
      <c r="AD58" s="101"/>
      <c r="AE58" s="101"/>
      <c r="AF58" s="101"/>
      <c r="AG58" s="101"/>
      <c r="AL58" s="101"/>
      <c r="AM58" s="101"/>
      <c r="AN58" s="101"/>
      <c r="AO58" s="101"/>
      <c r="AP58" s="101"/>
      <c r="AU58" s="101"/>
      <c r="AV58" s="101"/>
      <c r="AW58" s="101"/>
      <c r="AX58" s="101"/>
      <c r="AY58" s="101"/>
      <c r="BD58" s="101"/>
      <c r="BG58" s="101"/>
      <c r="BH58" s="101"/>
      <c r="BI58" s="101"/>
    </row>
    <row r="59" spans="1:61" ht="14.4" x14ac:dyDescent="0.3">
      <c r="A59" s="101"/>
      <c r="B59" s="101"/>
      <c r="C59" s="101"/>
      <c r="D59" s="101"/>
      <c r="E59" s="101"/>
      <c r="F59" s="101"/>
      <c r="K59" s="101"/>
      <c r="L59" s="101"/>
      <c r="M59" s="101"/>
      <c r="N59" s="101"/>
      <c r="O59" s="101"/>
      <c r="T59" s="101"/>
      <c r="U59" s="101"/>
      <c r="V59" s="101"/>
      <c r="W59" s="101"/>
      <c r="X59" s="101"/>
      <c r="AC59" s="101"/>
      <c r="AD59" s="101"/>
      <c r="AE59" s="101"/>
      <c r="AF59" s="101"/>
      <c r="AG59" s="101"/>
      <c r="AL59" s="101"/>
      <c r="AM59" s="101"/>
      <c r="AN59" s="101"/>
      <c r="AO59" s="101"/>
      <c r="AP59" s="101"/>
      <c r="AU59" s="101"/>
      <c r="AV59" s="101"/>
      <c r="AW59" s="101"/>
      <c r="AX59" s="101"/>
      <c r="AY59" s="101"/>
      <c r="BD59" s="101"/>
      <c r="BG59" s="101"/>
      <c r="BH59" s="101"/>
      <c r="BI59" s="101"/>
    </row>
    <row r="60" spans="1:61" ht="14.4" x14ac:dyDescent="0.3">
      <c r="A60" s="101"/>
      <c r="B60" s="101"/>
      <c r="C60" s="101"/>
      <c r="D60" s="101"/>
      <c r="E60" s="101"/>
      <c r="F60" s="101"/>
      <c r="K60" s="101"/>
      <c r="L60" s="101"/>
      <c r="M60" s="101"/>
      <c r="N60" s="101"/>
      <c r="O60" s="101"/>
      <c r="T60" s="101"/>
      <c r="U60" s="101"/>
      <c r="V60" s="101"/>
      <c r="W60" s="101"/>
      <c r="X60" s="101"/>
      <c r="AC60" s="101"/>
      <c r="AD60" s="101"/>
      <c r="AE60" s="101"/>
      <c r="AF60" s="101"/>
      <c r="AG60" s="101"/>
      <c r="AL60" s="101"/>
      <c r="AM60" s="101"/>
      <c r="AN60" s="101"/>
      <c r="AO60" s="101"/>
      <c r="AP60" s="101"/>
      <c r="AU60" s="101"/>
      <c r="AV60" s="101"/>
      <c r="AW60" s="101"/>
      <c r="AX60" s="101"/>
      <c r="AY60" s="101"/>
      <c r="BD60" s="101"/>
      <c r="BG60" s="101"/>
      <c r="BH60" s="101"/>
      <c r="BI60" s="101"/>
    </row>
    <row r="61" spans="1:61" ht="14.4" x14ac:dyDescent="0.3">
      <c r="A61" s="101"/>
      <c r="B61" s="101"/>
      <c r="C61" s="101"/>
      <c r="D61" s="101"/>
      <c r="E61" s="101"/>
      <c r="F61" s="101"/>
      <c r="K61" s="101"/>
      <c r="L61" s="101"/>
      <c r="M61" s="101"/>
      <c r="N61" s="101"/>
      <c r="O61" s="101"/>
      <c r="T61" s="101"/>
      <c r="U61" s="101"/>
      <c r="V61" s="101"/>
      <c r="W61" s="101"/>
      <c r="X61" s="101"/>
      <c r="AC61" s="101"/>
      <c r="AD61" s="101"/>
      <c r="AE61" s="101"/>
      <c r="AF61" s="101"/>
      <c r="AG61" s="101"/>
      <c r="AL61" s="101"/>
      <c r="AM61" s="101"/>
      <c r="AN61" s="101"/>
      <c r="AO61" s="101"/>
      <c r="AP61" s="101"/>
      <c r="AU61" s="101"/>
      <c r="AV61" s="101"/>
      <c r="AW61" s="101"/>
      <c r="AX61" s="101"/>
      <c r="AY61" s="101"/>
      <c r="BD61" s="101"/>
      <c r="BG61" s="101"/>
      <c r="BH61" s="101"/>
      <c r="BI61" s="101"/>
    </row>
  </sheetData>
  <sheetProtection password="CC0A" sheet="1" objects="1" scenarios="1"/>
  <protectedRanges>
    <protectedRange algorithmName="SHA-512" hashValue="O3nVqS4WLk4xSwel02S7eaXy8tGCWXJyK2lfu+biOYQmABDVg5zp9yhHMIQgyZW+O3EzpAVmz3gg0T+9nAeyTA==" saltValue="wbZmK8/bm/bSkq9ih+cKbA==" spinCount="100000" sqref="BJ8" name="Range1_2_1"/>
    <protectedRange algorithmName="SHA-512" hashValue="O3nVqS4WLk4xSwel02S7eaXy8tGCWXJyK2lfu+biOYQmABDVg5zp9yhHMIQgyZW+O3EzpAVmz3gg0T+9nAeyTA==" saltValue="wbZmK8/bm/bSkq9ih+cKbA==" spinCount="100000" sqref="BJ22" name="Range1_2_1_1"/>
    <protectedRange algorithmName="SHA-512" hashValue="O3nVqS4WLk4xSwel02S7eaXy8tGCWXJyK2lfu+biOYQmABDVg5zp9yhHMIQgyZW+O3EzpAVmz3gg0T+9nAeyTA==" saltValue="wbZmK8/bm/bSkq9ih+cKbA==" spinCount="100000" sqref="BJ36" name="Range1_2_1_2"/>
    <protectedRange algorithmName="SHA-512" hashValue="O3nVqS4WLk4xSwel02S7eaXy8tGCWXJyK2lfu+biOYQmABDVg5zp9yhHMIQgyZW+O3EzpAVmz3gg0T+9nAeyTA==" saltValue="wbZmK8/bm/bSkq9ih+cKbA==" spinCount="100000" sqref="BK9:BM9 BK23:BM23 BK37:BM37" name="Range1_2_2_1"/>
    <protectedRange algorithmName="SHA-512" hashValue="O3nVqS4WLk4xSwel02S7eaXy8tGCWXJyK2lfu+biOYQmABDVg5zp9yhHMIQgyZW+O3EzpAVmz3gg0T+9nAeyTA==" saltValue="wbZmK8/bm/bSkq9ih+cKbA==" spinCount="100000" sqref="BJ13:BM13 BJ27:BM27 BJ41:BM41" name="Range1_3"/>
  </protectedRanges>
  <mergeCells count="39">
    <mergeCell ref="A1:AK2"/>
    <mergeCell ref="AL1:AT2"/>
    <mergeCell ref="AU1:BC2"/>
    <mergeCell ref="BD1:BF2"/>
    <mergeCell ref="BJ1:BM3"/>
    <mergeCell ref="B3:J3"/>
    <mergeCell ref="K3:S3"/>
    <mergeCell ref="T3:AB3"/>
    <mergeCell ref="AC3:AK3"/>
    <mergeCell ref="AL3:AT3"/>
    <mergeCell ref="AU3:BC3"/>
    <mergeCell ref="BD3:BF3"/>
    <mergeCell ref="BG3:BH3"/>
    <mergeCell ref="A15:AK16"/>
    <mergeCell ref="AL15:AT16"/>
    <mergeCell ref="AU15:BC16"/>
    <mergeCell ref="BD15:BF16"/>
    <mergeCell ref="BJ15:BM17"/>
    <mergeCell ref="B17:J17"/>
    <mergeCell ref="K17:S17"/>
    <mergeCell ref="T17:AB17"/>
    <mergeCell ref="AC17:AK17"/>
    <mergeCell ref="AL17:AT17"/>
    <mergeCell ref="AU17:BC17"/>
    <mergeCell ref="BD17:BF17"/>
    <mergeCell ref="BG17:BH17"/>
    <mergeCell ref="BJ29:BM31"/>
    <mergeCell ref="B31:J31"/>
    <mergeCell ref="K31:S31"/>
    <mergeCell ref="T31:AB31"/>
    <mergeCell ref="AC31:AK31"/>
    <mergeCell ref="AL31:AT31"/>
    <mergeCell ref="AU31:BC31"/>
    <mergeCell ref="BD31:BF31"/>
    <mergeCell ref="BG31:BH31"/>
    <mergeCell ref="A29:AK30"/>
    <mergeCell ref="AL29:AT30"/>
    <mergeCell ref="AU29:BC30"/>
    <mergeCell ref="BD29:BF30"/>
  </mergeCells>
  <conditionalFormatting sqref="A13:F13 I13:O13">
    <cfRule type="cellIs" dxfId="29" priority="30" operator="equal">
      <formula>"PB"</formula>
    </cfRule>
  </conditionalFormatting>
  <conditionalFormatting sqref="BE13">
    <cfRule type="cellIs" dxfId="28" priority="29" operator="equal">
      <formula>"PB"</formula>
    </cfRule>
  </conditionalFormatting>
  <conditionalFormatting sqref="BF13">
    <cfRule type="cellIs" dxfId="27" priority="28" operator="equal">
      <formula>"PB"</formula>
    </cfRule>
  </conditionalFormatting>
  <conditionalFormatting sqref="BI5:BI12">
    <cfRule type="cellIs" dxfId="26" priority="27" operator="equal">
      <formula>"PB"</formula>
    </cfRule>
  </conditionalFormatting>
  <conditionalFormatting sqref="BI19:BI26">
    <cfRule type="cellIs" dxfId="25" priority="26" operator="equal">
      <formula>"PB"</formula>
    </cfRule>
  </conditionalFormatting>
  <conditionalFormatting sqref="BI33:BI40">
    <cfRule type="cellIs" dxfId="24" priority="25" operator="equal">
      <formula>"PB"</formula>
    </cfRule>
  </conditionalFormatting>
  <conditionalFormatting sqref="A27:F27 K27:O27 T27:V27">
    <cfRule type="cellIs" dxfId="23" priority="24" operator="equal">
      <formula>"PB"</formula>
    </cfRule>
  </conditionalFormatting>
  <conditionalFormatting sqref="BF41">
    <cfRule type="cellIs" dxfId="22" priority="19" operator="equal">
      <formula>"PB"</formula>
    </cfRule>
  </conditionalFormatting>
  <conditionalFormatting sqref="BE27">
    <cfRule type="cellIs" dxfId="21" priority="23" operator="equal">
      <formula>"PB"</formula>
    </cfRule>
  </conditionalFormatting>
  <conditionalFormatting sqref="BF27">
    <cfRule type="cellIs" dxfId="20" priority="22" operator="equal">
      <formula>"PB"</formula>
    </cfRule>
  </conditionalFormatting>
  <conditionalFormatting sqref="A41:F41 K41:O41 T41:V41">
    <cfRule type="cellIs" dxfId="19" priority="21" operator="equal">
      <formula>"PB"</formula>
    </cfRule>
  </conditionalFormatting>
  <conditionalFormatting sqref="BE41">
    <cfRule type="cellIs" dxfId="18" priority="20" operator="equal">
      <formula>"PB"</formula>
    </cfRule>
  </conditionalFormatting>
  <conditionalFormatting sqref="R13:S13">
    <cfRule type="cellIs" dxfId="17" priority="18" operator="equal">
      <formula>"PB"</formula>
    </cfRule>
  </conditionalFormatting>
  <conditionalFormatting sqref="V13:W13">
    <cfRule type="cellIs" dxfId="16" priority="17" operator="equal">
      <formula>"PB"</formula>
    </cfRule>
  </conditionalFormatting>
  <conditionalFormatting sqref="AA13:AB13">
    <cfRule type="cellIs" dxfId="15" priority="16" operator="equal">
      <formula>"PB"</formula>
    </cfRule>
  </conditionalFormatting>
  <conditionalFormatting sqref="AJ13:AK13">
    <cfRule type="cellIs" dxfId="14" priority="15" operator="equal">
      <formula>"PB"</formula>
    </cfRule>
  </conditionalFormatting>
  <conditionalFormatting sqref="AS13:AT13">
    <cfRule type="cellIs" dxfId="13" priority="14" operator="equal">
      <formula>"PB"</formula>
    </cfRule>
  </conditionalFormatting>
  <conditionalFormatting sqref="BB13:BC13">
    <cfRule type="cellIs" dxfId="12" priority="13" operator="equal">
      <formula>"PB"</formula>
    </cfRule>
  </conditionalFormatting>
  <conditionalFormatting sqref="I27:J27">
    <cfRule type="cellIs" dxfId="11" priority="12" operator="equal">
      <formula>"PB"</formula>
    </cfRule>
  </conditionalFormatting>
  <conditionalFormatting sqref="R27:S27">
    <cfRule type="cellIs" dxfId="10" priority="11" operator="equal">
      <formula>"PB"</formula>
    </cfRule>
  </conditionalFormatting>
  <conditionalFormatting sqref="AA27:AB27">
    <cfRule type="cellIs" dxfId="9" priority="10" operator="equal">
      <formula>"PB"</formula>
    </cfRule>
  </conditionalFormatting>
  <conditionalFormatting sqref="AJ27:AK27">
    <cfRule type="cellIs" dxfId="8" priority="9" operator="equal">
      <formula>"PB"</formula>
    </cfRule>
  </conditionalFormatting>
  <conditionalFormatting sqref="AS27:AT27">
    <cfRule type="cellIs" dxfId="7" priority="8" operator="equal">
      <formula>"PB"</formula>
    </cfRule>
  </conditionalFormatting>
  <conditionalFormatting sqref="BB27:BC27">
    <cfRule type="cellIs" dxfId="6" priority="7" operator="equal">
      <formula>"PB"</formula>
    </cfRule>
  </conditionalFormatting>
  <conditionalFormatting sqref="I41:J41">
    <cfRule type="cellIs" dxfId="5" priority="6" operator="equal">
      <formula>"PB"</formula>
    </cfRule>
  </conditionalFormatting>
  <conditionalFormatting sqref="R41:S41">
    <cfRule type="cellIs" dxfId="4" priority="5" operator="equal">
      <formula>"PB"</formula>
    </cfRule>
  </conditionalFormatting>
  <conditionalFormatting sqref="AA41:AB41">
    <cfRule type="cellIs" dxfId="3" priority="4" operator="equal">
      <formula>"PB"</formula>
    </cfRule>
  </conditionalFormatting>
  <conditionalFormatting sqref="AJ41:AK41">
    <cfRule type="cellIs" dxfId="2" priority="3" operator="equal">
      <formula>"PB"</formula>
    </cfRule>
  </conditionalFormatting>
  <conditionalFormatting sqref="AS41:AT41">
    <cfRule type="cellIs" dxfId="1" priority="2" operator="equal">
      <formula>"PB"</formula>
    </cfRule>
  </conditionalFormatting>
  <conditionalFormatting sqref="BB41:BC41">
    <cfRule type="cellIs" dxfId="0" priority="1" operator="equal">
      <formula>"PB"</formula>
    </cfRule>
  </conditionalFormatting>
  <dataValidations count="1">
    <dataValidation type="whole" allowBlank="1" showInputMessage="1" showErrorMessage="1" sqref="BE19:BF24 G34:H40 P5:Q5 P35:Q40 Y5:Z6 Y36:Z40 AH5:AI7 AH37:AI40 AQ5:AR8 AQ38:AR40 AZ5:BA9 AZ39:BA40 G6:H12 P19:Q19 P7:Q12 Y8:Z12 Y19:Z20 AH9:AI12 AH19:AI21 AQ10:AR12 AQ19:AR22 AZ11:BA12 AZ19:BA23 BE5:BF10 G20:H26 P21:Q26 P33:Q33 Y22:Z26 Y33:Z34 AH23:AI26 AH33:AI35 AQ24:AR26 AQ33:AR36 AZ25:BA26 AZ33:BA37 BE33:BF38" xr:uid="{00000000-0002-0000-0700-000000000000}">
      <formula1>0</formula1>
      <formula2>500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6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S97"/>
  <sheetViews>
    <sheetView zoomScale="71" zoomScaleNormal="71" workbookViewId="0">
      <selection activeCell="A20" sqref="A20:XFD20"/>
    </sheetView>
  </sheetViews>
  <sheetFormatPr baseColWidth="10" defaultColWidth="8.88671875" defaultRowHeight="23.4" x14ac:dyDescent="0.45"/>
  <cols>
    <col min="2" max="2" width="7.109375" customWidth="1"/>
    <col min="3" max="3" width="32.5546875" customWidth="1"/>
    <col min="4" max="4" width="9" style="1" customWidth="1"/>
    <col min="5" max="5" width="7.109375" customWidth="1"/>
    <col min="6" max="6" width="37.44140625" customWidth="1"/>
    <col min="8" max="8" width="12" style="13" customWidth="1"/>
    <col min="9" max="9" width="12.5546875" style="13" customWidth="1"/>
    <col min="10" max="10" width="13.6640625" style="54" customWidth="1"/>
    <col min="11" max="11" width="19.33203125" style="55" customWidth="1"/>
    <col min="12" max="12" width="22.33203125" style="58" customWidth="1"/>
    <col min="13" max="13" width="11.33203125" style="96" customWidth="1"/>
    <col min="14" max="14" width="14.88671875" style="57" customWidth="1"/>
    <col min="15" max="15" width="13.6640625" style="54" customWidth="1"/>
    <col min="16" max="16" width="22.44140625" style="55" customWidth="1"/>
    <col min="17" max="17" width="22.33203125" style="58" customWidth="1"/>
    <col min="18" max="18" width="14.88671875" style="96" customWidth="1"/>
    <col min="19" max="19" width="11.44140625" style="53" customWidth="1"/>
  </cols>
  <sheetData>
    <row r="1" spans="2:18" ht="24" thickBot="1" x14ac:dyDescent="0.5"/>
    <row r="2" spans="2:18" ht="15" customHeight="1" x14ac:dyDescent="0.35">
      <c r="B2" s="304" t="s">
        <v>102</v>
      </c>
      <c r="C2" s="305"/>
      <c r="D2" s="305"/>
      <c r="E2" s="305"/>
      <c r="F2" s="305"/>
      <c r="G2" s="305"/>
      <c r="H2" s="306"/>
      <c r="I2" s="72"/>
      <c r="J2" s="249" t="s">
        <v>88</v>
      </c>
      <c r="K2" s="250"/>
      <c r="L2" s="249" t="s">
        <v>52</v>
      </c>
      <c r="M2" s="250"/>
      <c r="O2" s="249" t="s">
        <v>88</v>
      </c>
      <c r="P2" s="250"/>
      <c r="Q2" s="249" t="s">
        <v>52</v>
      </c>
      <c r="R2" s="250"/>
    </row>
    <row r="3" spans="2:18" ht="15" customHeight="1" thickBot="1" x14ac:dyDescent="0.4">
      <c r="B3" s="307"/>
      <c r="C3" s="308"/>
      <c r="D3" s="308"/>
      <c r="E3" s="308"/>
      <c r="F3" s="308"/>
      <c r="G3" s="308"/>
      <c r="H3" s="309"/>
      <c r="I3" s="74"/>
      <c r="J3" s="251"/>
      <c r="K3" s="252"/>
      <c r="L3" s="251"/>
      <c r="M3" s="252"/>
      <c r="O3" s="251"/>
      <c r="P3" s="252"/>
      <c r="Q3" s="251"/>
      <c r="R3" s="252"/>
    </row>
    <row r="4" spans="2:18" ht="15" customHeight="1" x14ac:dyDescent="0.35">
      <c r="B4" s="18"/>
      <c r="C4" s="313"/>
      <c r="D4" s="313"/>
      <c r="E4" s="313"/>
      <c r="F4" s="313"/>
      <c r="G4" s="313"/>
      <c r="H4" s="313"/>
      <c r="I4" s="314"/>
      <c r="J4" s="91" t="s">
        <v>94</v>
      </c>
      <c r="K4" s="92" t="s">
        <v>95</v>
      </c>
      <c r="L4" s="295"/>
      <c r="M4" s="296"/>
      <c r="O4" s="91" t="s">
        <v>94</v>
      </c>
      <c r="P4" s="92" t="s">
        <v>95</v>
      </c>
      <c r="Q4" s="295"/>
      <c r="R4" s="296"/>
    </row>
    <row r="5" spans="2:18" ht="15" customHeight="1" x14ac:dyDescent="0.35">
      <c r="B5" s="2"/>
      <c r="C5" s="302"/>
      <c r="D5" s="302"/>
      <c r="E5" s="302"/>
      <c r="F5" s="302"/>
      <c r="G5" s="302"/>
      <c r="H5" s="302"/>
      <c r="I5" s="303"/>
      <c r="J5" s="89" t="s">
        <v>96</v>
      </c>
      <c r="K5" s="90" t="s">
        <v>97</v>
      </c>
      <c r="L5" s="297"/>
      <c r="M5" s="298"/>
      <c r="O5" s="89" t="s">
        <v>96</v>
      </c>
      <c r="P5" s="90" t="s">
        <v>97</v>
      </c>
      <c r="Q5" s="297"/>
      <c r="R5" s="298"/>
    </row>
    <row r="6" spans="2:18" ht="15" customHeight="1" x14ac:dyDescent="0.35">
      <c r="B6" s="2"/>
      <c r="C6" s="310" t="s">
        <v>2</v>
      </c>
      <c r="D6" s="310"/>
      <c r="E6" s="302"/>
      <c r="F6" s="71" t="s">
        <v>90</v>
      </c>
      <c r="G6" s="71"/>
      <c r="H6" s="73"/>
      <c r="I6" s="85"/>
      <c r="J6" s="287" t="s">
        <v>10</v>
      </c>
      <c r="K6" s="289"/>
      <c r="L6" s="297"/>
      <c r="M6" s="298"/>
      <c r="O6" s="287" t="s">
        <v>10</v>
      </c>
      <c r="P6" s="289"/>
      <c r="Q6" s="297"/>
      <c r="R6" s="298"/>
    </row>
    <row r="7" spans="2:18" ht="15" customHeight="1" thickBot="1" x14ac:dyDescent="0.4">
      <c r="B7" s="2"/>
      <c r="C7" s="23" t="s">
        <v>54</v>
      </c>
      <c r="D7" s="11" t="s">
        <v>26</v>
      </c>
      <c r="E7" s="302"/>
      <c r="F7" s="3" t="s">
        <v>4</v>
      </c>
      <c r="G7" s="10">
        <v>4</v>
      </c>
      <c r="H7" s="77" t="s">
        <v>5</v>
      </c>
      <c r="I7" s="100">
        <v>1440</v>
      </c>
      <c r="J7" s="287"/>
      <c r="K7" s="289"/>
      <c r="L7" s="299"/>
      <c r="M7" s="300"/>
      <c r="O7" s="287"/>
      <c r="P7" s="289"/>
      <c r="Q7" s="299"/>
      <c r="R7" s="300"/>
    </row>
    <row r="8" spans="2:18" ht="15" customHeight="1" x14ac:dyDescent="0.35">
      <c r="B8" s="2"/>
      <c r="C8" s="23" t="s">
        <v>0</v>
      </c>
      <c r="D8" s="56" t="s">
        <v>55</v>
      </c>
      <c r="E8" s="302"/>
      <c r="F8" s="3" t="s">
        <v>103</v>
      </c>
      <c r="G8" s="10">
        <v>5</v>
      </c>
      <c r="H8" s="77" t="s">
        <v>3</v>
      </c>
      <c r="I8" s="100">
        <v>20</v>
      </c>
      <c r="J8" s="239"/>
      <c r="K8" s="240"/>
      <c r="L8" s="264" t="s">
        <v>92</v>
      </c>
      <c r="M8" s="262"/>
      <c r="O8" s="254">
        <f>360*(G7+G11)+4*G8+12*G9+G12</f>
        <v>12000</v>
      </c>
      <c r="P8" s="255"/>
      <c r="Q8" s="264" t="s">
        <v>92</v>
      </c>
      <c r="R8" s="262">
        <f>4*(G8+G9)</f>
        <v>60</v>
      </c>
    </row>
    <row r="9" spans="2:18" ht="15" customHeight="1" thickBot="1" x14ac:dyDescent="0.4">
      <c r="B9" s="2"/>
      <c r="C9" s="25" t="s">
        <v>49</v>
      </c>
      <c r="D9" s="34" t="s">
        <v>41</v>
      </c>
      <c r="E9" s="302"/>
      <c r="F9" s="6" t="s">
        <v>104</v>
      </c>
      <c r="G9" s="10">
        <v>10</v>
      </c>
      <c r="H9" s="77" t="s">
        <v>3</v>
      </c>
      <c r="I9" s="100">
        <v>120</v>
      </c>
      <c r="J9" s="270"/>
      <c r="K9" s="271"/>
      <c r="L9" s="290"/>
      <c r="M9" s="263"/>
      <c r="O9" s="256"/>
      <c r="P9" s="257"/>
      <c r="Q9" s="290"/>
      <c r="R9" s="263"/>
    </row>
    <row r="10" spans="2:18" ht="15" customHeight="1" x14ac:dyDescent="0.35">
      <c r="B10" s="2"/>
      <c r="C10" s="3"/>
      <c r="D10" s="56"/>
      <c r="E10" s="302"/>
      <c r="F10" s="3" t="s">
        <v>105</v>
      </c>
      <c r="G10" s="10">
        <v>20</v>
      </c>
      <c r="H10" s="77" t="s">
        <v>116</v>
      </c>
      <c r="I10" s="100">
        <v>0</v>
      </c>
      <c r="J10" s="270"/>
      <c r="K10" s="271"/>
      <c r="L10" s="290" t="s">
        <v>53</v>
      </c>
      <c r="M10" s="262"/>
      <c r="O10" s="256"/>
      <c r="P10" s="257"/>
      <c r="Q10" s="290" t="s">
        <v>53</v>
      </c>
      <c r="R10" s="243">
        <f>G10+360*G11+G13-G12</f>
        <v>3000</v>
      </c>
    </row>
    <row r="11" spans="2:18" ht="15.75" customHeight="1" thickBot="1" x14ac:dyDescent="0.4">
      <c r="B11" s="2"/>
      <c r="C11" s="71" t="s">
        <v>17</v>
      </c>
      <c r="D11" s="71"/>
      <c r="E11" s="302"/>
      <c r="F11" s="6" t="s">
        <v>106</v>
      </c>
      <c r="G11" s="10">
        <v>0</v>
      </c>
      <c r="H11" s="77" t="s">
        <v>5</v>
      </c>
      <c r="I11" s="100">
        <v>0</v>
      </c>
      <c r="J11" s="241"/>
      <c r="K11" s="242"/>
      <c r="L11" s="290"/>
      <c r="M11" s="244"/>
      <c r="O11" s="258"/>
      <c r="P11" s="259"/>
      <c r="Q11" s="290"/>
      <c r="R11" s="244"/>
    </row>
    <row r="12" spans="2:18" ht="15" customHeight="1" x14ac:dyDescent="0.35">
      <c r="B12" s="2"/>
      <c r="C12" s="23" t="s">
        <v>11</v>
      </c>
      <c r="D12" s="43">
        <v>0.22916666666666666</v>
      </c>
      <c r="E12" s="302"/>
      <c r="F12" s="3" t="s">
        <v>42</v>
      </c>
      <c r="G12" s="10">
        <v>10420</v>
      </c>
      <c r="H12" s="77"/>
      <c r="I12" s="100">
        <v>10420</v>
      </c>
      <c r="J12" s="170"/>
      <c r="K12" s="17"/>
      <c r="L12" s="17"/>
      <c r="M12" s="171"/>
      <c r="O12" s="301"/>
      <c r="P12" s="302"/>
      <c r="Q12" s="302"/>
      <c r="R12" s="303"/>
    </row>
    <row r="13" spans="2:18" ht="15" customHeight="1" x14ac:dyDescent="0.35">
      <c r="B13" s="2"/>
      <c r="C13" s="23" t="s">
        <v>12</v>
      </c>
      <c r="D13" s="43">
        <v>0.27777777777777779</v>
      </c>
      <c r="E13" s="302"/>
      <c r="F13" s="3" t="s">
        <v>108</v>
      </c>
      <c r="G13" s="9">
        <v>13400</v>
      </c>
      <c r="H13" s="77"/>
      <c r="I13" s="83">
        <v>0</v>
      </c>
      <c r="J13" s="170"/>
      <c r="K13" s="17"/>
      <c r="L13" s="17"/>
      <c r="M13" s="171"/>
      <c r="O13" s="301"/>
      <c r="P13" s="302"/>
      <c r="Q13" s="302"/>
      <c r="R13" s="303"/>
    </row>
    <row r="14" spans="2:18" ht="15" customHeight="1" x14ac:dyDescent="0.35">
      <c r="B14" s="2"/>
      <c r="C14" s="25" t="s">
        <v>13</v>
      </c>
      <c r="D14" s="43">
        <v>0.25</v>
      </c>
      <c r="E14" s="302"/>
      <c r="F14" s="15" t="s">
        <v>107</v>
      </c>
      <c r="G14" s="10"/>
      <c r="H14" s="77"/>
      <c r="I14" s="311"/>
      <c r="J14" s="170"/>
      <c r="K14" s="17"/>
      <c r="L14" s="17"/>
      <c r="M14" s="171"/>
      <c r="O14" s="301"/>
      <c r="P14" s="302"/>
      <c r="Q14" s="302"/>
      <c r="R14" s="303"/>
    </row>
    <row r="15" spans="2:18" ht="15" customHeight="1" x14ac:dyDescent="0.35">
      <c r="B15" s="2"/>
      <c r="C15" s="25" t="s">
        <v>14</v>
      </c>
      <c r="D15" s="43">
        <v>0.22916666666666666</v>
      </c>
      <c r="E15" s="302"/>
      <c r="F15" s="15" t="s">
        <v>84</v>
      </c>
      <c r="G15" s="10"/>
      <c r="H15" s="77"/>
      <c r="I15" s="312"/>
      <c r="J15" s="170"/>
      <c r="K15" s="17"/>
      <c r="L15" s="17"/>
      <c r="M15" s="171"/>
      <c r="O15" s="301"/>
      <c r="P15" s="302"/>
      <c r="Q15" s="302"/>
      <c r="R15" s="303"/>
    </row>
    <row r="16" spans="2:18" ht="15" customHeight="1" thickBot="1" x14ac:dyDescent="0.4">
      <c r="B16" s="2"/>
      <c r="C16" s="25" t="s">
        <v>15</v>
      </c>
      <c r="D16" s="43">
        <v>0.18055555555555555</v>
      </c>
      <c r="E16" s="302"/>
      <c r="G16" s="52"/>
      <c r="H16" s="56"/>
      <c r="I16" s="312"/>
      <c r="J16" s="170"/>
      <c r="K16" s="17"/>
      <c r="L16" s="17"/>
      <c r="M16" s="171"/>
      <c r="O16" s="301"/>
      <c r="P16" s="302"/>
      <c r="Q16" s="302"/>
      <c r="R16" s="303"/>
    </row>
    <row r="17" spans="2:19" ht="15" customHeight="1" x14ac:dyDescent="0.35">
      <c r="B17" s="2"/>
      <c r="C17" s="25" t="s">
        <v>16</v>
      </c>
      <c r="D17" s="43">
        <v>0.30555555555555552</v>
      </c>
      <c r="E17" s="302"/>
      <c r="F17" s="71" t="s">
        <v>50</v>
      </c>
      <c r="G17" s="71"/>
      <c r="H17" s="73"/>
      <c r="I17" s="312"/>
      <c r="J17" s="285" t="s">
        <v>117</v>
      </c>
      <c r="K17" s="286"/>
      <c r="L17" s="297"/>
      <c r="M17" s="298"/>
      <c r="O17" s="285" t="s">
        <v>89</v>
      </c>
      <c r="P17" s="286"/>
      <c r="Q17" s="297"/>
      <c r="R17" s="298"/>
    </row>
    <row r="18" spans="2:19" ht="15" customHeight="1" x14ac:dyDescent="0.35">
      <c r="B18" s="2"/>
      <c r="C18" s="316"/>
      <c r="D18" s="316"/>
      <c r="E18" s="302"/>
      <c r="F18" s="6" t="s">
        <v>91</v>
      </c>
      <c r="G18" s="10">
        <v>12</v>
      </c>
      <c r="H18" s="82" t="s">
        <v>115</v>
      </c>
      <c r="I18" s="83">
        <v>0</v>
      </c>
      <c r="J18" s="287"/>
      <c r="K18" s="288"/>
      <c r="L18" s="297"/>
      <c r="M18" s="298"/>
      <c r="O18" s="287"/>
      <c r="P18" s="288"/>
      <c r="Q18" s="297"/>
      <c r="R18" s="298"/>
    </row>
    <row r="19" spans="2:19" ht="15" customHeight="1" thickBot="1" x14ac:dyDescent="0.4">
      <c r="B19" s="2"/>
      <c r="C19" s="316"/>
      <c r="D19" s="316"/>
      <c r="E19" s="302"/>
      <c r="F19" s="6" t="s">
        <v>56</v>
      </c>
      <c r="G19" s="10">
        <v>7</v>
      </c>
      <c r="H19" s="82" t="s">
        <v>115</v>
      </c>
      <c r="I19" s="83">
        <v>1904</v>
      </c>
      <c r="J19" s="287"/>
      <c r="K19" s="288"/>
      <c r="L19" s="299"/>
      <c r="M19" s="300"/>
      <c r="O19" s="287"/>
      <c r="P19" s="288"/>
      <c r="Q19" s="299"/>
      <c r="R19" s="300"/>
    </row>
    <row r="20" spans="2:19" ht="15.75" customHeight="1" x14ac:dyDescent="0.35">
      <c r="B20" s="2"/>
      <c r="C20" s="316"/>
      <c r="D20" s="316"/>
      <c r="E20" s="302"/>
      <c r="F20" s="15" t="s">
        <v>34</v>
      </c>
      <c r="G20" s="10"/>
      <c r="H20" s="73"/>
      <c r="J20" s="239"/>
      <c r="K20" s="240"/>
      <c r="L20" s="264" t="s">
        <v>98</v>
      </c>
      <c r="M20" s="262"/>
      <c r="O20" s="254">
        <f>272*G19</f>
        <v>1904</v>
      </c>
      <c r="P20" s="255"/>
      <c r="Q20" s="264" t="s">
        <v>98</v>
      </c>
      <c r="R20" s="243">
        <f>G18</f>
        <v>12</v>
      </c>
    </row>
    <row r="21" spans="2:19" ht="15" customHeight="1" thickBot="1" x14ac:dyDescent="0.4">
      <c r="B21" s="2"/>
      <c r="C21" s="316"/>
      <c r="D21" s="316"/>
      <c r="E21" s="302"/>
      <c r="F21" s="15"/>
      <c r="G21" s="10"/>
      <c r="H21" s="73"/>
      <c r="I21" s="13" t="e">
        <f ca="1">_xludf.sum(I7:I19)</f>
        <v>#NAME?</v>
      </c>
      <c r="J21" s="270"/>
      <c r="K21" s="271"/>
      <c r="L21" s="265"/>
      <c r="M21" s="244"/>
      <c r="O21" s="256"/>
      <c r="P21" s="257"/>
      <c r="Q21" s="265"/>
      <c r="R21" s="244"/>
    </row>
    <row r="22" spans="2:19" ht="15" customHeight="1" x14ac:dyDescent="0.35">
      <c r="B22" s="2"/>
      <c r="C22" s="71" t="s">
        <v>25</v>
      </c>
      <c r="D22" s="71"/>
      <c r="E22" s="302"/>
      <c r="F22" s="40"/>
      <c r="G22" s="40"/>
      <c r="H22" s="302"/>
      <c r="I22" s="303"/>
      <c r="J22" s="270"/>
      <c r="K22" s="271"/>
      <c r="L22" s="290" t="s">
        <v>99</v>
      </c>
      <c r="M22" s="262"/>
      <c r="O22" s="256"/>
      <c r="P22" s="257"/>
      <c r="Q22" s="290" t="s">
        <v>99</v>
      </c>
      <c r="R22" s="243">
        <f>G19</f>
        <v>7</v>
      </c>
    </row>
    <row r="23" spans="2:19" ht="15" customHeight="1" thickBot="1" x14ac:dyDescent="0.4">
      <c r="B23" s="2"/>
      <c r="C23" s="3" t="s">
        <v>1</v>
      </c>
      <c r="D23" s="43">
        <v>0.125</v>
      </c>
      <c r="E23" s="302"/>
      <c r="F23" s="6" t="s">
        <v>43</v>
      </c>
      <c r="G23" s="51" t="s">
        <v>23</v>
      </c>
      <c r="H23" s="302"/>
      <c r="I23" s="303"/>
      <c r="J23" s="241"/>
      <c r="K23" s="242"/>
      <c r="L23" s="265"/>
      <c r="M23" s="244"/>
      <c r="O23" s="258"/>
      <c r="P23" s="259"/>
      <c r="Q23" s="265"/>
      <c r="R23" s="244"/>
    </row>
    <row r="24" spans="2:19" ht="15" customHeight="1" x14ac:dyDescent="0.3">
      <c r="B24" s="2"/>
      <c r="C24" s="302"/>
      <c r="D24" s="302"/>
      <c r="E24" s="302"/>
      <c r="F24" s="316"/>
      <c r="G24" s="316"/>
      <c r="H24" s="316"/>
      <c r="I24" s="303"/>
      <c r="J24" s="285" t="s">
        <v>93</v>
      </c>
      <c r="K24" s="286"/>
      <c r="L24" s="295"/>
      <c r="M24" s="296"/>
      <c r="N24"/>
      <c r="O24" s="285" t="s">
        <v>93</v>
      </c>
      <c r="P24" s="286"/>
      <c r="Q24" s="295"/>
      <c r="R24" s="296"/>
      <c r="S24"/>
    </row>
    <row r="25" spans="2:19" ht="15" customHeight="1" x14ac:dyDescent="0.3">
      <c r="B25" s="2"/>
      <c r="C25" s="302"/>
      <c r="D25" s="302"/>
      <c r="E25" s="302"/>
      <c r="F25" s="316"/>
      <c r="G25" s="316"/>
      <c r="H25" s="316"/>
      <c r="I25" s="303"/>
      <c r="J25" s="287"/>
      <c r="K25" s="288"/>
      <c r="L25" s="297"/>
      <c r="M25" s="298"/>
      <c r="N25"/>
      <c r="O25" s="287"/>
      <c r="P25" s="288"/>
      <c r="Q25" s="297"/>
      <c r="R25" s="298"/>
      <c r="S25"/>
    </row>
    <row r="26" spans="2:19" ht="15" customHeight="1" thickBot="1" x14ac:dyDescent="0.35">
      <c r="B26" s="2"/>
      <c r="C26" s="302"/>
      <c r="D26" s="302"/>
      <c r="E26" s="302"/>
      <c r="F26" s="316"/>
      <c r="G26" s="316"/>
      <c r="H26" s="316"/>
      <c r="I26" s="303"/>
      <c r="J26" s="287"/>
      <c r="K26" s="288"/>
      <c r="L26" s="297"/>
      <c r="M26" s="298"/>
      <c r="N26"/>
      <c r="O26" s="287"/>
      <c r="P26" s="288"/>
      <c r="Q26" s="297"/>
      <c r="R26" s="298"/>
      <c r="S26"/>
    </row>
    <row r="27" spans="2:19" ht="15" customHeight="1" x14ac:dyDescent="0.3">
      <c r="B27" s="2"/>
      <c r="C27" s="302"/>
      <c r="D27" s="302"/>
      <c r="E27" s="302"/>
      <c r="F27" s="316"/>
      <c r="G27" s="316"/>
      <c r="H27" s="316"/>
      <c r="I27" s="303"/>
      <c r="J27" s="239"/>
      <c r="K27" s="240"/>
      <c r="L27" s="297"/>
      <c r="M27" s="298"/>
      <c r="N27"/>
      <c r="O27" s="291">
        <f>O20+O8</f>
        <v>13904</v>
      </c>
      <c r="P27" s="292"/>
      <c r="Q27" s="297"/>
      <c r="R27" s="298"/>
      <c r="S27"/>
    </row>
    <row r="28" spans="2:19" ht="15.75" customHeight="1" thickBot="1" x14ac:dyDescent="0.35">
      <c r="B28" s="4"/>
      <c r="C28" s="315"/>
      <c r="D28" s="315"/>
      <c r="E28" s="315"/>
      <c r="F28" s="315"/>
      <c r="G28" s="315"/>
      <c r="H28" s="315"/>
      <c r="I28" s="317"/>
      <c r="J28" s="241"/>
      <c r="K28" s="242"/>
      <c r="L28" s="299"/>
      <c r="M28" s="300"/>
      <c r="N28"/>
      <c r="O28" s="293"/>
      <c r="P28" s="294"/>
      <c r="Q28" s="299"/>
      <c r="R28" s="300"/>
      <c r="S28"/>
    </row>
    <row r="29" spans="2:19" ht="24" thickBot="1" x14ac:dyDescent="0.5">
      <c r="B29" s="6"/>
      <c r="C29" s="6"/>
      <c r="D29" s="8"/>
      <c r="E29" s="6"/>
    </row>
    <row r="30" spans="2:19" ht="18.75" hidden="1" customHeight="1" thickBot="1" x14ac:dyDescent="0.5">
      <c r="B30" s="6"/>
      <c r="C30" s="6"/>
      <c r="D30" s="8"/>
      <c r="E30" s="6"/>
      <c r="F30" s="15"/>
      <c r="G30" s="10"/>
      <c r="H30" s="14"/>
      <c r="I30" s="73"/>
    </row>
    <row r="31" spans="2:19" ht="15" hidden="1" customHeight="1" x14ac:dyDescent="0.45">
      <c r="B31" s="304" t="s">
        <v>67</v>
      </c>
      <c r="C31" s="305"/>
      <c r="D31" s="305"/>
      <c r="E31" s="305"/>
      <c r="F31" s="305"/>
      <c r="G31" s="305"/>
      <c r="H31" s="306"/>
      <c r="I31" s="74"/>
    </row>
    <row r="32" spans="2:19" ht="15" hidden="1" customHeight="1" thickBot="1" x14ac:dyDescent="0.5">
      <c r="B32" s="318"/>
      <c r="C32" s="319"/>
      <c r="D32" s="319"/>
      <c r="E32" s="319"/>
      <c r="F32" s="319"/>
      <c r="G32" s="319"/>
      <c r="H32" s="320"/>
      <c r="I32" s="74"/>
    </row>
    <row r="33" spans="2:19" ht="18.75" hidden="1" customHeight="1" x14ac:dyDescent="0.45">
      <c r="B33" s="36"/>
      <c r="C33" s="37"/>
      <c r="D33" s="20"/>
      <c r="E33" s="37"/>
      <c r="F33" s="38"/>
      <c r="G33" s="39"/>
      <c r="H33" s="28"/>
      <c r="I33" s="73"/>
    </row>
    <row r="34" spans="2:19" ht="19.5" hidden="1" customHeight="1" thickBot="1" x14ac:dyDescent="0.5">
      <c r="B34" s="2"/>
      <c r="C34" s="48" t="s">
        <v>27</v>
      </c>
      <c r="D34" s="27"/>
      <c r="E34" s="3"/>
      <c r="F34" s="35" t="s">
        <v>32</v>
      </c>
      <c r="G34" s="3"/>
      <c r="H34" s="22"/>
      <c r="I34" s="73"/>
    </row>
    <row r="35" spans="2:19" ht="18.75" hidden="1" customHeight="1" x14ac:dyDescent="0.45">
      <c r="B35" s="2"/>
      <c r="C35" s="49" t="s">
        <v>28</v>
      </c>
      <c r="D35" s="7">
        <v>0.5</v>
      </c>
      <c r="E35" s="3"/>
      <c r="F35" s="29" t="s">
        <v>6</v>
      </c>
      <c r="G35" s="3"/>
      <c r="H35" s="22"/>
      <c r="I35" s="73"/>
    </row>
    <row r="36" spans="2:19" ht="18.75" hidden="1" customHeight="1" x14ac:dyDescent="0.45">
      <c r="B36" s="2"/>
      <c r="C36" s="23" t="s">
        <v>29</v>
      </c>
      <c r="D36" s="7">
        <v>0.3</v>
      </c>
      <c r="E36" s="3"/>
      <c r="F36" s="29" t="s">
        <v>7</v>
      </c>
      <c r="G36" s="3"/>
      <c r="H36" s="22"/>
      <c r="I36" s="73"/>
    </row>
    <row r="37" spans="2:19" ht="18.75" hidden="1" customHeight="1" x14ac:dyDescent="0.45">
      <c r="B37" s="2"/>
      <c r="C37" s="23" t="s">
        <v>30</v>
      </c>
      <c r="D37" s="7">
        <v>0.15</v>
      </c>
      <c r="E37" s="3"/>
      <c r="F37" s="29" t="s">
        <v>8</v>
      </c>
      <c r="G37" s="3"/>
      <c r="H37" s="22"/>
      <c r="I37" s="73"/>
    </row>
    <row r="38" spans="2:19" ht="18.75" hidden="1" customHeight="1" x14ac:dyDescent="0.45">
      <c r="B38" s="2"/>
      <c r="C38" s="23" t="s">
        <v>44</v>
      </c>
      <c r="D38" s="9">
        <v>15</v>
      </c>
      <c r="E38" s="3"/>
      <c r="F38" s="29" t="s">
        <v>46</v>
      </c>
      <c r="G38" s="3">
        <v>400</v>
      </c>
      <c r="H38" s="41" t="s">
        <v>45</v>
      </c>
      <c r="I38" s="29"/>
    </row>
    <row r="39" spans="2:19" ht="19.5" hidden="1" customHeight="1" thickBot="1" x14ac:dyDescent="0.5">
      <c r="B39" s="4"/>
      <c r="C39" s="50" t="s">
        <v>31</v>
      </c>
      <c r="D39" s="44">
        <v>40</v>
      </c>
      <c r="E39" s="5"/>
      <c r="F39" s="45" t="s">
        <v>47</v>
      </c>
      <c r="G39" s="46">
        <v>0.16666666666666666</v>
      </c>
      <c r="H39" s="47" t="s">
        <v>48</v>
      </c>
      <c r="I39" s="29"/>
    </row>
    <row r="40" spans="2:19" ht="18.75" hidden="1" customHeight="1" x14ac:dyDescent="0.45">
      <c r="B40" s="3"/>
      <c r="C40" s="3"/>
      <c r="D40" s="9"/>
      <c r="E40" s="3"/>
      <c r="F40" s="29"/>
      <c r="G40" s="43"/>
      <c r="H40" s="29"/>
      <c r="I40" s="29"/>
    </row>
    <row r="41" spans="2:19" ht="18.75" hidden="1" customHeight="1" x14ac:dyDescent="0.45">
      <c r="B41" s="3"/>
      <c r="C41" s="3"/>
      <c r="D41" s="9"/>
      <c r="E41" s="3"/>
      <c r="F41" s="29"/>
      <c r="G41" s="43"/>
      <c r="H41" s="29"/>
      <c r="I41" s="29"/>
    </row>
    <row r="42" spans="2:19" ht="18.75" hidden="1" customHeight="1" x14ac:dyDescent="0.45">
      <c r="B42" s="3"/>
      <c r="C42" s="3"/>
      <c r="D42" s="9"/>
      <c r="E42" s="3"/>
      <c r="F42" s="29"/>
      <c r="G42" s="43"/>
      <c r="H42" s="29"/>
      <c r="I42" s="29"/>
    </row>
    <row r="43" spans="2:19" ht="15" customHeight="1" x14ac:dyDescent="0.35">
      <c r="B43" s="272" t="s">
        <v>101</v>
      </c>
      <c r="C43" s="273"/>
      <c r="D43" s="273"/>
      <c r="E43" s="273"/>
      <c r="F43" s="273"/>
      <c r="G43" s="273"/>
      <c r="H43" s="274"/>
      <c r="I43" s="81"/>
      <c r="J43" s="249" t="s">
        <v>88</v>
      </c>
      <c r="K43" s="250"/>
      <c r="L43" s="249" t="s">
        <v>52</v>
      </c>
      <c r="M43" s="250"/>
      <c r="O43" s="249" t="s">
        <v>88</v>
      </c>
      <c r="P43" s="250"/>
      <c r="Q43" s="249" t="s">
        <v>52</v>
      </c>
      <c r="R43" s="250"/>
      <c r="S43" s="79"/>
    </row>
    <row r="44" spans="2:19" ht="15" customHeight="1" thickBot="1" x14ac:dyDescent="0.4">
      <c r="B44" s="275"/>
      <c r="C44" s="276"/>
      <c r="D44" s="276"/>
      <c r="E44" s="276"/>
      <c r="F44" s="276"/>
      <c r="G44" s="276"/>
      <c r="H44" s="277"/>
      <c r="I44" s="75"/>
      <c r="J44" s="251"/>
      <c r="K44" s="252"/>
      <c r="L44" s="251"/>
      <c r="M44" s="252"/>
      <c r="O44" s="251"/>
      <c r="P44" s="252"/>
      <c r="Q44" s="251"/>
      <c r="R44" s="252"/>
      <c r="S44" s="79"/>
    </row>
    <row r="45" spans="2:19" ht="15" customHeight="1" x14ac:dyDescent="0.35">
      <c r="B45" s="18"/>
      <c r="C45" s="19"/>
      <c r="D45" s="20"/>
      <c r="E45" s="19"/>
      <c r="F45" s="19"/>
      <c r="G45" s="19"/>
      <c r="H45" s="21"/>
      <c r="I45" s="84"/>
      <c r="J45" s="173" t="s">
        <v>94</v>
      </c>
      <c r="K45" s="174" t="s">
        <v>95</v>
      </c>
      <c r="L45" s="295"/>
      <c r="M45" s="296"/>
      <c r="O45" s="91" t="s">
        <v>94</v>
      </c>
      <c r="P45" s="92" t="s">
        <v>95</v>
      </c>
      <c r="Q45" s="295"/>
      <c r="R45" s="296"/>
      <c r="S45" s="79"/>
    </row>
    <row r="46" spans="2:19" ht="15" customHeight="1" x14ac:dyDescent="0.35">
      <c r="B46" s="2"/>
      <c r="C46" s="17"/>
      <c r="D46" s="17"/>
      <c r="E46" s="17"/>
      <c r="F46" s="3"/>
      <c r="G46" s="3"/>
      <c r="H46" s="82"/>
      <c r="I46" s="85"/>
      <c r="J46" s="175" t="s">
        <v>96</v>
      </c>
      <c r="K46" s="176" t="s">
        <v>97</v>
      </c>
      <c r="L46" s="297"/>
      <c r="M46" s="298"/>
      <c r="O46" s="89" t="s">
        <v>96</v>
      </c>
      <c r="P46" s="90" t="s">
        <v>97</v>
      </c>
      <c r="Q46" s="297"/>
      <c r="R46" s="298"/>
      <c r="S46" s="79"/>
    </row>
    <row r="47" spans="2:19" ht="15" customHeight="1" x14ac:dyDescent="0.35">
      <c r="B47" s="2"/>
      <c r="C47" s="278" t="s">
        <v>2</v>
      </c>
      <c r="D47" s="278"/>
      <c r="E47" s="3"/>
      <c r="F47" s="94" t="s">
        <v>90</v>
      </c>
      <c r="G47" s="94"/>
      <c r="H47" s="82"/>
      <c r="I47" s="85"/>
      <c r="J47" s="247" t="s">
        <v>10</v>
      </c>
      <c r="K47" s="266"/>
      <c r="L47" s="297"/>
      <c r="M47" s="298"/>
      <c r="O47" s="247" t="s">
        <v>10</v>
      </c>
      <c r="P47" s="266"/>
      <c r="Q47" s="297"/>
      <c r="R47" s="298"/>
      <c r="S47" s="79"/>
    </row>
    <row r="48" spans="2:19" ht="15" customHeight="1" thickBot="1" x14ac:dyDescent="0.4">
      <c r="B48" s="2"/>
      <c r="C48" s="23" t="s">
        <v>54</v>
      </c>
      <c r="D48" s="51" t="s">
        <v>23</v>
      </c>
      <c r="E48" s="3"/>
      <c r="F48" s="3" t="s">
        <v>4</v>
      </c>
      <c r="G48" s="10">
        <v>9</v>
      </c>
      <c r="H48" s="77" t="s">
        <v>5</v>
      </c>
      <c r="I48" s="83"/>
      <c r="J48" s="247"/>
      <c r="K48" s="266"/>
      <c r="L48" s="299"/>
      <c r="M48" s="300"/>
      <c r="O48" s="247"/>
      <c r="P48" s="266"/>
      <c r="Q48" s="299"/>
      <c r="R48" s="300"/>
      <c r="S48" s="79"/>
    </row>
    <row r="49" spans="2:19" ht="15" customHeight="1" x14ac:dyDescent="0.35">
      <c r="B49" s="2"/>
      <c r="C49" s="23" t="s">
        <v>0</v>
      </c>
      <c r="D49" s="56" t="s">
        <v>9</v>
      </c>
      <c r="E49" s="3"/>
      <c r="F49" s="3" t="s">
        <v>103</v>
      </c>
      <c r="G49" s="10">
        <v>25</v>
      </c>
      <c r="H49" s="77" t="s">
        <v>3</v>
      </c>
      <c r="I49" s="83"/>
      <c r="J49" s="239">
        <v>0</v>
      </c>
      <c r="K49" s="240"/>
      <c r="L49" s="267" t="s">
        <v>92</v>
      </c>
      <c r="M49" s="262">
        <v>0</v>
      </c>
      <c r="O49" s="254">
        <f>360*G48+4*G49+12*G50+G53</f>
        <v>10000</v>
      </c>
      <c r="P49" s="255"/>
      <c r="Q49" s="267" t="s">
        <v>92</v>
      </c>
      <c r="R49" s="262">
        <f>4*(G49+G50)</f>
        <v>100</v>
      </c>
      <c r="S49" s="79"/>
    </row>
    <row r="50" spans="2:19" ht="15" customHeight="1" thickBot="1" x14ac:dyDescent="0.4">
      <c r="B50" s="2"/>
      <c r="C50" s="25" t="s">
        <v>49</v>
      </c>
      <c r="D50" s="51" t="s">
        <v>51</v>
      </c>
      <c r="E50" s="3"/>
      <c r="F50" s="6" t="s">
        <v>104</v>
      </c>
      <c r="G50" s="10"/>
      <c r="H50" s="77" t="s">
        <v>3</v>
      </c>
      <c r="I50" s="83"/>
      <c r="J50" s="270"/>
      <c r="K50" s="271"/>
      <c r="L50" s="268"/>
      <c r="M50" s="263"/>
      <c r="O50" s="256"/>
      <c r="P50" s="257"/>
      <c r="Q50" s="268"/>
      <c r="R50" s="263"/>
      <c r="S50" s="79"/>
    </row>
    <row r="51" spans="2:19" ht="15" customHeight="1" x14ac:dyDescent="0.35">
      <c r="B51" s="2"/>
      <c r="C51" s="3"/>
      <c r="D51" s="56"/>
      <c r="E51" s="3"/>
      <c r="F51" s="3" t="s">
        <v>105</v>
      </c>
      <c r="G51" s="10">
        <v>35</v>
      </c>
      <c r="H51" s="77" t="s">
        <v>116</v>
      </c>
      <c r="I51" s="83"/>
      <c r="J51" s="270"/>
      <c r="K51" s="271"/>
      <c r="L51" s="268" t="s">
        <v>53</v>
      </c>
      <c r="M51" s="262">
        <v>0</v>
      </c>
      <c r="O51" s="256"/>
      <c r="P51" s="257"/>
      <c r="Q51" s="268" t="s">
        <v>53</v>
      </c>
      <c r="R51" s="243">
        <f>G51+360*G52+G54-G53</f>
        <v>5000</v>
      </c>
      <c r="S51" s="79"/>
    </row>
    <row r="52" spans="2:19" ht="15.75" customHeight="1" thickBot="1" x14ac:dyDescent="0.4">
      <c r="B52" s="2"/>
      <c r="C52" s="94" t="s">
        <v>17</v>
      </c>
      <c r="D52" s="94"/>
      <c r="E52" s="3"/>
      <c r="F52" s="6" t="s">
        <v>106</v>
      </c>
      <c r="G52" s="10">
        <v>2</v>
      </c>
      <c r="H52" s="77" t="s">
        <v>5</v>
      </c>
      <c r="I52" s="83"/>
      <c r="J52" s="241"/>
      <c r="K52" s="242"/>
      <c r="L52" s="268"/>
      <c r="M52" s="244"/>
      <c r="O52" s="258"/>
      <c r="P52" s="259"/>
      <c r="Q52" s="268"/>
      <c r="R52" s="244"/>
      <c r="S52" s="79"/>
    </row>
    <row r="53" spans="2:19" ht="15" customHeight="1" x14ac:dyDescent="0.35">
      <c r="B53" s="2"/>
      <c r="C53" s="23" t="s">
        <v>11</v>
      </c>
      <c r="D53" s="43">
        <v>0.13194444444444445</v>
      </c>
      <c r="E53" s="3"/>
      <c r="F53" s="3" t="s">
        <v>42</v>
      </c>
      <c r="G53" s="10">
        <v>6660</v>
      </c>
      <c r="H53" s="10"/>
      <c r="I53" s="83"/>
      <c r="J53" s="301"/>
      <c r="K53" s="302"/>
      <c r="L53" s="302"/>
      <c r="M53" s="303"/>
      <c r="O53" s="301"/>
      <c r="P53" s="302"/>
      <c r="Q53" s="302"/>
      <c r="R53" s="303"/>
      <c r="S53" s="79"/>
    </row>
    <row r="54" spans="2:19" ht="15" customHeight="1" x14ac:dyDescent="0.35">
      <c r="B54" s="2"/>
      <c r="C54" s="23" t="s">
        <v>12</v>
      </c>
      <c r="D54" s="43">
        <v>0.25</v>
      </c>
      <c r="E54" s="3"/>
      <c r="F54" s="3" t="s">
        <v>108</v>
      </c>
      <c r="G54" s="9">
        <v>10905</v>
      </c>
      <c r="H54" s="9"/>
      <c r="I54" s="83"/>
      <c r="J54" s="301"/>
      <c r="K54" s="302"/>
      <c r="L54" s="302"/>
      <c r="M54" s="303"/>
      <c r="O54" s="301"/>
      <c r="P54" s="302"/>
      <c r="Q54" s="302"/>
      <c r="R54" s="303"/>
      <c r="S54" s="79"/>
    </row>
    <row r="55" spans="2:19" ht="15" customHeight="1" x14ac:dyDescent="0.35">
      <c r="B55" s="2"/>
      <c r="C55" s="25" t="s">
        <v>13</v>
      </c>
      <c r="D55" s="43">
        <v>0.34027777777777773</v>
      </c>
      <c r="E55" s="3"/>
      <c r="F55" s="15" t="s">
        <v>109</v>
      </c>
      <c r="G55" s="10"/>
      <c r="H55" s="77"/>
      <c r="I55" s="83"/>
      <c r="J55" s="301"/>
      <c r="K55" s="302"/>
      <c r="L55" s="302"/>
      <c r="M55" s="303"/>
      <c r="O55" s="301"/>
      <c r="P55" s="302"/>
      <c r="Q55" s="302"/>
      <c r="R55" s="303"/>
      <c r="S55" s="79"/>
    </row>
    <row r="56" spans="2:19" ht="15" customHeight="1" x14ac:dyDescent="0.35">
      <c r="B56" s="2"/>
      <c r="C56" s="25" t="s">
        <v>14</v>
      </c>
      <c r="D56" s="43">
        <v>0.125</v>
      </c>
      <c r="E56" s="3"/>
      <c r="F56" s="26" t="s">
        <v>84</v>
      </c>
      <c r="G56" s="10"/>
      <c r="H56" s="77"/>
      <c r="I56" s="83"/>
      <c r="J56" s="301"/>
      <c r="K56" s="302"/>
      <c r="L56" s="302"/>
      <c r="M56" s="303"/>
      <c r="O56" s="301"/>
      <c r="P56" s="302"/>
      <c r="Q56" s="302"/>
      <c r="R56" s="303"/>
      <c r="S56" s="79"/>
    </row>
    <row r="57" spans="2:19" ht="15" customHeight="1" thickBot="1" x14ac:dyDescent="0.4">
      <c r="B57" s="2"/>
      <c r="C57" s="25" t="s">
        <v>15</v>
      </c>
      <c r="D57" s="43">
        <v>9.0277777777777776E-2</v>
      </c>
      <c r="E57" s="3"/>
      <c r="G57" s="52"/>
      <c r="H57" s="56"/>
      <c r="I57" s="86"/>
      <c r="J57" s="301"/>
      <c r="K57" s="302"/>
      <c r="L57" s="302"/>
      <c r="M57" s="303"/>
      <c r="O57" s="301"/>
      <c r="P57" s="302"/>
      <c r="Q57" s="302"/>
      <c r="R57" s="303"/>
      <c r="S57" s="79"/>
    </row>
    <row r="58" spans="2:19" ht="15" customHeight="1" x14ac:dyDescent="0.35">
      <c r="B58" s="2"/>
      <c r="C58" s="25" t="s">
        <v>16</v>
      </c>
      <c r="D58" s="43">
        <v>0.34375</v>
      </c>
      <c r="E58" s="3"/>
      <c r="F58" s="94" t="s">
        <v>50</v>
      </c>
      <c r="G58" s="94"/>
      <c r="H58" s="82"/>
      <c r="I58" s="85"/>
      <c r="J58" s="245" t="s">
        <v>89</v>
      </c>
      <c r="K58" s="246"/>
      <c r="L58" s="297"/>
      <c r="M58" s="298"/>
      <c r="O58" s="245" t="s">
        <v>89</v>
      </c>
      <c r="P58" s="246"/>
      <c r="Q58" s="297"/>
      <c r="R58" s="298"/>
      <c r="S58" s="79"/>
    </row>
    <row r="59" spans="2:19" ht="15" customHeight="1" x14ac:dyDescent="0.35">
      <c r="B59" s="2"/>
      <c r="D59" s="79"/>
      <c r="E59" s="3"/>
      <c r="F59" s="25" t="s">
        <v>33</v>
      </c>
      <c r="G59" s="10">
        <v>15</v>
      </c>
      <c r="H59" s="82" t="s">
        <v>115</v>
      </c>
      <c r="I59" s="85"/>
      <c r="J59" s="247"/>
      <c r="K59" s="248"/>
      <c r="L59" s="297"/>
      <c r="M59" s="298"/>
      <c r="O59" s="247"/>
      <c r="P59" s="248"/>
      <c r="Q59" s="297"/>
      <c r="R59" s="298"/>
      <c r="S59" s="79"/>
    </row>
    <row r="60" spans="2:19" ht="15" customHeight="1" thickBot="1" x14ac:dyDescent="0.4">
      <c r="B60" s="2"/>
      <c r="C60" s="94" t="s">
        <v>25</v>
      </c>
      <c r="D60" s="94"/>
      <c r="E60" s="3"/>
      <c r="F60" s="25" t="s">
        <v>56</v>
      </c>
      <c r="G60" s="10">
        <v>5</v>
      </c>
      <c r="H60" s="82" t="s">
        <v>115</v>
      </c>
      <c r="I60" s="85"/>
      <c r="J60" s="247"/>
      <c r="K60" s="248"/>
      <c r="L60" s="299"/>
      <c r="M60" s="300"/>
      <c r="O60" s="247"/>
      <c r="P60" s="248"/>
      <c r="Q60" s="299"/>
      <c r="R60" s="300"/>
      <c r="S60" s="79"/>
    </row>
    <row r="61" spans="2:19" ht="15.75" customHeight="1" x14ac:dyDescent="0.35">
      <c r="B61" s="2"/>
      <c r="C61" s="3" t="s">
        <v>1</v>
      </c>
      <c r="D61" s="43">
        <v>6.25E-2</v>
      </c>
      <c r="E61" s="3"/>
      <c r="F61" s="15" t="s">
        <v>34</v>
      </c>
      <c r="G61" s="10"/>
      <c r="H61" s="82"/>
      <c r="I61" s="83"/>
      <c r="J61" s="239">
        <v>0</v>
      </c>
      <c r="K61" s="240"/>
      <c r="L61" s="245" t="s">
        <v>98</v>
      </c>
      <c r="M61" s="262">
        <v>0</v>
      </c>
      <c r="O61" s="254">
        <f>272*G60</f>
        <v>1360</v>
      </c>
      <c r="P61" s="255"/>
      <c r="Q61" s="245" t="s">
        <v>98</v>
      </c>
      <c r="R61" s="243">
        <f>G59</f>
        <v>15</v>
      </c>
      <c r="S61" s="79"/>
    </row>
    <row r="62" spans="2:19" ht="15" customHeight="1" thickBot="1" x14ac:dyDescent="0.4">
      <c r="B62" s="2"/>
      <c r="C62" s="3"/>
      <c r="D62" s="56"/>
      <c r="E62" s="3"/>
      <c r="F62" s="15"/>
      <c r="G62" s="10"/>
      <c r="H62" s="82"/>
      <c r="I62" s="83"/>
      <c r="J62" s="270"/>
      <c r="K62" s="271"/>
      <c r="L62" s="247"/>
      <c r="M62" s="244"/>
      <c r="O62" s="256"/>
      <c r="P62" s="257"/>
      <c r="Q62" s="247"/>
      <c r="R62" s="244"/>
      <c r="S62" s="79"/>
    </row>
    <row r="63" spans="2:19" ht="15" customHeight="1" x14ac:dyDescent="0.35">
      <c r="B63" s="2"/>
      <c r="D63" s="79"/>
      <c r="E63" s="3"/>
      <c r="H63" s="82"/>
      <c r="I63" s="85"/>
      <c r="J63" s="270"/>
      <c r="K63" s="271"/>
      <c r="L63" s="245" t="s">
        <v>99</v>
      </c>
      <c r="M63" s="262">
        <v>0</v>
      </c>
      <c r="O63" s="256"/>
      <c r="P63" s="257"/>
      <c r="Q63" s="245" t="s">
        <v>99</v>
      </c>
      <c r="R63" s="243">
        <f>G60</f>
        <v>5</v>
      </c>
      <c r="S63" s="79"/>
    </row>
    <row r="64" spans="2:19" ht="15" customHeight="1" thickBot="1" x14ac:dyDescent="0.4">
      <c r="B64" s="2"/>
      <c r="D64" s="79"/>
      <c r="E64" s="3"/>
      <c r="H64" s="82"/>
      <c r="I64" s="85"/>
      <c r="J64" s="241"/>
      <c r="K64" s="242"/>
      <c r="L64" s="247"/>
      <c r="M64" s="244"/>
      <c r="O64" s="258"/>
      <c r="P64" s="259"/>
      <c r="Q64" s="247"/>
      <c r="R64" s="244"/>
      <c r="S64" s="79"/>
    </row>
    <row r="65" spans="2:19" ht="15" customHeight="1" x14ac:dyDescent="0.3">
      <c r="B65" s="2"/>
      <c r="C65" s="3"/>
      <c r="D65" s="43"/>
      <c r="E65" s="3"/>
      <c r="H65" s="82"/>
      <c r="I65" s="85"/>
      <c r="J65" s="245" t="s">
        <v>93</v>
      </c>
      <c r="K65" s="246"/>
      <c r="L65" s="297"/>
      <c r="M65" s="298"/>
      <c r="N65"/>
      <c r="O65" s="245" t="s">
        <v>93</v>
      </c>
      <c r="P65" s="246"/>
      <c r="Q65" s="297"/>
      <c r="R65" s="298"/>
      <c r="S65"/>
    </row>
    <row r="66" spans="2:19" ht="15" customHeight="1" x14ac:dyDescent="0.3">
      <c r="B66" s="2"/>
      <c r="C66" s="3"/>
      <c r="D66" s="56"/>
      <c r="E66" s="3"/>
      <c r="H66" s="82"/>
      <c r="I66" s="85"/>
      <c r="J66" s="247"/>
      <c r="K66" s="248"/>
      <c r="L66" s="297"/>
      <c r="M66" s="298"/>
      <c r="N66"/>
      <c r="O66" s="247"/>
      <c r="P66" s="248"/>
      <c r="Q66" s="297"/>
      <c r="R66" s="298"/>
      <c r="S66"/>
    </row>
    <row r="67" spans="2:19" ht="15" customHeight="1" thickBot="1" x14ac:dyDescent="0.35">
      <c r="B67" s="2"/>
      <c r="C67" s="3"/>
      <c r="D67" s="56"/>
      <c r="E67" s="3"/>
      <c r="F67" s="3"/>
      <c r="G67" s="56"/>
      <c r="H67" s="82"/>
      <c r="I67" s="85"/>
      <c r="J67" s="247"/>
      <c r="K67" s="248"/>
      <c r="L67" s="297"/>
      <c r="M67" s="298"/>
      <c r="N67"/>
      <c r="O67" s="247"/>
      <c r="P67" s="248"/>
      <c r="Q67" s="297"/>
      <c r="R67" s="298"/>
      <c r="S67"/>
    </row>
    <row r="68" spans="2:19" ht="15" customHeight="1" x14ac:dyDescent="0.3">
      <c r="B68" s="2"/>
      <c r="C68" s="6"/>
      <c r="D68" s="56"/>
      <c r="E68" s="3"/>
      <c r="H68" s="82"/>
      <c r="I68" s="85"/>
      <c r="J68" s="239">
        <v>0</v>
      </c>
      <c r="K68" s="240"/>
      <c r="L68" s="297"/>
      <c r="M68" s="298"/>
      <c r="N68"/>
      <c r="O68" s="239">
        <f>O61+O49</f>
        <v>11360</v>
      </c>
      <c r="P68" s="240"/>
      <c r="Q68" s="297"/>
      <c r="R68" s="298"/>
      <c r="S68"/>
    </row>
    <row r="69" spans="2:19" ht="15.75" customHeight="1" thickBot="1" x14ac:dyDescent="0.35">
      <c r="B69" s="4"/>
      <c r="C69" s="5"/>
      <c r="D69" s="12"/>
      <c r="E69" s="5"/>
      <c r="F69" s="5"/>
      <c r="G69" s="5"/>
      <c r="H69" s="78"/>
      <c r="I69" s="87"/>
      <c r="J69" s="241"/>
      <c r="K69" s="242"/>
      <c r="L69" s="299"/>
      <c r="M69" s="300"/>
      <c r="N69"/>
      <c r="O69" s="241"/>
      <c r="P69" s="242"/>
      <c r="Q69" s="299"/>
      <c r="R69" s="300"/>
      <c r="S69"/>
    </row>
    <row r="70" spans="2:19" ht="24" thickBot="1" x14ac:dyDescent="0.5"/>
    <row r="71" spans="2:19" ht="15" customHeight="1" x14ac:dyDescent="0.35">
      <c r="B71" s="279" t="s">
        <v>100</v>
      </c>
      <c r="C71" s="280"/>
      <c r="D71" s="280"/>
      <c r="E71" s="280"/>
      <c r="F71" s="280"/>
      <c r="G71" s="280"/>
      <c r="H71" s="281"/>
      <c r="I71" s="80"/>
      <c r="J71" s="249" t="s">
        <v>88</v>
      </c>
      <c r="K71" s="250"/>
      <c r="L71" s="249" t="s">
        <v>52</v>
      </c>
      <c r="M71" s="250"/>
      <c r="O71" s="249" t="s">
        <v>88</v>
      </c>
      <c r="P71" s="250"/>
      <c r="Q71" s="249" t="s">
        <v>52</v>
      </c>
      <c r="R71" s="250"/>
      <c r="S71" s="79"/>
    </row>
    <row r="72" spans="2:19" ht="15" customHeight="1" thickBot="1" x14ac:dyDescent="0.4">
      <c r="B72" s="282"/>
      <c r="C72" s="283"/>
      <c r="D72" s="283"/>
      <c r="E72" s="283"/>
      <c r="F72" s="283"/>
      <c r="G72" s="283"/>
      <c r="H72" s="284"/>
      <c r="I72" s="76"/>
      <c r="J72" s="251"/>
      <c r="K72" s="252"/>
      <c r="L72" s="251"/>
      <c r="M72" s="252"/>
      <c r="O72" s="251"/>
      <c r="P72" s="252"/>
      <c r="Q72" s="251"/>
      <c r="R72" s="252"/>
      <c r="S72" s="79"/>
    </row>
    <row r="73" spans="2:19" ht="15" customHeight="1" x14ac:dyDescent="0.45">
      <c r="B73" s="18"/>
      <c r="C73" s="19"/>
      <c r="D73" s="20"/>
      <c r="E73" s="19"/>
      <c r="F73" s="19"/>
      <c r="G73" s="19"/>
      <c r="H73" s="21"/>
      <c r="I73" s="84"/>
      <c r="J73" s="91" t="s">
        <v>94</v>
      </c>
      <c r="K73" s="92" t="s">
        <v>95</v>
      </c>
      <c r="L73" s="295"/>
      <c r="M73" s="296"/>
      <c r="O73" s="91" t="s">
        <v>94</v>
      </c>
      <c r="P73" s="92" t="s">
        <v>95</v>
      </c>
      <c r="Q73" s="93"/>
      <c r="R73" s="97"/>
      <c r="S73" s="79"/>
    </row>
    <row r="74" spans="2:19" ht="15" customHeight="1" x14ac:dyDescent="0.45">
      <c r="B74" s="2"/>
      <c r="C74" s="17"/>
      <c r="D74" s="17"/>
      <c r="E74" s="17"/>
      <c r="F74" s="3"/>
      <c r="G74" s="3"/>
      <c r="H74" s="82"/>
      <c r="I74" s="85"/>
      <c r="J74" s="89" t="s">
        <v>96</v>
      </c>
      <c r="K74" s="90" t="s">
        <v>97</v>
      </c>
      <c r="L74" s="297"/>
      <c r="M74" s="298"/>
      <c r="O74" s="89" t="s">
        <v>96</v>
      </c>
      <c r="P74" s="90" t="s">
        <v>97</v>
      </c>
      <c r="Q74" s="88"/>
      <c r="R74" s="98"/>
      <c r="S74" s="79"/>
    </row>
    <row r="75" spans="2:19" ht="15" customHeight="1" x14ac:dyDescent="0.45">
      <c r="B75" s="2"/>
      <c r="C75" s="269" t="s">
        <v>2</v>
      </c>
      <c r="D75" s="269"/>
      <c r="E75" s="3"/>
      <c r="F75" s="95" t="s">
        <v>90</v>
      </c>
      <c r="G75" s="95"/>
      <c r="H75" s="82"/>
      <c r="I75" s="85"/>
      <c r="J75" s="237" t="s">
        <v>10</v>
      </c>
      <c r="K75" s="253"/>
      <c r="L75" s="297"/>
      <c r="M75" s="298"/>
      <c r="O75" s="237" t="s">
        <v>10</v>
      </c>
      <c r="P75" s="253"/>
      <c r="Q75" s="88"/>
      <c r="R75" s="98"/>
      <c r="S75" s="79"/>
    </row>
    <row r="76" spans="2:19" ht="15" customHeight="1" thickBot="1" x14ac:dyDescent="0.5">
      <c r="B76" s="2"/>
      <c r="C76" s="23" t="s">
        <v>54</v>
      </c>
      <c r="D76" s="34" t="s">
        <v>24</v>
      </c>
      <c r="E76" s="3"/>
      <c r="F76" s="3" t="s">
        <v>4</v>
      </c>
      <c r="G76" s="10">
        <v>6</v>
      </c>
      <c r="H76" s="77" t="s">
        <v>5</v>
      </c>
      <c r="I76" s="83"/>
      <c r="J76" s="237"/>
      <c r="K76" s="253"/>
      <c r="L76" s="299"/>
      <c r="M76" s="300"/>
      <c r="O76" s="237"/>
      <c r="P76" s="253"/>
      <c r="Q76" s="88"/>
      <c r="R76" s="98"/>
      <c r="S76" s="79"/>
    </row>
    <row r="77" spans="2:19" ht="15" customHeight="1" x14ac:dyDescent="0.35">
      <c r="B77" s="2"/>
      <c r="C77" s="23" t="s">
        <v>0</v>
      </c>
      <c r="D77" s="56" t="s">
        <v>9</v>
      </c>
      <c r="E77" s="3"/>
      <c r="F77" s="3" t="s">
        <v>110</v>
      </c>
      <c r="G77" s="10">
        <v>45</v>
      </c>
      <c r="H77" s="77" t="s">
        <v>3</v>
      </c>
      <c r="I77" s="83"/>
      <c r="J77" s="239">
        <v>0</v>
      </c>
      <c r="K77" s="240"/>
      <c r="L77" s="260" t="s">
        <v>92</v>
      </c>
      <c r="M77" s="262">
        <v>0</v>
      </c>
      <c r="O77" s="254">
        <f>360*(G76)+8*G77+12*G78+G81</f>
        <v>9000</v>
      </c>
      <c r="P77" s="255"/>
      <c r="Q77" s="260" t="s">
        <v>92</v>
      </c>
      <c r="R77" s="262">
        <f>4*(G77+G78)</f>
        <v>300</v>
      </c>
      <c r="S77" s="79"/>
    </row>
    <row r="78" spans="2:19" ht="15" customHeight="1" thickBot="1" x14ac:dyDescent="0.4">
      <c r="B78" s="2"/>
      <c r="C78" s="25" t="s">
        <v>49</v>
      </c>
      <c r="D78" s="51" t="s">
        <v>51</v>
      </c>
      <c r="E78" s="3"/>
      <c r="F78" s="6" t="s">
        <v>104</v>
      </c>
      <c r="G78" s="10">
        <v>30</v>
      </c>
      <c r="H78" s="77" t="s">
        <v>3</v>
      </c>
      <c r="I78" s="83"/>
      <c r="J78" s="270"/>
      <c r="K78" s="271"/>
      <c r="L78" s="261"/>
      <c r="M78" s="263"/>
      <c r="O78" s="256"/>
      <c r="P78" s="257"/>
      <c r="Q78" s="261"/>
      <c r="R78" s="263"/>
      <c r="S78" s="79"/>
    </row>
    <row r="79" spans="2:19" ht="15" customHeight="1" x14ac:dyDescent="0.35">
      <c r="B79" s="2"/>
      <c r="C79" s="3"/>
      <c r="D79" s="56"/>
      <c r="E79" s="3"/>
      <c r="F79" s="3" t="s">
        <v>105</v>
      </c>
      <c r="G79" s="10">
        <v>0</v>
      </c>
      <c r="H79" s="77" t="s">
        <v>116</v>
      </c>
      <c r="I79" s="83"/>
      <c r="J79" s="270"/>
      <c r="K79" s="271"/>
      <c r="L79" s="261" t="s">
        <v>53</v>
      </c>
      <c r="M79" s="262">
        <v>0</v>
      </c>
      <c r="O79" s="256"/>
      <c r="P79" s="257"/>
      <c r="Q79" s="261" t="s">
        <v>53</v>
      </c>
      <c r="R79" s="243">
        <f>G79+360*G80+G82-G81</f>
        <v>3500</v>
      </c>
      <c r="S79" s="79"/>
    </row>
    <row r="80" spans="2:19" ht="15.75" customHeight="1" thickBot="1" x14ac:dyDescent="0.4">
      <c r="B80" s="2"/>
      <c r="C80" s="95" t="s">
        <v>17</v>
      </c>
      <c r="D80" s="95"/>
      <c r="E80" s="3"/>
      <c r="F80" s="6" t="s">
        <v>106</v>
      </c>
      <c r="G80" s="10">
        <v>2</v>
      </c>
      <c r="H80" s="77" t="s">
        <v>5</v>
      </c>
      <c r="I80" s="83"/>
      <c r="J80" s="241"/>
      <c r="K80" s="242"/>
      <c r="L80" s="261"/>
      <c r="M80" s="244"/>
      <c r="O80" s="258"/>
      <c r="P80" s="259"/>
      <c r="Q80" s="261"/>
      <c r="R80" s="244"/>
      <c r="S80" s="79"/>
    </row>
    <row r="81" spans="2:19" ht="15" customHeight="1" x14ac:dyDescent="0.35">
      <c r="B81" s="2"/>
      <c r="C81" s="23" t="s">
        <v>11</v>
      </c>
      <c r="D81" s="43">
        <v>9.0277777777777776E-2</v>
      </c>
      <c r="E81" s="3"/>
      <c r="F81" s="3" t="s">
        <v>42</v>
      </c>
      <c r="G81" s="10">
        <v>6120</v>
      </c>
      <c r="H81" s="42"/>
      <c r="I81" s="83"/>
      <c r="J81" s="301"/>
      <c r="K81" s="302"/>
      <c r="L81" s="302"/>
      <c r="M81" s="303"/>
      <c r="O81" s="301"/>
      <c r="P81" s="302"/>
      <c r="Q81" s="302"/>
      <c r="R81" s="303"/>
      <c r="S81" s="79"/>
    </row>
    <row r="82" spans="2:19" ht="15" customHeight="1" x14ac:dyDescent="0.35">
      <c r="B82" s="2"/>
      <c r="C82" s="23" t="s">
        <v>12</v>
      </c>
      <c r="D82" s="43">
        <v>0.19444444444444445</v>
      </c>
      <c r="E82" s="3"/>
      <c r="F82" s="3" t="s">
        <v>108</v>
      </c>
      <c r="G82" s="9">
        <v>8900</v>
      </c>
      <c r="H82" s="42"/>
      <c r="I82" s="83"/>
      <c r="J82" s="301"/>
      <c r="K82" s="302"/>
      <c r="L82" s="302"/>
      <c r="M82" s="303"/>
      <c r="O82" s="301"/>
      <c r="P82" s="302"/>
      <c r="Q82" s="302"/>
      <c r="R82" s="303"/>
      <c r="S82" s="79"/>
    </row>
    <row r="83" spans="2:19" ht="15" customHeight="1" x14ac:dyDescent="0.35">
      <c r="B83" s="2"/>
      <c r="C83" s="25" t="s">
        <v>13</v>
      </c>
      <c r="D83" s="43">
        <v>0.35416666666666669</v>
      </c>
      <c r="E83" s="3"/>
      <c r="F83" s="15" t="s">
        <v>111</v>
      </c>
      <c r="G83" s="10"/>
      <c r="H83" s="77"/>
      <c r="I83" s="83"/>
      <c r="J83" s="301"/>
      <c r="K83" s="302"/>
      <c r="L83" s="302"/>
      <c r="M83" s="303"/>
      <c r="O83" s="301"/>
      <c r="P83" s="302"/>
      <c r="Q83" s="302"/>
      <c r="R83" s="303"/>
      <c r="S83" s="79"/>
    </row>
    <row r="84" spans="2:19" ht="15" customHeight="1" x14ac:dyDescent="0.35">
      <c r="B84" s="2"/>
      <c r="C84" s="25" t="s">
        <v>14</v>
      </c>
      <c r="D84" s="43">
        <v>0.10416666666666667</v>
      </c>
      <c r="E84" s="3"/>
      <c r="F84" s="26" t="s">
        <v>84</v>
      </c>
      <c r="G84" s="10"/>
      <c r="H84" s="77"/>
      <c r="I84" s="83"/>
      <c r="J84" s="301"/>
      <c r="K84" s="302"/>
      <c r="L84" s="302"/>
      <c r="M84" s="303"/>
      <c r="O84" s="301"/>
      <c r="P84" s="302"/>
      <c r="Q84" s="302"/>
      <c r="R84" s="303"/>
      <c r="S84" s="79"/>
    </row>
    <row r="85" spans="2:19" ht="15" customHeight="1" thickBot="1" x14ac:dyDescent="0.4">
      <c r="B85" s="2"/>
      <c r="C85" s="25" t="s">
        <v>15</v>
      </c>
      <c r="D85" s="43">
        <v>0.125</v>
      </c>
      <c r="E85" s="3"/>
      <c r="G85" s="52"/>
      <c r="H85" s="56"/>
      <c r="I85" s="86"/>
      <c r="J85" s="301"/>
      <c r="K85" s="302"/>
      <c r="L85" s="302"/>
      <c r="M85" s="303"/>
      <c r="O85" s="301"/>
      <c r="P85" s="302"/>
      <c r="Q85" s="302"/>
      <c r="R85" s="303"/>
      <c r="S85" s="79"/>
    </row>
    <row r="86" spans="2:19" ht="15" customHeight="1" x14ac:dyDescent="0.35">
      <c r="B86" s="2"/>
      <c r="C86" s="25" t="s">
        <v>16</v>
      </c>
      <c r="D86" s="43">
        <v>0.40277777777777773</v>
      </c>
      <c r="E86" s="3"/>
      <c r="F86" s="95" t="s">
        <v>50</v>
      </c>
      <c r="G86" s="95"/>
      <c r="H86" s="82"/>
      <c r="I86" s="85"/>
      <c r="J86" s="235" t="s">
        <v>89</v>
      </c>
      <c r="K86" s="236"/>
      <c r="L86" s="297"/>
      <c r="M86" s="298"/>
      <c r="O86" s="235" t="s">
        <v>89</v>
      </c>
      <c r="P86" s="236"/>
      <c r="Q86" s="297"/>
      <c r="R86" s="298"/>
      <c r="S86" s="79"/>
    </row>
    <row r="87" spans="2:19" ht="15" customHeight="1" x14ac:dyDescent="0.35">
      <c r="B87" s="2"/>
      <c r="D87" s="79"/>
      <c r="E87" s="3"/>
      <c r="F87" s="25" t="s">
        <v>33</v>
      </c>
      <c r="G87" s="10">
        <v>15</v>
      </c>
      <c r="H87" s="82" t="s">
        <v>115</v>
      </c>
      <c r="I87" s="85"/>
      <c r="J87" s="237"/>
      <c r="K87" s="238"/>
      <c r="L87" s="297"/>
      <c r="M87" s="298"/>
      <c r="O87" s="237"/>
      <c r="P87" s="238"/>
      <c r="Q87" s="297"/>
      <c r="R87" s="298"/>
      <c r="S87" s="79"/>
    </row>
    <row r="88" spans="2:19" ht="15" customHeight="1" thickBot="1" x14ac:dyDescent="0.4">
      <c r="B88" s="2"/>
      <c r="C88" s="95" t="s">
        <v>25</v>
      </c>
      <c r="D88" s="95"/>
      <c r="E88" s="3"/>
      <c r="F88" s="25" t="s">
        <v>56</v>
      </c>
      <c r="G88" s="10">
        <v>12</v>
      </c>
      <c r="H88" s="82" t="s">
        <v>115</v>
      </c>
      <c r="I88" s="85"/>
      <c r="J88" s="237"/>
      <c r="K88" s="238"/>
      <c r="L88" s="299"/>
      <c r="M88" s="300"/>
      <c r="O88" s="237"/>
      <c r="P88" s="238"/>
      <c r="Q88" s="299"/>
      <c r="R88" s="300"/>
      <c r="S88" s="79"/>
    </row>
    <row r="89" spans="2:19" ht="15.75" customHeight="1" x14ac:dyDescent="0.35">
      <c r="B89" s="2"/>
      <c r="C89" s="3" t="s">
        <v>1</v>
      </c>
      <c r="D89" s="43">
        <v>4.1666666666666664E-2</v>
      </c>
      <c r="E89" s="3"/>
      <c r="F89" s="15" t="s">
        <v>34</v>
      </c>
      <c r="G89" s="10"/>
      <c r="H89" s="82"/>
      <c r="I89" s="83"/>
      <c r="J89" s="239">
        <v>0</v>
      </c>
      <c r="K89" s="240"/>
      <c r="L89" s="235" t="s">
        <v>98</v>
      </c>
      <c r="M89" s="262">
        <v>0</v>
      </c>
      <c r="O89" s="254">
        <f>272*G88</f>
        <v>3264</v>
      </c>
      <c r="P89" s="255"/>
      <c r="Q89" s="235" t="s">
        <v>98</v>
      </c>
      <c r="R89" s="243">
        <f>G87</f>
        <v>15</v>
      </c>
      <c r="S89" s="79"/>
    </row>
    <row r="90" spans="2:19" ht="15" customHeight="1" thickBot="1" x14ac:dyDescent="0.4">
      <c r="B90" s="2"/>
      <c r="C90" s="3"/>
      <c r="D90" s="56"/>
      <c r="E90" s="3"/>
      <c r="F90" s="15"/>
      <c r="G90" s="10"/>
      <c r="H90" s="82"/>
      <c r="I90" s="83"/>
      <c r="J90" s="270"/>
      <c r="K90" s="271"/>
      <c r="L90" s="237"/>
      <c r="M90" s="244"/>
      <c r="O90" s="256"/>
      <c r="P90" s="257"/>
      <c r="Q90" s="237"/>
      <c r="R90" s="244"/>
      <c r="S90" s="79"/>
    </row>
    <row r="91" spans="2:19" ht="15" customHeight="1" x14ac:dyDescent="0.35">
      <c r="B91" s="2"/>
      <c r="D91" s="79"/>
      <c r="E91" s="3"/>
      <c r="H91"/>
      <c r="I91" s="85"/>
      <c r="J91" s="270"/>
      <c r="K91" s="271"/>
      <c r="L91" s="235" t="s">
        <v>99</v>
      </c>
      <c r="M91" s="262">
        <v>0</v>
      </c>
      <c r="O91" s="256"/>
      <c r="P91" s="257"/>
      <c r="Q91" s="235" t="s">
        <v>99</v>
      </c>
      <c r="R91" s="243">
        <f>G88</f>
        <v>12</v>
      </c>
      <c r="S91" s="79"/>
    </row>
    <row r="92" spans="2:19" ht="15" customHeight="1" thickBot="1" x14ac:dyDescent="0.4">
      <c r="B92" s="2"/>
      <c r="D92" s="79"/>
      <c r="E92" s="3"/>
      <c r="H92"/>
      <c r="I92" s="85"/>
      <c r="J92" s="241"/>
      <c r="K92" s="242"/>
      <c r="L92" s="237"/>
      <c r="M92" s="244"/>
      <c r="O92" s="258"/>
      <c r="P92" s="259"/>
      <c r="Q92" s="237"/>
      <c r="R92" s="244"/>
      <c r="S92" s="79"/>
    </row>
    <row r="93" spans="2:19" ht="15" customHeight="1" x14ac:dyDescent="0.3">
      <c r="B93" s="2"/>
      <c r="C93" s="3"/>
      <c r="D93" s="43"/>
      <c r="E93" s="3"/>
      <c r="H93"/>
      <c r="I93" s="85"/>
      <c r="J93" s="235" t="s">
        <v>93</v>
      </c>
      <c r="K93" s="236"/>
      <c r="L93" s="297"/>
      <c r="M93" s="298"/>
      <c r="N93"/>
      <c r="O93" s="235" t="s">
        <v>93</v>
      </c>
      <c r="P93" s="236"/>
      <c r="Q93" s="297"/>
      <c r="R93" s="298"/>
      <c r="S93"/>
    </row>
    <row r="94" spans="2:19" ht="15" customHeight="1" x14ac:dyDescent="0.3">
      <c r="B94" s="2"/>
      <c r="C94" s="3"/>
      <c r="D94" s="56"/>
      <c r="E94" s="3"/>
      <c r="H94"/>
      <c r="I94" s="85"/>
      <c r="J94" s="237"/>
      <c r="K94" s="238"/>
      <c r="L94" s="297"/>
      <c r="M94" s="298"/>
      <c r="N94"/>
      <c r="O94" s="237"/>
      <c r="P94" s="238"/>
      <c r="Q94" s="297"/>
      <c r="R94" s="298"/>
      <c r="S94"/>
    </row>
    <row r="95" spans="2:19" ht="15" customHeight="1" thickBot="1" x14ac:dyDescent="0.35">
      <c r="B95" s="2"/>
      <c r="C95" s="3"/>
      <c r="D95" s="56"/>
      <c r="E95" s="3"/>
      <c r="F95" s="3"/>
      <c r="G95" s="56"/>
      <c r="H95" s="82"/>
      <c r="I95" s="85"/>
      <c r="J95" s="237"/>
      <c r="K95" s="238"/>
      <c r="L95" s="297"/>
      <c r="M95" s="298"/>
      <c r="N95"/>
      <c r="O95" s="237"/>
      <c r="P95" s="238"/>
      <c r="Q95" s="297"/>
      <c r="R95" s="298"/>
      <c r="S95"/>
    </row>
    <row r="96" spans="2:19" ht="15" customHeight="1" x14ac:dyDescent="0.3">
      <c r="B96" s="2"/>
      <c r="C96" s="6"/>
      <c r="D96" s="56"/>
      <c r="E96" s="3"/>
      <c r="H96" s="82"/>
      <c r="I96" s="85"/>
      <c r="J96" s="239">
        <v>0</v>
      </c>
      <c r="K96" s="240"/>
      <c r="L96" s="297"/>
      <c r="M96" s="298"/>
      <c r="N96"/>
      <c r="O96" s="239">
        <f>O89+O77</f>
        <v>12264</v>
      </c>
      <c r="P96" s="240"/>
      <c r="Q96" s="297"/>
      <c r="R96" s="298"/>
      <c r="S96"/>
    </row>
    <row r="97" spans="2:19" ht="15.75" customHeight="1" thickBot="1" x14ac:dyDescent="0.35">
      <c r="B97" s="4"/>
      <c r="C97" s="5"/>
      <c r="D97" s="12"/>
      <c r="E97" s="5"/>
      <c r="F97" s="5"/>
      <c r="G97" s="5"/>
      <c r="H97" s="78"/>
      <c r="I97" s="87"/>
      <c r="J97" s="241"/>
      <c r="K97" s="242"/>
      <c r="L97" s="299"/>
      <c r="M97" s="300"/>
      <c r="N97"/>
      <c r="O97" s="241"/>
      <c r="P97" s="242"/>
      <c r="Q97" s="299"/>
      <c r="R97" s="300"/>
      <c r="S97"/>
    </row>
  </sheetData>
  <mergeCells count="132">
    <mergeCell ref="J81:M85"/>
    <mergeCell ref="L86:M88"/>
    <mergeCell ref="L93:M97"/>
    <mergeCell ref="O81:R85"/>
    <mergeCell ref="Q86:R88"/>
    <mergeCell ref="Q93:R97"/>
    <mergeCell ref="I14:I17"/>
    <mergeCell ref="C4:I5"/>
    <mergeCell ref="E6:E28"/>
    <mergeCell ref="F24:I28"/>
    <mergeCell ref="H22:I23"/>
    <mergeCell ref="C18:D21"/>
    <mergeCell ref="C24:D28"/>
    <mergeCell ref="L45:M48"/>
    <mergeCell ref="J53:M57"/>
    <mergeCell ref="L58:M60"/>
    <mergeCell ref="L65:M69"/>
    <mergeCell ref="Q45:R48"/>
    <mergeCell ref="O53:R57"/>
    <mergeCell ref="Q58:R60"/>
    <mergeCell ref="Q65:R69"/>
    <mergeCell ref="L73:M76"/>
    <mergeCell ref="B31:H32"/>
    <mergeCell ref="L24:M28"/>
    <mergeCell ref="B2:H3"/>
    <mergeCell ref="L22:L23"/>
    <mergeCell ref="M22:M23"/>
    <mergeCell ref="J2:K3"/>
    <mergeCell ref="L2:M3"/>
    <mergeCell ref="C6:D6"/>
    <mergeCell ref="L8:L9"/>
    <mergeCell ref="M8:M9"/>
    <mergeCell ref="L10:L11"/>
    <mergeCell ref="M10:M11"/>
    <mergeCell ref="L20:L21"/>
    <mergeCell ref="M20:M21"/>
    <mergeCell ref="L4:M7"/>
    <mergeCell ref="L17:M19"/>
    <mergeCell ref="J24:K26"/>
    <mergeCell ref="J27:K28"/>
    <mergeCell ref="O2:P3"/>
    <mergeCell ref="Q2:R3"/>
    <mergeCell ref="O6:P7"/>
    <mergeCell ref="Q8:Q9"/>
    <mergeCell ref="R8:R9"/>
    <mergeCell ref="O17:P19"/>
    <mergeCell ref="O24:P26"/>
    <mergeCell ref="O27:P28"/>
    <mergeCell ref="J20:K23"/>
    <mergeCell ref="J8:K11"/>
    <mergeCell ref="J6:K7"/>
    <mergeCell ref="J17:K19"/>
    <mergeCell ref="Q4:R7"/>
    <mergeCell ref="O12:R16"/>
    <mergeCell ref="Q17:R19"/>
    <mergeCell ref="Q24:R28"/>
    <mergeCell ref="O8:P11"/>
    <mergeCell ref="Q10:Q11"/>
    <mergeCell ref="R10:R11"/>
    <mergeCell ref="O20:P23"/>
    <mergeCell ref="Q22:Q23"/>
    <mergeCell ref="R22:R23"/>
    <mergeCell ref="J96:K97"/>
    <mergeCell ref="B43:H44"/>
    <mergeCell ref="J43:K44"/>
    <mergeCell ref="L43:M44"/>
    <mergeCell ref="C47:D47"/>
    <mergeCell ref="J47:K48"/>
    <mergeCell ref="J58:K60"/>
    <mergeCell ref="J65:K67"/>
    <mergeCell ref="J68:K69"/>
    <mergeCell ref="B71:H72"/>
    <mergeCell ref="J75:K76"/>
    <mergeCell ref="J77:K80"/>
    <mergeCell ref="J86:K88"/>
    <mergeCell ref="J89:K92"/>
    <mergeCell ref="L89:L90"/>
    <mergeCell ref="M89:M90"/>
    <mergeCell ref="L91:L92"/>
    <mergeCell ref="M91:M92"/>
    <mergeCell ref="J93:K95"/>
    <mergeCell ref="J71:K72"/>
    <mergeCell ref="L77:L78"/>
    <mergeCell ref="M77:M78"/>
    <mergeCell ref="L79:L80"/>
    <mergeCell ref="M79:M80"/>
    <mergeCell ref="C75:D75"/>
    <mergeCell ref="J61:K64"/>
    <mergeCell ref="L61:L62"/>
    <mergeCell ref="M61:M62"/>
    <mergeCell ref="L63:L64"/>
    <mergeCell ref="M63:M64"/>
    <mergeCell ref="J49:K52"/>
    <mergeCell ref="L49:L50"/>
    <mergeCell ref="M49:M50"/>
    <mergeCell ref="L51:L52"/>
    <mergeCell ref="M51:M52"/>
    <mergeCell ref="L71:M72"/>
    <mergeCell ref="Q20:Q21"/>
    <mergeCell ref="R20:R21"/>
    <mergeCell ref="O43:P44"/>
    <mergeCell ref="Q43:R44"/>
    <mergeCell ref="O86:P88"/>
    <mergeCell ref="O89:P92"/>
    <mergeCell ref="Q89:Q90"/>
    <mergeCell ref="R89:R90"/>
    <mergeCell ref="Q91:Q92"/>
    <mergeCell ref="R91:R92"/>
    <mergeCell ref="O47:P48"/>
    <mergeCell ref="O49:P52"/>
    <mergeCell ref="Q49:Q50"/>
    <mergeCell ref="R49:R50"/>
    <mergeCell ref="Q51:Q52"/>
    <mergeCell ref="R51:R52"/>
    <mergeCell ref="O58:P60"/>
    <mergeCell ref="O61:P64"/>
    <mergeCell ref="Q61:Q62"/>
    <mergeCell ref="R61:R62"/>
    <mergeCell ref="Q63:Q64"/>
    <mergeCell ref="O93:P95"/>
    <mergeCell ref="O96:P97"/>
    <mergeCell ref="R63:R64"/>
    <mergeCell ref="O65:P67"/>
    <mergeCell ref="O68:P69"/>
    <mergeCell ref="O71:P72"/>
    <mergeCell ref="Q71:R72"/>
    <mergeCell ref="O75:P76"/>
    <mergeCell ref="O77:P80"/>
    <mergeCell ref="Q77:Q78"/>
    <mergeCell ref="R77:R78"/>
    <mergeCell ref="Q79:Q80"/>
    <mergeCell ref="R79:R80"/>
  </mergeCells>
  <pageMargins left="0.23622047244094491" right="0.23622047244094491" top="0.74803149606299213" bottom="0.74803149606299213" header="0.31496062992125984" footer="0.31496062992125984"/>
  <pageSetup paperSize="8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11</vt:i4>
      </vt:variant>
    </vt:vector>
  </HeadingPairs>
  <TitlesOfParts>
    <vt:vector size="22" baseType="lpstr">
      <vt:lpstr>Revenue - Year 1</vt:lpstr>
      <vt:lpstr>Revenue - Year 2</vt:lpstr>
      <vt:lpstr>Revenue - Year 3</vt:lpstr>
      <vt:lpstr>Revenue - Year 4</vt:lpstr>
      <vt:lpstr>Revenue - Year 5</vt:lpstr>
      <vt:lpstr>Revenue - Year 6</vt:lpstr>
      <vt:lpstr>Revenue - Year 7</vt:lpstr>
      <vt:lpstr>Revenue - Year 8</vt:lpstr>
      <vt:lpstr>Airports</vt:lpstr>
      <vt:lpstr>Demand</vt:lpstr>
      <vt:lpstr>Demand (2)</vt:lpstr>
      <vt:lpstr>Airports!Zone_d_impression</vt:lpstr>
      <vt:lpstr>Demand!Zone_d_impression</vt:lpstr>
      <vt:lpstr>'Demand (2)'!Zone_d_impression</vt:lpstr>
      <vt:lpstr>'Revenue - Year 1'!Zone_d_impression</vt:lpstr>
      <vt:lpstr>'Revenue - Year 2'!Zone_d_impression</vt:lpstr>
      <vt:lpstr>'Revenue - Year 3'!Zone_d_impression</vt:lpstr>
      <vt:lpstr>'Revenue - Year 4'!Zone_d_impression</vt:lpstr>
      <vt:lpstr>'Revenue - Year 5'!Zone_d_impression</vt:lpstr>
      <vt:lpstr>'Revenue - Year 6'!Zone_d_impression</vt:lpstr>
      <vt:lpstr>'Revenue - Year 7'!Zone_d_impression</vt:lpstr>
      <vt:lpstr>'Revenue - Year 8'!Zone_d_impression</vt:lpstr>
    </vt:vector>
  </TitlesOfParts>
  <Company>Airbusiness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Cedras</dc:creator>
  <cp:lastModifiedBy>toto</cp:lastModifiedBy>
  <cp:lastPrinted>2017-05-02T08:00:49Z</cp:lastPrinted>
  <dcterms:created xsi:type="dcterms:W3CDTF">2017-02-24T13:55:38Z</dcterms:created>
  <dcterms:modified xsi:type="dcterms:W3CDTF">2018-12-07T15:40:43Z</dcterms:modified>
</cp:coreProperties>
</file>