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john\RCS Dropbox\Steve Johnson\Reference\Pillar 3\"/>
    </mc:Choice>
  </mc:AlternateContent>
  <xr:revisionPtr revIDLastSave="0" documentId="8_{6C9C87DA-5285-4D70-9011-A53E0158DC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R Summary HY" sheetId="51" r:id="rId1"/>
    <sheet name="ANZ" sheetId="20" r:id="rId2"/>
    <sheet name="CBA" sheetId="18" r:id="rId3"/>
    <sheet name="NAB" sheetId="16" r:id="rId4"/>
    <sheet name="WBC" sheetId="15" r:id="rId5"/>
    <sheet name="APRA MBS" sheetId="52" r:id="rId6"/>
  </sheets>
  <externalReferences>
    <externalReference r:id="rId7"/>
    <externalReference r:id="rId8"/>
  </externalReferences>
  <definedNames>
    <definedName name="a" localSheetId="1">[1]Data!#REF!</definedName>
    <definedName name="a" localSheetId="0">[1]Data!#REF!</definedName>
    <definedName name="a">[1]Data!#REF!</definedName>
    <definedName name="CBA" localSheetId="1">[1]Data!#REF!</definedName>
    <definedName name="CBA" localSheetId="0">[1]Data!#REF!</definedName>
    <definedName name="CBA">[1]Data!#REF!</definedName>
    <definedName name="CCCCSBAI">#REF!</definedName>
    <definedName name="CCCCSBT">#REF!</definedName>
    <definedName name="CCCCSCL">#REF!</definedName>
    <definedName name="CCCCSNA">#REF!</definedName>
    <definedName name="CCCCSR">#REF!</definedName>
    <definedName name="CCCCSTCAN">#REF!</definedName>
    <definedName name="CCCCSTCAV">#REF!</definedName>
    <definedName name="CCCCSTPN">#REF!</definedName>
    <definedName name="CCCCSTPV">#REF!</definedName>
    <definedName name="CCCCSTTN">#REF!</definedName>
    <definedName name="CCCCSTTV">#REF!</definedName>
    <definedName name="DLCABOI" localSheetId="1">[1]Data!#REF!</definedName>
    <definedName name="DLCABOI" localSheetId="2">[1]Data!#REF!</definedName>
    <definedName name="DLCABOI" localSheetId="3">[1]Data!#REF!</definedName>
    <definedName name="DLCABOI" localSheetId="0">[1]Data!#REF!</definedName>
    <definedName name="DLCABOI">[1]Data!#REF!</definedName>
    <definedName name="DLCACBISN" localSheetId="1">[1]Data!#REF!</definedName>
    <definedName name="DLCACBISN" localSheetId="2">[1]Data!#REF!</definedName>
    <definedName name="DLCACBISN" localSheetId="3">[1]Data!#REF!</definedName>
    <definedName name="DLCACBISN" localSheetId="0">[1]Data!#REF!</definedName>
    <definedName name="DLCACBISN">[1]Data!#REF!</definedName>
    <definedName name="DLCACBISS" localSheetId="1">[1]Data!#REF!</definedName>
    <definedName name="DLCACBISS" localSheetId="2">[1]Data!#REF!</definedName>
    <definedName name="DLCACBISS" localSheetId="3">[1]Data!#REF!</definedName>
    <definedName name="DLCACBISS" localSheetId="0">[1]Data!#REF!</definedName>
    <definedName name="DLCACBISS">[1]Data!#REF!</definedName>
    <definedName name="DLCACHISN" localSheetId="1">[1]Data!#REF!</definedName>
    <definedName name="DLCACHISN" localSheetId="2">[1]Data!#REF!</definedName>
    <definedName name="DLCACHISN" localSheetId="3">[1]Data!#REF!</definedName>
    <definedName name="DLCACHISN" localSheetId="0">[1]Data!#REF!</definedName>
    <definedName name="DLCACHISN">[1]Data!#REF!</definedName>
    <definedName name="DLCACHISS" localSheetId="1">[1]Data!#REF!</definedName>
    <definedName name="DLCACHISS" localSheetId="2">[1]Data!#REF!</definedName>
    <definedName name="DLCACHISS" localSheetId="3">[1]Data!#REF!</definedName>
    <definedName name="DLCACHISS" localSheetId="0">[1]Data!#REF!</definedName>
    <definedName name="DLCACHISS">[1]Data!#REF!</definedName>
    <definedName name="DLCACHXSN" localSheetId="1">[1]Data!#REF!</definedName>
    <definedName name="DLCACHXSN" localSheetId="2">[1]Data!#REF!</definedName>
    <definedName name="DLCACHXSN" localSheetId="3">[1]Data!#REF!</definedName>
    <definedName name="DLCACHXSN" localSheetId="0">[1]Data!#REF!</definedName>
    <definedName name="DLCACHXSN">[1]Data!#REF!</definedName>
    <definedName name="DLCACHXSS" localSheetId="1">[1]Data!#REF!</definedName>
    <definedName name="DLCACHXSS" localSheetId="2">[1]Data!#REF!</definedName>
    <definedName name="DLCACHXSS" localSheetId="3">[1]Data!#REF!</definedName>
    <definedName name="DLCACHXSS" localSheetId="0">[1]Data!#REF!</definedName>
    <definedName name="DLCACHXSS">[1]Data!#REF!</definedName>
    <definedName name="DLCACISM" localSheetId="1">[1]Data!#REF!</definedName>
    <definedName name="DLCACISM" localSheetId="0">[1]Data!#REF!</definedName>
    <definedName name="DLCACISM">[1]Data!#REF!</definedName>
    <definedName name="DLCACISN" localSheetId="1">[1]Data!#REF!</definedName>
    <definedName name="DLCACISN" localSheetId="2">[1]Data!#REF!</definedName>
    <definedName name="DLCACISN" localSheetId="3">[1]Data!#REF!</definedName>
    <definedName name="DLCACISN" localSheetId="0">[1]Data!#REF!</definedName>
    <definedName name="DLCACISN">[1]Data!#REF!</definedName>
    <definedName name="DLCACISS" localSheetId="1">[1]Data!#REF!</definedName>
    <definedName name="DLCACISS" localSheetId="2">[1]Data!#REF!</definedName>
    <definedName name="DLCACISS" localSheetId="3">[1]Data!#REF!</definedName>
    <definedName name="DLCACISS" localSheetId="0">[1]Data!#REF!</definedName>
    <definedName name="DLCACISS">[1]Data!#REF!</definedName>
    <definedName name="DLCACOPISN" localSheetId="1">[1]Data!#REF!</definedName>
    <definedName name="DLCACOPISN" localSheetId="2">[1]Data!#REF!</definedName>
    <definedName name="DLCACOPISN" localSheetId="3">[1]Data!#REF!</definedName>
    <definedName name="DLCACOPISN" localSheetId="0">[1]Data!#REF!</definedName>
    <definedName name="DLCACOPISN">[1]Data!#REF!</definedName>
    <definedName name="DLCACOPISS" localSheetId="1">[1]Data!#REF!</definedName>
    <definedName name="DLCACOPISS" localSheetId="2">[1]Data!#REF!</definedName>
    <definedName name="DLCACOPISS" localSheetId="3">[1]Data!#REF!</definedName>
    <definedName name="DLCACOPISS" localSheetId="0">[1]Data!#REF!</definedName>
    <definedName name="DLCACOPISS">[1]Data!#REF!</definedName>
    <definedName name="DLCALAAFI" localSheetId="1">[1]Data!#REF!</definedName>
    <definedName name="DLCALAAFI" localSheetId="2">[1]Data!#REF!</definedName>
    <definedName name="DLCALAAFI" localSheetId="3">[1]Data!#REF!</definedName>
    <definedName name="DLCALAAFI" localSheetId="0">[1]Data!#REF!</definedName>
    <definedName name="DLCALAAFI">[1]Data!#REF!</definedName>
    <definedName name="DLCALAB" localSheetId="1">[1]Data!#REF!</definedName>
    <definedName name="DLCALAB" localSheetId="2">[1]Data!#REF!</definedName>
    <definedName name="DLCALAB" localSheetId="3">[1]Data!#REF!</definedName>
    <definedName name="DLCALAB" localSheetId="0">[1]Data!#REF!</definedName>
    <definedName name="DLCALAB">[1]Data!#REF!</definedName>
    <definedName name="DLCALANBFI" localSheetId="1">[1]Data!#REF!</definedName>
    <definedName name="DLCALANBFI" localSheetId="2">[1]Data!#REF!</definedName>
    <definedName name="DLCALANBFI" localSheetId="3">[1]Data!#REF!</definedName>
    <definedName name="DLCALANBFI" localSheetId="0">[1]Data!#REF!</definedName>
    <definedName name="DLCALANBFI">[1]Data!#REF!</definedName>
    <definedName name="DLCALTGAFI" localSheetId="1">[1]Data!#REF!</definedName>
    <definedName name="DLCALTGAFI" localSheetId="2">[1]Data!#REF!</definedName>
    <definedName name="DLCALTGAFI" localSheetId="3">[1]Data!#REF!</definedName>
    <definedName name="DLCALTGAFI" localSheetId="0">[1]Data!#REF!</definedName>
    <definedName name="DLCALTGAFI">[1]Data!#REF!</definedName>
    <definedName name="DLCANCN" localSheetId="1">[1]Data!#REF!</definedName>
    <definedName name="DLCANCN" localSheetId="2">[1]Data!#REF!</definedName>
    <definedName name="DLCANCN" localSheetId="3">[1]Data!#REF!</definedName>
    <definedName name="DLCANCN" localSheetId="0">[1]Data!#REF!</definedName>
    <definedName name="DLCANCN">[1]Data!#REF!</definedName>
    <definedName name="DLCANCS" localSheetId="1">[1]Data!#REF!</definedName>
    <definedName name="DLCANCS" localSheetId="2">[1]Data!#REF!</definedName>
    <definedName name="DLCANCS" localSheetId="3">[1]Data!#REF!</definedName>
    <definedName name="DLCANCS" localSheetId="0">[1]Data!#REF!</definedName>
    <definedName name="DLCANCS">[1]Data!#REF!</definedName>
    <definedName name="dr" localSheetId="1">[1]Data!#REF!</definedName>
    <definedName name="dr" localSheetId="0">[1]Data!#REF!</definedName>
    <definedName name="dr">[1]Data!#REF!</definedName>
    <definedName name="ef">[2]Data!#REF!</definedName>
    <definedName name="_xlnm.Print_Titles" localSheetId="0">'QR Summary HY'!$A:$A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51" l="1"/>
  <c r="M44" i="51"/>
  <c r="M51" i="51" s="1"/>
  <c r="N44" i="51"/>
  <c r="O44" i="51"/>
  <c r="O51" i="51" s="1"/>
  <c r="P44" i="51"/>
  <c r="L51" i="51"/>
  <c r="N51" i="51"/>
  <c r="P51" i="51"/>
  <c r="M50" i="51"/>
  <c r="N50" i="51"/>
  <c r="O50" i="51"/>
  <c r="P50" i="51"/>
  <c r="M43" i="51"/>
  <c r="N43" i="51"/>
  <c r="O43" i="51"/>
  <c r="P43" i="51"/>
  <c r="M36" i="51"/>
  <c r="N36" i="51"/>
  <c r="O36" i="51"/>
  <c r="P36" i="51"/>
  <c r="M30" i="51"/>
  <c r="N30" i="51"/>
  <c r="O30" i="51"/>
  <c r="P30" i="51"/>
  <c r="M24" i="51"/>
  <c r="N24" i="51"/>
  <c r="O24" i="51"/>
  <c r="P24" i="51"/>
  <c r="M18" i="51"/>
  <c r="N18" i="51"/>
  <c r="O18" i="51"/>
  <c r="P18" i="51"/>
  <c r="M12" i="51"/>
  <c r="N12" i="51"/>
  <c r="O12" i="51"/>
  <c r="P12" i="51"/>
  <c r="M6" i="51"/>
  <c r="N6" i="51"/>
  <c r="O6" i="51"/>
  <c r="P6" i="51"/>
  <c r="AA5" i="20"/>
  <c r="AB5" i="20"/>
  <c r="AC5" i="20"/>
  <c r="AD5" i="20"/>
  <c r="AA12" i="15"/>
  <c r="AA24" i="15"/>
  <c r="AA26" i="15" s="1"/>
  <c r="AB24" i="15"/>
  <c r="AB26" i="15" s="1"/>
  <c r="AC24" i="15"/>
  <c r="AC26" i="15" s="1"/>
  <c r="AD24" i="15"/>
  <c r="AD26" i="15"/>
  <c r="AA28" i="15"/>
  <c r="AB28" i="15"/>
  <c r="AC28" i="15"/>
  <c r="AD28" i="15"/>
  <c r="AD29" i="15"/>
  <c r="AB31" i="15"/>
  <c r="AD31" i="15"/>
  <c r="AA32" i="15"/>
  <c r="AD32" i="15"/>
  <c r="AA33" i="15"/>
  <c r="AB33" i="15"/>
  <c r="AD33" i="15"/>
  <c r="AA34" i="15"/>
  <c r="AB34" i="15"/>
  <c r="AC34" i="15"/>
  <c r="AD34" i="15"/>
  <c r="AC12" i="15"/>
  <c r="AA33" i="20"/>
  <c r="AB33" i="20"/>
  <c r="AC33" i="20"/>
  <c r="AD33" i="20"/>
  <c r="AA34" i="20"/>
  <c r="M27" i="51" s="1"/>
  <c r="AB34" i="20"/>
  <c r="AC34" i="20"/>
  <c r="AD34" i="20"/>
  <c r="P27" i="51" s="1"/>
  <c r="AA28" i="20"/>
  <c r="AB28" i="20"/>
  <c r="N40" i="51" s="1"/>
  <c r="N47" i="51" s="1"/>
  <c r="AC28" i="20"/>
  <c r="AC29" i="20" s="1"/>
  <c r="AD28" i="20"/>
  <c r="P40" i="51" s="1"/>
  <c r="P47" i="51" s="1"/>
  <c r="AA29" i="20"/>
  <c r="AD29" i="20"/>
  <c r="AA26" i="20"/>
  <c r="AB26" i="20"/>
  <c r="AC26" i="20"/>
  <c r="AD26" i="20"/>
  <c r="M17" i="51"/>
  <c r="N17" i="51"/>
  <c r="O17" i="51"/>
  <c r="P17" i="51"/>
  <c r="M11" i="51"/>
  <c r="N11" i="51"/>
  <c r="O11" i="51"/>
  <c r="P11" i="51"/>
  <c r="M5" i="51"/>
  <c r="N5" i="51"/>
  <c r="O5" i="51"/>
  <c r="P5" i="51"/>
  <c r="M49" i="51"/>
  <c r="N49" i="51"/>
  <c r="O49" i="51"/>
  <c r="P49" i="51"/>
  <c r="M42" i="51"/>
  <c r="N42" i="51"/>
  <c r="O42" i="51"/>
  <c r="P42" i="51"/>
  <c r="M35" i="51"/>
  <c r="N35" i="51"/>
  <c r="O35" i="51"/>
  <c r="P35" i="51"/>
  <c r="M29" i="51"/>
  <c r="N29" i="51"/>
  <c r="O29" i="51"/>
  <c r="P29" i="51"/>
  <c r="M23" i="51"/>
  <c r="N23" i="51"/>
  <c r="O23" i="51"/>
  <c r="P23" i="51"/>
  <c r="AC27" i="16"/>
  <c r="AD27" i="16"/>
  <c r="AA24" i="16"/>
  <c r="AA28" i="16" s="1"/>
  <c r="AA29" i="16" s="1"/>
  <c r="AB24" i="16"/>
  <c r="AB26" i="16" s="1"/>
  <c r="AC24" i="16"/>
  <c r="AC26" i="16" s="1"/>
  <c r="AD24" i="16"/>
  <c r="AD26" i="16"/>
  <c r="AD28" i="16"/>
  <c r="AD29" i="16" s="1"/>
  <c r="AD31" i="16"/>
  <c r="AD32" i="16"/>
  <c r="AD33" i="16"/>
  <c r="AA34" i="16"/>
  <c r="AB34" i="16"/>
  <c r="AC34" i="16"/>
  <c r="AD34" i="16"/>
  <c r="L37" i="51"/>
  <c r="M37" i="51"/>
  <c r="N37" i="51"/>
  <c r="O37" i="51"/>
  <c r="P37" i="51"/>
  <c r="L41" i="51"/>
  <c r="L48" i="51" s="1"/>
  <c r="M41" i="51"/>
  <c r="N41" i="51"/>
  <c r="N48" i="51" s="1"/>
  <c r="O41" i="51"/>
  <c r="O48" i="51" s="1"/>
  <c r="P41" i="51"/>
  <c r="M40" i="51"/>
  <c r="M47" i="51" s="1"/>
  <c r="O40" i="51"/>
  <c r="O47" i="51" s="1"/>
  <c r="M48" i="51"/>
  <c r="P48" i="51"/>
  <c r="L34" i="51"/>
  <c r="M34" i="51"/>
  <c r="N34" i="51"/>
  <c r="O34" i="51"/>
  <c r="P34" i="51"/>
  <c r="M33" i="51"/>
  <c r="N33" i="51"/>
  <c r="O33" i="51"/>
  <c r="P33" i="51"/>
  <c r="L28" i="51"/>
  <c r="M28" i="51"/>
  <c r="N28" i="51"/>
  <c r="O28" i="51"/>
  <c r="P28" i="51"/>
  <c r="N27" i="51"/>
  <c r="O27" i="51"/>
  <c r="L22" i="51"/>
  <c r="M22" i="51"/>
  <c r="N22" i="51"/>
  <c r="O22" i="51"/>
  <c r="P22" i="51"/>
  <c r="M21" i="51"/>
  <c r="N21" i="51"/>
  <c r="O21" i="51"/>
  <c r="P21" i="51"/>
  <c r="L16" i="51"/>
  <c r="M16" i="51"/>
  <c r="N16" i="51"/>
  <c r="O16" i="51"/>
  <c r="P16" i="51"/>
  <c r="M15" i="51"/>
  <c r="N15" i="51"/>
  <c r="O15" i="51"/>
  <c r="P15" i="51"/>
  <c r="L10" i="51"/>
  <c r="M10" i="51"/>
  <c r="N10" i="51"/>
  <c r="O10" i="51"/>
  <c r="P10" i="51"/>
  <c r="L4" i="51"/>
  <c r="M4" i="51"/>
  <c r="N4" i="51"/>
  <c r="O4" i="51"/>
  <c r="P4" i="51"/>
  <c r="AA28" i="18"/>
  <c r="AA26" i="18"/>
  <c r="Z14" i="18"/>
  <c r="AB14" i="18"/>
  <c r="AB28" i="18"/>
  <c r="AC28" i="18"/>
  <c r="AB26" i="18"/>
  <c r="AC26" i="18"/>
  <c r="AD31" i="18"/>
  <c r="AD32" i="18"/>
  <c r="AD33" i="18"/>
  <c r="Z34" i="18"/>
  <c r="AA34" i="18"/>
  <c r="AB34" i="18"/>
  <c r="AC34" i="18"/>
  <c r="AD34" i="18"/>
  <c r="AD29" i="18"/>
  <c r="AD28" i="18"/>
  <c r="AD26" i="18"/>
  <c r="Z24" i="18"/>
  <c r="Z26" i="18" s="1"/>
  <c r="Z28" i="18" s="1"/>
  <c r="AA24" i="18"/>
  <c r="AA33" i="18" s="1"/>
  <c r="AB24" i="18"/>
  <c r="AB31" i="18" s="1"/>
  <c r="AC24" i="18"/>
  <c r="AC32" i="18" s="1"/>
  <c r="AD24" i="18"/>
  <c r="AA32" i="20"/>
  <c r="AB32" i="20"/>
  <c r="N9" i="51" s="1"/>
  <c r="AC32" i="20"/>
  <c r="AD32" i="20"/>
  <c r="P9" i="51" s="1"/>
  <c r="M9" i="51"/>
  <c r="O9" i="51"/>
  <c r="M3" i="51"/>
  <c r="N3" i="51"/>
  <c r="O3" i="51"/>
  <c r="P3" i="51"/>
  <c r="AA31" i="20"/>
  <c r="AB31" i="20"/>
  <c r="AC31" i="20"/>
  <c r="AD31" i="20"/>
  <c r="AA24" i="20"/>
  <c r="AB24" i="20"/>
  <c r="AC24" i="20"/>
  <c r="AD24" i="20"/>
  <c r="Z69" i="15"/>
  <c r="Y69" i="15"/>
  <c r="X69" i="15"/>
  <c r="Z68" i="15"/>
  <c r="Y68" i="15"/>
  <c r="X68" i="15"/>
  <c r="X70" i="15" s="1"/>
  <c r="Z63" i="15"/>
  <c r="Y63" i="15"/>
  <c r="X63" i="15"/>
  <c r="Z62" i="15"/>
  <c r="Y62" i="15"/>
  <c r="X62" i="15"/>
  <c r="X64" i="15" s="1"/>
  <c r="Z69" i="16"/>
  <c r="Y69" i="16"/>
  <c r="Z63" i="16"/>
  <c r="Y63" i="16"/>
  <c r="Y62" i="16"/>
  <c r="Y69" i="20"/>
  <c r="Z69" i="20"/>
  <c r="Y63" i="20"/>
  <c r="Z63" i="20"/>
  <c r="X69" i="20"/>
  <c r="X63" i="20"/>
  <c r="Z57" i="16"/>
  <c r="Y53" i="16"/>
  <c r="Y57" i="16"/>
  <c r="Y48" i="16"/>
  <c r="Y46" i="16"/>
  <c r="Y68" i="16" s="1"/>
  <c r="Y45" i="16"/>
  <c r="Y55" i="16" s="1"/>
  <c r="Y44" i="16"/>
  <c r="Y43" i="16"/>
  <c r="Y42" i="16"/>
  <c r="Y52" i="16" s="1"/>
  <c r="Z48" i="16"/>
  <c r="Z46" i="16"/>
  <c r="Z56" i="16" s="1"/>
  <c r="Z45" i="16"/>
  <c r="Z55" i="16" s="1"/>
  <c r="Z44" i="16"/>
  <c r="Z68" i="16" s="1"/>
  <c r="Z43" i="16"/>
  <c r="Z53" i="16" s="1"/>
  <c r="Z42" i="16"/>
  <c r="Z62" i="16" s="1"/>
  <c r="AA31" i="15" l="1"/>
  <c r="AA29" i="15"/>
  <c r="AB29" i="15"/>
  <c r="AB32" i="15"/>
  <c r="AC33" i="15"/>
  <c r="AC31" i="15"/>
  <c r="AC32" i="15"/>
  <c r="AC29" i="15"/>
  <c r="AB29" i="20"/>
  <c r="AA26" i="16"/>
  <c r="AA33" i="16"/>
  <c r="AA32" i="16"/>
  <c r="AA31" i="16"/>
  <c r="AB32" i="16"/>
  <c r="AB33" i="16"/>
  <c r="AB31" i="16"/>
  <c r="AB28" i="16"/>
  <c r="AB29" i="16" s="1"/>
  <c r="AC33" i="16"/>
  <c r="AC31" i="16"/>
  <c r="AC32" i="16"/>
  <c r="AC28" i="16"/>
  <c r="AC29" i="16" s="1"/>
  <c r="Z29" i="18"/>
  <c r="Z32" i="18"/>
  <c r="Z33" i="18"/>
  <c r="Z31" i="18"/>
  <c r="AA31" i="18"/>
  <c r="AA29" i="18"/>
  <c r="AA32" i="18"/>
  <c r="AB32" i="18"/>
  <c r="AB29" i="18"/>
  <c r="AB33" i="18"/>
  <c r="AC29" i="18"/>
  <c r="AC31" i="18"/>
  <c r="AC33" i="18"/>
  <c r="Z70" i="16"/>
  <c r="Z64" i="16"/>
  <c r="Y56" i="16"/>
  <c r="Y64" i="15"/>
  <c r="Y64" i="16"/>
  <c r="Z64" i="15"/>
  <c r="Z70" i="15"/>
  <c r="Y70" i="15"/>
  <c r="Y70" i="16"/>
  <c r="Z54" i="16"/>
  <c r="Y54" i="16"/>
  <c r="Z52" i="16"/>
  <c r="Y49" i="16"/>
  <c r="Y71" i="16" s="1"/>
  <c r="Z49" i="16"/>
  <c r="Z71" i="16" s="1"/>
  <c r="X49" i="20"/>
  <c r="X48" i="20"/>
  <c r="X47" i="20"/>
  <c r="X46" i="20"/>
  <c r="X45" i="20"/>
  <c r="X55" i="20" s="1"/>
  <c r="X44" i="20"/>
  <c r="X54" i="20" s="1"/>
  <c r="X43" i="20"/>
  <c r="X42" i="20"/>
  <c r="Y55" i="20"/>
  <c r="X56" i="20"/>
  <c r="X57" i="20"/>
  <c r="X58" i="20"/>
  <c r="Y48" i="20"/>
  <c r="Y58" i="20" s="1"/>
  <c r="Y47" i="20"/>
  <c r="Y57" i="20" s="1"/>
  <c r="Y46" i="20"/>
  <c r="Y56" i="20" s="1"/>
  <c r="Y45" i="20"/>
  <c r="Y44" i="20"/>
  <c r="Y54" i="20" s="1"/>
  <c r="Y43" i="20"/>
  <c r="Y42" i="20"/>
  <c r="Y62" i="20" s="1"/>
  <c r="Y64" i="20" s="1"/>
  <c r="Z53" i="20"/>
  <c r="Z54" i="20"/>
  <c r="Z56" i="20"/>
  <c r="Z52" i="20"/>
  <c r="Z48" i="20"/>
  <c r="Z58" i="20" s="1"/>
  <c r="Z47" i="20"/>
  <c r="Z57" i="20" s="1"/>
  <c r="Z46" i="20"/>
  <c r="Z45" i="20"/>
  <c r="Z55" i="20" s="1"/>
  <c r="Z44" i="20"/>
  <c r="Z43" i="20"/>
  <c r="Z42" i="20"/>
  <c r="Z62" i="20" s="1"/>
  <c r="Z64" i="20" s="1"/>
  <c r="X51" i="15"/>
  <c r="Y51" i="15"/>
  <c r="X52" i="15"/>
  <c r="Y52" i="15"/>
  <c r="X53" i="15"/>
  <c r="Y53" i="15"/>
  <c r="X54" i="15"/>
  <c r="Y54" i="15"/>
  <c r="X55" i="15"/>
  <c r="Y55" i="15"/>
  <c r="X56" i="15"/>
  <c r="Y56" i="15"/>
  <c r="X57" i="15"/>
  <c r="Y57" i="15"/>
  <c r="Z52" i="15"/>
  <c r="Z53" i="15"/>
  <c r="Z54" i="15"/>
  <c r="Z55" i="15"/>
  <c r="Z56" i="15"/>
  <c r="Z57" i="15"/>
  <c r="Z51" i="15"/>
  <c r="X49" i="15"/>
  <c r="X71" i="15" s="1"/>
  <c r="Y49" i="15"/>
  <c r="Y65" i="15" s="1"/>
  <c r="Z49" i="15"/>
  <c r="Z65" i="15" s="1"/>
  <c r="Z71" i="15" l="1"/>
  <c r="Z49" i="20"/>
  <c r="X53" i="20"/>
  <c r="X68" i="20"/>
  <c r="Y68" i="20"/>
  <c r="Z65" i="20"/>
  <c r="Y65" i="16"/>
  <c r="Z65" i="16"/>
  <c r="Z68" i="20"/>
  <c r="Z71" i="20" s="1"/>
  <c r="X65" i="15"/>
  <c r="Y71" i="15"/>
  <c r="Y53" i="20"/>
  <c r="Y52" i="20"/>
  <c r="Y49" i="20"/>
  <c r="X52" i="20"/>
  <c r="X62" i="20"/>
  <c r="Z70" i="20"/>
  <c r="L26" i="18"/>
  <c r="M26" i="18"/>
  <c r="N26" i="18"/>
  <c r="O26" i="18"/>
  <c r="P26" i="18"/>
  <c r="C43" i="51"/>
  <c r="D43" i="51"/>
  <c r="E43" i="51"/>
  <c r="F43" i="51"/>
  <c r="G43" i="51"/>
  <c r="H43" i="51"/>
  <c r="I43" i="51"/>
  <c r="J43" i="51"/>
  <c r="K43" i="51"/>
  <c r="L43" i="51"/>
  <c r="B43" i="51"/>
  <c r="G42" i="51"/>
  <c r="H42" i="51"/>
  <c r="I42" i="51"/>
  <c r="J42" i="51"/>
  <c r="L28" i="20"/>
  <c r="L29" i="20" s="1"/>
  <c r="L28" i="18"/>
  <c r="M28" i="18"/>
  <c r="N28" i="18"/>
  <c r="O28" i="18"/>
  <c r="P28" i="18"/>
  <c r="B41" i="51" s="1"/>
  <c r="BE9" i="52"/>
  <c r="BF9" i="52"/>
  <c r="BG9" i="52"/>
  <c r="BH9" i="52"/>
  <c r="BI9" i="52"/>
  <c r="BJ9" i="52"/>
  <c r="BK9" i="52"/>
  <c r="BL9" i="52"/>
  <c r="BM9" i="52"/>
  <c r="BN9" i="52"/>
  <c r="BE10" i="52"/>
  <c r="BF10" i="52"/>
  <c r="BG10" i="52"/>
  <c r="BH10" i="52"/>
  <c r="BI10" i="52"/>
  <c r="BJ10" i="52"/>
  <c r="BK10" i="52"/>
  <c r="BL10" i="52"/>
  <c r="BM10" i="52"/>
  <c r="BN10" i="52"/>
  <c r="BE11" i="52"/>
  <c r="BF11" i="52"/>
  <c r="BG11" i="52"/>
  <c r="BH11" i="52"/>
  <c r="BI11" i="52"/>
  <c r="BJ11" i="52"/>
  <c r="BK11" i="52"/>
  <c r="BL11" i="52"/>
  <c r="BM11" i="52"/>
  <c r="BN11" i="52"/>
  <c r="BE12" i="52"/>
  <c r="BF12" i="52"/>
  <c r="BG12" i="52"/>
  <c r="BH12" i="52"/>
  <c r="BI12" i="52"/>
  <c r="BJ12" i="52"/>
  <c r="BK12" i="52"/>
  <c r="BL12" i="52"/>
  <c r="BM12" i="52"/>
  <c r="BN12" i="52"/>
  <c r="BE13" i="52"/>
  <c r="BF13" i="52"/>
  <c r="BG13" i="52"/>
  <c r="BH13" i="52"/>
  <c r="BI13" i="52"/>
  <c r="BJ13" i="52"/>
  <c r="BK13" i="52"/>
  <c r="BL13" i="52"/>
  <c r="BM13" i="52"/>
  <c r="BN13" i="52"/>
  <c r="Y70" i="20" l="1"/>
  <c r="Y71" i="20"/>
  <c r="X70" i="20"/>
  <c r="X71" i="20"/>
  <c r="X64" i="20"/>
  <c r="X65" i="20"/>
  <c r="Y65" i="20"/>
  <c r="O13" i="52"/>
  <c r="P13" i="52"/>
  <c r="Q13" i="52"/>
  <c r="R13" i="52"/>
  <c r="S13" i="52"/>
  <c r="T13" i="52"/>
  <c r="U13" i="52"/>
  <c r="V13" i="52"/>
  <c r="W13" i="52"/>
  <c r="X13" i="52"/>
  <c r="Y13" i="52"/>
  <c r="Z13" i="52"/>
  <c r="AA13" i="52"/>
  <c r="AN13" i="52"/>
  <c r="AO13" i="52"/>
  <c r="AP13" i="52"/>
  <c r="AQ13" i="52"/>
  <c r="AR13" i="52"/>
  <c r="AS13" i="52"/>
  <c r="AT13" i="52"/>
  <c r="AU13" i="52"/>
  <c r="AV13" i="52"/>
  <c r="AW13" i="52"/>
  <c r="AX13" i="52"/>
  <c r="AY13" i="52"/>
  <c r="AZ13" i="52"/>
  <c r="BA13" i="52"/>
  <c r="BB13" i="52"/>
  <c r="BC13" i="52"/>
  <c r="BD13" i="52"/>
  <c r="O10" i="52"/>
  <c r="P10" i="52"/>
  <c r="Q10" i="52"/>
  <c r="R10" i="52"/>
  <c r="S10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AR10" i="52"/>
  <c r="AS10" i="52"/>
  <c r="AT10" i="52"/>
  <c r="AU10" i="52"/>
  <c r="AV10" i="52"/>
  <c r="AW10" i="52"/>
  <c r="AX10" i="52"/>
  <c r="AY10" i="52"/>
  <c r="AZ10" i="52"/>
  <c r="BA10" i="52"/>
  <c r="BB10" i="52"/>
  <c r="BC10" i="52"/>
  <c r="BD10" i="52"/>
  <c r="O11" i="52"/>
  <c r="P11" i="52"/>
  <c r="Q11" i="52"/>
  <c r="R11" i="52"/>
  <c r="S11" i="52"/>
  <c r="T11" i="52"/>
  <c r="U11" i="52"/>
  <c r="V11" i="52"/>
  <c r="W11" i="52"/>
  <c r="X11" i="52"/>
  <c r="Y11" i="52"/>
  <c r="Z11" i="52"/>
  <c r="AA11" i="52"/>
  <c r="AB11" i="52"/>
  <c r="AC11" i="52"/>
  <c r="AD11" i="52"/>
  <c r="AE11" i="52"/>
  <c r="AF11" i="52"/>
  <c r="AG11" i="52"/>
  <c r="AH11" i="52"/>
  <c r="AI11" i="52"/>
  <c r="AJ11" i="52"/>
  <c r="AK11" i="52"/>
  <c r="AL11" i="52"/>
  <c r="AM11" i="52"/>
  <c r="AN11" i="52"/>
  <c r="AO11" i="52"/>
  <c r="AP11" i="52"/>
  <c r="AQ11" i="52"/>
  <c r="AR11" i="52"/>
  <c r="AS11" i="52"/>
  <c r="AT11" i="52"/>
  <c r="AU11" i="52"/>
  <c r="AV11" i="52"/>
  <c r="AW11" i="52"/>
  <c r="AX11" i="52"/>
  <c r="AY11" i="52"/>
  <c r="AZ11" i="52"/>
  <c r="BA11" i="52"/>
  <c r="BB11" i="52"/>
  <c r="BC11" i="52"/>
  <c r="BD11" i="52"/>
  <c r="O12" i="52"/>
  <c r="P12" i="52"/>
  <c r="Q12" i="52"/>
  <c r="R12" i="52"/>
  <c r="S12" i="52"/>
  <c r="T12" i="52"/>
  <c r="U12" i="52"/>
  <c r="V12" i="52"/>
  <c r="W12" i="52"/>
  <c r="X12" i="52"/>
  <c r="Y12" i="52"/>
  <c r="Z12" i="52"/>
  <c r="AA12" i="52"/>
  <c r="AB12" i="52"/>
  <c r="AC12" i="52"/>
  <c r="AD12" i="52"/>
  <c r="AE12" i="52"/>
  <c r="AF12" i="52"/>
  <c r="AG12" i="52"/>
  <c r="AH12" i="52"/>
  <c r="AI12" i="52"/>
  <c r="AJ12" i="52"/>
  <c r="AK12" i="52"/>
  <c r="AL12" i="52"/>
  <c r="AM12" i="52"/>
  <c r="AN12" i="52"/>
  <c r="AO12" i="52"/>
  <c r="AP12" i="52"/>
  <c r="AQ12" i="52"/>
  <c r="AR12" i="52"/>
  <c r="AS12" i="52"/>
  <c r="AT12" i="52"/>
  <c r="AU12" i="52"/>
  <c r="AV12" i="52"/>
  <c r="AW12" i="52"/>
  <c r="AX12" i="52"/>
  <c r="AY12" i="52"/>
  <c r="AZ12" i="52"/>
  <c r="BA12" i="52"/>
  <c r="BB12" i="52"/>
  <c r="BC12" i="52"/>
  <c r="BD12" i="52"/>
  <c r="P9" i="52"/>
  <c r="Q9" i="52"/>
  <c r="R9" i="52"/>
  <c r="S9" i="52"/>
  <c r="T9" i="52"/>
  <c r="U9" i="52"/>
  <c r="V9" i="52"/>
  <c r="W9" i="52"/>
  <c r="X9" i="52"/>
  <c r="Y9" i="52"/>
  <c r="Z9" i="52"/>
  <c r="AA9" i="52"/>
  <c r="AB9" i="52"/>
  <c r="AC9" i="52"/>
  <c r="AD9" i="52"/>
  <c r="AE9" i="52"/>
  <c r="AF9" i="52"/>
  <c r="AG9" i="52"/>
  <c r="AH9" i="52"/>
  <c r="AI9" i="52"/>
  <c r="AJ9" i="52"/>
  <c r="AK9" i="52"/>
  <c r="AL9" i="52"/>
  <c r="AM9" i="52"/>
  <c r="AN9" i="52"/>
  <c r="AO9" i="52"/>
  <c r="AP9" i="52"/>
  <c r="AQ9" i="52"/>
  <c r="AR9" i="52"/>
  <c r="AS9" i="52"/>
  <c r="AT9" i="52"/>
  <c r="AU9" i="52"/>
  <c r="AV9" i="52"/>
  <c r="AW9" i="52"/>
  <c r="AX9" i="52"/>
  <c r="AY9" i="52"/>
  <c r="AZ9" i="52"/>
  <c r="BA9" i="52"/>
  <c r="BB9" i="52"/>
  <c r="BC9" i="52"/>
  <c r="BD9" i="52"/>
  <c r="O9" i="52"/>
  <c r="B34" i="51" l="1"/>
  <c r="B48" i="51" s="1"/>
  <c r="C22" i="51"/>
  <c r="D22" i="51"/>
  <c r="E22" i="51"/>
  <c r="F22" i="51"/>
  <c r="G22" i="51"/>
  <c r="H22" i="51"/>
  <c r="I22" i="51"/>
  <c r="J22" i="51"/>
  <c r="K22" i="51"/>
  <c r="C21" i="51"/>
  <c r="D21" i="51"/>
  <c r="E21" i="51"/>
  <c r="F21" i="51"/>
  <c r="G21" i="51"/>
  <c r="H21" i="51"/>
  <c r="I21" i="51"/>
  <c r="J21" i="51"/>
  <c r="K21" i="51"/>
  <c r="L21" i="51"/>
  <c r="C23" i="51"/>
  <c r="D23" i="51"/>
  <c r="E23" i="51"/>
  <c r="F23" i="51"/>
  <c r="G23" i="51"/>
  <c r="H23" i="51"/>
  <c r="I23" i="51"/>
  <c r="J23" i="51"/>
  <c r="K23" i="51"/>
  <c r="L23" i="51"/>
  <c r="D24" i="51"/>
  <c r="F24" i="51"/>
  <c r="G24" i="51"/>
  <c r="H24" i="51"/>
  <c r="I24" i="51"/>
  <c r="J24" i="51"/>
  <c r="L24" i="51"/>
  <c r="B24" i="51"/>
  <c r="B23" i="51"/>
  <c r="B21" i="51"/>
  <c r="X28" i="15"/>
  <c r="Y28" i="15"/>
  <c r="Z28" i="15"/>
  <c r="Y34" i="15"/>
  <c r="K30" i="51" s="1"/>
  <c r="Z34" i="15"/>
  <c r="L30" i="51" s="1"/>
  <c r="Y24" i="15"/>
  <c r="Z24" i="15"/>
  <c r="Y12" i="15"/>
  <c r="K24" i="51" s="1"/>
  <c r="Y27" i="16"/>
  <c r="Z27" i="16"/>
  <c r="Y34" i="16"/>
  <c r="K29" i="51" s="1"/>
  <c r="Z34" i="16"/>
  <c r="L29" i="51" s="1"/>
  <c r="Y24" i="16"/>
  <c r="Z24" i="16"/>
  <c r="Y34" i="18"/>
  <c r="K28" i="51" s="1"/>
  <c r="Y24" i="18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Y24" i="20"/>
  <c r="Z24" i="20"/>
  <c r="Y28" i="18" l="1"/>
  <c r="K41" i="51" s="1"/>
  <c r="Y26" i="18"/>
  <c r="Z66" i="15"/>
  <c r="Z72" i="15"/>
  <c r="Y72" i="15"/>
  <c r="Y66" i="15"/>
  <c r="Z59" i="16"/>
  <c r="Z66" i="16"/>
  <c r="Z72" i="16"/>
  <c r="Y31" i="20"/>
  <c r="Y66" i="20"/>
  <c r="Y72" i="20"/>
  <c r="Y59" i="20"/>
  <c r="Y59" i="16"/>
  <c r="Y72" i="16"/>
  <c r="Y66" i="16"/>
  <c r="Z31" i="20"/>
  <c r="Z72" i="20"/>
  <c r="Z66" i="20"/>
  <c r="Z59" i="20"/>
  <c r="Z29" i="15"/>
  <c r="Z58" i="15"/>
  <c r="Z26" i="15"/>
  <c r="Y29" i="15"/>
  <c r="Y58" i="15"/>
  <c r="Y26" i="15"/>
  <c r="K3" i="51"/>
  <c r="L3" i="51"/>
  <c r="Y32" i="15"/>
  <c r="K12" i="51" s="1"/>
  <c r="Y33" i="15"/>
  <c r="K18" i="51" s="1"/>
  <c r="Z32" i="15"/>
  <c r="L12" i="51" s="1"/>
  <c r="Z31" i="16"/>
  <c r="L5" i="51" s="1"/>
  <c r="Z26" i="16"/>
  <c r="Y33" i="16"/>
  <c r="K17" i="51" s="1"/>
  <c r="Y26" i="16"/>
  <c r="K33" i="51"/>
  <c r="L36" i="51"/>
  <c r="L50" i="51" s="1"/>
  <c r="Z31" i="15"/>
  <c r="L6" i="51" s="1"/>
  <c r="K36" i="51"/>
  <c r="K50" i="51" s="1"/>
  <c r="Y31" i="15"/>
  <c r="K6" i="51" s="1"/>
  <c r="Z33" i="15"/>
  <c r="L18" i="51" s="1"/>
  <c r="Z28" i="16"/>
  <c r="Y28" i="16"/>
  <c r="Z32" i="16"/>
  <c r="L11" i="51" s="1"/>
  <c r="L35" i="51"/>
  <c r="Z33" i="16"/>
  <c r="L17" i="51" s="1"/>
  <c r="K35" i="51"/>
  <c r="Y26" i="20"/>
  <c r="L33" i="51"/>
  <c r="K34" i="51"/>
  <c r="K48" i="51" s="1"/>
  <c r="Y31" i="16"/>
  <c r="K5" i="51" s="1"/>
  <c r="Y32" i="16"/>
  <c r="K11" i="51" s="1"/>
  <c r="Y32" i="18"/>
  <c r="K10" i="51" s="1"/>
  <c r="Y31" i="18"/>
  <c r="K4" i="51" s="1"/>
  <c r="Y29" i="18"/>
  <c r="Y33" i="18"/>
  <c r="K16" i="51" s="1"/>
  <c r="Z26" i="20"/>
  <c r="Z33" i="20"/>
  <c r="Z32" i="20"/>
  <c r="Y33" i="20"/>
  <c r="Y32" i="20"/>
  <c r="K9" i="51" l="1"/>
  <c r="K15" i="51"/>
  <c r="L9" i="51"/>
  <c r="L15" i="51"/>
  <c r="Y29" i="16"/>
  <c r="K42" i="51"/>
  <c r="K49" i="51" s="1"/>
  <c r="Z29" i="16"/>
  <c r="L42" i="51"/>
  <c r="L49" i="51" s="1"/>
  <c r="K37" i="51"/>
  <c r="Y34" i="20"/>
  <c r="Y28" i="20"/>
  <c r="Z34" i="20"/>
  <c r="Z28" i="20"/>
  <c r="U28" i="15"/>
  <c r="V28" i="15"/>
  <c r="W28" i="15"/>
  <c r="U34" i="15"/>
  <c r="G30" i="51" s="1"/>
  <c r="V34" i="15"/>
  <c r="H30" i="51" s="1"/>
  <c r="W34" i="15"/>
  <c r="I30" i="51" s="1"/>
  <c r="X34" i="15"/>
  <c r="J30" i="51" s="1"/>
  <c r="U24" i="15"/>
  <c r="U26" i="15" s="1"/>
  <c r="V24" i="15"/>
  <c r="V26" i="15" s="1"/>
  <c r="W24" i="15"/>
  <c r="W26" i="15" s="1"/>
  <c r="X24" i="15"/>
  <c r="U24" i="18"/>
  <c r="V24" i="18"/>
  <c r="W24" i="18"/>
  <c r="X24" i="18"/>
  <c r="T24" i="18"/>
  <c r="T34" i="18"/>
  <c r="F28" i="51" s="1"/>
  <c r="U34" i="18"/>
  <c r="G28" i="51" s="1"/>
  <c r="V34" i="18"/>
  <c r="H28" i="51" s="1"/>
  <c r="W34" i="18"/>
  <c r="I28" i="51" s="1"/>
  <c r="X34" i="18"/>
  <c r="J28" i="51" s="1"/>
  <c r="S34" i="18"/>
  <c r="E28" i="51" s="1"/>
  <c r="S24" i="18"/>
  <c r="S26" i="18" s="1"/>
  <c r="R24" i="18"/>
  <c r="R26" i="18" s="1"/>
  <c r="X24" i="20"/>
  <c r="W24" i="20"/>
  <c r="I33" i="51" s="1"/>
  <c r="X34" i="16"/>
  <c r="J29" i="51" s="1"/>
  <c r="X24" i="16"/>
  <c r="X66" i="15" l="1"/>
  <c r="X72" i="15"/>
  <c r="X28" i="18"/>
  <c r="J41" i="51" s="1"/>
  <c r="X26" i="18"/>
  <c r="W28" i="18"/>
  <c r="I41" i="51" s="1"/>
  <c r="W26" i="18"/>
  <c r="J33" i="51"/>
  <c r="X66" i="20"/>
  <c r="X72" i="20"/>
  <c r="X59" i="20"/>
  <c r="V28" i="18"/>
  <c r="H41" i="51" s="1"/>
  <c r="V26" i="18"/>
  <c r="T28" i="18"/>
  <c r="F41" i="51" s="1"/>
  <c r="T26" i="18"/>
  <c r="U28" i="18"/>
  <c r="G41" i="51" s="1"/>
  <c r="U26" i="18"/>
  <c r="X26" i="15"/>
  <c r="X58" i="15"/>
  <c r="Y29" i="20"/>
  <c r="L27" i="51"/>
  <c r="K27" i="51"/>
  <c r="Z29" i="20"/>
  <c r="X33" i="16"/>
  <c r="J17" i="51" s="1"/>
  <c r="X26" i="16"/>
  <c r="E34" i="51"/>
  <c r="S28" i="18"/>
  <c r="E41" i="51" s="1"/>
  <c r="D34" i="51"/>
  <c r="R28" i="18"/>
  <c r="D41" i="51" s="1"/>
  <c r="R29" i="18"/>
  <c r="U33" i="15"/>
  <c r="G18" i="51" s="1"/>
  <c r="U29" i="15"/>
  <c r="G36" i="51"/>
  <c r="G50" i="51" s="1"/>
  <c r="X32" i="15"/>
  <c r="J12" i="51" s="1"/>
  <c r="X29" i="15"/>
  <c r="J36" i="51"/>
  <c r="J50" i="51" s="1"/>
  <c r="W32" i="15"/>
  <c r="I12" i="51" s="1"/>
  <c r="W29" i="15"/>
  <c r="I36" i="51"/>
  <c r="I50" i="51" s="1"/>
  <c r="V33" i="15"/>
  <c r="H18" i="51" s="1"/>
  <c r="V29" i="15"/>
  <c r="H36" i="51"/>
  <c r="H50" i="51" s="1"/>
  <c r="X29" i="16"/>
  <c r="J35" i="51"/>
  <c r="J49" i="51" s="1"/>
  <c r="X32" i="16"/>
  <c r="J11" i="51" s="1"/>
  <c r="X31" i="16"/>
  <c r="J5" i="51" s="1"/>
  <c r="W32" i="20"/>
  <c r="I9" i="51" s="1"/>
  <c r="W26" i="20"/>
  <c r="W31" i="20"/>
  <c r="I3" i="51" s="1"/>
  <c r="X33" i="20"/>
  <c r="L40" i="51"/>
  <c r="L47" i="51" s="1"/>
  <c r="X32" i="20"/>
  <c r="K40" i="51"/>
  <c r="X31" i="20"/>
  <c r="W33" i="20"/>
  <c r="I15" i="51" s="1"/>
  <c r="X26" i="20"/>
  <c r="U31" i="18"/>
  <c r="G4" i="51" s="1"/>
  <c r="G34" i="51"/>
  <c r="X31" i="18"/>
  <c r="J4" i="51" s="1"/>
  <c r="J34" i="51"/>
  <c r="S33" i="18"/>
  <c r="E16" i="51" s="1"/>
  <c r="T31" i="18"/>
  <c r="F4" i="51" s="1"/>
  <c r="F34" i="51"/>
  <c r="F48" i="51" s="1"/>
  <c r="R31" i="18"/>
  <c r="D4" i="51" s="1"/>
  <c r="S29" i="18"/>
  <c r="W32" i="18"/>
  <c r="I10" i="51" s="1"/>
  <c r="I34" i="51"/>
  <c r="S32" i="18"/>
  <c r="E10" i="51" s="1"/>
  <c r="S31" i="18"/>
  <c r="E4" i="51" s="1"/>
  <c r="R33" i="18"/>
  <c r="D16" i="51" s="1"/>
  <c r="R32" i="18"/>
  <c r="D10" i="51" s="1"/>
  <c r="V29" i="18"/>
  <c r="H34" i="51"/>
  <c r="H48" i="51" s="1"/>
  <c r="X31" i="15"/>
  <c r="J6" i="51" s="1"/>
  <c r="X33" i="15"/>
  <c r="J18" i="51" s="1"/>
  <c r="W33" i="15"/>
  <c r="I18" i="51" s="1"/>
  <c r="W31" i="15"/>
  <c r="I6" i="51" s="1"/>
  <c r="V31" i="15"/>
  <c r="H6" i="51" s="1"/>
  <c r="V32" i="15"/>
  <c r="H12" i="51" s="1"/>
  <c r="U32" i="15"/>
  <c r="G12" i="51" s="1"/>
  <c r="U31" i="15"/>
  <c r="G6" i="51" s="1"/>
  <c r="X33" i="18"/>
  <c r="J16" i="51" s="1"/>
  <c r="X32" i="18"/>
  <c r="J10" i="51" s="1"/>
  <c r="X29" i="18"/>
  <c r="V32" i="18"/>
  <c r="H10" i="51" s="1"/>
  <c r="U32" i="18"/>
  <c r="G10" i="51" s="1"/>
  <c r="W33" i="18"/>
  <c r="I16" i="51" s="1"/>
  <c r="V33" i="18"/>
  <c r="H16" i="51" s="1"/>
  <c r="V31" i="18"/>
  <c r="H4" i="51" s="1"/>
  <c r="W31" i="18"/>
  <c r="I4" i="51" s="1"/>
  <c r="U29" i="18"/>
  <c r="U33" i="18"/>
  <c r="G16" i="51" s="1"/>
  <c r="W29" i="18"/>
  <c r="T33" i="18"/>
  <c r="F16" i="51" s="1"/>
  <c r="T32" i="18"/>
  <c r="F10" i="51" s="1"/>
  <c r="T29" i="18"/>
  <c r="V34" i="16"/>
  <c r="H29" i="51" s="1"/>
  <c r="W34" i="16"/>
  <c r="I29" i="51" s="1"/>
  <c r="W24" i="16"/>
  <c r="V24" i="16"/>
  <c r="V26" i="16" s="1"/>
  <c r="U34" i="16"/>
  <c r="G29" i="51" s="1"/>
  <c r="U24" i="16"/>
  <c r="U26" i="16" s="1"/>
  <c r="G48" i="51" l="1"/>
  <c r="I48" i="51"/>
  <c r="J9" i="51"/>
  <c r="J3" i="51"/>
  <c r="J15" i="51"/>
  <c r="W31" i="16"/>
  <c r="I5" i="51" s="1"/>
  <c r="W26" i="16"/>
  <c r="J37" i="51"/>
  <c r="D48" i="51"/>
  <c r="E48" i="51"/>
  <c r="J48" i="51"/>
  <c r="K44" i="51"/>
  <c r="K51" i="51" s="1"/>
  <c r="K47" i="51"/>
  <c r="W33" i="16"/>
  <c r="I17" i="51" s="1"/>
  <c r="U29" i="16"/>
  <c r="G35" i="51"/>
  <c r="G49" i="51" s="1"/>
  <c r="W29" i="16"/>
  <c r="I35" i="51"/>
  <c r="I49" i="51" s="1"/>
  <c r="W32" i="16"/>
  <c r="I11" i="51" s="1"/>
  <c r="U33" i="16"/>
  <c r="G17" i="51" s="1"/>
  <c r="V31" i="16"/>
  <c r="H5" i="51" s="1"/>
  <c r="V29" i="16"/>
  <c r="H35" i="51"/>
  <c r="H49" i="51" s="1"/>
  <c r="U32" i="16"/>
  <c r="G11" i="51" s="1"/>
  <c r="U31" i="16"/>
  <c r="G5" i="51" s="1"/>
  <c r="X28" i="20"/>
  <c r="X34" i="20"/>
  <c r="W28" i="20"/>
  <c r="W29" i="20" s="1"/>
  <c r="W34" i="20"/>
  <c r="I27" i="51" s="1"/>
  <c r="V33" i="16"/>
  <c r="H17" i="51" s="1"/>
  <c r="V32" i="16"/>
  <c r="H11" i="51" s="1"/>
  <c r="U24" i="20"/>
  <c r="V24" i="20"/>
  <c r="J27" i="51" l="1"/>
  <c r="X29" i="20"/>
  <c r="G33" i="51"/>
  <c r="U26" i="20"/>
  <c r="G37" i="51"/>
  <c r="I37" i="51"/>
  <c r="U33" i="20"/>
  <c r="G15" i="51" s="1"/>
  <c r="U31" i="20"/>
  <c r="G3" i="51" s="1"/>
  <c r="U32" i="20"/>
  <c r="G9" i="51" s="1"/>
  <c r="V26" i="20"/>
  <c r="H33" i="51"/>
  <c r="H37" i="51" s="1"/>
  <c r="I40" i="51"/>
  <c r="J40" i="51"/>
  <c r="V31" i="20"/>
  <c r="H3" i="51" s="1"/>
  <c r="V32" i="20"/>
  <c r="H9" i="51" s="1"/>
  <c r="V33" i="20"/>
  <c r="K28" i="15"/>
  <c r="L28" i="15"/>
  <c r="M28" i="15"/>
  <c r="N28" i="15"/>
  <c r="O28" i="15"/>
  <c r="P28" i="15"/>
  <c r="Q28" i="15"/>
  <c r="R28" i="15"/>
  <c r="S28" i="15"/>
  <c r="T28" i="15"/>
  <c r="T34" i="15"/>
  <c r="F30" i="51" s="1"/>
  <c r="T24" i="15"/>
  <c r="T26" i="15" s="1"/>
  <c r="U28" i="20" l="1"/>
  <c r="U34" i="20"/>
  <c r="G27" i="51" s="1"/>
  <c r="J47" i="51"/>
  <c r="J44" i="51"/>
  <c r="J51" i="51" s="1"/>
  <c r="V34" i="20"/>
  <c r="H27" i="51" s="1"/>
  <c r="V28" i="20"/>
  <c r="V29" i="20" s="1"/>
  <c r="I44" i="51"/>
  <c r="I51" i="51" s="1"/>
  <c r="I47" i="51"/>
  <c r="T31" i="15"/>
  <c r="F6" i="51" s="1"/>
  <c r="T29" i="15"/>
  <c r="F36" i="51"/>
  <c r="F50" i="51" s="1"/>
  <c r="T32" i="15"/>
  <c r="F12" i="51" s="1"/>
  <c r="H15" i="51"/>
  <c r="T27" i="16"/>
  <c r="T28" i="16" s="1"/>
  <c r="T32" i="16"/>
  <c r="F11" i="51" s="1"/>
  <c r="T33" i="16"/>
  <c r="F17" i="51" s="1"/>
  <c r="T34" i="16"/>
  <c r="F29" i="51" s="1"/>
  <c r="T24" i="16"/>
  <c r="T26" i="16" s="1"/>
  <c r="G40" i="51" l="1"/>
  <c r="U29" i="20"/>
  <c r="T29" i="16"/>
  <c r="F42" i="51"/>
  <c r="T31" i="16"/>
  <c r="F5" i="51" s="1"/>
  <c r="F35" i="51"/>
  <c r="H40" i="51"/>
  <c r="H44" i="51" s="1"/>
  <c r="H51" i="51" s="1"/>
  <c r="T24" i="20"/>
  <c r="F33" i="51" s="1"/>
  <c r="F37" i="51" s="1"/>
  <c r="H47" i="51" l="1"/>
  <c r="G47" i="51"/>
  <c r="G44" i="51"/>
  <c r="G51" i="51" s="1"/>
  <c r="F49" i="51"/>
  <c r="T26" i="20"/>
  <c r="T31" i="20"/>
  <c r="F3" i="51" s="1"/>
  <c r="T32" i="20"/>
  <c r="F9" i="51" s="1"/>
  <c r="T33" i="20"/>
  <c r="F15" i="51" s="1"/>
  <c r="S34" i="20"/>
  <c r="E27" i="51" s="1"/>
  <c r="S28" i="20"/>
  <c r="S24" i="20"/>
  <c r="S32" i="20" s="1"/>
  <c r="E9" i="51" s="1"/>
  <c r="R34" i="18"/>
  <c r="D28" i="51" s="1"/>
  <c r="K34" i="18"/>
  <c r="J34" i="18"/>
  <c r="H34" i="18"/>
  <c r="G34" i="18"/>
  <c r="S34" i="16"/>
  <c r="E29" i="51" s="1"/>
  <c r="R34" i="16"/>
  <c r="D29" i="51" s="1"/>
  <c r="K34" i="16"/>
  <c r="J34" i="16"/>
  <c r="I34" i="16"/>
  <c r="H34" i="16"/>
  <c r="G34" i="16"/>
  <c r="F34" i="16"/>
  <c r="E34" i="16"/>
  <c r="D34" i="16"/>
  <c r="K34" i="15"/>
  <c r="L34" i="15"/>
  <c r="M34" i="15"/>
  <c r="N34" i="15"/>
  <c r="O34" i="15"/>
  <c r="P34" i="15"/>
  <c r="B30" i="51" s="1"/>
  <c r="Q34" i="15"/>
  <c r="C30" i="51" s="1"/>
  <c r="R34" i="15"/>
  <c r="D30" i="51" s="1"/>
  <c r="S34" i="15"/>
  <c r="E30" i="51" s="1"/>
  <c r="S24" i="15"/>
  <c r="S26" i="15" s="1"/>
  <c r="S12" i="15"/>
  <c r="T33" i="15" l="1"/>
  <c r="F18" i="51" s="1"/>
  <c r="E24" i="51"/>
  <c r="S31" i="15"/>
  <c r="E6" i="51" s="1"/>
  <c r="S29" i="15"/>
  <c r="E36" i="51"/>
  <c r="E50" i="51" s="1"/>
  <c r="S31" i="20"/>
  <c r="E3" i="51" s="1"/>
  <c r="E33" i="51"/>
  <c r="S29" i="20"/>
  <c r="E40" i="51"/>
  <c r="T28" i="20"/>
  <c r="T34" i="20"/>
  <c r="F27" i="51" s="1"/>
  <c r="S33" i="20"/>
  <c r="E15" i="51" s="1"/>
  <c r="S33" i="15"/>
  <c r="E18" i="51" s="1"/>
  <c r="S32" i="15"/>
  <c r="E12" i="51" s="1"/>
  <c r="K28" i="16"/>
  <c r="F40" i="51" l="1"/>
  <c r="T29" i="20"/>
  <c r="E47" i="51"/>
  <c r="S27" i="16"/>
  <c r="S28" i="16" s="1"/>
  <c r="S24" i="16"/>
  <c r="E35" i="51" l="1"/>
  <c r="E37" i="51" s="1"/>
  <c r="S26" i="16"/>
  <c r="S29" i="16"/>
  <c r="E42" i="51"/>
  <c r="F47" i="51"/>
  <c r="F44" i="51"/>
  <c r="F51" i="51" s="1"/>
  <c r="S31" i="16"/>
  <c r="E5" i="51" s="1"/>
  <c r="S33" i="16"/>
  <c r="E17" i="51" s="1"/>
  <c r="S32" i="16"/>
  <c r="E11" i="51" s="1"/>
  <c r="E49" i="51" l="1"/>
  <c r="E44" i="51"/>
  <c r="E51" i="51" s="1"/>
  <c r="R27" i="16"/>
  <c r="R28" i="16" s="1"/>
  <c r="R24" i="16"/>
  <c r="D35" i="51" l="1"/>
  <c r="R26" i="16"/>
  <c r="R29" i="16"/>
  <c r="D42" i="51"/>
  <c r="R32" i="16"/>
  <c r="D11" i="51" s="1"/>
  <c r="R31" i="16"/>
  <c r="D5" i="51" s="1"/>
  <c r="R33" i="16"/>
  <c r="D17" i="51" s="1"/>
  <c r="R24" i="15"/>
  <c r="R26" i="15" s="1"/>
  <c r="P34" i="20"/>
  <c r="B27" i="51" s="1"/>
  <c r="P28" i="20"/>
  <c r="R34" i="20"/>
  <c r="D27" i="51" s="1"/>
  <c r="R28" i="20"/>
  <c r="D49" i="51" l="1"/>
  <c r="R29" i="15"/>
  <c r="D36" i="51"/>
  <c r="D50" i="51" s="1"/>
  <c r="B40" i="51"/>
  <c r="P29" i="20"/>
  <c r="D40" i="51"/>
  <c r="R29" i="20"/>
  <c r="R32" i="15"/>
  <c r="D12" i="51" s="1"/>
  <c r="R31" i="15"/>
  <c r="D6" i="51" s="1"/>
  <c r="R24" i="20"/>
  <c r="D33" i="51" s="1"/>
  <c r="R78" i="20"/>
  <c r="D37" i="51" l="1"/>
  <c r="D47" i="51"/>
  <c r="D44" i="51"/>
  <c r="R32" i="20"/>
  <c r="D9" i="51" s="1"/>
  <c r="R31" i="20"/>
  <c r="D3" i="51" s="1"/>
  <c r="R33" i="20"/>
  <c r="D15" i="51" s="1"/>
  <c r="D24" i="16"/>
  <c r="D51" i="51" l="1"/>
  <c r="D31" i="16"/>
  <c r="D26" i="16"/>
  <c r="D32" i="16"/>
  <c r="E12" i="15"/>
  <c r="G12" i="15"/>
  <c r="I12" i="15"/>
  <c r="M7" i="18"/>
  <c r="N7" i="18"/>
  <c r="N34" i="18" s="1"/>
  <c r="O7" i="18"/>
  <c r="O34" i="18" s="1"/>
  <c r="P7" i="18"/>
  <c r="P34" i="18" s="1"/>
  <c r="B28" i="51" s="1"/>
  <c r="L7" i="18"/>
  <c r="L34" i="18" s="1"/>
  <c r="Q24" i="18"/>
  <c r="Q26" i="18" s="1"/>
  <c r="Q28" i="18" l="1"/>
  <c r="C41" i="51" s="1"/>
  <c r="C34" i="51"/>
  <c r="M34" i="18"/>
  <c r="Q31" i="18"/>
  <c r="C4" i="51" s="1"/>
  <c r="Q29" i="18"/>
  <c r="Q7" i="18"/>
  <c r="Q34" i="18" s="1"/>
  <c r="C28" i="51" s="1"/>
  <c r="Q32" i="18"/>
  <c r="C10" i="51" s="1"/>
  <c r="P24" i="20"/>
  <c r="B33" i="51" s="1"/>
  <c r="Q24" i="20"/>
  <c r="Q12" i="15"/>
  <c r="C24" i="51" s="1"/>
  <c r="Q24" i="15"/>
  <c r="Q26" i="15" s="1"/>
  <c r="Q27" i="16"/>
  <c r="Q24" i="16"/>
  <c r="Q26" i="16" s="1"/>
  <c r="Q28" i="20"/>
  <c r="Q34" i="20"/>
  <c r="C27" i="51" s="1"/>
  <c r="Q78" i="20"/>
  <c r="Q29" i="15" l="1"/>
  <c r="C36" i="51"/>
  <c r="C50" i="51" s="1"/>
  <c r="Q7" i="16"/>
  <c r="Q28" i="16" s="1"/>
  <c r="C35" i="51"/>
  <c r="C48" i="51"/>
  <c r="B47" i="51"/>
  <c r="Q33" i="20"/>
  <c r="C15" i="51" s="1"/>
  <c r="C33" i="51"/>
  <c r="C37" i="51" s="1"/>
  <c r="Q29" i="20"/>
  <c r="C40" i="51"/>
  <c r="R33" i="15"/>
  <c r="D18" i="51" s="1"/>
  <c r="Q32" i="15"/>
  <c r="C12" i="51" s="1"/>
  <c r="Q32" i="16"/>
  <c r="C11" i="51" s="1"/>
  <c r="Q31" i="20"/>
  <c r="C3" i="51" s="1"/>
  <c r="Q32" i="20"/>
  <c r="C9" i="51" s="1"/>
  <c r="Q31" i="15"/>
  <c r="C6" i="51" s="1"/>
  <c r="Q33" i="15"/>
  <c r="C18" i="51" s="1"/>
  <c r="Q31" i="16"/>
  <c r="C5" i="51" s="1"/>
  <c r="Q33" i="16"/>
  <c r="C17" i="51" s="1"/>
  <c r="H12" i="18"/>
  <c r="Q34" i="16" l="1"/>
  <c r="C29" i="51" s="1"/>
  <c r="Q29" i="16"/>
  <c r="C42" i="51"/>
  <c r="C49" i="51" s="1"/>
  <c r="C47" i="51"/>
  <c r="D5" i="20"/>
  <c r="E5" i="20"/>
  <c r="F5" i="20"/>
  <c r="G5" i="20"/>
  <c r="H5" i="20"/>
  <c r="I5" i="20"/>
  <c r="J5" i="20"/>
  <c r="K5" i="20"/>
  <c r="C5" i="20"/>
  <c r="E13" i="20"/>
  <c r="E12" i="20"/>
  <c r="C44" i="51" l="1"/>
  <c r="C51" i="51" s="1"/>
  <c r="G12" i="16"/>
  <c r="O33" i="18"/>
  <c r="N33" i="18"/>
  <c r="L33" i="20"/>
  <c r="M33" i="20"/>
  <c r="N33" i="20"/>
  <c r="O33" i="20"/>
  <c r="P33" i="20"/>
  <c r="B15" i="51" s="1"/>
  <c r="L32" i="18"/>
  <c r="M32" i="18"/>
  <c r="N32" i="18"/>
  <c r="O32" i="18"/>
  <c r="P32" i="18"/>
  <c r="B10" i="51" s="1"/>
  <c r="P24" i="15"/>
  <c r="P26" i="15" s="1"/>
  <c r="K12" i="15"/>
  <c r="M12" i="15"/>
  <c r="L24" i="15"/>
  <c r="L26" i="15" s="1"/>
  <c r="M24" i="15"/>
  <c r="M26" i="15" s="1"/>
  <c r="N24" i="15"/>
  <c r="N26" i="15" s="1"/>
  <c r="O24" i="15"/>
  <c r="O26" i="15" s="1"/>
  <c r="O12" i="15"/>
  <c r="L29" i="18"/>
  <c r="M29" i="18"/>
  <c r="N29" i="18"/>
  <c r="O29" i="18"/>
  <c r="P29" i="18"/>
  <c r="P31" i="18"/>
  <c r="B4" i="51" s="1"/>
  <c r="P12" i="18"/>
  <c r="L12" i="18"/>
  <c r="M33" i="18" s="1"/>
  <c r="L31" i="18"/>
  <c r="M31" i="18"/>
  <c r="N31" i="18"/>
  <c r="O31" i="18"/>
  <c r="K24" i="16"/>
  <c r="L24" i="16"/>
  <c r="L26" i="16" s="1"/>
  <c r="M24" i="16"/>
  <c r="N24" i="16"/>
  <c r="O24" i="16"/>
  <c r="P24" i="16"/>
  <c r="N78" i="20"/>
  <c r="O78" i="20"/>
  <c r="P78" i="20"/>
  <c r="O7" i="20"/>
  <c r="P7" i="20"/>
  <c r="O31" i="20"/>
  <c r="P31" i="20"/>
  <c r="B3" i="51" s="1"/>
  <c r="O32" i="20"/>
  <c r="P32" i="20"/>
  <c r="B9" i="51" s="1"/>
  <c r="L31" i="20"/>
  <c r="M31" i="20"/>
  <c r="N31" i="20"/>
  <c r="L32" i="20"/>
  <c r="M32" i="20"/>
  <c r="N32" i="20"/>
  <c r="N7" i="20"/>
  <c r="M7" i="20"/>
  <c r="L7" i="20"/>
  <c r="O34" i="20"/>
  <c r="N34" i="20"/>
  <c r="M34" i="20"/>
  <c r="O28" i="20"/>
  <c r="O29" i="20" s="1"/>
  <c r="N28" i="20"/>
  <c r="N29" i="20" s="1"/>
  <c r="M28" i="20"/>
  <c r="M29" i="20" s="1"/>
  <c r="L31" i="16" l="1"/>
  <c r="O32" i="15"/>
  <c r="O29" i="15"/>
  <c r="N32" i="15"/>
  <c r="N29" i="15"/>
  <c r="M31" i="15"/>
  <c r="M29" i="15"/>
  <c r="P29" i="15"/>
  <c r="B36" i="51"/>
  <c r="B50" i="51" s="1"/>
  <c r="L31" i="15"/>
  <c r="L29" i="15"/>
  <c r="M7" i="16"/>
  <c r="M26" i="16"/>
  <c r="B35" i="51"/>
  <c r="P26" i="16"/>
  <c r="N7" i="16"/>
  <c r="N28" i="16" s="1"/>
  <c r="N29" i="16" s="1"/>
  <c r="N26" i="16"/>
  <c r="O7" i="16"/>
  <c r="O28" i="16" s="1"/>
  <c r="O29" i="16" s="1"/>
  <c r="O26" i="16"/>
  <c r="K29" i="16"/>
  <c r="K26" i="16"/>
  <c r="Q33" i="18"/>
  <c r="C16" i="51" s="1"/>
  <c r="B22" i="51"/>
  <c r="N33" i="15"/>
  <c r="M32" i="15"/>
  <c r="L33" i="18"/>
  <c r="M34" i="16"/>
  <c r="M28" i="16"/>
  <c r="M29" i="16" s="1"/>
  <c r="P33" i="15"/>
  <c r="B18" i="51" s="1"/>
  <c r="L33" i="15"/>
  <c r="N31" i="16"/>
  <c r="M33" i="15"/>
  <c r="K32" i="16"/>
  <c r="P33" i="16"/>
  <c r="B17" i="51" s="1"/>
  <c r="P7" i="16"/>
  <c r="O31" i="15"/>
  <c r="P33" i="18"/>
  <c r="B16" i="51" s="1"/>
  <c r="K31" i="16"/>
  <c r="N31" i="15"/>
  <c r="P31" i="15"/>
  <c r="B6" i="51" s="1"/>
  <c r="P32" i="16"/>
  <c r="B11" i="51" s="1"/>
  <c r="K33" i="16"/>
  <c r="O31" i="16"/>
  <c r="O32" i="16"/>
  <c r="P32" i="15"/>
  <c r="B12" i="51" s="1"/>
  <c r="L32" i="15"/>
  <c r="N33" i="16"/>
  <c r="L33" i="16"/>
  <c r="L7" i="16"/>
  <c r="O33" i="15"/>
  <c r="L32" i="16"/>
  <c r="O33" i="16"/>
  <c r="P31" i="16"/>
  <c r="B5" i="51" s="1"/>
  <c r="N32" i="16"/>
  <c r="M32" i="16"/>
  <c r="M33" i="16"/>
  <c r="M31" i="16"/>
  <c r="N34" i="16" l="1"/>
  <c r="B37" i="51"/>
  <c r="O34" i="16"/>
  <c r="L34" i="16"/>
  <c r="L28" i="16"/>
  <c r="L29" i="16" s="1"/>
  <c r="P34" i="16"/>
  <c r="B29" i="51" s="1"/>
  <c r="P28" i="16"/>
  <c r="K24" i="15"/>
  <c r="J24" i="15"/>
  <c r="I24" i="15"/>
  <c r="I26" i="15" s="1"/>
  <c r="H24" i="15"/>
  <c r="H26" i="15" s="1"/>
  <c r="G24" i="15"/>
  <c r="G26" i="15" s="1"/>
  <c r="F24" i="15"/>
  <c r="F26" i="15" s="1"/>
  <c r="E24" i="15"/>
  <c r="E26" i="15" s="1"/>
  <c r="D24" i="15"/>
  <c r="D26" i="15" s="1"/>
  <c r="C24" i="15"/>
  <c r="C26" i="15" s="1"/>
  <c r="J24" i="16"/>
  <c r="J26" i="16" s="1"/>
  <c r="I24" i="16"/>
  <c r="I26" i="16" s="1"/>
  <c r="H24" i="16"/>
  <c r="H26" i="16" s="1"/>
  <c r="G24" i="16"/>
  <c r="F24" i="16"/>
  <c r="F26" i="16" s="1"/>
  <c r="E24" i="16"/>
  <c r="E26" i="16" s="1"/>
  <c r="K24" i="18"/>
  <c r="J24" i="18"/>
  <c r="I24" i="18"/>
  <c r="I26" i="18" s="1"/>
  <c r="H24" i="18"/>
  <c r="H26" i="18" s="1"/>
  <c r="G24" i="18"/>
  <c r="G26" i="18" s="1"/>
  <c r="F24" i="18"/>
  <c r="F26" i="18" s="1"/>
  <c r="E24" i="18"/>
  <c r="E26" i="18" s="1"/>
  <c r="D24" i="18"/>
  <c r="D26" i="18" s="1"/>
  <c r="C24" i="18"/>
  <c r="C26" i="18" s="1"/>
  <c r="B24" i="18"/>
  <c r="B26" i="18" s="1"/>
  <c r="K24" i="20"/>
  <c r="J24" i="20"/>
  <c r="I24" i="20"/>
  <c r="H24" i="20"/>
  <c r="G24" i="20"/>
  <c r="F24" i="20"/>
  <c r="F33" i="20" s="1"/>
  <c r="E24" i="20"/>
  <c r="E33" i="20" s="1"/>
  <c r="D24" i="20"/>
  <c r="D33" i="20" s="1"/>
  <c r="C24" i="20"/>
  <c r="K28" i="18" l="1"/>
  <c r="K26" i="18"/>
  <c r="J28" i="18"/>
  <c r="J26" i="18"/>
  <c r="J29" i="15"/>
  <c r="J26" i="15"/>
  <c r="K29" i="15"/>
  <c r="K26" i="15"/>
  <c r="G33" i="16"/>
  <c r="G26" i="16"/>
  <c r="P29" i="16"/>
  <c r="B42" i="51"/>
  <c r="C7" i="18"/>
  <c r="K31" i="18"/>
  <c r="K29" i="18"/>
  <c r="K33" i="18"/>
  <c r="K32" i="18"/>
  <c r="D7" i="15"/>
  <c r="D32" i="15"/>
  <c r="D33" i="15"/>
  <c r="H32" i="18"/>
  <c r="H33" i="18"/>
  <c r="E31" i="15"/>
  <c r="E33" i="15"/>
  <c r="E32" i="15"/>
  <c r="E7" i="15"/>
  <c r="I31" i="15"/>
  <c r="I7" i="15"/>
  <c r="I32" i="15"/>
  <c r="I33" i="15"/>
  <c r="E7" i="18"/>
  <c r="E33" i="18"/>
  <c r="E32" i="18"/>
  <c r="I31" i="18"/>
  <c r="I7" i="18"/>
  <c r="I32" i="18"/>
  <c r="I33" i="18"/>
  <c r="F32" i="16"/>
  <c r="F33" i="16"/>
  <c r="F32" i="15"/>
  <c r="F7" i="15"/>
  <c r="F33" i="15"/>
  <c r="J31" i="15"/>
  <c r="J7" i="15"/>
  <c r="J28" i="15" s="1"/>
  <c r="J33" i="15"/>
  <c r="J32" i="15"/>
  <c r="G33" i="18"/>
  <c r="G32" i="18"/>
  <c r="H7" i="15"/>
  <c r="H32" i="15"/>
  <c r="H33" i="15"/>
  <c r="D7" i="18"/>
  <c r="D33" i="18"/>
  <c r="D32" i="18"/>
  <c r="E32" i="16"/>
  <c r="E33" i="16"/>
  <c r="B7" i="18"/>
  <c r="F7" i="18"/>
  <c r="F33" i="18"/>
  <c r="F32" i="18"/>
  <c r="J33" i="18"/>
  <c r="J29" i="18"/>
  <c r="J32" i="18"/>
  <c r="C31" i="15"/>
  <c r="C33" i="15"/>
  <c r="C7" i="15"/>
  <c r="G31" i="15"/>
  <c r="G7" i="15"/>
  <c r="G32" i="15"/>
  <c r="G33" i="15"/>
  <c r="K32" i="15"/>
  <c r="K33" i="15"/>
  <c r="J33" i="16"/>
  <c r="J32" i="16"/>
  <c r="H32" i="16"/>
  <c r="H33" i="16"/>
  <c r="I33" i="16"/>
  <c r="I32" i="16"/>
  <c r="C31" i="20"/>
  <c r="C32" i="20"/>
  <c r="E32" i="20"/>
  <c r="I33" i="20"/>
  <c r="J33" i="20"/>
  <c r="G33" i="20"/>
  <c r="K31" i="20"/>
  <c r="K33" i="20"/>
  <c r="D32" i="20"/>
  <c r="H33" i="20"/>
  <c r="F31" i="15"/>
  <c r="H31" i="16"/>
  <c r="E31" i="16"/>
  <c r="F31" i="16"/>
  <c r="J31" i="16"/>
  <c r="I31" i="16"/>
  <c r="G31" i="16"/>
  <c r="K31" i="15"/>
  <c r="D31" i="15"/>
  <c r="H31" i="15"/>
  <c r="H31" i="18"/>
  <c r="G32" i="20"/>
  <c r="C31" i="18"/>
  <c r="D31" i="18"/>
  <c r="G31" i="18"/>
  <c r="B31" i="18"/>
  <c r="F31" i="18"/>
  <c r="J31" i="18"/>
  <c r="E31" i="18"/>
  <c r="H32" i="20"/>
  <c r="E31" i="20"/>
  <c r="K32" i="20"/>
  <c r="I31" i="20"/>
  <c r="F31" i="20"/>
  <c r="F32" i="20"/>
  <c r="J32" i="20"/>
  <c r="J31" i="20"/>
  <c r="D31" i="20"/>
  <c r="H31" i="20"/>
  <c r="G31" i="20"/>
  <c r="I32" i="20"/>
  <c r="B49" i="51" l="1"/>
  <c r="B44" i="51"/>
  <c r="B51" i="51" s="1"/>
  <c r="E34" i="15"/>
  <c r="G34" i="15"/>
  <c r="F34" i="18"/>
  <c r="D34" i="15"/>
  <c r="H34" i="15"/>
  <c r="I34" i="18"/>
  <c r="E34" i="18"/>
  <c r="I34" i="15"/>
  <c r="J34" i="15"/>
  <c r="C34" i="15"/>
  <c r="F3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Johnson</author>
  </authors>
  <commentList>
    <comment ref="D1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Stephen Johnson:</t>
        </r>
        <r>
          <rPr>
            <sz val="9"/>
            <color indexed="81"/>
            <rFont val="Tahoma"/>
            <family val="2"/>
          </rPr>
          <t xml:space="preserve">
Bankwest included from Jun09</t>
        </r>
      </text>
    </comment>
  </commentList>
</comments>
</file>

<file path=xl/sharedStrings.xml><?xml version="1.0" encoding="utf-8"?>
<sst xmlns="http://schemas.openxmlformats.org/spreadsheetml/2006/main" count="294" uniqueCount="97">
  <si>
    <t>NAB</t>
  </si>
  <si>
    <t>WBC</t>
  </si>
  <si>
    <t>ANZ</t>
  </si>
  <si>
    <t>CBA</t>
  </si>
  <si>
    <t>Default</t>
  </si>
  <si>
    <t>Total</t>
  </si>
  <si>
    <t>Other</t>
  </si>
  <si>
    <t>Standardised</t>
  </si>
  <si>
    <t>Impaired</t>
  </si>
  <si>
    <t>Exposure</t>
  </si>
  <si>
    <t>RWA</t>
  </si>
  <si>
    <t>Default Rate</t>
  </si>
  <si>
    <t>10.0 to 99.9</t>
  </si>
  <si>
    <t>Exposures</t>
  </si>
  <si>
    <t>90+ plus Impaired rate</t>
  </si>
  <si>
    <t>0.11 to 0.30</t>
  </si>
  <si>
    <t>0.30 to 0.50</t>
  </si>
  <si>
    <t>0.0 to 0.11</t>
  </si>
  <si>
    <t>0.50 to 3.49</t>
  </si>
  <si>
    <t>3.49 to 10.00</t>
  </si>
  <si>
    <t>IRB</t>
  </si>
  <si>
    <t>Past Due 90 Days</t>
  </si>
  <si>
    <t>Charges for Specific Provisions (6 months)</t>
  </si>
  <si>
    <t>Net write-offs (6 months)</t>
  </si>
  <si>
    <t>Half year write offs</t>
  </si>
  <si>
    <t>-</t>
  </si>
  <si>
    <t>Loss Rate</t>
  </si>
  <si>
    <t>Undrawn</t>
  </si>
  <si>
    <t>Drawn</t>
  </si>
  <si>
    <t>Individual Provision Balance</t>
  </si>
  <si>
    <t>RWA/EAD Ratio</t>
  </si>
  <si>
    <t>Australia</t>
  </si>
  <si>
    <t>New Zealand</t>
  </si>
  <si>
    <t>Annual Loss Rate</t>
  </si>
  <si>
    <t>RWA % EAD</t>
  </si>
  <si>
    <t>TIR%</t>
  </si>
  <si>
    <t>Australia and New Zealand Banking Group Limited</t>
  </si>
  <si>
    <t>Commonwealth Bank of Australia</t>
  </si>
  <si>
    <t>National Australia Bank Limited</t>
  </si>
  <si>
    <t>Westpac Banking Corporation</t>
  </si>
  <si>
    <t>Combined</t>
  </si>
  <si>
    <t>Individual Provision Charge</t>
  </si>
  <si>
    <t>Citigroup Pty Limited</t>
  </si>
  <si>
    <t>Row Labels</t>
  </si>
  <si>
    <t>Actual LGD</t>
  </si>
  <si>
    <t>Modelled LGD</t>
  </si>
  <si>
    <t>Specific Provision Balance</t>
  </si>
  <si>
    <t>Specific Provisions</t>
  </si>
  <si>
    <t>2015H1</t>
  </si>
  <si>
    <t>2015H2</t>
  </si>
  <si>
    <t>2016H1</t>
  </si>
  <si>
    <t>2016H2</t>
  </si>
  <si>
    <t>2017H1</t>
  </si>
  <si>
    <t>2017H2</t>
  </si>
  <si>
    <t>2018H1</t>
  </si>
  <si>
    <t>2018H2</t>
  </si>
  <si>
    <t>2019H1</t>
  </si>
  <si>
    <t>2019H2</t>
  </si>
  <si>
    <t>2020H1</t>
  </si>
  <si>
    <t>Losses</t>
  </si>
  <si>
    <t>CIT</t>
  </si>
  <si>
    <t>Drawn Exposure</t>
  </si>
  <si>
    <t>Limit Utilisation</t>
  </si>
  <si>
    <t>Exposure at Default</t>
  </si>
  <si>
    <t>Past Due 90 days</t>
  </si>
  <si>
    <t>Actual PD</t>
  </si>
  <si>
    <t>Modelled PD</t>
  </si>
  <si>
    <t>Outstanding</t>
  </si>
  <si>
    <t>0.10 to 0.25</t>
  </si>
  <si>
    <t>0.0  to 0.10</t>
  </si>
  <si>
    <t>0.25 to 1.0</t>
  </si>
  <si>
    <t>1.0 to 2.5</t>
  </si>
  <si>
    <t>2.5 to 10.0</t>
  </si>
  <si>
    <t>10.0 to 99.99</t>
  </si>
  <si>
    <t>Outstandings</t>
  </si>
  <si>
    <t>Utilisation</t>
  </si>
  <si>
    <t>0.00 to &lt;0.11</t>
  </si>
  <si>
    <t>0.11 to &lt; 0.30</t>
  </si>
  <si>
    <t>0.30 to &lt;0.51</t>
  </si>
  <si>
    <t>0.51 to &lt;3.49</t>
  </si>
  <si>
    <t>3.49 to &lt;10.09</t>
  </si>
  <si>
    <t>10.09 to &lt; 100.00</t>
  </si>
  <si>
    <t>Transactors</t>
  </si>
  <si>
    <t>Revolvers</t>
  </si>
  <si>
    <t>Limit</t>
  </si>
  <si>
    <t>Proportion Balances</t>
  </si>
  <si>
    <t>Proportion Limits</t>
  </si>
  <si>
    <t>0 to &lt;0.1</t>
  </si>
  <si>
    <t>0.1 to &lt; 0.5</t>
  </si>
  <si>
    <t>0.5 to &lt;2.0</t>
  </si>
  <si>
    <t>2.0 to &lt; 5.0</t>
  </si>
  <si>
    <t>5.0 to &lt;99.9</t>
  </si>
  <si>
    <t>NA</t>
  </si>
  <si>
    <t>2020H2</t>
  </si>
  <si>
    <t>2021H1</t>
  </si>
  <si>
    <t>2021H2</t>
  </si>
  <si>
    <t>2022H1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</si>
</sst>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mmm\-yy;@"/>
    <numFmt numFmtId="167" formatCode="_-* #,##0.0_-;\-* #,##0.0_-;_-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</cellStyleXfs>
  <cellXfs count="49">
    <xf numFmtId="0" fontId="0" fillId="0" borderId="0" xfId="0"/>
    <xf numFmtId="10" fontId="0" fillId="0" borderId="0" xfId="0" applyNumberFormat="1"/>
    <xf numFmtId="43" fontId="3" fillId="0" borderId="0" xfId="1" applyFont="1" applyAlignment="1">
      <alignment horizontal="left"/>
    </xf>
    <xf numFmtId="10" fontId="3" fillId="0" borderId="0" xfId="4" applyNumberFormat="1" applyFont="1"/>
    <xf numFmtId="43" fontId="3" fillId="0" borderId="0" xfId="1" applyFont="1" applyAlignment="1">
      <alignment horizontal="left"/>
    </xf>
    <xf numFmtId="0" fontId="0" fillId="0" borderId="0" xfId="0" applyAlignment="1"/>
    <xf numFmtId="164" fontId="3" fillId="0" borderId="0" xfId="1" applyNumberFormat="1" applyFont="1"/>
    <xf numFmtId="0" fontId="0" fillId="0" borderId="0" xfId="0" applyBorder="1"/>
    <xf numFmtId="164" fontId="0" fillId="0" borderId="0" xfId="1" applyNumberFormat="1" applyFont="1"/>
    <xf numFmtId="43" fontId="0" fillId="0" borderId="0" xfId="1" applyFont="1" applyAlignment="1">
      <alignment horizontal="left"/>
    </xf>
    <xf numFmtId="43" fontId="0" fillId="0" borderId="0" xfId="1" applyFont="1"/>
    <xf numFmtId="3" fontId="0" fillId="0" borderId="0" xfId="0" applyNumberFormat="1"/>
    <xf numFmtId="164" fontId="0" fillId="0" borderId="0" xfId="1" applyNumberFormat="1" applyFont="1" applyAlignment="1">
      <alignment horizontal="left"/>
    </xf>
    <xf numFmtId="10" fontId="0" fillId="0" borderId="0" xfId="4" applyNumberFormat="1" applyFont="1"/>
    <xf numFmtId="9" fontId="0" fillId="0" borderId="0" xfId="4" applyFont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0" fillId="0" borderId="0" xfId="0" applyFont="1" applyBorder="1"/>
    <xf numFmtId="10" fontId="3" fillId="0" borderId="0" xfId="4" applyNumberFormat="1" applyFont="1" applyBorder="1"/>
    <xf numFmtId="10" fontId="0" fillId="0" borderId="0" xfId="0" applyNumberFormat="1" applyBorder="1"/>
    <xf numFmtId="10" fontId="0" fillId="0" borderId="0" xfId="4" applyNumberFormat="1" applyFont="1" applyBorder="1"/>
    <xf numFmtId="165" fontId="0" fillId="0" borderId="0" xfId="4" applyNumberFormat="1" applyFont="1"/>
    <xf numFmtId="166" fontId="4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left" indent="1"/>
    </xf>
    <xf numFmtId="164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left" indent="1"/>
    </xf>
    <xf numFmtId="164" fontId="0" fillId="0" borderId="0" xfId="1" applyNumberFormat="1" applyFont="1" applyAlignment="1">
      <alignment horizontal="left" vertical="center"/>
    </xf>
    <xf numFmtId="164" fontId="0" fillId="0" borderId="0" xfId="1" applyNumberFormat="1" applyFont="1" applyAlignment="1">
      <alignment horizontal="left" vertical="center" indent="1"/>
    </xf>
    <xf numFmtId="10" fontId="5" fillId="0" borderId="0" xfId="0" applyNumberFormat="1" applyFont="1" applyBorder="1"/>
    <xf numFmtId="10" fontId="8" fillId="0" borderId="0" xfId="4" applyNumberFormat="1" applyFont="1"/>
    <xf numFmtId="165" fontId="0" fillId="0" borderId="0" xfId="4" applyNumberFormat="1" applyFont="1" applyBorder="1"/>
    <xf numFmtId="165" fontId="0" fillId="0" borderId="0" xfId="4" applyNumberFormat="1" applyFont="1" applyFill="1" applyBorder="1"/>
    <xf numFmtId="164" fontId="0" fillId="0" borderId="0" xfId="0" applyNumberFormat="1"/>
    <xf numFmtId="165" fontId="4" fillId="0" borderId="0" xfId="4" applyNumberFormat="1" applyFont="1" applyFill="1" applyBorder="1"/>
    <xf numFmtId="165" fontId="0" fillId="0" borderId="0" xfId="4" applyNumberFormat="1" applyFont="1" applyBorder="1" applyAlignment="1">
      <alignment horizontal="left" indent="1"/>
    </xf>
    <xf numFmtId="0" fontId="0" fillId="0" borderId="0" xfId="0" applyFont="1" applyBorder="1" applyAlignment="1">
      <alignment horizontal="left" indent="1"/>
    </xf>
    <xf numFmtId="166" fontId="4" fillId="0" borderId="0" xfId="1" applyNumberFormat="1" applyFont="1" applyAlignment="1">
      <alignment horizontal="left"/>
    </xf>
    <xf numFmtId="165" fontId="0" fillId="0" borderId="0" xfId="4" applyNumberFormat="1" applyFont="1" applyFill="1" applyBorder="1" applyAlignment="1">
      <alignment horizontal="left" indent="1"/>
    </xf>
    <xf numFmtId="0" fontId="4" fillId="0" borderId="0" xfId="0" applyFont="1"/>
    <xf numFmtId="167" fontId="0" fillId="0" borderId="0" xfId="1" applyNumberFormat="1" applyFont="1"/>
    <xf numFmtId="9" fontId="0" fillId="0" borderId="0" xfId="0" applyNumberFormat="1"/>
    <xf numFmtId="164" fontId="0" fillId="0" borderId="0" xfId="1" applyNumberFormat="1" applyFont="1" applyBorder="1"/>
    <xf numFmtId="0" fontId="10" fillId="2" borderId="1" xfId="0" applyFont="1" applyFill="1" applyBorder="1"/>
    <xf numFmtId="1" fontId="10" fillId="2" borderId="1" xfId="0" applyNumberFormat="1" applyFont="1" applyFill="1" applyBorder="1"/>
    <xf numFmtId="17" fontId="0" fillId="0" borderId="0" xfId="0" applyNumberFormat="1"/>
    <xf numFmtId="164" fontId="8" fillId="0" borderId="0" xfId="1" applyNumberFormat="1" applyFont="1"/>
    <xf numFmtId="43" fontId="3" fillId="0" borderId="0" xfId="1" applyFont="1" applyAlignment="1">
      <alignment horizontal="left" indent="1"/>
    </xf>
    <xf numFmtId="10" fontId="5" fillId="0" borderId="0" xfId="0" applyNumberFormat="1" applyFont="1" applyBorder="1" applyAlignment="1">
      <alignment horizontal="left" indent="1"/>
    </xf>
  </cellXfs>
  <cellStyles count="11">
    <cellStyle name="Comma" xfId="1" builtinId="3"/>
    <cellStyle name="Comma 2" xfId="2" xr:uid="{00000000-0005-0000-0000-000001000000}"/>
    <cellStyle name="Comma 3" xfId="7" xr:uid="{00000000-0005-0000-0000-000002000000}"/>
    <cellStyle name="Comma 4" xfId="10" xr:uid="{00000000-0005-0000-0000-000003000000}"/>
    <cellStyle name="Normal" xfId="0" builtinId="0"/>
    <cellStyle name="Normal 2" xfId="3" xr:uid="{00000000-0005-0000-0000-000006000000}"/>
    <cellStyle name="Normal 3" xfId="6" xr:uid="{00000000-0005-0000-0000-000007000000}"/>
    <cellStyle name="Normal 4" xfId="9" xr:uid="{00000000-0005-0000-0000-000008000000}"/>
    <cellStyle name="Percent" xfId="4" builtinId="5"/>
    <cellStyle name="Percent 2" xfId="5" xr:uid="{00000000-0005-0000-0000-00000A000000}"/>
    <cellStyle name="Percent 3" xfId="8" xr:uid="{00000000-0005-0000-0000-00000B000000}"/>
  </cellStyles>
  <dxfs count="0"/>
  <tableStyles count="0" defaultTableStyle="TableStyleMedium9" defaultPivotStyle="PivotStyleLight16"/>
  <colors>
    <mruColors>
      <color rgb="FFFF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Default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'QR Summary HY'!$A$3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HY'!$B$3:$P$3</c:f>
              <c:numCache>
                <c:formatCode>0.00%</c:formatCode>
                <c:ptCount val="15"/>
                <c:pt idx="0">
                  <c:v>7.4313850642837602E-3</c:v>
                </c:pt>
                <c:pt idx="1">
                  <c:v>7.2890257153205356E-3</c:v>
                </c:pt>
                <c:pt idx="2">
                  <c:v>7.5835303564259268E-3</c:v>
                </c:pt>
                <c:pt idx="3">
                  <c:v>7.6768578442311984E-3</c:v>
                </c:pt>
                <c:pt idx="4">
                  <c:v>7.8570466484083872E-3</c:v>
                </c:pt>
                <c:pt idx="5">
                  <c:v>7.481296758104738E-3</c:v>
                </c:pt>
                <c:pt idx="6">
                  <c:v>4.2936216439915164E-3</c:v>
                </c:pt>
                <c:pt idx="7">
                  <c:v>4.0114923835854067E-3</c:v>
                </c:pt>
                <c:pt idx="8">
                  <c:v>4.1503212234919552E-3</c:v>
                </c:pt>
                <c:pt idx="9">
                  <c:v>4.0247492040607919E-3</c:v>
                </c:pt>
                <c:pt idx="10">
                  <c:v>4.588293650793651E-3</c:v>
                </c:pt>
                <c:pt idx="11">
                  <c:v>2.7616866496025867E-3</c:v>
                </c:pt>
                <c:pt idx="12">
                  <c:v>2.336283185840708E-3</c:v>
                </c:pt>
                <c:pt idx="13">
                  <c:v>2.6145689592563005E-3</c:v>
                </c:pt>
                <c:pt idx="14">
                  <c:v>2.5906735751295338E-3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D-437C-BBEE-7C35997FC2A4}"/>
            </c:ext>
          </c:extLst>
        </c:ser>
        <c:ser>
          <c:idx val="2"/>
          <c:order val="1"/>
          <c:tx>
            <c:strRef>
              <c:f>'QR Summary HY'!$A$4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HY'!$B$4:$P$4</c:f>
              <c:numCache>
                <c:formatCode>0.00%</c:formatCode>
                <c:ptCount val="15"/>
                <c:pt idx="0">
                  <c:v>5.911038865080538E-3</c:v>
                </c:pt>
                <c:pt idx="1">
                  <c:v>5.2884791949759447E-3</c:v>
                </c:pt>
                <c:pt idx="2">
                  <c:v>5.7822506861848122E-3</c:v>
                </c:pt>
                <c:pt idx="3">
                  <c:v>5.1652135687596159E-3</c:v>
                </c:pt>
                <c:pt idx="4">
                  <c:v>5.9374539017554209E-3</c:v>
                </c:pt>
                <c:pt idx="5">
                  <c:v>4.8966471049975702E-3</c:v>
                </c:pt>
                <c:pt idx="6">
                  <c:v>5.7827344072697235E-3</c:v>
                </c:pt>
                <c:pt idx="7">
                  <c:v>5.1591929043429095E-3</c:v>
                </c:pt>
                <c:pt idx="8">
                  <c:v>4.3842022578641626E-3</c:v>
                </c:pt>
                <c:pt idx="9">
                  <c:v>3.4858877769031824E-3</c:v>
                </c:pt>
                <c:pt idx="10">
                  <c:v>4.4253032518076574E-3</c:v>
                </c:pt>
                <c:pt idx="11">
                  <c:v>2.4364492812474622E-3</c:v>
                </c:pt>
                <c:pt idx="12">
                  <c:v>2.5366989645277996E-3</c:v>
                </c:pt>
                <c:pt idx="13">
                  <c:v>2.0379569481594703E-3</c:v>
                </c:pt>
                <c:pt idx="14">
                  <c:v>2.1801393579275853E-3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D-437C-BBEE-7C35997FC2A4}"/>
            </c:ext>
          </c:extLst>
        </c:ser>
        <c:ser>
          <c:idx val="3"/>
          <c:order val="2"/>
          <c:tx>
            <c:strRef>
              <c:f>'QR Summary HY'!$A$5</c:f>
              <c:strCache>
                <c:ptCount val="1"/>
                <c:pt idx="0">
                  <c:v>NAB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HY'!$B$5:$P$5</c:f>
              <c:numCache>
                <c:formatCode>0.00%</c:formatCode>
                <c:ptCount val="15"/>
                <c:pt idx="0">
                  <c:v>2.5069388485988004E-3</c:v>
                </c:pt>
                <c:pt idx="1">
                  <c:v>2.1291696238466998E-3</c:v>
                </c:pt>
                <c:pt idx="2">
                  <c:v>2.2497187851518562E-3</c:v>
                </c:pt>
                <c:pt idx="3">
                  <c:v>2.145738563213458E-3</c:v>
                </c:pt>
                <c:pt idx="4">
                  <c:v>2.1420615200068546E-3</c:v>
                </c:pt>
                <c:pt idx="5">
                  <c:v>5.270433730775877E-3</c:v>
                </c:pt>
                <c:pt idx="6">
                  <c:v>5.8534905741585604E-3</c:v>
                </c:pt>
                <c:pt idx="7">
                  <c:v>5.2914719111032717E-3</c:v>
                </c:pt>
                <c:pt idx="8">
                  <c:v>5.180405343997092E-3</c:v>
                </c:pt>
                <c:pt idx="9">
                  <c:v>4.3643263757115747E-3</c:v>
                </c:pt>
                <c:pt idx="10">
                  <c:v>4.6159890001964254E-3</c:v>
                </c:pt>
                <c:pt idx="11">
                  <c:v>3.1938677738741618E-3</c:v>
                </c:pt>
                <c:pt idx="12">
                  <c:v>2.5870432251805541E-3</c:v>
                </c:pt>
                <c:pt idx="13">
                  <c:v>2.6869682042095834E-3</c:v>
                </c:pt>
                <c:pt idx="14">
                  <c:v>2.3463687150837987E-3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D-437C-BBEE-7C35997FC2A4}"/>
            </c:ext>
          </c:extLst>
        </c:ser>
        <c:ser>
          <c:idx val="4"/>
          <c:order val="3"/>
          <c:tx>
            <c:strRef>
              <c:f>'QR Summary HY'!$A$6</c:f>
              <c:strCache>
                <c:ptCount val="1"/>
                <c:pt idx="0">
                  <c:v>WBC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HY'!$B$6:$P$6</c:f>
              <c:numCache>
                <c:formatCode>0.00%</c:formatCode>
                <c:ptCount val="15"/>
                <c:pt idx="0">
                  <c:v>5.741026630644539E-3</c:v>
                </c:pt>
                <c:pt idx="1">
                  <c:v>4.492019497276116E-3</c:v>
                </c:pt>
                <c:pt idx="2">
                  <c:v>5.3829445651147421E-3</c:v>
                </c:pt>
                <c:pt idx="3">
                  <c:v>4.8652137218884971E-3</c:v>
                </c:pt>
                <c:pt idx="4">
                  <c:v>7.6680198466396029E-3</c:v>
                </c:pt>
                <c:pt idx="5">
                  <c:v>7.7067383258125031E-3</c:v>
                </c:pt>
                <c:pt idx="6">
                  <c:v>5.4989816700610995E-3</c:v>
                </c:pt>
                <c:pt idx="7">
                  <c:v>4.9391516879678191E-3</c:v>
                </c:pt>
                <c:pt idx="8">
                  <c:v>6.10079575596817E-3</c:v>
                </c:pt>
                <c:pt idx="9">
                  <c:v>6.442050054158828E-3</c:v>
                </c:pt>
                <c:pt idx="10">
                  <c:v>6.5050266114725017E-3</c:v>
                </c:pt>
                <c:pt idx="11">
                  <c:v>5.4886685552407929E-3</c:v>
                </c:pt>
                <c:pt idx="12">
                  <c:v>5.7111610668934927E-3</c:v>
                </c:pt>
                <c:pt idx="13">
                  <c:v>5.1318695595686629E-3</c:v>
                </c:pt>
                <c:pt idx="14">
                  <c:v>4.8048443362074637E-3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D-437C-BBEE-7C35997FC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86840"/>
        <c:axId val="532977656"/>
      </c:lineChart>
      <c:catAx>
        <c:axId val="5329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7656"/>
        <c:crosses val="autoZero"/>
        <c:auto val="1"/>
        <c:lblAlgn val="ctr"/>
        <c:lblOffset val="100"/>
        <c:noMultiLvlLbl val="0"/>
      </c:catAx>
      <c:valAx>
        <c:axId val="5329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</a:t>
            </a:r>
            <a:r>
              <a:rPr lang="en-AU" baseline="0"/>
              <a:t> </a:t>
            </a:r>
            <a:r>
              <a:rPr lang="en-AU"/>
              <a:t>Credit</a:t>
            </a:r>
            <a:r>
              <a:rPr lang="en-AU" baseline="0"/>
              <a:t> Card Limits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'APRA MBS'!$B$3</c:f>
              <c:strCache>
                <c:ptCount val="1"/>
                <c:pt idx="0">
                  <c:v> CBA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'APRA MBS'!$C$2:$BN$2</c:f>
              <c:numCache>
                <c:formatCode>mmm\-yy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'APRA MBS'!$C$3:$BN$3</c:f>
              <c:numCache>
                <c:formatCode>_-* #,##0_-;\-* #,##0_-;_-* "-"??_-;_-@_-</c:formatCode>
                <c:ptCount val="64"/>
                <c:pt idx="0">
                  <c:v>11476.9</c:v>
                </c:pt>
                <c:pt idx="1">
                  <c:v>11531.5</c:v>
                </c:pt>
                <c:pt idx="2">
                  <c:v>11590</c:v>
                </c:pt>
                <c:pt idx="3">
                  <c:v>11454.5</c:v>
                </c:pt>
                <c:pt idx="4">
                  <c:v>11356.1</c:v>
                </c:pt>
                <c:pt idx="5">
                  <c:v>11323.3</c:v>
                </c:pt>
                <c:pt idx="6">
                  <c:v>11180</c:v>
                </c:pt>
                <c:pt idx="7">
                  <c:v>11151.1</c:v>
                </c:pt>
                <c:pt idx="8">
                  <c:v>11231.6</c:v>
                </c:pt>
                <c:pt idx="9">
                  <c:v>11148.7</c:v>
                </c:pt>
                <c:pt idx="10">
                  <c:v>11297.8</c:v>
                </c:pt>
                <c:pt idx="11">
                  <c:v>11668</c:v>
                </c:pt>
                <c:pt idx="12">
                  <c:v>11523.6</c:v>
                </c:pt>
                <c:pt idx="13">
                  <c:v>11456.9</c:v>
                </c:pt>
                <c:pt idx="14">
                  <c:v>11579.2</c:v>
                </c:pt>
                <c:pt idx="15">
                  <c:v>11468</c:v>
                </c:pt>
                <c:pt idx="16">
                  <c:v>11400.3</c:v>
                </c:pt>
                <c:pt idx="17">
                  <c:v>11481.5</c:v>
                </c:pt>
                <c:pt idx="18">
                  <c:v>11265.3</c:v>
                </c:pt>
                <c:pt idx="19">
                  <c:v>11152.6</c:v>
                </c:pt>
                <c:pt idx="20">
                  <c:v>11260.4</c:v>
                </c:pt>
                <c:pt idx="21">
                  <c:v>11243.7</c:v>
                </c:pt>
                <c:pt idx="22">
                  <c:v>11466.1</c:v>
                </c:pt>
                <c:pt idx="23">
                  <c:v>11673.4</c:v>
                </c:pt>
                <c:pt idx="24">
                  <c:v>11411.8</c:v>
                </c:pt>
                <c:pt idx="25">
                  <c:v>11527.7</c:v>
                </c:pt>
                <c:pt idx="26">
                  <c:v>11566.3</c:v>
                </c:pt>
                <c:pt idx="27">
                  <c:v>11380.5</c:v>
                </c:pt>
                <c:pt idx="28">
                  <c:v>11398.8</c:v>
                </c:pt>
                <c:pt idx="29">
                  <c:v>11430.1</c:v>
                </c:pt>
                <c:pt idx="30">
                  <c:v>11146.8</c:v>
                </c:pt>
                <c:pt idx="31">
                  <c:v>11184.9</c:v>
                </c:pt>
                <c:pt idx="32">
                  <c:v>11195.1</c:v>
                </c:pt>
                <c:pt idx="33">
                  <c:v>11140.8</c:v>
                </c:pt>
                <c:pt idx="34">
                  <c:v>11326.3</c:v>
                </c:pt>
                <c:pt idx="35">
                  <c:v>11606.4</c:v>
                </c:pt>
                <c:pt idx="36">
                  <c:v>11383.9</c:v>
                </c:pt>
                <c:pt idx="37">
                  <c:v>11438.7</c:v>
                </c:pt>
                <c:pt idx="38">
                  <c:v>11402.3</c:v>
                </c:pt>
                <c:pt idx="39">
                  <c:v>11155.9</c:v>
                </c:pt>
                <c:pt idx="40">
                  <c:v>11285.9</c:v>
                </c:pt>
                <c:pt idx="41">
                  <c:v>11229.1</c:v>
                </c:pt>
                <c:pt idx="42">
                  <c:v>10995.4</c:v>
                </c:pt>
                <c:pt idx="43">
                  <c:v>10894</c:v>
                </c:pt>
                <c:pt idx="44">
                  <c:v>10901.1</c:v>
                </c:pt>
                <c:pt idx="45">
                  <c:v>10843.5</c:v>
                </c:pt>
                <c:pt idx="46">
                  <c:v>10880.7</c:v>
                </c:pt>
                <c:pt idx="47">
                  <c:v>10813.9</c:v>
                </c:pt>
                <c:pt idx="48">
                  <c:v>10649.2</c:v>
                </c:pt>
                <c:pt idx="49">
                  <c:v>10874.7</c:v>
                </c:pt>
                <c:pt idx="50">
                  <c:v>10710.2</c:v>
                </c:pt>
                <c:pt idx="51">
                  <c:v>10487</c:v>
                </c:pt>
                <c:pt idx="52">
                  <c:v>10419.1</c:v>
                </c:pt>
                <c:pt idx="53">
                  <c:v>10432.700000000001</c:v>
                </c:pt>
                <c:pt idx="54">
                  <c:v>10302.200000000001</c:v>
                </c:pt>
                <c:pt idx="55">
                  <c:v>10130.1</c:v>
                </c:pt>
                <c:pt idx="56">
                  <c:v>9946.5</c:v>
                </c:pt>
                <c:pt idx="57">
                  <c:v>9990.2000000000007</c:v>
                </c:pt>
                <c:pt idx="58">
                  <c:v>10099.799999999999</c:v>
                </c:pt>
                <c:pt idx="59">
                  <c:v>10186.5</c:v>
                </c:pt>
                <c:pt idx="60">
                  <c:v>9945.7000000000007</c:v>
                </c:pt>
                <c:pt idx="61">
                  <c:v>10001.6</c:v>
                </c:pt>
                <c:pt idx="62">
                  <c:v>9726</c:v>
                </c:pt>
                <c:pt idx="63">
                  <c:v>8646.7999999999993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1-4A7F-A762-E32F403BF916}"/>
            </c:ext>
          </c:extLst>
        </c:ser>
        <c:ser>
          <c:idx val="1"/>
          <c:order val="1"/>
          <c:tx>
            <c:strRef>
              <c:f>'APRA MBS'!$B$4</c:f>
              <c:strCache>
                <c:ptCount val="1"/>
                <c:pt idx="0">
                  <c:v> WBC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'APRA MBS'!$C$2:$BN$2</c:f>
              <c:numCache>
                <c:formatCode>mmm\-yy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'APRA MBS'!$C$4:$BN$4</c:f>
              <c:numCache>
                <c:formatCode>_-* #,##0_-;\-* #,##0_-;_-* "-"??_-;_-@_-</c:formatCode>
                <c:ptCount val="64"/>
                <c:pt idx="0">
                  <c:v>9273.9</c:v>
                </c:pt>
                <c:pt idx="1">
                  <c:v>9414.9</c:v>
                </c:pt>
                <c:pt idx="2">
                  <c:v>9437.7000000000007</c:v>
                </c:pt>
                <c:pt idx="3">
                  <c:v>9418.2999999999993</c:v>
                </c:pt>
                <c:pt idx="4">
                  <c:v>9451</c:v>
                </c:pt>
                <c:pt idx="5">
                  <c:v>9507.4</c:v>
                </c:pt>
                <c:pt idx="6">
                  <c:v>9355.7999999999993</c:v>
                </c:pt>
                <c:pt idx="7">
                  <c:v>9355.7000000000007</c:v>
                </c:pt>
                <c:pt idx="8">
                  <c:v>9422.4</c:v>
                </c:pt>
                <c:pt idx="9">
                  <c:v>9507.4</c:v>
                </c:pt>
                <c:pt idx="10">
                  <c:v>9583.5</c:v>
                </c:pt>
                <c:pt idx="11">
                  <c:v>9713.2999999999993</c:v>
                </c:pt>
                <c:pt idx="12">
                  <c:v>9572.7000000000007</c:v>
                </c:pt>
                <c:pt idx="13">
                  <c:v>9773.5</c:v>
                </c:pt>
                <c:pt idx="14">
                  <c:v>9696.9</c:v>
                </c:pt>
                <c:pt idx="15">
                  <c:v>9707.6</c:v>
                </c:pt>
                <c:pt idx="16">
                  <c:v>9734.7999999999993</c:v>
                </c:pt>
                <c:pt idx="17">
                  <c:v>9809</c:v>
                </c:pt>
                <c:pt idx="18">
                  <c:v>9622.1</c:v>
                </c:pt>
                <c:pt idx="19">
                  <c:v>9655.9</c:v>
                </c:pt>
                <c:pt idx="20">
                  <c:v>9668</c:v>
                </c:pt>
                <c:pt idx="21">
                  <c:v>9698.6</c:v>
                </c:pt>
                <c:pt idx="22">
                  <c:v>9902.2000000000007</c:v>
                </c:pt>
                <c:pt idx="23">
                  <c:v>9950.2999999999993</c:v>
                </c:pt>
                <c:pt idx="24">
                  <c:v>9808.4</c:v>
                </c:pt>
                <c:pt idx="25">
                  <c:v>9982.5</c:v>
                </c:pt>
                <c:pt idx="26">
                  <c:v>9802.9</c:v>
                </c:pt>
                <c:pt idx="27">
                  <c:v>9769.7999999999993</c:v>
                </c:pt>
                <c:pt idx="28">
                  <c:v>9748.5</c:v>
                </c:pt>
                <c:pt idx="29">
                  <c:v>9733.4</c:v>
                </c:pt>
                <c:pt idx="30">
                  <c:v>9561.5</c:v>
                </c:pt>
                <c:pt idx="31">
                  <c:v>9505</c:v>
                </c:pt>
                <c:pt idx="32">
                  <c:v>9548.2000000000007</c:v>
                </c:pt>
                <c:pt idx="33">
                  <c:v>9490.7999999999993</c:v>
                </c:pt>
                <c:pt idx="34">
                  <c:v>9605</c:v>
                </c:pt>
                <c:pt idx="35">
                  <c:v>9741.2999999999993</c:v>
                </c:pt>
                <c:pt idx="36">
                  <c:v>9562.9</c:v>
                </c:pt>
                <c:pt idx="37">
                  <c:v>9718.2000000000007</c:v>
                </c:pt>
                <c:pt idx="38">
                  <c:v>9544.1</c:v>
                </c:pt>
                <c:pt idx="39">
                  <c:v>9383</c:v>
                </c:pt>
                <c:pt idx="40">
                  <c:v>9350.4</c:v>
                </c:pt>
                <c:pt idx="41">
                  <c:v>9395.9</c:v>
                </c:pt>
                <c:pt idx="42">
                  <c:v>9268.2999999999993</c:v>
                </c:pt>
                <c:pt idx="43">
                  <c:v>9265.7999999999993</c:v>
                </c:pt>
                <c:pt idx="44">
                  <c:v>9282.4</c:v>
                </c:pt>
                <c:pt idx="45">
                  <c:v>9264.4</c:v>
                </c:pt>
                <c:pt idx="46">
                  <c:v>9412.2000000000007</c:v>
                </c:pt>
                <c:pt idx="47">
                  <c:v>9473.6</c:v>
                </c:pt>
                <c:pt idx="48">
                  <c:v>9189</c:v>
                </c:pt>
                <c:pt idx="49">
                  <c:v>9360.4</c:v>
                </c:pt>
                <c:pt idx="50">
                  <c:v>9186.7999999999993</c:v>
                </c:pt>
                <c:pt idx="51">
                  <c:v>9131.7999999999993</c:v>
                </c:pt>
                <c:pt idx="52">
                  <c:v>9043.1</c:v>
                </c:pt>
                <c:pt idx="53">
                  <c:v>9046.7000000000007</c:v>
                </c:pt>
                <c:pt idx="54">
                  <c:v>8850</c:v>
                </c:pt>
                <c:pt idx="55">
                  <c:v>8736.1</c:v>
                </c:pt>
                <c:pt idx="56">
                  <c:v>8682</c:v>
                </c:pt>
                <c:pt idx="57">
                  <c:v>8539.2000000000007</c:v>
                </c:pt>
                <c:pt idx="58">
                  <c:v>8608.5</c:v>
                </c:pt>
                <c:pt idx="59">
                  <c:v>8608.5</c:v>
                </c:pt>
                <c:pt idx="60">
                  <c:v>8377.7000000000007</c:v>
                </c:pt>
                <c:pt idx="61">
                  <c:v>8447.2999999999993</c:v>
                </c:pt>
                <c:pt idx="62">
                  <c:v>8180.2</c:v>
                </c:pt>
                <c:pt idx="63">
                  <c:v>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1-4A7F-A762-E32F403BF916}"/>
            </c:ext>
          </c:extLst>
        </c:ser>
        <c:ser>
          <c:idx val="2"/>
          <c:order val="2"/>
          <c:tx>
            <c:strRef>
              <c:f>'APRA MBS'!$B$5</c:f>
              <c:strCache>
                <c:ptCount val="1"/>
                <c:pt idx="0">
                  <c:v> ANZ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'APRA MBS'!$C$2:$BN$2</c:f>
              <c:numCache>
                <c:formatCode>mmm\-yy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'APRA MBS'!$C$5:$BN$5</c:f>
              <c:numCache>
                <c:formatCode>_-* #,##0_-;\-* #,##0_-;_-* "-"??_-;_-@_-</c:formatCode>
                <c:ptCount val="64"/>
                <c:pt idx="0">
                  <c:v>8277.9</c:v>
                </c:pt>
                <c:pt idx="1">
                  <c:v>8392.1</c:v>
                </c:pt>
                <c:pt idx="2">
                  <c:v>8368.5</c:v>
                </c:pt>
                <c:pt idx="3">
                  <c:v>8349.9</c:v>
                </c:pt>
                <c:pt idx="4">
                  <c:v>8263.2000000000007</c:v>
                </c:pt>
                <c:pt idx="5">
                  <c:v>8281</c:v>
                </c:pt>
                <c:pt idx="6">
                  <c:v>8164.8</c:v>
                </c:pt>
                <c:pt idx="7">
                  <c:v>8154.5</c:v>
                </c:pt>
                <c:pt idx="8">
                  <c:v>8158.3</c:v>
                </c:pt>
                <c:pt idx="9">
                  <c:v>8104.5</c:v>
                </c:pt>
                <c:pt idx="10">
                  <c:v>8204.7000000000007</c:v>
                </c:pt>
                <c:pt idx="11">
                  <c:v>8280.7000000000007</c:v>
                </c:pt>
                <c:pt idx="12">
                  <c:v>8084.5</c:v>
                </c:pt>
                <c:pt idx="13">
                  <c:v>8187.7</c:v>
                </c:pt>
                <c:pt idx="14">
                  <c:v>8106.9</c:v>
                </c:pt>
                <c:pt idx="15">
                  <c:v>8125.6</c:v>
                </c:pt>
                <c:pt idx="16">
                  <c:v>8139.1</c:v>
                </c:pt>
                <c:pt idx="17">
                  <c:v>8149.7</c:v>
                </c:pt>
                <c:pt idx="18">
                  <c:v>8022.3</c:v>
                </c:pt>
                <c:pt idx="19">
                  <c:v>8033.6</c:v>
                </c:pt>
                <c:pt idx="20">
                  <c:v>8013.4</c:v>
                </c:pt>
                <c:pt idx="21">
                  <c:v>7980.6</c:v>
                </c:pt>
                <c:pt idx="22">
                  <c:v>8105.3</c:v>
                </c:pt>
                <c:pt idx="23">
                  <c:v>8151.5</c:v>
                </c:pt>
                <c:pt idx="24">
                  <c:v>7986.2</c:v>
                </c:pt>
                <c:pt idx="25">
                  <c:v>8056.4</c:v>
                </c:pt>
                <c:pt idx="26">
                  <c:v>7968.6</c:v>
                </c:pt>
                <c:pt idx="27">
                  <c:v>7950</c:v>
                </c:pt>
                <c:pt idx="28">
                  <c:v>7950.7</c:v>
                </c:pt>
                <c:pt idx="29">
                  <c:v>7941.9</c:v>
                </c:pt>
                <c:pt idx="30">
                  <c:v>7805.6</c:v>
                </c:pt>
                <c:pt idx="31">
                  <c:v>7708.8</c:v>
                </c:pt>
                <c:pt idx="32">
                  <c:v>7713.4</c:v>
                </c:pt>
                <c:pt idx="33">
                  <c:v>7680</c:v>
                </c:pt>
                <c:pt idx="34">
                  <c:v>7764.5</c:v>
                </c:pt>
                <c:pt idx="35">
                  <c:v>7858.9</c:v>
                </c:pt>
                <c:pt idx="36">
                  <c:v>7724</c:v>
                </c:pt>
                <c:pt idx="37">
                  <c:v>7820</c:v>
                </c:pt>
                <c:pt idx="38">
                  <c:v>7704.1</c:v>
                </c:pt>
                <c:pt idx="39">
                  <c:v>7649.1</c:v>
                </c:pt>
                <c:pt idx="40">
                  <c:v>7617.7</c:v>
                </c:pt>
                <c:pt idx="41">
                  <c:v>7627.3</c:v>
                </c:pt>
                <c:pt idx="42">
                  <c:v>7491</c:v>
                </c:pt>
                <c:pt idx="43">
                  <c:v>7447.3</c:v>
                </c:pt>
                <c:pt idx="44">
                  <c:v>7405.7</c:v>
                </c:pt>
                <c:pt idx="45">
                  <c:v>7376</c:v>
                </c:pt>
                <c:pt idx="46">
                  <c:v>7424.7</c:v>
                </c:pt>
                <c:pt idx="47">
                  <c:v>7454.5</c:v>
                </c:pt>
                <c:pt idx="48">
                  <c:v>7260.1</c:v>
                </c:pt>
                <c:pt idx="49">
                  <c:v>7325.3</c:v>
                </c:pt>
                <c:pt idx="50">
                  <c:v>7205.9</c:v>
                </c:pt>
                <c:pt idx="51">
                  <c:v>7189.3</c:v>
                </c:pt>
                <c:pt idx="52">
                  <c:v>7119.2</c:v>
                </c:pt>
                <c:pt idx="53">
                  <c:v>7097.9</c:v>
                </c:pt>
                <c:pt idx="54">
                  <c:v>6966.2</c:v>
                </c:pt>
                <c:pt idx="55">
                  <c:v>6882.7</c:v>
                </c:pt>
                <c:pt idx="56">
                  <c:v>6849.2</c:v>
                </c:pt>
                <c:pt idx="57">
                  <c:v>6805.7</c:v>
                </c:pt>
                <c:pt idx="58">
                  <c:v>6821.3</c:v>
                </c:pt>
                <c:pt idx="59">
                  <c:v>6928.8</c:v>
                </c:pt>
                <c:pt idx="60">
                  <c:v>6718.7</c:v>
                </c:pt>
                <c:pt idx="61">
                  <c:v>6740.8</c:v>
                </c:pt>
                <c:pt idx="62">
                  <c:v>6562.3</c:v>
                </c:pt>
                <c:pt idx="63">
                  <c:v>5875.7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1-4A7F-A762-E32F403BF916}"/>
            </c:ext>
          </c:extLst>
        </c:ser>
        <c:ser>
          <c:idx val="3"/>
          <c:order val="3"/>
          <c:tx>
            <c:strRef>
              <c:f>'APRA MBS'!$B$6</c:f>
              <c:strCache>
                <c:ptCount val="1"/>
                <c:pt idx="0">
                  <c:v> NAB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'APRA MBS'!$C$2:$BN$2</c:f>
              <c:numCache>
                <c:formatCode>mmm\-yy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'APRA MBS'!$C$6:$BN$6</c:f>
              <c:numCache>
                <c:formatCode>_-* #,##0_-;\-* #,##0_-;_-* "-"??_-;_-@_-</c:formatCode>
                <c:ptCount val="64"/>
                <c:pt idx="0">
                  <c:v>5556.2</c:v>
                </c:pt>
                <c:pt idx="1">
                  <c:v>5608.5</c:v>
                </c:pt>
                <c:pt idx="2">
                  <c:v>5665.7</c:v>
                </c:pt>
                <c:pt idx="3">
                  <c:v>5644</c:v>
                </c:pt>
                <c:pt idx="4">
                  <c:v>5651.4</c:v>
                </c:pt>
                <c:pt idx="5">
                  <c:v>5700.8</c:v>
                </c:pt>
                <c:pt idx="6">
                  <c:v>5556.2</c:v>
                </c:pt>
                <c:pt idx="7">
                  <c:v>5569.6</c:v>
                </c:pt>
                <c:pt idx="8">
                  <c:v>5594.1</c:v>
                </c:pt>
                <c:pt idx="9">
                  <c:v>5561</c:v>
                </c:pt>
                <c:pt idx="10">
                  <c:v>5674.9</c:v>
                </c:pt>
                <c:pt idx="11">
                  <c:v>5836</c:v>
                </c:pt>
                <c:pt idx="12">
                  <c:v>5682.7</c:v>
                </c:pt>
                <c:pt idx="13">
                  <c:v>5793</c:v>
                </c:pt>
                <c:pt idx="14">
                  <c:v>5864.4</c:v>
                </c:pt>
                <c:pt idx="15">
                  <c:v>5822.9</c:v>
                </c:pt>
                <c:pt idx="16">
                  <c:v>5845</c:v>
                </c:pt>
                <c:pt idx="17">
                  <c:v>5886.8</c:v>
                </c:pt>
                <c:pt idx="18">
                  <c:v>5766.9</c:v>
                </c:pt>
                <c:pt idx="19">
                  <c:v>5797.6</c:v>
                </c:pt>
                <c:pt idx="20">
                  <c:v>5799.5</c:v>
                </c:pt>
                <c:pt idx="21">
                  <c:v>5814.5</c:v>
                </c:pt>
                <c:pt idx="22">
                  <c:v>5922.2</c:v>
                </c:pt>
                <c:pt idx="23">
                  <c:v>6023.5</c:v>
                </c:pt>
                <c:pt idx="24">
                  <c:v>5871.9</c:v>
                </c:pt>
                <c:pt idx="25">
                  <c:v>5925.5</c:v>
                </c:pt>
                <c:pt idx="26">
                  <c:v>5840.9</c:v>
                </c:pt>
                <c:pt idx="27">
                  <c:v>5891.2</c:v>
                </c:pt>
                <c:pt idx="28">
                  <c:v>5837.3</c:v>
                </c:pt>
                <c:pt idx="29">
                  <c:v>5782.1</c:v>
                </c:pt>
                <c:pt idx="30">
                  <c:v>5663.7</c:v>
                </c:pt>
                <c:pt idx="31">
                  <c:v>5612.9</c:v>
                </c:pt>
                <c:pt idx="32">
                  <c:v>5612.1</c:v>
                </c:pt>
                <c:pt idx="33">
                  <c:v>5636.4</c:v>
                </c:pt>
                <c:pt idx="34">
                  <c:v>5647.9</c:v>
                </c:pt>
                <c:pt idx="35">
                  <c:v>5742</c:v>
                </c:pt>
                <c:pt idx="36">
                  <c:v>5690.3</c:v>
                </c:pt>
                <c:pt idx="37">
                  <c:v>5729.6</c:v>
                </c:pt>
                <c:pt idx="38">
                  <c:v>5701.5</c:v>
                </c:pt>
                <c:pt idx="39">
                  <c:v>5664.3</c:v>
                </c:pt>
                <c:pt idx="40">
                  <c:v>5613.6</c:v>
                </c:pt>
                <c:pt idx="41">
                  <c:v>5596.7</c:v>
                </c:pt>
                <c:pt idx="42">
                  <c:v>5527.6</c:v>
                </c:pt>
                <c:pt idx="43">
                  <c:v>5478.8</c:v>
                </c:pt>
                <c:pt idx="44">
                  <c:v>5457</c:v>
                </c:pt>
                <c:pt idx="45">
                  <c:v>5460.4</c:v>
                </c:pt>
                <c:pt idx="46">
                  <c:v>5505.6</c:v>
                </c:pt>
                <c:pt idx="47">
                  <c:v>5639</c:v>
                </c:pt>
                <c:pt idx="48">
                  <c:v>5435.9</c:v>
                </c:pt>
                <c:pt idx="49">
                  <c:v>5449</c:v>
                </c:pt>
                <c:pt idx="50">
                  <c:v>5340.3</c:v>
                </c:pt>
                <c:pt idx="51">
                  <c:v>5426.4</c:v>
                </c:pt>
                <c:pt idx="52">
                  <c:v>5232.3</c:v>
                </c:pt>
                <c:pt idx="53">
                  <c:v>5215.2</c:v>
                </c:pt>
                <c:pt idx="54">
                  <c:v>5110.8999999999996</c:v>
                </c:pt>
                <c:pt idx="55">
                  <c:v>5029.2</c:v>
                </c:pt>
                <c:pt idx="56">
                  <c:v>5020.3</c:v>
                </c:pt>
                <c:pt idx="57">
                  <c:v>4963.6000000000004</c:v>
                </c:pt>
                <c:pt idx="58">
                  <c:v>4881.5</c:v>
                </c:pt>
                <c:pt idx="59">
                  <c:v>5129.8</c:v>
                </c:pt>
                <c:pt idx="60">
                  <c:v>4925.8999999999996</c:v>
                </c:pt>
                <c:pt idx="61">
                  <c:v>4913.5</c:v>
                </c:pt>
                <c:pt idx="62">
                  <c:v>4781.2</c:v>
                </c:pt>
                <c:pt idx="63">
                  <c:v>4273.3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1-4A7F-A762-E32F403BF916}"/>
            </c:ext>
          </c:extLst>
        </c:ser>
        <c:ser>
          <c:idx val="4"/>
          <c:order val="4"/>
          <c:tx>
            <c:strRef>
              <c:f>'APRA MBS'!$B$7</c:f>
              <c:strCache>
                <c:ptCount val="1"/>
                <c:pt idx="0">
                  <c:v> CIT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'APRA MBS'!$C$2:$BN$2</c:f>
              <c:numCache>
                <c:formatCode>mmm\-yy</c:formatCode>
                <c:ptCount val="64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</c:numCache>
            </c:numRef>
          </c:cat>
          <c:val>
            <c:numRef>
              <c:f>'APRA MBS'!$C$7:$BN$7</c:f>
              <c:numCache>
                <c:formatCode>_-* #,##0_-;\-* #,##0_-;_-* "-"??_-;_-@_-</c:formatCode>
                <c:ptCount val="64"/>
                <c:pt idx="0">
                  <c:v>4165.8999999999996</c:v>
                </c:pt>
                <c:pt idx="1">
                  <c:v>4234.3</c:v>
                </c:pt>
                <c:pt idx="2">
                  <c:v>4294.6000000000004</c:v>
                </c:pt>
                <c:pt idx="3">
                  <c:v>4328.3999999999996</c:v>
                </c:pt>
                <c:pt idx="4">
                  <c:v>4320.3999999999996</c:v>
                </c:pt>
                <c:pt idx="5">
                  <c:v>4375</c:v>
                </c:pt>
                <c:pt idx="6">
                  <c:v>4349.3</c:v>
                </c:pt>
                <c:pt idx="7">
                  <c:v>4346.8</c:v>
                </c:pt>
                <c:pt idx="8">
                  <c:v>4345.2</c:v>
                </c:pt>
                <c:pt idx="9">
                  <c:v>4315.2</c:v>
                </c:pt>
                <c:pt idx="10">
                  <c:v>4308.8</c:v>
                </c:pt>
                <c:pt idx="11">
                  <c:v>4330.1000000000004</c:v>
                </c:pt>
                <c:pt idx="12">
                  <c:v>4236.3</c:v>
                </c:pt>
                <c:pt idx="13">
                  <c:v>4243.1000000000004</c:v>
                </c:pt>
                <c:pt idx="14">
                  <c:v>4213.3999999999996</c:v>
                </c:pt>
                <c:pt idx="15">
                  <c:v>4147.1000000000004</c:v>
                </c:pt>
                <c:pt idx="16">
                  <c:v>4113.2</c:v>
                </c:pt>
                <c:pt idx="17">
                  <c:v>4083.1</c:v>
                </c:pt>
                <c:pt idx="18">
                  <c:v>4017.1</c:v>
                </c:pt>
                <c:pt idx="19">
                  <c:v>3985.9</c:v>
                </c:pt>
                <c:pt idx="20">
                  <c:v>3959.7</c:v>
                </c:pt>
                <c:pt idx="21">
                  <c:v>3941</c:v>
                </c:pt>
                <c:pt idx="22">
                  <c:v>3967.5</c:v>
                </c:pt>
                <c:pt idx="23">
                  <c:v>3992.2</c:v>
                </c:pt>
                <c:pt idx="24">
                  <c:v>3931.4</c:v>
                </c:pt>
                <c:pt idx="25">
                  <c:v>4868.3</c:v>
                </c:pt>
                <c:pt idx="26">
                  <c:v>4912.3</c:v>
                </c:pt>
                <c:pt idx="27">
                  <c:v>4895.8</c:v>
                </c:pt>
                <c:pt idx="28">
                  <c:v>4920.7</c:v>
                </c:pt>
                <c:pt idx="29">
                  <c:v>4927.3</c:v>
                </c:pt>
                <c:pt idx="30">
                  <c:v>4875.3999999999996</c:v>
                </c:pt>
                <c:pt idx="31">
                  <c:v>4856.1000000000004</c:v>
                </c:pt>
                <c:pt idx="32">
                  <c:v>4862.7</c:v>
                </c:pt>
                <c:pt idx="33">
                  <c:v>4867.6000000000004</c:v>
                </c:pt>
                <c:pt idx="34">
                  <c:v>4886.8</c:v>
                </c:pt>
                <c:pt idx="35">
                  <c:v>4967.3</c:v>
                </c:pt>
                <c:pt idx="36">
                  <c:v>4900.2</c:v>
                </c:pt>
                <c:pt idx="37">
                  <c:v>4950</c:v>
                </c:pt>
                <c:pt idx="38">
                  <c:v>4921.7</c:v>
                </c:pt>
                <c:pt idx="39">
                  <c:v>4849</c:v>
                </c:pt>
                <c:pt idx="40">
                  <c:v>4868.3</c:v>
                </c:pt>
                <c:pt idx="41">
                  <c:v>4887.8</c:v>
                </c:pt>
                <c:pt idx="42">
                  <c:v>4829.5</c:v>
                </c:pt>
                <c:pt idx="43">
                  <c:v>4791</c:v>
                </c:pt>
                <c:pt idx="44">
                  <c:v>4756</c:v>
                </c:pt>
                <c:pt idx="45">
                  <c:v>4763.3</c:v>
                </c:pt>
                <c:pt idx="46">
                  <c:v>4760.8</c:v>
                </c:pt>
                <c:pt idx="47">
                  <c:v>4786.6000000000004</c:v>
                </c:pt>
                <c:pt idx="48">
                  <c:v>4737.6000000000004</c:v>
                </c:pt>
                <c:pt idx="49">
                  <c:v>4811.3999999999996</c:v>
                </c:pt>
                <c:pt idx="50">
                  <c:v>4804.6000000000004</c:v>
                </c:pt>
                <c:pt idx="51">
                  <c:v>4802.5</c:v>
                </c:pt>
                <c:pt idx="52">
                  <c:v>4789.8999999999996</c:v>
                </c:pt>
                <c:pt idx="53">
                  <c:v>4809.8</c:v>
                </c:pt>
                <c:pt idx="54">
                  <c:v>4789.1000000000004</c:v>
                </c:pt>
                <c:pt idx="55">
                  <c:v>4726.8999999999996</c:v>
                </c:pt>
                <c:pt idx="56">
                  <c:v>4688.3</c:v>
                </c:pt>
                <c:pt idx="57">
                  <c:v>4683.3</c:v>
                </c:pt>
                <c:pt idx="58">
                  <c:v>4711.3</c:v>
                </c:pt>
                <c:pt idx="59">
                  <c:v>4781.7</c:v>
                </c:pt>
                <c:pt idx="60">
                  <c:v>4677.2</c:v>
                </c:pt>
                <c:pt idx="61">
                  <c:v>4689.2</c:v>
                </c:pt>
                <c:pt idx="62">
                  <c:v>4577.8999999999996</c:v>
                </c:pt>
                <c:pt idx="63">
                  <c:v>4113.6000000000004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1-4A7F-A762-E32F403B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1528"/>
        <c:axId val="695686776"/>
      </c:lineChart>
      <c:dateAx>
        <c:axId val="695681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6776"/>
        <c:crosses val="autoZero"/>
        <c:auto val="1"/>
        <c:lblOffset val="100"/>
        <c:baseTimeUnit val="months"/>
      </c:dateAx>
      <c:valAx>
        <c:axId val="6956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Growth in Credit Card Limits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'APRA MBS'!$N$9</c:f>
              <c:strCache>
                <c:ptCount val="1"/>
                <c:pt idx="0">
                  <c:v> CBA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'APRA MBS'!$O$2:$BN$2</c:f>
              <c:numCache>
                <c:formatCode>mmm\-yy</c:formatCode>
                <c:ptCount val="5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</c:numCache>
            </c:numRef>
          </c:cat>
          <c:val>
            <c:numRef>
              <c:f>'APRA MBS'!$O$9:$BN$9</c:f>
              <c:numCache>
                <c:formatCode>0.00%</c:formatCode>
                <c:ptCount val="52"/>
                <c:pt idx="0">
                  <c:v>4.0690430342689154E-3</c:v>
                </c:pt>
                <c:pt idx="1">
                  <c:v>-6.4692364393184043E-3</c:v>
                </c:pt>
                <c:pt idx="2">
                  <c:v>-9.3183779119920818E-4</c:v>
                </c:pt>
                <c:pt idx="3">
                  <c:v>1.1785761054607935E-3</c:v>
                </c:pt>
                <c:pt idx="4">
                  <c:v>3.8921812946344225E-3</c:v>
                </c:pt>
                <c:pt idx="5">
                  <c:v>1.3971192143633182E-2</c:v>
                </c:pt>
                <c:pt idx="6">
                  <c:v>7.6296958855097685E-3</c:v>
                </c:pt>
                <c:pt idx="7">
                  <c:v>1.3451587735735515E-4</c:v>
                </c:pt>
                <c:pt idx="8">
                  <c:v>2.5641938815483822E-3</c:v>
                </c:pt>
                <c:pt idx="9">
                  <c:v>8.5211728721734659E-3</c:v>
                </c:pt>
                <c:pt idx="10">
                  <c:v>1.4896705553293588E-2</c:v>
                </c:pt>
                <c:pt idx="11">
                  <c:v>4.628042509426944E-4</c:v>
                </c:pt>
                <c:pt idx="12">
                  <c:v>-9.7018292894582858E-3</c:v>
                </c:pt>
                <c:pt idx="13">
                  <c:v>6.1796821129624924E-3</c:v>
                </c:pt>
                <c:pt idx="14">
                  <c:v>-1.1140666021833834E-3</c:v>
                </c:pt>
                <c:pt idx="15">
                  <c:v>-7.6299267527031311E-3</c:v>
                </c:pt>
                <c:pt idx="16">
                  <c:v>-1.3157548485565052E-4</c:v>
                </c:pt>
                <c:pt idx="17">
                  <c:v>-4.476766972956514E-3</c:v>
                </c:pt>
                <c:pt idx="18">
                  <c:v>-1.0519027455993202E-2</c:v>
                </c:pt>
                <c:pt idx="19">
                  <c:v>2.8961856428095789E-3</c:v>
                </c:pt>
                <c:pt idx="20">
                  <c:v>-5.7990835139071217E-3</c:v>
                </c:pt>
                <c:pt idx="21">
                  <c:v>-9.1517916700020185E-3</c:v>
                </c:pt>
                <c:pt idx="22">
                  <c:v>-1.2192462999625064E-2</c:v>
                </c:pt>
                <c:pt idx="23">
                  <c:v>-5.7395446056847099E-3</c:v>
                </c:pt>
                <c:pt idx="24">
                  <c:v>-2.4448377994706894E-3</c:v>
                </c:pt>
                <c:pt idx="25">
                  <c:v>-7.7205340180608317E-3</c:v>
                </c:pt>
                <c:pt idx="26">
                  <c:v>-1.4179123833896745E-2</c:v>
                </c:pt>
                <c:pt idx="27">
                  <c:v>-1.9735512499450825E-2</c:v>
                </c:pt>
                <c:pt idx="28">
                  <c:v>-9.9045513562830978E-3</c:v>
                </c:pt>
                <c:pt idx="29">
                  <c:v>-1.7585147986456828E-2</c:v>
                </c:pt>
                <c:pt idx="30">
                  <c:v>-1.3582373416585858E-2</c:v>
                </c:pt>
                <c:pt idx="31">
                  <c:v>-2.6008279019034575E-2</c:v>
                </c:pt>
                <c:pt idx="32">
                  <c:v>-2.6261489401613214E-2</c:v>
                </c:pt>
                <c:pt idx="33">
                  <c:v>-2.6685695820766853E-2</c:v>
                </c:pt>
                <c:pt idx="34">
                  <c:v>-3.9342062279826506E-2</c:v>
                </c:pt>
                <c:pt idx="35">
                  <c:v>-6.8281293079680228E-2</c:v>
                </c:pt>
                <c:pt idx="36">
                  <c:v>-6.4538514920194245E-2</c:v>
                </c:pt>
                <c:pt idx="37">
                  <c:v>-4.9306302289595871E-2</c:v>
                </c:pt>
                <c:pt idx="38">
                  <c:v>-6.0698280171544217E-2</c:v>
                </c:pt>
                <c:pt idx="39">
                  <c:v>-5.9959304045392958E-2</c:v>
                </c:pt>
                <c:pt idx="40">
                  <c:v>-7.6803799431148567E-2</c:v>
                </c:pt>
                <c:pt idx="41">
                  <c:v>-7.0922870043013231E-2</c:v>
                </c:pt>
                <c:pt idx="42">
                  <c:v>-6.3044545901013049E-2</c:v>
                </c:pt>
                <c:pt idx="43">
                  <c:v>-7.0121167615201041E-2</c:v>
                </c:pt>
                <c:pt idx="44">
                  <c:v>-8.7569144398271792E-2</c:v>
                </c:pt>
                <c:pt idx="45">
                  <c:v>-7.8692304145340453E-2</c:v>
                </c:pt>
                <c:pt idx="46">
                  <c:v>-7.1769279550029097E-2</c:v>
                </c:pt>
                <c:pt idx="47">
                  <c:v>-5.8017921378965887E-2</c:v>
                </c:pt>
                <c:pt idx="48">
                  <c:v>-6.6061300379371191E-2</c:v>
                </c:pt>
                <c:pt idx="49">
                  <c:v>-8.0287272292569045E-2</c:v>
                </c:pt>
                <c:pt idx="50">
                  <c:v>-9.1893708800956153E-2</c:v>
                </c:pt>
                <c:pt idx="51">
                  <c:v>-0.17547439687231814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9-4ABF-A646-853DE562B46E}"/>
            </c:ext>
          </c:extLst>
        </c:ser>
        <c:ser>
          <c:idx val="1"/>
          <c:order val="1"/>
          <c:tx>
            <c:strRef>
              <c:f>'APRA MBS'!$N$10</c:f>
              <c:strCache>
                <c:ptCount val="1"/>
                <c:pt idx="0">
                  <c:v> WBC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'APRA MBS'!$O$2:$BN$2</c:f>
              <c:numCache>
                <c:formatCode>mmm\-yy</c:formatCode>
                <c:ptCount val="5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</c:numCache>
            </c:numRef>
          </c:cat>
          <c:val>
            <c:numRef>
              <c:f>'APRA MBS'!$O$10:$BN$10</c:f>
              <c:numCache>
                <c:formatCode>0.00%</c:formatCode>
                <c:ptCount val="52"/>
                <c:pt idx="0">
                  <c:v>3.2219454598389152E-2</c:v>
                </c:pt>
                <c:pt idx="1">
                  <c:v>3.8088561747867677E-2</c:v>
                </c:pt>
                <c:pt idx="2">
                  <c:v>2.7464318636955865E-2</c:v>
                </c:pt>
                <c:pt idx="3">
                  <c:v>3.0716796024760518E-2</c:v>
                </c:pt>
                <c:pt idx="4">
                  <c:v>3.0028568405459755E-2</c:v>
                </c:pt>
                <c:pt idx="5">
                  <c:v>3.1722658139975213E-2</c:v>
                </c:pt>
                <c:pt idx="6">
                  <c:v>2.8463626841104039E-2</c:v>
                </c:pt>
                <c:pt idx="7">
                  <c:v>3.2087390574729646E-2</c:v>
                </c:pt>
                <c:pt idx="8">
                  <c:v>2.6065545933095624E-2</c:v>
                </c:pt>
                <c:pt idx="9">
                  <c:v>2.0110650651071982E-2</c:v>
                </c:pt>
                <c:pt idx="10">
                  <c:v>3.3255073824803194E-2</c:v>
                </c:pt>
                <c:pt idx="11">
                  <c:v>2.4399534658663846E-2</c:v>
                </c:pt>
                <c:pt idx="12">
                  <c:v>2.4622102437138915E-2</c:v>
                </c:pt>
                <c:pt idx="13">
                  <c:v>2.1384355655599263E-2</c:v>
                </c:pt>
                <c:pt idx="14">
                  <c:v>1.0931328568924092E-2</c:v>
                </c:pt>
                <c:pt idx="15">
                  <c:v>6.407350941530332E-3</c:v>
                </c:pt>
                <c:pt idx="16">
                  <c:v>1.4073221843284855E-3</c:v>
                </c:pt>
                <c:pt idx="17">
                  <c:v>-7.7072076664288502E-3</c:v>
                </c:pt>
                <c:pt idx="18">
                  <c:v>-6.2980014757693104E-3</c:v>
                </c:pt>
                <c:pt idx="19">
                  <c:v>-1.5627750908770777E-2</c:v>
                </c:pt>
                <c:pt idx="20">
                  <c:v>-1.239139429044267E-2</c:v>
                </c:pt>
                <c:pt idx="21">
                  <c:v>-2.142577279194946E-2</c:v>
                </c:pt>
                <c:pt idx="22">
                  <c:v>-3.0013532346347294E-2</c:v>
                </c:pt>
                <c:pt idx="23">
                  <c:v>-2.1004391827382118E-2</c:v>
                </c:pt>
                <c:pt idx="24">
                  <c:v>-2.5029566494025546E-2</c:v>
                </c:pt>
                <c:pt idx="25">
                  <c:v>-2.647633358377155E-2</c:v>
                </c:pt>
                <c:pt idx="26">
                  <c:v>-2.6400350916565452E-2</c:v>
                </c:pt>
                <c:pt idx="27">
                  <c:v>-3.9591393887285276E-2</c:v>
                </c:pt>
                <c:pt idx="28">
                  <c:v>-4.0837051854131445E-2</c:v>
                </c:pt>
                <c:pt idx="29">
                  <c:v>-3.4674420038218967E-2</c:v>
                </c:pt>
                <c:pt idx="30">
                  <c:v>-3.0664644668723651E-2</c:v>
                </c:pt>
                <c:pt idx="31">
                  <c:v>-2.516570226196746E-2</c:v>
                </c:pt>
                <c:pt idx="32">
                  <c:v>-2.7837707630757769E-2</c:v>
                </c:pt>
                <c:pt idx="33">
                  <c:v>-2.3854680321996002E-2</c:v>
                </c:pt>
                <c:pt idx="34">
                  <c:v>-2.0072878709005648E-2</c:v>
                </c:pt>
                <c:pt idx="35">
                  <c:v>-2.7480931703160683E-2</c:v>
                </c:pt>
                <c:pt idx="36">
                  <c:v>-3.9099018080289372E-2</c:v>
                </c:pt>
                <c:pt idx="37">
                  <c:v>-3.6817517647301012E-2</c:v>
                </c:pt>
                <c:pt idx="38">
                  <c:v>-3.743674102325012E-2</c:v>
                </c:pt>
                <c:pt idx="39">
                  <c:v>-2.6771821379089955E-2</c:v>
                </c:pt>
                <c:pt idx="40">
                  <c:v>-3.2864904175222365E-2</c:v>
                </c:pt>
                <c:pt idx="41">
                  <c:v>-3.7165146500069079E-2</c:v>
                </c:pt>
                <c:pt idx="42">
                  <c:v>-4.5132332790263519E-2</c:v>
                </c:pt>
                <c:pt idx="43">
                  <c:v>-5.7167217077856103E-2</c:v>
                </c:pt>
                <c:pt idx="44">
                  <c:v>-6.4681547875549361E-2</c:v>
                </c:pt>
                <c:pt idx="45">
                  <c:v>-7.8278139976684868E-2</c:v>
                </c:pt>
                <c:pt idx="46">
                  <c:v>-8.538917575062166E-2</c:v>
                </c:pt>
                <c:pt idx="47">
                  <c:v>-9.1316922817091695E-2</c:v>
                </c:pt>
                <c:pt idx="48">
                  <c:v>-8.8290347154206028E-2</c:v>
                </c:pt>
                <c:pt idx="49">
                  <c:v>-9.754925003204995E-2</c:v>
                </c:pt>
                <c:pt idx="50">
                  <c:v>-0.1095702529716549</c:v>
                </c:pt>
                <c:pt idx="51">
                  <c:v>-0.19457281149390038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9-4ABF-A646-853DE562B46E}"/>
            </c:ext>
          </c:extLst>
        </c:ser>
        <c:ser>
          <c:idx val="2"/>
          <c:order val="2"/>
          <c:tx>
            <c:strRef>
              <c:f>'APRA MBS'!$N$11</c:f>
              <c:strCache>
                <c:ptCount val="1"/>
                <c:pt idx="0">
                  <c:v> ANZ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'APRA MBS'!$O$2:$BN$2</c:f>
              <c:numCache>
                <c:formatCode>mmm\-yy</c:formatCode>
                <c:ptCount val="5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</c:numCache>
            </c:numRef>
          </c:cat>
          <c:val>
            <c:numRef>
              <c:f>'APRA MBS'!$O$11:$BN$11</c:f>
              <c:numCache>
                <c:formatCode>0.00%</c:formatCode>
                <c:ptCount val="52"/>
                <c:pt idx="0">
                  <c:v>-2.336341342611048E-2</c:v>
                </c:pt>
                <c:pt idx="1">
                  <c:v>-2.4356239796952006E-2</c:v>
                </c:pt>
                <c:pt idx="2">
                  <c:v>-3.1260082452052362E-2</c:v>
                </c:pt>
                <c:pt idx="3">
                  <c:v>-2.686259715685213E-2</c:v>
                </c:pt>
                <c:pt idx="4">
                  <c:v>-1.5018394810727087E-2</c:v>
                </c:pt>
                <c:pt idx="5">
                  <c:v>-1.5855572998430212E-2</c:v>
                </c:pt>
                <c:pt idx="6">
                  <c:v>-1.7452968841857763E-2</c:v>
                </c:pt>
                <c:pt idx="7">
                  <c:v>-1.4826169599607586E-2</c:v>
                </c:pt>
                <c:pt idx="8">
                  <c:v>-1.7761053160584961E-2</c:v>
                </c:pt>
                <c:pt idx="9">
                  <c:v>-1.5287803072367212E-2</c:v>
                </c:pt>
                <c:pt idx="10">
                  <c:v>-1.2115007251941035E-2</c:v>
                </c:pt>
                <c:pt idx="11">
                  <c:v>-1.5602545678505497E-2</c:v>
                </c:pt>
                <c:pt idx="12">
                  <c:v>-1.2159069824973723E-2</c:v>
                </c:pt>
                <c:pt idx="13">
                  <c:v>-1.6036249496195532E-2</c:v>
                </c:pt>
                <c:pt idx="14">
                  <c:v>-1.7059541871738748E-2</c:v>
                </c:pt>
                <c:pt idx="15">
                  <c:v>-2.1610711824357587E-2</c:v>
                </c:pt>
                <c:pt idx="16">
                  <c:v>-2.3147522453342617E-2</c:v>
                </c:pt>
                <c:pt idx="17">
                  <c:v>-2.54978710872793E-2</c:v>
                </c:pt>
                <c:pt idx="18">
                  <c:v>-2.7012203482791652E-2</c:v>
                </c:pt>
                <c:pt idx="19">
                  <c:v>-4.0430193188607855E-2</c:v>
                </c:pt>
                <c:pt idx="20">
                  <c:v>-3.743729253500383E-2</c:v>
                </c:pt>
                <c:pt idx="21">
                  <c:v>-3.7666340876625903E-2</c:v>
                </c:pt>
                <c:pt idx="22">
                  <c:v>-4.2046562126016318E-2</c:v>
                </c:pt>
                <c:pt idx="23">
                  <c:v>-3.5895234006011245E-2</c:v>
                </c:pt>
                <c:pt idx="24">
                  <c:v>-3.2831634569632562E-2</c:v>
                </c:pt>
                <c:pt idx="25">
                  <c:v>-2.9343130926964833E-2</c:v>
                </c:pt>
                <c:pt idx="26">
                  <c:v>-3.3192781668047067E-2</c:v>
                </c:pt>
                <c:pt idx="27">
                  <c:v>-3.7849056603773579E-2</c:v>
                </c:pt>
                <c:pt idx="28">
                  <c:v>-4.1883104632296497E-2</c:v>
                </c:pt>
                <c:pt idx="29">
                  <c:v>-3.9612687140356817E-2</c:v>
                </c:pt>
                <c:pt idx="30">
                  <c:v>-4.0304396843292012E-2</c:v>
                </c:pt>
                <c:pt idx="31">
                  <c:v>-3.3922270651722708E-2</c:v>
                </c:pt>
                <c:pt idx="32">
                  <c:v>-3.9891617185676798E-2</c:v>
                </c:pt>
                <c:pt idx="33">
                  <c:v>-3.9583333333333304E-2</c:v>
                </c:pt>
                <c:pt idx="34">
                  <c:v>-4.3763281602163695E-2</c:v>
                </c:pt>
                <c:pt idx="35">
                  <c:v>-5.145758312231985E-2</c:v>
                </c:pt>
                <c:pt idx="36">
                  <c:v>-6.00595546349042E-2</c:v>
                </c:pt>
                <c:pt idx="37">
                  <c:v>-6.326086956521737E-2</c:v>
                </c:pt>
                <c:pt idx="38">
                  <c:v>-6.4666865694889775E-2</c:v>
                </c:pt>
                <c:pt idx="39">
                  <c:v>-6.011164712188366E-2</c:v>
                </c:pt>
                <c:pt idx="40">
                  <c:v>-6.5439699646875016E-2</c:v>
                </c:pt>
                <c:pt idx="41">
                  <c:v>-6.9408571840625211E-2</c:v>
                </c:pt>
                <c:pt idx="42">
                  <c:v>-7.0057402215992548E-2</c:v>
                </c:pt>
                <c:pt idx="43">
                  <c:v>-7.581271064681161E-2</c:v>
                </c:pt>
                <c:pt idx="44">
                  <c:v>-7.5144820881213104E-2</c:v>
                </c:pt>
                <c:pt idx="45">
                  <c:v>-7.7318329718004342E-2</c:v>
                </c:pt>
                <c:pt idx="46">
                  <c:v>-8.1269276873139562E-2</c:v>
                </c:pt>
                <c:pt idx="47">
                  <c:v>-7.0521161714400704E-2</c:v>
                </c:pt>
                <c:pt idx="48">
                  <c:v>-7.4571975592622741E-2</c:v>
                </c:pt>
                <c:pt idx="49">
                  <c:v>-7.9791953913150304E-2</c:v>
                </c:pt>
                <c:pt idx="50">
                  <c:v>-8.9315699635021284E-2</c:v>
                </c:pt>
                <c:pt idx="51">
                  <c:v>-0.18271598069353068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9-4ABF-A646-853DE562B46E}"/>
            </c:ext>
          </c:extLst>
        </c:ser>
        <c:ser>
          <c:idx val="3"/>
          <c:order val="3"/>
          <c:tx>
            <c:strRef>
              <c:f>'APRA MBS'!$N$12</c:f>
              <c:strCache>
                <c:ptCount val="1"/>
                <c:pt idx="0">
                  <c:v> NAB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'APRA MBS'!$O$2:$BN$2</c:f>
              <c:numCache>
                <c:formatCode>mmm\-yy</c:formatCode>
                <c:ptCount val="5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</c:numCache>
            </c:numRef>
          </c:cat>
          <c:val>
            <c:numRef>
              <c:f>'APRA MBS'!$O$12:$BN$12</c:f>
              <c:numCache>
                <c:formatCode>0.00%</c:formatCode>
                <c:ptCount val="52"/>
                <c:pt idx="0">
                  <c:v>2.2767358986357511E-2</c:v>
                </c:pt>
                <c:pt idx="1">
                  <c:v>3.2896496389408947E-2</c:v>
                </c:pt>
                <c:pt idx="2">
                  <c:v>3.5070688529219574E-2</c:v>
                </c:pt>
                <c:pt idx="3">
                  <c:v>3.1697377746279232E-2</c:v>
                </c:pt>
                <c:pt idx="4">
                  <c:v>3.4256998265916438E-2</c:v>
                </c:pt>
                <c:pt idx="5">
                  <c:v>3.2626999719337579E-2</c:v>
                </c:pt>
                <c:pt idx="6">
                  <c:v>3.7921601094273116E-2</c:v>
                </c:pt>
                <c:pt idx="7">
                  <c:v>4.0936512496409172E-2</c:v>
                </c:pt>
                <c:pt idx="8">
                  <c:v>3.6717255680091432E-2</c:v>
                </c:pt>
                <c:pt idx="9">
                  <c:v>4.5585326380147562E-2</c:v>
                </c:pt>
                <c:pt idx="10">
                  <c:v>4.3577860402826518E-2</c:v>
                </c:pt>
                <c:pt idx="11">
                  <c:v>3.2128169979438015E-2</c:v>
                </c:pt>
                <c:pt idx="12">
                  <c:v>3.3294032766114645E-2</c:v>
                </c:pt>
                <c:pt idx="13">
                  <c:v>2.2872432245813812E-2</c:v>
                </c:pt>
                <c:pt idx="14">
                  <c:v>-4.007230066161882E-3</c:v>
                </c:pt>
                <c:pt idx="15">
                  <c:v>1.1729550567586733E-2</c:v>
                </c:pt>
                <c:pt idx="16">
                  <c:v>-1.3173652694610238E-3</c:v>
                </c:pt>
                <c:pt idx="17">
                  <c:v>-1.7785554121084401E-2</c:v>
                </c:pt>
                <c:pt idx="18">
                  <c:v>-1.7895229672787782E-2</c:v>
                </c:pt>
                <c:pt idx="19">
                  <c:v>-3.1858010211122001E-2</c:v>
                </c:pt>
                <c:pt idx="20">
                  <c:v>-3.2313130442279459E-2</c:v>
                </c:pt>
                <c:pt idx="21">
                  <c:v>-3.0630320749849616E-2</c:v>
                </c:pt>
                <c:pt idx="22">
                  <c:v>-4.6317246969031833E-2</c:v>
                </c:pt>
                <c:pt idx="23">
                  <c:v>-4.673362662903624E-2</c:v>
                </c:pt>
                <c:pt idx="24">
                  <c:v>-3.0926957202949579E-2</c:v>
                </c:pt>
                <c:pt idx="25">
                  <c:v>-3.3060501223525329E-2</c:v>
                </c:pt>
                <c:pt idx="26">
                  <c:v>-2.3866185005735341E-2</c:v>
                </c:pt>
                <c:pt idx="27">
                  <c:v>-3.8515073329712046E-2</c:v>
                </c:pt>
                <c:pt idx="28">
                  <c:v>-3.8322512120329555E-2</c:v>
                </c:pt>
                <c:pt idx="29">
                  <c:v>-3.20644748447797E-2</c:v>
                </c:pt>
                <c:pt idx="30">
                  <c:v>-2.4030227589738051E-2</c:v>
                </c:pt>
                <c:pt idx="31">
                  <c:v>-2.3891393041030384E-2</c:v>
                </c:pt>
                <c:pt idx="32">
                  <c:v>-2.7636713529694878E-2</c:v>
                </c:pt>
                <c:pt idx="33">
                  <c:v>-3.1225604996096834E-2</c:v>
                </c:pt>
                <c:pt idx="34">
                  <c:v>-2.5195205297544043E-2</c:v>
                </c:pt>
                <c:pt idx="35">
                  <c:v>-1.7938000696621437E-2</c:v>
                </c:pt>
                <c:pt idx="36">
                  <c:v>-4.4707660404548211E-2</c:v>
                </c:pt>
                <c:pt idx="37">
                  <c:v>-4.8973750349064593E-2</c:v>
                </c:pt>
                <c:pt idx="38">
                  <c:v>-6.3351749539594771E-2</c:v>
                </c:pt>
                <c:pt idx="39">
                  <c:v>-4.1999894073407207E-2</c:v>
                </c:pt>
                <c:pt idx="40">
                  <c:v>-6.7924326635314225E-2</c:v>
                </c:pt>
                <c:pt idx="41">
                  <c:v>-6.8165168760162209E-2</c:v>
                </c:pt>
                <c:pt idx="42">
                  <c:v>-7.5385339025978881E-2</c:v>
                </c:pt>
                <c:pt idx="43">
                  <c:v>-8.2061765350076699E-2</c:v>
                </c:pt>
                <c:pt idx="44">
                  <c:v>-8.0025655121861772E-2</c:v>
                </c:pt>
                <c:pt idx="45">
                  <c:v>-9.0982345615705729E-2</c:v>
                </c:pt>
                <c:pt idx="46">
                  <c:v>-0.11335730892182516</c:v>
                </c:pt>
                <c:pt idx="47">
                  <c:v>-9.0299698528107819E-2</c:v>
                </c:pt>
                <c:pt idx="48">
                  <c:v>-9.382071046192908E-2</c:v>
                </c:pt>
                <c:pt idx="49">
                  <c:v>-9.8274912828041794E-2</c:v>
                </c:pt>
                <c:pt idx="50">
                  <c:v>-0.10469449281875554</c:v>
                </c:pt>
                <c:pt idx="51">
                  <c:v>-0.21249815715759979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79-4ABF-A646-853DE562B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51352"/>
        <c:axId val="695652008"/>
      </c:lineChart>
      <c:dateAx>
        <c:axId val="6956513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52008"/>
        <c:crosses val="autoZero"/>
        <c:auto val="1"/>
        <c:lblOffset val="100"/>
        <c:baseTimeUnit val="months"/>
      </c:dateAx>
      <c:valAx>
        <c:axId val="69565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5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Impairment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'QR Summary HY'!$A$9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HY'!$B$9:$P$9</c:f>
              <c:numCache>
                <c:formatCode>0.00%</c:formatCode>
                <c:ptCount val="15"/>
                <c:pt idx="0">
                  <c:v>4.0120361083249749E-3</c:v>
                </c:pt>
                <c:pt idx="1">
                  <c:v>3.9840637450199202E-3</c:v>
                </c:pt>
                <c:pt idx="2">
                  <c:v>4.2378551991791944E-3</c:v>
                </c:pt>
                <c:pt idx="3">
                  <c:v>3.9723276054452134E-3</c:v>
                </c:pt>
                <c:pt idx="4">
                  <c:v>3.9509720289139317E-3</c:v>
                </c:pt>
                <c:pt idx="5">
                  <c:v>3.9446837451824982E-3</c:v>
                </c:pt>
                <c:pt idx="6">
                  <c:v>4.448812787750246E-3</c:v>
                </c:pt>
                <c:pt idx="7">
                  <c:v>4.1199110966552823E-3</c:v>
                </c:pt>
                <c:pt idx="8">
                  <c:v>4.3208823696628575E-3</c:v>
                </c:pt>
                <c:pt idx="9">
                  <c:v>4.1448909713461884E-3</c:v>
                </c:pt>
                <c:pt idx="10">
                  <c:v>4.836309523809524E-3</c:v>
                </c:pt>
                <c:pt idx="11">
                  <c:v>3.1658359153980868E-3</c:v>
                </c:pt>
                <c:pt idx="12">
                  <c:v>2.6902654867256635E-3</c:v>
                </c:pt>
                <c:pt idx="13">
                  <c:v>2.3966882126516087E-3</c:v>
                </c:pt>
                <c:pt idx="14">
                  <c:v>2.4426350851221319E-3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3-47B9-8D19-C00F0A7437D4}"/>
            </c:ext>
          </c:extLst>
        </c:ser>
        <c:ser>
          <c:idx val="2"/>
          <c:order val="1"/>
          <c:tx>
            <c:strRef>
              <c:f>'QR Summary HY'!$A$10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HY'!$B$10:$P$10</c:f>
              <c:numCache>
                <c:formatCode>0.00%</c:formatCode>
                <c:ptCount val="15"/>
                <c:pt idx="0">
                  <c:v>4.3224471700901435E-3</c:v>
                </c:pt>
                <c:pt idx="1">
                  <c:v>3.7827316464064051E-3</c:v>
                </c:pt>
                <c:pt idx="2">
                  <c:v>3.8792314730100642E-3</c:v>
                </c:pt>
                <c:pt idx="3">
                  <c:v>3.5167411531980366E-3</c:v>
                </c:pt>
                <c:pt idx="4">
                  <c:v>4.8310960318631068E-3</c:v>
                </c:pt>
                <c:pt idx="5">
                  <c:v>4.3359623219825817E-3</c:v>
                </c:pt>
                <c:pt idx="6">
                  <c:v>5.1287346826380279E-3</c:v>
                </c:pt>
                <c:pt idx="7">
                  <c:v>4.8411604650341004E-3</c:v>
                </c:pt>
                <c:pt idx="8">
                  <c:v>5.041832596543787E-3</c:v>
                </c:pt>
                <c:pt idx="9">
                  <c:v>4.0481277409198249E-3</c:v>
                </c:pt>
                <c:pt idx="10">
                  <c:v>5.650163973290134E-3</c:v>
                </c:pt>
                <c:pt idx="11">
                  <c:v>3.53285145780882E-3</c:v>
                </c:pt>
                <c:pt idx="12">
                  <c:v>3.4099887719881896E-3</c:v>
                </c:pt>
                <c:pt idx="13">
                  <c:v>2.8021908037192712E-3</c:v>
                </c:pt>
                <c:pt idx="14">
                  <c:v>2.8213568161415807E-3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3-47B9-8D19-C00F0A7437D4}"/>
            </c:ext>
          </c:extLst>
        </c:ser>
        <c:ser>
          <c:idx val="3"/>
          <c:order val="2"/>
          <c:tx>
            <c:strRef>
              <c:f>'QR Summary HY'!$A$11</c:f>
              <c:strCache>
                <c:ptCount val="1"/>
                <c:pt idx="0">
                  <c:v>NAB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HY'!$B$11:$P$11</c:f>
              <c:numCache>
                <c:formatCode>0.00%</c:formatCode>
                <c:ptCount val="15"/>
                <c:pt idx="0">
                  <c:v>5.1929447578118008E-3</c:v>
                </c:pt>
                <c:pt idx="1">
                  <c:v>5.1454932576295246E-3</c:v>
                </c:pt>
                <c:pt idx="2">
                  <c:v>5.6242969628796397E-3</c:v>
                </c:pt>
                <c:pt idx="3">
                  <c:v>5.4930907218264527E-3</c:v>
                </c:pt>
                <c:pt idx="4">
                  <c:v>5.997772256019193E-3</c:v>
                </c:pt>
                <c:pt idx="5">
                  <c:v>5.6160359426300332E-3</c:v>
                </c:pt>
                <c:pt idx="6">
                  <c:v>5.6813290866833087E-3</c:v>
                </c:pt>
                <c:pt idx="7">
                  <c:v>6.4379574918423145E-3</c:v>
                </c:pt>
                <c:pt idx="8">
                  <c:v>4.7259838225938381E-3</c:v>
                </c:pt>
                <c:pt idx="9">
                  <c:v>3.9848197343453507E-3</c:v>
                </c:pt>
                <c:pt idx="10">
                  <c:v>4.1249263406010605E-3</c:v>
                </c:pt>
                <c:pt idx="11">
                  <c:v>2.8744809964867456E-3</c:v>
                </c:pt>
                <c:pt idx="12">
                  <c:v>2.2636628220329847E-3</c:v>
                </c:pt>
                <c:pt idx="13">
                  <c:v>2.4630541871921183E-3</c:v>
                </c:pt>
                <c:pt idx="14">
                  <c:v>2.1229050279329611E-3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3-47B9-8D19-C00F0A7437D4}"/>
            </c:ext>
          </c:extLst>
        </c:ser>
        <c:ser>
          <c:idx val="4"/>
          <c:order val="3"/>
          <c:tx>
            <c:strRef>
              <c:f>'QR Summary HY'!$A$12</c:f>
              <c:strCache>
                <c:ptCount val="1"/>
                <c:pt idx="0">
                  <c:v>WBC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HY'!$B$12:$P$12</c:f>
              <c:numCache>
                <c:formatCode>0.00%</c:formatCode>
                <c:ptCount val="15"/>
                <c:pt idx="0">
                  <c:v>5.0173678116557313E-3</c:v>
                </c:pt>
                <c:pt idx="1">
                  <c:v>3.6796329924495843E-3</c:v>
                </c:pt>
                <c:pt idx="2">
                  <c:v>4.4857871375956178E-3</c:v>
                </c:pt>
                <c:pt idx="3">
                  <c:v>4.1205381522116868E-3</c:v>
                </c:pt>
                <c:pt idx="4">
                  <c:v>6.1644865433769357E-3</c:v>
                </c:pt>
                <c:pt idx="5">
                  <c:v>5.4758403893930942E-3</c:v>
                </c:pt>
                <c:pt idx="6">
                  <c:v>4.837067209775967E-3</c:v>
                </c:pt>
                <c:pt idx="7">
                  <c:v>4.429960792301034E-3</c:v>
                </c:pt>
                <c:pt idx="8">
                  <c:v>5.3580901856763929E-3</c:v>
                </c:pt>
                <c:pt idx="9">
                  <c:v>6.8981243942762673E-3</c:v>
                </c:pt>
                <c:pt idx="10">
                  <c:v>6.6125477124885758E-3</c:v>
                </c:pt>
                <c:pt idx="11">
                  <c:v>4.8984891406987727E-3</c:v>
                </c:pt>
                <c:pt idx="12">
                  <c:v>4.9820766753751744E-3</c:v>
                </c:pt>
                <c:pt idx="13">
                  <c:v>4.2224243211640899E-3</c:v>
                </c:pt>
                <c:pt idx="14">
                  <c:v>3.8833673402224708E-3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3-47B9-8D19-C00F0A743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86840"/>
        <c:axId val="532977656"/>
      </c:lineChart>
      <c:catAx>
        <c:axId val="5329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7656"/>
        <c:crosses val="autoZero"/>
        <c:auto val="1"/>
        <c:lblAlgn val="ctr"/>
        <c:lblOffset val="100"/>
        <c:noMultiLvlLbl val="0"/>
      </c:catAx>
      <c:valAx>
        <c:axId val="5329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'QR Summary HY'!$A$21</c:f>
              <c:strCache>
                <c:ptCount val="1"/>
                <c:pt idx="0">
                  <c:v> ANZ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HY'!$B$21:$P$21</c:f>
              <c:numCache>
                <c:formatCode>_-* #,##0_-;\-* #,##0_-;_-* "-"??_-;_-@_-</c:formatCode>
                <c:ptCount val="15"/>
                <c:pt idx="0">
                  <c:v>129</c:v>
                </c:pt>
                <c:pt idx="1">
                  <c:v>145</c:v>
                </c:pt>
                <c:pt idx="2">
                  <c:v>130</c:v>
                </c:pt>
                <c:pt idx="3">
                  <c:v>141</c:v>
                </c:pt>
                <c:pt idx="4">
                  <c:v>141</c:v>
                </c:pt>
                <c:pt idx="5">
                  <c:v>137</c:v>
                </c:pt>
                <c:pt idx="6">
                  <c:v>139</c:v>
                </c:pt>
                <c:pt idx="7">
                  <c:v>140</c:v>
                </c:pt>
                <c:pt idx="8">
                  <c:v>123</c:v>
                </c:pt>
                <c:pt idx="9">
                  <c:v>126</c:v>
                </c:pt>
                <c:pt idx="10">
                  <c:v>113</c:v>
                </c:pt>
                <c:pt idx="11">
                  <c:v>107</c:v>
                </c:pt>
                <c:pt idx="12">
                  <c:v>61</c:v>
                </c:pt>
                <c:pt idx="13">
                  <c:v>34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3-40CA-AB26-FD4FE15FF603}"/>
            </c:ext>
          </c:extLst>
        </c:ser>
        <c:ser>
          <c:idx val="2"/>
          <c:order val="1"/>
          <c:tx>
            <c:strRef>
              <c:f>'QR Summary HY'!$A$22</c:f>
              <c:strCache>
                <c:ptCount val="1"/>
                <c:pt idx="0">
                  <c:v> CBA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HY'!$B$22:$P$22</c:f>
              <c:numCache>
                <c:formatCode>_-* #,##0_-;\-* #,##0_-;_-* "-"??_-;_-@_-</c:formatCode>
                <c:ptCount val="15"/>
                <c:pt idx="0">
                  <c:v>132</c:v>
                </c:pt>
                <c:pt idx="1">
                  <c:v>137</c:v>
                </c:pt>
                <c:pt idx="2">
                  <c:v>137</c:v>
                </c:pt>
                <c:pt idx="3">
                  <c:v>123</c:v>
                </c:pt>
                <c:pt idx="4">
                  <c:v>123</c:v>
                </c:pt>
                <c:pt idx="5">
                  <c:v>124</c:v>
                </c:pt>
                <c:pt idx="6">
                  <c:v>124</c:v>
                </c:pt>
                <c:pt idx="7">
                  <c:v>140</c:v>
                </c:pt>
                <c:pt idx="8">
                  <c:v>152</c:v>
                </c:pt>
                <c:pt idx="9">
                  <c:v>118</c:v>
                </c:pt>
                <c:pt idx="10">
                  <c:v>114</c:v>
                </c:pt>
                <c:pt idx="11">
                  <c:v>86</c:v>
                </c:pt>
                <c:pt idx="12">
                  <c:v>80</c:v>
                </c:pt>
                <c:pt idx="13">
                  <c:v>58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3-40CA-AB26-FD4FE15FF603}"/>
            </c:ext>
          </c:extLst>
        </c:ser>
        <c:ser>
          <c:idx val="3"/>
          <c:order val="2"/>
          <c:tx>
            <c:strRef>
              <c:f>'QR Summary HY'!$A$23</c:f>
              <c:strCache>
                <c:ptCount val="1"/>
                <c:pt idx="0">
                  <c:v> NAB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HY'!$B$23:$P$23</c:f>
              <c:numCache>
                <c:formatCode>_-* #,##0_-;\-* #,##0_-;_-* "-"??_-;_-@_-</c:formatCode>
                <c:ptCount val="15"/>
                <c:pt idx="0">
                  <c:v>64</c:v>
                </c:pt>
                <c:pt idx="1">
                  <c:v>71</c:v>
                </c:pt>
                <c:pt idx="2">
                  <c:v>73</c:v>
                </c:pt>
                <c:pt idx="3">
                  <c:v>75</c:v>
                </c:pt>
                <c:pt idx="4">
                  <c:v>79</c:v>
                </c:pt>
                <c:pt idx="5">
                  <c:v>85</c:v>
                </c:pt>
                <c:pt idx="6">
                  <c:v>77</c:v>
                </c:pt>
                <c:pt idx="7">
                  <c:v>104</c:v>
                </c:pt>
                <c:pt idx="8">
                  <c:v>83</c:v>
                </c:pt>
                <c:pt idx="9">
                  <c:v>81</c:v>
                </c:pt>
                <c:pt idx="10">
                  <c:v>67</c:v>
                </c:pt>
                <c:pt idx="11">
                  <c:v>63</c:v>
                </c:pt>
                <c:pt idx="12">
                  <c:v>31</c:v>
                </c:pt>
                <c:pt idx="13">
                  <c:v>32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3-40CA-AB26-FD4FE15FF603}"/>
            </c:ext>
          </c:extLst>
        </c:ser>
        <c:ser>
          <c:idx val="4"/>
          <c:order val="3"/>
          <c:tx>
            <c:strRef>
              <c:f>'QR Summary HY'!$A$24</c:f>
              <c:strCache>
                <c:ptCount val="1"/>
                <c:pt idx="0">
                  <c:v> WBC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HY'!$B$24:$P$24</c:f>
              <c:numCache>
                <c:formatCode>_-* #,##0_-;\-* #,##0_-;_-* "-"??_-;_-@_-</c:formatCode>
                <c:ptCount val="15"/>
                <c:pt idx="0">
                  <c:v>129</c:v>
                </c:pt>
                <c:pt idx="1">
                  <c:v>157</c:v>
                </c:pt>
                <c:pt idx="2">
                  <c:v>147</c:v>
                </c:pt>
                <c:pt idx="3">
                  <c:v>157</c:v>
                </c:pt>
                <c:pt idx="4">
                  <c:v>149</c:v>
                </c:pt>
                <c:pt idx="5">
                  <c:v>149</c:v>
                </c:pt>
                <c:pt idx="6">
                  <c:v>134</c:v>
                </c:pt>
                <c:pt idx="7">
                  <c:v>139</c:v>
                </c:pt>
                <c:pt idx="8">
                  <c:v>150</c:v>
                </c:pt>
                <c:pt idx="9">
                  <c:v>190</c:v>
                </c:pt>
                <c:pt idx="10">
                  <c:v>164</c:v>
                </c:pt>
                <c:pt idx="11">
                  <c:v>168</c:v>
                </c:pt>
                <c:pt idx="12">
                  <c:v>71</c:v>
                </c:pt>
                <c:pt idx="13">
                  <c:v>65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3-40CA-AB26-FD4FE15F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86840"/>
        <c:axId val="532977656"/>
      </c:lineChart>
      <c:catAx>
        <c:axId val="5329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7656"/>
        <c:crosses val="autoZero"/>
        <c:auto val="1"/>
        <c:lblAlgn val="ctr"/>
        <c:lblOffset val="100"/>
        <c:noMultiLvlLbl val="0"/>
      </c:catAx>
      <c:valAx>
        <c:axId val="5329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Loss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'QR Summary HY'!$A$15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HY'!$B$1:$L$1</c:f>
              <c:strCache>
                <c:ptCount val="11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</c:strCache>
            </c:strRef>
          </c:cat>
          <c:val>
            <c:numRef>
              <c:f>'QR Summary HY'!$B$15:$L$15</c:f>
              <c:numCache>
                <c:formatCode>0.00%</c:formatCode>
                <c:ptCount val="11"/>
                <c:pt idx="0">
                  <c:v>1.2218473602626061E-2</c:v>
                </c:pt>
                <c:pt idx="1">
                  <c:v>1.2404925751539297E-2</c:v>
                </c:pt>
                <c:pt idx="2">
                  <c:v>1.2267475576571351E-2</c:v>
                </c:pt>
                <c:pt idx="3">
                  <c:v>1.2095514394108458E-2</c:v>
                </c:pt>
                <c:pt idx="4">
                  <c:v>1.2661069456292372E-2</c:v>
                </c:pt>
                <c:pt idx="5">
                  <c:v>1.2604851507594651E-2</c:v>
                </c:pt>
                <c:pt idx="6">
                  <c:v>1.4277585225803115E-2</c:v>
                </c:pt>
                <c:pt idx="7">
                  <c:v>1.5124410473247682E-2</c:v>
                </c:pt>
                <c:pt idx="8">
                  <c:v>1.49525271476491E-2</c:v>
                </c:pt>
                <c:pt idx="9">
                  <c:v>1.4957650027031897E-2</c:v>
                </c:pt>
                <c:pt idx="10">
                  <c:v>1.4818948412698412E-2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D-4FE3-AB98-471B61E31347}"/>
            </c:ext>
          </c:extLst>
        </c:ser>
        <c:ser>
          <c:idx val="2"/>
          <c:order val="1"/>
          <c:tx>
            <c:strRef>
              <c:f>'QR Summary HY'!$A$16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HY'!$B$1:$L$1</c:f>
              <c:strCache>
                <c:ptCount val="11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</c:strCache>
            </c:strRef>
          </c:cat>
          <c:val>
            <c:numRef>
              <c:f>'QR Summary HY'!$B$16:$L$16</c:f>
              <c:numCache>
                <c:formatCode>0.00%</c:formatCode>
                <c:ptCount val="11"/>
                <c:pt idx="0">
                  <c:v>9.642382148662627E-3</c:v>
                </c:pt>
                <c:pt idx="1">
                  <c:v>9.879172940614786E-3</c:v>
                </c:pt>
                <c:pt idx="2">
                  <c:v>1.0027447392497713E-2</c:v>
                </c:pt>
                <c:pt idx="3">
                  <c:v>9.5245072899113482E-3</c:v>
                </c:pt>
                <c:pt idx="4">
                  <c:v>9.0721345331169784E-3</c:v>
                </c:pt>
                <c:pt idx="5">
                  <c:v>9.2326094269801519E-3</c:v>
                </c:pt>
                <c:pt idx="6">
                  <c:v>8.5364174583505443E-3</c:v>
                </c:pt>
                <c:pt idx="7">
                  <c:v>9.3289515530584118E-3</c:v>
                </c:pt>
                <c:pt idx="8">
                  <c:v>1.066822549413613E-2</c:v>
                </c:pt>
                <c:pt idx="9">
                  <c:v>1.0120319352299562E-2</c:v>
                </c:pt>
                <c:pt idx="10">
                  <c:v>9.1666995930301479E-3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D-4FE3-AB98-471B61E31347}"/>
            </c:ext>
          </c:extLst>
        </c:ser>
        <c:ser>
          <c:idx val="3"/>
          <c:order val="2"/>
          <c:tx>
            <c:strRef>
              <c:f>'QR Summary HY'!$A$17</c:f>
              <c:strCache>
                <c:ptCount val="1"/>
                <c:pt idx="0">
                  <c:v>NAB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HY'!$B$1:$L$1</c:f>
              <c:strCache>
                <c:ptCount val="11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</c:strCache>
            </c:strRef>
          </c:cat>
          <c:val>
            <c:numRef>
              <c:f>'QR Summary HY'!$B$17:$L$17</c:f>
              <c:numCache>
                <c:formatCode>0.00%</c:formatCode>
                <c:ptCount val="11"/>
                <c:pt idx="0">
                  <c:v>1.2982361894529502E-2</c:v>
                </c:pt>
                <c:pt idx="1">
                  <c:v>1.1976579134137686E-2</c:v>
                </c:pt>
                <c:pt idx="2">
                  <c:v>1.2459980963917972E-2</c:v>
                </c:pt>
                <c:pt idx="3">
                  <c:v>1.2702772294223673E-2</c:v>
                </c:pt>
                <c:pt idx="4">
                  <c:v>1.3195098963242224E-2</c:v>
                </c:pt>
                <c:pt idx="5">
                  <c:v>1.416969068602039E-2</c:v>
                </c:pt>
                <c:pt idx="6">
                  <c:v>1.3945080485495394E-2</c:v>
                </c:pt>
                <c:pt idx="7">
                  <c:v>1.5962606931828202E-2</c:v>
                </c:pt>
                <c:pt idx="8">
                  <c:v>1.6995364900481688E-2</c:v>
                </c:pt>
                <c:pt idx="9">
                  <c:v>1.5559772296015181E-2</c:v>
                </c:pt>
                <c:pt idx="10">
                  <c:v>1.4535454724022786E-2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D-4FE3-AB98-471B61E31347}"/>
            </c:ext>
          </c:extLst>
        </c:ser>
        <c:ser>
          <c:idx val="4"/>
          <c:order val="3"/>
          <c:tx>
            <c:strRef>
              <c:f>'QR Summary HY'!$A$18</c:f>
              <c:strCache>
                <c:ptCount val="1"/>
                <c:pt idx="0">
                  <c:v>WBC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HY'!$B$1:$L$1</c:f>
              <c:strCache>
                <c:ptCount val="11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</c:strCache>
            </c:strRef>
          </c:cat>
          <c:val>
            <c:numRef>
              <c:f>'QR Summary HY'!$B$18:$L$18</c:f>
              <c:numCache>
                <c:formatCode>0.00%</c:formatCode>
                <c:ptCount val="11"/>
                <c:pt idx="0">
                  <c:v>1.3556541875723659E-2</c:v>
                </c:pt>
                <c:pt idx="1">
                  <c:v>1.3667208257669884E-2</c:v>
                </c:pt>
                <c:pt idx="2">
                  <c:v>1.4354518840305978E-2</c:v>
                </c:pt>
                <c:pt idx="3">
                  <c:v>1.5092091545450033E-2</c:v>
                </c:pt>
                <c:pt idx="4">
                  <c:v>1.5336039693279206E-2</c:v>
                </c:pt>
                <c:pt idx="5">
                  <c:v>1.5109263296658723E-2</c:v>
                </c:pt>
                <c:pt idx="6">
                  <c:v>1.4409368635437882E-2</c:v>
                </c:pt>
                <c:pt idx="7">
                  <c:v>1.3900911451703243E-2</c:v>
                </c:pt>
                <c:pt idx="8">
                  <c:v>1.5331564986737401E-2</c:v>
                </c:pt>
                <c:pt idx="9">
                  <c:v>1.9383159454991163E-2</c:v>
                </c:pt>
                <c:pt idx="10">
                  <c:v>1.903123487984517E-2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D-4FE3-AB98-471B61E3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86840"/>
        <c:axId val="532977656"/>
      </c:lineChart>
      <c:catAx>
        <c:axId val="5329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7656"/>
        <c:crosses val="autoZero"/>
        <c:auto val="1"/>
        <c:lblAlgn val="ctr"/>
        <c:lblOffset val="100"/>
        <c:noMultiLvlLbl val="0"/>
      </c:catAx>
      <c:valAx>
        <c:axId val="5329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RWA % 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'QR Summary HY'!$A$27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HY'!$B$1:$L$1</c:f>
              <c:strCache>
                <c:ptCount val="11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</c:strCache>
            </c:strRef>
          </c:cat>
          <c:val>
            <c:numRef>
              <c:f>'QR Summary HY'!$B$27:$L$27</c:f>
              <c:numCache>
                <c:formatCode>0.0%</c:formatCode>
                <c:ptCount val="11"/>
                <c:pt idx="0">
                  <c:v>0.3544725084343941</c:v>
                </c:pt>
                <c:pt idx="1">
                  <c:v>0.34163346613545814</c:v>
                </c:pt>
                <c:pt idx="2">
                  <c:v>0.34545211223624928</c:v>
                </c:pt>
                <c:pt idx="3">
                  <c:v>0.32733764784646285</c:v>
                </c:pt>
                <c:pt idx="4">
                  <c:v>0.33731423696852691</c:v>
                </c:pt>
                <c:pt idx="5">
                  <c:v>0.32006347766946269</c:v>
                </c:pt>
                <c:pt idx="6">
                  <c:v>0.35409445967616782</c:v>
                </c:pt>
                <c:pt idx="7">
                  <c:v>0.34227787716159808</c:v>
                </c:pt>
                <c:pt idx="8">
                  <c:v>0.32946728068679287</c:v>
                </c:pt>
                <c:pt idx="9">
                  <c:v>0.31567249354238003</c:v>
                </c:pt>
                <c:pt idx="10">
                  <c:v>0.30729166666666669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A-4B6B-87B4-470206FA5B97}"/>
            </c:ext>
          </c:extLst>
        </c:ser>
        <c:ser>
          <c:idx val="2"/>
          <c:order val="1"/>
          <c:tx>
            <c:strRef>
              <c:f>'QR Summary HY'!$A$28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HY'!$B$1:$L$1</c:f>
              <c:strCache>
                <c:ptCount val="11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</c:strCache>
            </c:strRef>
          </c:cat>
          <c:val>
            <c:numRef>
              <c:f>'QR Summary HY'!$B$28:$L$28</c:f>
              <c:numCache>
                <c:formatCode>0.0%</c:formatCode>
                <c:ptCount val="11"/>
                <c:pt idx="0">
                  <c:v>0.32736072114674153</c:v>
                </c:pt>
                <c:pt idx="1">
                  <c:v>0.34176796797532044</c:v>
                </c:pt>
                <c:pt idx="2">
                  <c:v>0.36309895355241417</c:v>
                </c:pt>
                <c:pt idx="3">
                  <c:v>0.36724302146677412</c:v>
                </c:pt>
                <c:pt idx="4">
                  <c:v>0.36531936863844222</c:v>
                </c:pt>
                <c:pt idx="5">
                  <c:v>0.36956602997794641</c:v>
                </c:pt>
                <c:pt idx="6">
                  <c:v>0.37271100096378906</c:v>
                </c:pt>
                <c:pt idx="7">
                  <c:v>0.37220396480441004</c:v>
                </c:pt>
                <c:pt idx="8">
                  <c:v>0.37225530671148294</c:v>
                </c:pt>
                <c:pt idx="9">
                  <c:v>0.37396454139960267</c:v>
                </c:pt>
                <c:pt idx="10">
                  <c:v>0.26460942747639182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A-4B6B-87B4-470206FA5B97}"/>
            </c:ext>
          </c:extLst>
        </c:ser>
        <c:ser>
          <c:idx val="3"/>
          <c:order val="2"/>
          <c:tx>
            <c:strRef>
              <c:f>'QR Summary HY'!$A$29</c:f>
              <c:strCache>
                <c:ptCount val="1"/>
                <c:pt idx="0">
                  <c:v>NAB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HY'!$B$1:$L$1</c:f>
              <c:strCache>
                <c:ptCount val="11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</c:strCache>
            </c:strRef>
          </c:cat>
          <c:val>
            <c:numRef>
              <c:f>'QR Summary HY'!$B$29:$L$29</c:f>
              <c:numCache>
                <c:formatCode>0.0%</c:formatCode>
                <c:ptCount val="11"/>
                <c:pt idx="0">
                  <c:v>0.33781000984868831</c:v>
                </c:pt>
                <c:pt idx="1">
                  <c:v>0.33552164655784245</c:v>
                </c:pt>
                <c:pt idx="2">
                  <c:v>0.33719823483603012</c:v>
                </c:pt>
                <c:pt idx="3">
                  <c:v>0.33688095442451294</c:v>
                </c:pt>
                <c:pt idx="4">
                  <c:v>0.32430811412903776</c:v>
                </c:pt>
                <c:pt idx="5">
                  <c:v>0.3509590461378953</c:v>
                </c:pt>
                <c:pt idx="6">
                  <c:v>0.35499698717396916</c:v>
                </c:pt>
                <c:pt idx="7">
                  <c:v>0.35214745568392275</c:v>
                </c:pt>
                <c:pt idx="8">
                  <c:v>0.34735981096064711</c:v>
                </c:pt>
                <c:pt idx="9">
                  <c:v>0.33149905123339657</c:v>
                </c:pt>
                <c:pt idx="10">
                  <c:v>0.31997642899233941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A-4B6B-87B4-470206FA5B97}"/>
            </c:ext>
          </c:extLst>
        </c:ser>
        <c:ser>
          <c:idx val="4"/>
          <c:order val="3"/>
          <c:tx>
            <c:strRef>
              <c:f>'QR Summary HY'!$A$30</c:f>
              <c:strCache>
                <c:ptCount val="1"/>
                <c:pt idx="0">
                  <c:v>WBC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HY'!$B$1:$L$1</c:f>
              <c:strCache>
                <c:ptCount val="11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</c:strCache>
            </c:strRef>
          </c:cat>
          <c:val>
            <c:numRef>
              <c:f>'QR Summary HY'!$B$30:$L$30</c:f>
              <c:numCache>
                <c:formatCode>0.0%</c:formatCode>
                <c:ptCount val="11"/>
                <c:pt idx="0">
                  <c:v>0.31030490158240059</c:v>
                </c:pt>
                <c:pt idx="1">
                  <c:v>0.29714231100066901</c:v>
                </c:pt>
                <c:pt idx="2">
                  <c:v>0.3124468788365285</c:v>
                </c:pt>
                <c:pt idx="3">
                  <c:v>0.29310430422479272</c:v>
                </c:pt>
                <c:pt idx="4">
                  <c:v>0.30115772064351226</c:v>
                </c:pt>
                <c:pt idx="5">
                  <c:v>0.28722810931399889</c:v>
                </c:pt>
                <c:pt idx="6">
                  <c:v>0.33365580448065174</c:v>
                </c:pt>
                <c:pt idx="7">
                  <c:v>0.32145221243444166</c:v>
                </c:pt>
                <c:pt idx="8">
                  <c:v>0.31352785145888595</c:v>
                </c:pt>
                <c:pt idx="9">
                  <c:v>0.29012028960720598</c:v>
                </c:pt>
                <c:pt idx="10">
                  <c:v>0.26003978280737594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A-4B6B-87B4-470206FA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86840"/>
        <c:axId val="532977656"/>
      </c:lineChart>
      <c:catAx>
        <c:axId val="5329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7656"/>
        <c:crosses val="autoZero"/>
        <c:auto val="1"/>
        <c:lblAlgn val="ctr"/>
        <c:lblOffset val="100"/>
        <c:noMultiLvlLbl val="0"/>
      </c:catAx>
      <c:valAx>
        <c:axId val="53297765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'QR Summary HY'!$A$33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HY'!$B$33:$P$33</c:f>
              <c:numCache>
                <c:formatCode>_-* #,##0_-;\-* #,##0_-;_-* "-"??_-;_-@_-</c:formatCode>
                <c:ptCount val="15"/>
                <c:pt idx="0">
                  <c:v>21934</c:v>
                </c:pt>
                <c:pt idx="1">
                  <c:v>22088</c:v>
                </c:pt>
                <c:pt idx="2">
                  <c:v>22417</c:v>
                </c:pt>
                <c:pt idx="3">
                  <c:v>22405</c:v>
                </c:pt>
                <c:pt idx="4">
                  <c:v>22273</c:v>
                </c:pt>
                <c:pt idx="5">
                  <c:v>22055</c:v>
                </c:pt>
                <c:pt idx="6">
                  <c:v>19331</c:v>
                </c:pt>
                <c:pt idx="7">
                  <c:v>18447</c:v>
                </c:pt>
                <c:pt idx="8">
                  <c:v>17589</c:v>
                </c:pt>
                <c:pt idx="9">
                  <c:v>16647</c:v>
                </c:pt>
                <c:pt idx="10">
                  <c:v>16128</c:v>
                </c:pt>
                <c:pt idx="11">
                  <c:v>14846</c:v>
                </c:pt>
                <c:pt idx="12">
                  <c:v>14125</c:v>
                </c:pt>
                <c:pt idx="13">
                  <c:v>13769</c:v>
                </c:pt>
                <c:pt idx="14">
                  <c:v>13510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4-4D6F-9CAB-B91148956C56}"/>
            </c:ext>
          </c:extLst>
        </c:ser>
        <c:ser>
          <c:idx val="2"/>
          <c:order val="1"/>
          <c:tx>
            <c:strRef>
              <c:f>'QR Summary HY'!$A$34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HY'!$B$34:$P$34</c:f>
              <c:numCache>
                <c:formatCode>_-* #,##0_-;\-* #,##0_-;_-* "-"??_-;_-@_-</c:formatCode>
                <c:ptCount val="15"/>
                <c:pt idx="0">
                  <c:v>27068</c:v>
                </c:pt>
                <c:pt idx="1">
                  <c:v>27229</c:v>
                </c:pt>
                <c:pt idx="2">
                  <c:v>27325</c:v>
                </c:pt>
                <c:pt idx="3">
                  <c:v>27298</c:v>
                </c:pt>
                <c:pt idx="4">
                  <c:v>27116</c:v>
                </c:pt>
                <c:pt idx="5">
                  <c:v>26753</c:v>
                </c:pt>
                <c:pt idx="6">
                  <c:v>29052</c:v>
                </c:pt>
                <c:pt idx="7">
                  <c:v>28299</c:v>
                </c:pt>
                <c:pt idx="8">
                  <c:v>27371</c:v>
                </c:pt>
                <c:pt idx="9">
                  <c:v>26679</c:v>
                </c:pt>
                <c:pt idx="10">
                  <c:v>25309</c:v>
                </c:pt>
                <c:pt idx="11">
                  <c:v>24626</c:v>
                </c:pt>
                <c:pt idx="12">
                  <c:v>24047</c:v>
                </c:pt>
                <c:pt idx="13">
                  <c:v>23553</c:v>
                </c:pt>
                <c:pt idx="14">
                  <c:v>23393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4-4D6F-9CAB-B91148956C56}"/>
            </c:ext>
          </c:extLst>
        </c:ser>
        <c:ser>
          <c:idx val="3"/>
          <c:order val="2"/>
          <c:tx>
            <c:strRef>
              <c:f>'QR Summary HY'!$A$35</c:f>
              <c:strCache>
                <c:ptCount val="1"/>
                <c:pt idx="0">
                  <c:v>NAB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HY'!$B$35:$P$35</c:f>
              <c:numCache>
                <c:formatCode>_-* #,##0_-;\-* #,##0_-;_-* "-"??_-;_-@_-</c:formatCode>
                <c:ptCount val="15"/>
                <c:pt idx="0">
                  <c:v>11169</c:v>
                </c:pt>
                <c:pt idx="1">
                  <c:v>11272</c:v>
                </c:pt>
                <c:pt idx="2">
                  <c:v>11557</c:v>
                </c:pt>
                <c:pt idx="3">
                  <c:v>11651</c:v>
                </c:pt>
                <c:pt idx="4">
                  <c:v>11671</c:v>
                </c:pt>
                <c:pt idx="5">
                  <c:v>11574</c:v>
                </c:pt>
                <c:pt idx="6">
                  <c:v>11617</c:v>
                </c:pt>
                <c:pt idx="7">
                  <c:v>11339</c:v>
                </c:pt>
                <c:pt idx="8">
                  <c:v>11003</c:v>
                </c:pt>
                <c:pt idx="9">
                  <c:v>10540</c:v>
                </c:pt>
                <c:pt idx="10">
                  <c:v>10182</c:v>
                </c:pt>
                <c:pt idx="11">
                  <c:v>9393</c:v>
                </c:pt>
                <c:pt idx="12">
                  <c:v>9277</c:v>
                </c:pt>
                <c:pt idx="13">
                  <c:v>8932</c:v>
                </c:pt>
                <c:pt idx="14">
                  <c:v>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4-4D6F-9CAB-B91148956C56}"/>
            </c:ext>
          </c:extLst>
        </c:ser>
        <c:ser>
          <c:idx val="4"/>
          <c:order val="3"/>
          <c:tx>
            <c:strRef>
              <c:f>'QR Summary HY'!$A$36</c:f>
              <c:strCache>
                <c:ptCount val="1"/>
                <c:pt idx="0">
                  <c:v>WBC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HY'!$B$36:$P$36</c:f>
              <c:numCache>
                <c:formatCode>_-* #,##0_-;\-* #,##0_-;_-* "-"??_-;_-@_-</c:formatCode>
                <c:ptCount val="15"/>
                <c:pt idx="0">
                  <c:v>20728</c:v>
                </c:pt>
                <c:pt idx="1">
                  <c:v>20926</c:v>
                </c:pt>
                <c:pt idx="2">
                  <c:v>21178</c:v>
                </c:pt>
                <c:pt idx="3">
                  <c:v>20143</c:v>
                </c:pt>
                <c:pt idx="4">
                  <c:v>19953</c:v>
                </c:pt>
                <c:pt idx="5">
                  <c:v>19723</c:v>
                </c:pt>
                <c:pt idx="6">
                  <c:v>19640</c:v>
                </c:pt>
                <c:pt idx="7">
                  <c:v>19639</c:v>
                </c:pt>
                <c:pt idx="8">
                  <c:v>18850</c:v>
                </c:pt>
                <c:pt idx="9">
                  <c:v>17541</c:v>
                </c:pt>
                <c:pt idx="10">
                  <c:v>18601</c:v>
                </c:pt>
                <c:pt idx="11">
                  <c:v>16944</c:v>
                </c:pt>
                <c:pt idx="12">
                  <c:v>16459</c:v>
                </c:pt>
                <c:pt idx="13">
                  <c:v>15394</c:v>
                </c:pt>
                <c:pt idx="14">
                  <c:v>15193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4-4D6F-9CAB-B9114895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86840"/>
        <c:axId val="532977656"/>
      </c:lineChart>
      <c:catAx>
        <c:axId val="5329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7656"/>
        <c:crosses val="autoZero"/>
        <c:auto val="1"/>
        <c:lblAlgn val="ctr"/>
        <c:lblOffset val="100"/>
        <c:noMultiLvlLbl val="0"/>
      </c:catAx>
      <c:valAx>
        <c:axId val="5329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'QR Summary HY'!$A$33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HY'!$B$33:$P$33</c:f>
              <c:numCache>
                <c:formatCode>_-* #,##0_-;\-* #,##0_-;_-* "-"??_-;_-@_-</c:formatCode>
                <c:ptCount val="15"/>
                <c:pt idx="0">
                  <c:v>21934</c:v>
                </c:pt>
                <c:pt idx="1">
                  <c:v>22088</c:v>
                </c:pt>
                <c:pt idx="2">
                  <c:v>22417</c:v>
                </c:pt>
                <c:pt idx="3">
                  <c:v>22405</c:v>
                </c:pt>
                <c:pt idx="4">
                  <c:v>22273</c:v>
                </c:pt>
                <c:pt idx="5">
                  <c:v>22055</c:v>
                </c:pt>
                <c:pt idx="6">
                  <c:v>19331</c:v>
                </c:pt>
                <c:pt idx="7">
                  <c:v>18447</c:v>
                </c:pt>
                <c:pt idx="8">
                  <c:v>17589</c:v>
                </c:pt>
                <c:pt idx="9">
                  <c:v>16647</c:v>
                </c:pt>
                <c:pt idx="10">
                  <c:v>16128</c:v>
                </c:pt>
                <c:pt idx="11">
                  <c:v>14846</c:v>
                </c:pt>
                <c:pt idx="12">
                  <c:v>14125</c:v>
                </c:pt>
                <c:pt idx="13">
                  <c:v>13769</c:v>
                </c:pt>
                <c:pt idx="14">
                  <c:v>13510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2-4CA0-840A-CCB0362C3FFF}"/>
            </c:ext>
          </c:extLst>
        </c:ser>
        <c:ser>
          <c:idx val="2"/>
          <c:order val="1"/>
          <c:tx>
            <c:strRef>
              <c:f>'QR Summary HY'!$A$34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HY'!$B$34:$P$34</c:f>
              <c:numCache>
                <c:formatCode>_-* #,##0_-;\-* #,##0_-;_-* "-"??_-;_-@_-</c:formatCode>
                <c:ptCount val="15"/>
                <c:pt idx="0">
                  <c:v>27068</c:v>
                </c:pt>
                <c:pt idx="1">
                  <c:v>27229</c:v>
                </c:pt>
                <c:pt idx="2">
                  <c:v>27325</c:v>
                </c:pt>
                <c:pt idx="3">
                  <c:v>27298</c:v>
                </c:pt>
                <c:pt idx="4">
                  <c:v>27116</c:v>
                </c:pt>
                <c:pt idx="5">
                  <c:v>26753</c:v>
                </c:pt>
                <c:pt idx="6">
                  <c:v>29052</c:v>
                </c:pt>
                <c:pt idx="7">
                  <c:v>28299</c:v>
                </c:pt>
                <c:pt idx="8">
                  <c:v>27371</c:v>
                </c:pt>
                <c:pt idx="9">
                  <c:v>26679</c:v>
                </c:pt>
                <c:pt idx="10">
                  <c:v>25309</c:v>
                </c:pt>
                <c:pt idx="11">
                  <c:v>24626</c:v>
                </c:pt>
                <c:pt idx="12">
                  <c:v>24047</c:v>
                </c:pt>
                <c:pt idx="13">
                  <c:v>23553</c:v>
                </c:pt>
                <c:pt idx="14">
                  <c:v>23393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2-4CA0-840A-CCB0362C3FFF}"/>
            </c:ext>
          </c:extLst>
        </c:ser>
        <c:ser>
          <c:idx val="3"/>
          <c:order val="2"/>
          <c:tx>
            <c:strRef>
              <c:f>'QR Summary HY'!$A$35</c:f>
              <c:strCache>
                <c:ptCount val="1"/>
                <c:pt idx="0">
                  <c:v>NAB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HY'!$B$35:$P$35</c:f>
              <c:numCache>
                <c:formatCode>_-* #,##0_-;\-* #,##0_-;_-* "-"??_-;_-@_-</c:formatCode>
                <c:ptCount val="15"/>
                <c:pt idx="0">
                  <c:v>11169</c:v>
                </c:pt>
                <c:pt idx="1">
                  <c:v>11272</c:v>
                </c:pt>
                <c:pt idx="2">
                  <c:v>11557</c:v>
                </c:pt>
                <c:pt idx="3">
                  <c:v>11651</c:v>
                </c:pt>
                <c:pt idx="4">
                  <c:v>11671</c:v>
                </c:pt>
                <c:pt idx="5">
                  <c:v>11574</c:v>
                </c:pt>
                <c:pt idx="6">
                  <c:v>11617</c:v>
                </c:pt>
                <c:pt idx="7">
                  <c:v>11339</c:v>
                </c:pt>
                <c:pt idx="8">
                  <c:v>11003</c:v>
                </c:pt>
                <c:pt idx="9">
                  <c:v>10540</c:v>
                </c:pt>
                <c:pt idx="10">
                  <c:v>10182</c:v>
                </c:pt>
                <c:pt idx="11">
                  <c:v>9393</c:v>
                </c:pt>
                <c:pt idx="12">
                  <c:v>9277</c:v>
                </c:pt>
                <c:pt idx="13">
                  <c:v>8932</c:v>
                </c:pt>
                <c:pt idx="14">
                  <c:v>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2-4CA0-840A-CCB0362C3FFF}"/>
            </c:ext>
          </c:extLst>
        </c:ser>
        <c:ser>
          <c:idx val="4"/>
          <c:order val="3"/>
          <c:tx>
            <c:strRef>
              <c:f>'QR Summary HY'!$A$36</c:f>
              <c:strCache>
                <c:ptCount val="1"/>
                <c:pt idx="0">
                  <c:v>WBC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HY'!$B$36:$P$36</c:f>
              <c:numCache>
                <c:formatCode>_-* #,##0_-;\-* #,##0_-;_-* "-"??_-;_-@_-</c:formatCode>
                <c:ptCount val="15"/>
                <c:pt idx="0">
                  <c:v>20728</c:v>
                </c:pt>
                <c:pt idx="1">
                  <c:v>20926</c:v>
                </c:pt>
                <c:pt idx="2">
                  <c:v>21178</c:v>
                </c:pt>
                <c:pt idx="3">
                  <c:v>20143</c:v>
                </c:pt>
                <c:pt idx="4">
                  <c:v>19953</c:v>
                </c:pt>
                <c:pt idx="5">
                  <c:v>19723</c:v>
                </c:pt>
                <c:pt idx="6">
                  <c:v>19640</c:v>
                </c:pt>
                <c:pt idx="7">
                  <c:v>19639</c:v>
                </c:pt>
                <c:pt idx="8">
                  <c:v>18850</c:v>
                </c:pt>
                <c:pt idx="9">
                  <c:v>17541</c:v>
                </c:pt>
                <c:pt idx="10">
                  <c:v>18601</c:v>
                </c:pt>
                <c:pt idx="11">
                  <c:v>16944</c:v>
                </c:pt>
                <c:pt idx="12">
                  <c:v>16459</c:v>
                </c:pt>
                <c:pt idx="13">
                  <c:v>15394</c:v>
                </c:pt>
                <c:pt idx="14">
                  <c:v>15193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E2-4CA0-840A-CCB0362C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86840"/>
        <c:axId val="532977656"/>
      </c:lineChart>
      <c:catAx>
        <c:axId val="5329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7656"/>
        <c:crosses val="autoZero"/>
        <c:auto val="1"/>
        <c:lblAlgn val="ctr"/>
        <c:lblOffset val="100"/>
        <c:noMultiLvlLbl val="0"/>
      </c:catAx>
      <c:valAx>
        <c:axId val="5329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Drawn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'QR Summary HY'!$A$40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HY'!$B$40:$P$40</c:f>
              <c:numCache>
                <c:formatCode>_-* #,##0_-;\-* #,##0_-;_-* "-"??_-;_-@_-</c:formatCode>
                <c:ptCount val="15"/>
                <c:pt idx="0">
                  <c:v>8395</c:v>
                </c:pt>
                <c:pt idx="1">
                  <c:v>8184</c:v>
                </c:pt>
                <c:pt idx="2">
                  <c:v>8131</c:v>
                </c:pt>
                <c:pt idx="3">
                  <c:v>8045</c:v>
                </c:pt>
                <c:pt idx="4">
                  <c:v>7992</c:v>
                </c:pt>
                <c:pt idx="5">
                  <c:v>7736</c:v>
                </c:pt>
                <c:pt idx="6">
                  <c:v>8067</c:v>
                </c:pt>
                <c:pt idx="7">
                  <c:v>7748</c:v>
                </c:pt>
                <c:pt idx="8">
                  <c:v>7545</c:v>
                </c:pt>
                <c:pt idx="9">
                  <c:v>7157</c:v>
                </c:pt>
                <c:pt idx="10">
                  <c:v>6875</c:v>
                </c:pt>
                <c:pt idx="11">
                  <c:v>5542</c:v>
                </c:pt>
                <c:pt idx="12">
                  <c:v>5656</c:v>
                </c:pt>
                <c:pt idx="13">
                  <c:v>5053</c:v>
                </c:pt>
                <c:pt idx="14">
                  <c:v>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A-403D-B187-8AC27FA9FA1E}"/>
            </c:ext>
          </c:extLst>
        </c:ser>
        <c:ser>
          <c:idx val="2"/>
          <c:order val="1"/>
          <c:tx>
            <c:strRef>
              <c:f>'QR Summary HY'!$A$41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HY'!$B$41:$P$41</c:f>
              <c:numCache>
                <c:formatCode>_-* #,##0_-;\-* #,##0_-;_-* "-"??_-;_-@_-</c:formatCode>
                <c:ptCount val="15"/>
                <c:pt idx="0">
                  <c:v>9847</c:v>
                </c:pt>
                <c:pt idx="1">
                  <c:v>9945</c:v>
                </c:pt>
                <c:pt idx="2">
                  <c:v>9889</c:v>
                </c:pt>
                <c:pt idx="3">
                  <c:v>10025</c:v>
                </c:pt>
                <c:pt idx="4">
                  <c:v>9906</c:v>
                </c:pt>
                <c:pt idx="5">
                  <c:v>9887</c:v>
                </c:pt>
                <c:pt idx="6">
                  <c:v>10828</c:v>
                </c:pt>
                <c:pt idx="7">
                  <c:v>10533</c:v>
                </c:pt>
                <c:pt idx="8">
                  <c:v>10189</c:v>
                </c:pt>
                <c:pt idx="9">
                  <c:v>9977</c:v>
                </c:pt>
                <c:pt idx="10">
                  <c:v>8192</c:v>
                </c:pt>
                <c:pt idx="11">
                  <c:v>8124</c:v>
                </c:pt>
                <c:pt idx="12">
                  <c:v>7865</c:v>
                </c:pt>
                <c:pt idx="13">
                  <c:v>7843</c:v>
                </c:pt>
                <c:pt idx="14">
                  <c:v>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A-403D-B187-8AC27FA9FA1E}"/>
            </c:ext>
          </c:extLst>
        </c:ser>
        <c:ser>
          <c:idx val="3"/>
          <c:order val="2"/>
          <c:tx>
            <c:strRef>
              <c:f>'QR Summary HY'!$A$42</c:f>
              <c:strCache>
                <c:ptCount val="1"/>
                <c:pt idx="0">
                  <c:v>NAB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HY'!$B$42:$P$42</c:f>
              <c:numCache>
                <c:formatCode>_-* #,##0_-;\-* #,##0_-;_-* "-"??_-;_-@_-</c:formatCode>
                <c:ptCount val="15"/>
                <c:pt idx="0">
                  <c:v>5784</c:v>
                </c:pt>
                <c:pt idx="1">
                  <c:v>5702</c:v>
                </c:pt>
                <c:pt idx="2">
                  <c:v>5979</c:v>
                </c:pt>
                <c:pt idx="3">
                  <c:v>5907</c:v>
                </c:pt>
                <c:pt idx="4">
                  <c:v>5955</c:v>
                </c:pt>
                <c:pt idx="5">
                  <c:v>5806</c:v>
                </c:pt>
                <c:pt idx="6">
                  <c:v>5883</c:v>
                </c:pt>
                <c:pt idx="7">
                  <c:v>5623</c:v>
                </c:pt>
                <c:pt idx="8">
                  <c:v>5512</c:v>
                </c:pt>
                <c:pt idx="9">
                  <c:v>5171</c:v>
                </c:pt>
                <c:pt idx="10">
                  <c:v>4916</c:v>
                </c:pt>
                <c:pt idx="11">
                  <c:v>3957</c:v>
                </c:pt>
                <c:pt idx="12">
                  <c:v>4073</c:v>
                </c:pt>
                <c:pt idx="13">
                  <c:v>3657</c:v>
                </c:pt>
                <c:pt idx="14">
                  <c:v>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A-403D-B187-8AC27FA9FA1E}"/>
            </c:ext>
          </c:extLst>
        </c:ser>
        <c:ser>
          <c:idx val="4"/>
          <c:order val="3"/>
          <c:tx>
            <c:strRef>
              <c:f>'QR Summary HY'!$A$43</c:f>
              <c:strCache>
                <c:ptCount val="1"/>
                <c:pt idx="0">
                  <c:v>WBC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HY'!$B$43:$P$43</c:f>
              <c:numCache>
                <c:formatCode>_-* #,##0_-;\-* #,##0_-;_-* "-"??_-;_-@_-</c:formatCode>
                <c:ptCount val="15"/>
                <c:pt idx="0">
                  <c:v>10227</c:v>
                </c:pt>
                <c:pt idx="1">
                  <c:v>10209</c:v>
                </c:pt>
                <c:pt idx="2">
                  <c:v>10467</c:v>
                </c:pt>
                <c:pt idx="3">
                  <c:v>10033</c:v>
                </c:pt>
                <c:pt idx="4">
                  <c:v>10151</c:v>
                </c:pt>
                <c:pt idx="5">
                  <c:v>9835</c:v>
                </c:pt>
                <c:pt idx="6">
                  <c:v>9831</c:v>
                </c:pt>
                <c:pt idx="7">
                  <c:v>9663</c:v>
                </c:pt>
                <c:pt idx="8">
                  <c:v>9618</c:v>
                </c:pt>
                <c:pt idx="9">
                  <c:v>8749</c:v>
                </c:pt>
                <c:pt idx="10">
                  <c:v>8249</c:v>
                </c:pt>
                <c:pt idx="11">
                  <c:v>6675</c:v>
                </c:pt>
                <c:pt idx="12">
                  <c:v>6690</c:v>
                </c:pt>
                <c:pt idx="13">
                  <c:v>5892</c:v>
                </c:pt>
                <c:pt idx="14">
                  <c:v>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2A-403D-B187-8AC27FA9F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86840"/>
        <c:axId val="532977656"/>
      </c:lineChart>
      <c:catAx>
        <c:axId val="5329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7656"/>
        <c:crosses val="autoZero"/>
        <c:auto val="1"/>
        <c:lblAlgn val="ctr"/>
        <c:lblOffset val="100"/>
        <c:noMultiLvlLbl val="0"/>
      </c:catAx>
      <c:valAx>
        <c:axId val="5329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Limit</a:t>
            </a:r>
            <a:r>
              <a:rPr lang="en-AU" baseline="0"/>
              <a:t> Utilisation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'QR Summary HY'!$A$47</c:f>
              <c:strCache>
                <c:ptCount val="1"/>
                <c:pt idx="0">
                  <c:v>ANZ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HY'!$B$47:$P$47</c:f>
              <c:numCache>
                <c:formatCode>0%</c:formatCode>
                <c:ptCount val="15"/>
                <c:pt idx="0">
                  <c:v>0.38273912647032005</c:v>
                </c:pt>
                <c:pt idx="1">
                  <c:v>0.37051792828685259</c:v>
                </c:pt>
                <c:pt idx="2">
                  <c:v>0.36271579604764242</c:v>
                </c:pt>
                <c:pt idx="3">
                  <c:v>0.35907163579558132</c:v>
                </c:pt>
                <c:pt idx="4">
                  <c:v>0.35882009608045617</c:v>
                </c:pt>
                <c:pt idx="5">
                  <c:v>0.35075946497392879</c:v>
                </c:pt>
                <c:pt idx="6">
                  <c:v>0.41730898556722362</c:v>
                </c:pt>
                <c:pt idx="7">
                  <c:v>0.4200140944326991</c:v>
                </c:pt>
                <c:pt idx="8">
                  <c:v>0.4289612826198192</c:v>
                </c:pt>
                <c:pt idx="9">
                  <c:v>0.42992731423079233</c:v>
                </c:pt>
                <c:pt idx="10">
                  <c:v>0.42627728174603174</c:v>
                </c:pt>
                <c:pt idx="11">
                  <c:v>0.3732992051731106</c:v>
                </c:pt>
                <c:pt idx="12">
                  <c:v>0.40042477876106197</c:v>
                </c:pt>
                <c:pt idx="13">
                  <c:v>0.36698380419783572</c:v>
                </c:pt>
                <c:pt idx="14">
                  <c:v>0.38534418948926719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0-4695-A54F-BD24E3803C8B}"/>
            </c:ext>
          </c:extLst>
        </c:ser>
        <c:ser>
          <c:idx val="2"/>
          <c:order val="1"/>
          <c:tx>
            <c:strRef>
              <c:f>'QR Summary HY'!$A$48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HY'!$B$48:$P$48</c:f>
              <c:numCache>
                <c:formatCode>0%</c:formatCode>
                <c:ptCount val="15"/>
                <c:pt idx="0">
                  <c:v>0.36378749815280037</c:v>
                </c:pt>
                <c:pt idx="1">
                  <c:v>0.36523559440302616</c:v>
                </c:pt>
                <c:pt idx="2">
                  <c:v>0.36190301921317475</c:v>
                </c:pt>
                <c:pt idx="3">
                  <c:v>0.36724302146677412</c:v>
                </c:pt>
                <c:pt idx="4">
                  <c:v>0.36531936863844222</c:v>
                </c:pt>
                <c:pt idx="5">
                  <c:v>0.36956602997794641</c:v>
                </c:pt>
                <c:pt idx="6">
                  <c:v>0.37271100096378906</c:v>
                </c:pt>
                <c:pt idx="7">
                  <c:v>0.37220396480441004</c:v>
                </c:pt>
                <c:pt idx="8">
                  <c:v>0.37225530671148294</c:v>
                </c:pt>
                <c:pt idx="9">
                  <c:v>0.37396454139960267</c:v>
                </c:pt>
                <c:pt idx="10">
                  <c:v>0.32367932356078866</c:v>
                </c:pt>
                <c:pt idx="11">
                  <c:v>0.32989523268090637</c:v>
                </c:pt>
                <c:pt idx="12">
                  <c:v>0.32706782550837943</c:v>
                </c:pt>
                <c:pt idx="13">
                  <c:v>0.33299367384197343</c:v>
                </c:pt>
                <c:pt idx="14">
                  <c:v>0.33377506091565851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0-4695-A54F-BD24E3803C8B}"/>
            </c:ext>
          </c:extLst>
        </c:ser>
        <c:ser>
          <c:idx val="3"/>
          <c:order val="2"/>
          <c:tx>
            <c:strRef>
              <c:f>'QR Summary HY'!$A$49</c:f>
              <c:strCache>
                <c:ptCount val="1"/>
                <c:pt idx="0">
                  <c:v>NAB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HY'!$B$49:$P$49</c:f>
              <c:numCache>
                <c:formatCode>0%</c:formatCode>
                <c:ptCount val="15"/>
                <c:pt idx="0">
                  <c:v>0.51786193929626645</c:v>
                </c:pt>
                <c:pt idx="1">
                  <c:v>0.50585521646557841</c:v>
                </c:pt>
                <c:pt idx="2">
                  <c:v>0.5173487929393441</c:v>
                </c:pt>
                <c:pt idx="3">
                  <c:v>0.50699510771607592</c:v>
                </c:pt>
                <c:pt idx="4">
                  <c:v>0.51023905406563275</c:v>
                </c:pt>
                <c:pt idx="5">
                  <c:v>0.50164161050630729</c:v>
                </c:pt>
                <c:pt idx="6">
                  <c:v>0.50641301540845318</c:v>
                </c:pt>
                <c:pt idx="7">
                  <c:v>0.49589910926889497</c:v>
                </c:pt>
                <c:pt idx="8">
                  <c:v>0.50095428519494678</c:v>
                </c:pt>
                <c:pt idx="9">
                  <c:v>0.49060721062618595</c:v>
                </c:pt>
                <c:pt idx="10">
                  <c:v>0.48281280691416223</c:v>
                </c:pt>
                <c:pt idx="11">
                  <c:v>0.42127115937400189</c:v>
                </c:pt>
                <c:pt idx="12">
                  <c:v>0.43904279400668317</c:v>
                </c:pt>
                <c:pt idx="13">
                  <c:v>0.4094267801164353</c:v>
                </c:pt>
                <c:pt idx="14">
                  <c:v>0.42212290502793298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0-4695-A54F-BD24E3803C8B}"/>
            </c:ext>
          </c:extLst>
        </c:ser>
        <c:ser>
          <c:idx val="4"/>
          <c:order val="3"/>
          <c:tx>
            <c:strRef>
              <c:f>'QR Summary HY'!$A$50</c:f>
              <c:strCache>
                <c:ptCount val="1"/>
                <c:pt idx="0">
                  <c:v>WBC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'QR Summary HY'!$B$1:$P$1</c:f>
              <c:strCache>
                <c:ptCount val="15"/>
                <c:pt idx="0">
                  <c:v>2015H1</c:v>
                </c:pt>
                <c:pt idx="1">
                  <c:v>2015H2</c:v>
                </c:pt>
                <c:pt idx="2">
                  <c:v>2016H1</c:v>
                </c:pt>
                <c:pt idx="3">
                  <c:v>2016H2</c:v>
                </c:pt>
                <c:pt idx="4">
                  <c:v>2017H1</c:v>
                </c:pt>
                <c:pt idx="5">
                  <c:v>2017H2</c:v>
                </c:pt>
                <c:pt idx="6">
                  <c:v>2018H1</c:v>
                </c:pt>
                <c:pt idx="7">
                  <c:v>2018H2</c:v>
                </c:pt>
                <c:pt idx="8">
                  <c:v>2019H1</c:v>
                </c:pt>
                <c:pt idx="9">
                  <c:v>2019H2</c:v>
                </c:pt>
                <c:pt idx="10">
                  <c:v>2020H1</c:v>
                </c:pt>
                <c:pt idx="11">
                  <c:v>2020H2</c:v>
                </c:pt>
                <c:pt idx="12">
                  <c:v>2021H1</c:v>
                </c:pt>
                <c:pt idx="13">
                  <c:v>2021H2</c:v>
                </c:pt>
                <c:pt idx="14">
                  <c:v>2022H1</c:v>
                </c:pt>
              </c:strCache>
            </c:strRef>
          </c:cat>
          <c:val>
            <c:numRef>
              <c:f>'QR Summary HY'!$B$50:$P$50</c:f>
              <c:numCache>
                <c:formatCode>0%</c:formatCode>
                <c:ptCount val="15"/>
                <c:pt idx="0">
                  <c:v>0.49339058278656889</c:v>
                </c:pt>
                <c:pt idx="1">
                  <c:v>0.48786198986906243</c:v>
                </c:pt>
                <c:pt idx="2">
                  <c:v>0.49423930493908774</c:v>
                </c:pt>
                <c:pt idx="3">
                  <c:v>0.49808866603782953</c:v>
                </c:pt>
                <c:pt idx="4">
                  <c:v>0.5087455520473112</c:v>
                </c:pt>
                <c:pt idx="5">
                  <c:v>0.49865639101556558</c:v>
                </c:pt>
                <c:pt idx="6">
                  <c:v>0.50056008146639508</c:v>
                </c:pt>
                <c:pt idx="7">
                  <c:v>0.49203116248281481</c:v>
                </c:pt>
                <c:pt idx="8">
                  <c:v>0.5102387267904509</c:v>
                </c:pt>
                <c:pt idx="9">
                  <c:v>0.49877430021093438</c:v>
                </c:pt>
                <c:pt idx="10">
                  <c:v>0.44347078114079891</c:v>
                </c:pt>
                <c:pt idx="11">
                  <c:v>0.39394475920679889</c:v>
                </c:pt>
                <c:pt idx="12">
                  <c:v>0.40646454827146244</c:v>
                </c:pt>
                <c:pt idx="13">
                  <c:v>0.38274652461998182</c:v>
                </c:pt>
                <c:pt idx="14">
                  <c:v>0.40268544724544197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0-4695-A54F-BD24E3803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86840"/>
        <c:axId val="532977656"/>
      </c:lineChart>
      <c:catAx>
        <c:axId val="5329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77656"/>
        <c:crosses val="autoZero"/>
        <c:auto val="1"/>
        <c:lblAlgn val="ctr"/>
        <c:lblOffset val="100"/>
        <c:noMultiLvlLbl val="0"/>
      </c:catAx>
      <c:valAx>
        <c:axId val="53297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</xdr:colOff>
      <xdr:row>2</xdr:row>
      <xdr:rowOff>11213</xdr:rowOff>
    </xdr:from>
    <xdr:to>
      <xdr:col>24</xdr:col>
      <xdr:colOff>336184</xdr:colOff>
      <xdr:row>17</xdr:row>
      <xdr:rowOff>31384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9AF50-A399-4AED-A19C-8EA0C2D78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179294</xdr:colOff>
      <xdr:row>19</xdr:row>
      <xdr:rowOff>0</xdr:rowOff>
    </xdr:from>
    <xdr:to>
      <xdr:col>24</xdr:col>
      <xdr:colOff>515471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4F1BB-D0D2-461E-9A06-5D890ED2D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24</xdr:col>
      <xdr:colOff>336177</xdr:colOff>
      <xdr:row>49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DDA1F-3691-4683-867F-4CB4223C4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19</xdr:row>
      <xdr:rowOff>0</xdr:rowOff>
    </xdr:from>
    <xdr:to>
      <xdr:col>33</xdr:col>
      <xdr:colOff>336177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A9F894-82DC-45E9-A13A-9221C2495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560294</xdr:colOff>
      <xdr:row>2</xdr:row>
      <xdr:rowOff>11206</xdr:rowOff>
    </xdr:from>
    <xdr:to>
      <xdr:col>33</xdr:col>
      <xdr:colOff>291353</xdr:colOff>
      <xdr:row>17</xdr:row>
      <xdr:rowOff>31377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3AD219-EF68-4E34-8398-CA739D922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33</xdr:col>
      <xdr:colOff>336177</xdr:colOff>
      <xdr:row>49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0013AF-F106-4A5E-9D45-E7694197D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24</xdr:col>
      <xdr:colOff>336177</xdr:colOff>
      <xdr:row>67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484EEB-1908-40CD-B552-A0E753A12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53</xdr:row>
      <xdr:rowOff>0</xdr:rowOff>
    </xdr:from>
    <xdr:to>
      <xdr:col>33</xdr:col>
      <xdr:colOff>336177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6AFE20-DCD9-4755-877B-63CA64838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336177</xdr:colOff>
      <xdr:row>84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CE0B6F-2064-4CE8-A6F9-05042E293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1162050</xdr:colOff>
      <xdr:row>12</xdr:row>
      <xdr:rowOff>0</xdr:rowOff>
    </xdr:from>
    <xdr:to>
      <xdr:col>4</xdr:col>
      <xdr:colOff>628650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9860F-39B2-4133-A703-50CC98AF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12</xdr:row>
      <xdr:rowOff>23812</xdr:rowOff>
    </xdr:from>
    <xdr:to>
      <xdr:col>11</xdr:col>
      <xdr:colOff>676275</xdr:colOff>
      <xdr:row>26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1A3A1-C223-4BE9-AA8B-B8474951B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arah/AppData/Roaming/Microsoft/Excel/RCS/Reference%20Material/Basel/Basel%20II%20Calculator/Work/Economic%20Indicators/Key%20Economic%20Indicator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arah/AppData/Roaming/Microsoft/Excel/Reference%20Material/Pillar%203/RCS/Reference%20Material/Basel/Basel%20II%20Calculator/Work/Economic%20Indicators/Key%20Economic%20Indicato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4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t4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AEE8-449F-4501-BDE0-93759269C506}">
  <sheetPr>
    <tabColor rgb="FF00B050"/>
    <pageSetUpPr fitToPage="1"/>
  </sheetPr>
  <dimension ref="A1:P51"/>
  <sheetViews>
    <sheetView tabSelected="1" zoomScale="85" zoomScaleNormal="85" workbookViewId="0">
      <pane xSplit="1" ySplit="1" topLeftCell="F29" activePane="bottomRight" state="frozen"/>
      <selection pane="topRight" activeCell="B1" sqref="B1"/>
      <selection pane="bottomLeft" activeCell="A2" sqref="A2"/>
      <selection pane="bottomRight" activeCell="K44" sqref="K44:P44"/>
    </sheetView>
  </sheetViews>
  <sheetFormatPr defaultRowHeight="15" x14ac:dyDescent="0.25"/>
  <cols>
    <col min="1" max="1" width="12.85546875" customWidth="1"/>
    <col min="2" max="15" width="8.7109375" customWidth="1"/>
  </cols>
  <sheetData>
    <row r="1" spans="1:16" s="22" customFormat="1" x14ac:dyDescent="0.25">
      <c r="B1" s="22" t="s">
        <v>48</v>
      </c>
      <c r="C1" s="22" t="s">
        <v>49</v>
      </c>
      <c r="D1" s="22" t="s">
        <v>50</v>
      </c>
      <c r="E1" s="22" t="s">
        <v>51</v>
      </c>
      <c r="F1" s="22" t="s">
        <v>52</v>
      </c>
      <c r="G1" s="22" t="s">
        <v>53</v>
      </c>
      <c r="H1" s="22" t="s">
        <v>54</v>
      </c>
      <c r="I1" s="22" t="s">
        <v>55</v>
      </c>
      <c r="J1" s="22" t="s">
        <v>56</v>
      </c>
      <c r="K1" s="22" t="s">
        <v>57</v>
      </c>
      <c r="L1" s="22" t="s">
        <v>58</v>
      </c>
      <c r="M1" s="22" t="s">
        <v>93</v>
      </c>
      <c r="N1" s="22" t="s">
        <v>94</v>
      </c>
      <c r="O1" s="22" t="s">
        <v>95</v>
      </c>
      <c r="P1" s="22" t="s">
        <v>96</v>
      </c>
    </row>
    <row r="2" spans="1:16" s="7" customFormat="1" x14ac:dyDescent="0.25">
      <c r="A2" s="15" t="s">
        <v>11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6" s="29" customFormat="1" ht="12.75" x14ac:dyDescent="0.2">
      <c r="A3" s="48" t="s">
        <v>2</v>
      </c>
      <c r="B3" s="29">
        <f>+ANZ!P31</f>
        <v>7.4313850642837602E-3</v>
      </c>
      <c r="C3" s="29">
        <f>+ANZ!Q31</f>
        <v>7.2890257153205356E-3</v>
      </c>
      <c r="D3" s="29">
        <f>+ANZ!R31</f>
        <v>7.5835303564259268E-3</v>
      </c>
      <c r="E3" s="29">
        <f>+ANZ!S31</f>
        <v>7.6768578442311984E-3</v>
      </c>
      <c r="F3" s="29">
        <f>+ANZ!T31</f>
        <v>7.8570466484083872E-3</v>
      </c>
      <c r="G3" s="29">
        <f>+ANZ!U31</f>
        <v>7.481296758104738E-3</v>
      </c>
      <c r="H3" s="29">
        <f>+ANZ!V31</f>
        <v>4.2936216439915164E-3</v>
      </c>
      <c r="I3" s="29">
        <f>+ANZ!W31</f>
        <v>4.0114923835854067E-3</v>
      </c>
      <c r="J3" s="29">
        <f>+ANZ!X31</f>
        <v>4.1503212234919552E-3</v>
      </c>
      <c r="K3" s="29">
        <f>+ANZ!Y31</f>
        <v>4.0247492040607919E-3</v>
      </c>
      <c r="L3" s="29">
        <f>+ANZ!Z31</f>
        <v>4.588293650793651E-3</v>
      </c>
      <c r="M3" s="29">
        <f>+ANZ!AA31</f>
        <v>2.7616866496025867E-3</v>
      </c>
      <c r="N3" s="29">
        <f>+ANZ!AB31</f>
        <v>2.336283185840708E-3</v>
      </c>
      <c r="O3" s="29">
        <f>+ANZ!AC31</f>
        <v>2.6145689592563005E-3</v>
      </c>
      <c r="P3" s="29">
        <f>+ANZ!AD31</f>
        <v>2.5906735751295338E-3</v>
      </c>
    </row>
    <row r="4" spans="1:16" s="29" customFormat="1" ht="12.75" x14ac:dyDescent="0.2">
      <c r="A4" s="48" t="s">
        <v>3</v>
      </c>
      <c r="B4" s="29">
        <f>+CBA!P31</f>
        <v>5.911038865080538E-3</v>
      </c>
      <c r="C4" s="29">
        <f>+CBA!Q31</f>
        <v>5.2884791949759447E-3</v>
      </c>
      <c r="D4" s="29">
        <f>+CBA!R31</f>
        <v>5.7822506861848122E-3</v>
      </c>
      <c r="E4" s="29">
        <f>+CBA!S31</f>
        <v>5.1652135687596159E-3</v>
      </c>
      <c r="F4" s="29">
        <f>+CBA!T31</f>
        <v>5.9374539017554209E-3</v>
      </c>
      <c r="G4" s="29">
        <f>+CBA!U31</f>
        <v>4.8966471049975702E-3</v>
      </c>
      <c r="H4" s="29">
        <f>+CBA!V31</f>
        <v>5.7827344072697235E-3</v>
      </c>
      <c r="I4" s="29">
        <f>+CBA!W31</f>
        <v>5.1591929043429095E-3</v>
      </c>
      <c r="J4" s="29">
        <f>+CBA!X31</f>
        <v>4.3842022578641626E-3</v>
      </c>
      <c r="K4" s="29">
        <f>+CBA!Y31</f>
        <v>3.4858877769031824E-3</v>
      </c>
      <c r="L4" s="29">
        <f>+CBA!Z31</f>
        <v>4.4253032518076574E-3</v>
      </c>
      <c r="M4" s="29">
        <f>+CBA!AA31</f>
        <v>2.4364492812474622E-3</v>
      </c>
      <c r="N4" s="29">
        <f>+CBA!AB31</f>
        <v>2.5366989645277996E-3</v>
      </c>
      <c r="O4" s="29">
        <f>+CBA!AC31</f>
        <v>2.0379569481594703E-3</v>
      </c>
      <c r="P4" s="29">
        <f>+CBA!AD31</f>
        <v>2.1801393579275853E-3</v>
      </c>
    </row>
    <row r="5" spans="1:16" s="29" customFormat="1" ht="12.75" x14ac:dyDescent="0.2">
      <c r="A5" s="48" t="s">
        <v>0</v>
      </c>
      <c r="B5" s="29">
        <f>+NAB!P31</f>
        <v>2.5069388485988004E-3</v>
      </c>
      <c r="C5" s="29">
        <f>+NAB!Q31</f>
        <v>2.1291696238466998E-3</v>
      </c>
      <c r="D5" s="29">
        <f>+NAB!R31</f>
        <v>2.2497187851518562E-3</v>
      </c>
      <c r="E5" s="29">
        <f>+NAB!S31</f>
        <v>2.145738563213458E-3</v>
      </c>
      <c r="F5" s="29">
        <f>+NAB!T31</f>
        <v>2.1420615200068546E-3</v>
      </c>
      <c r="G5" s="29">
        <f>+NAB!U31</f>
        <v>5.270433730775877E-3</v>
      </c>
      <c r="H5" s="29">
        <f>+NAB!V31</f>
        <v>5.8534905741585604E-3</v>
      </c>
      <c r="I5" s="29">
        <f>+NAB!W31</f>
        <v>5.2914719111032717E-3</v>
      </c>
      <c r="J5" s="29">
        <f>+NAB!X31</f>
        <v>5.180405343997092E-3</v>
      </c>
      <c r="K5" s="29">
        <f>+NAB!Y31</f>
        <v>4.3643263757115747E-3</v>
      </c>
      <c r="L5" s="29">
        <f>+NAB!Z31</f>
        <v>4.6159890001964254E-3</v>
      </c>
      <c r="M5" s="29">
        <f>+NAB!AA31</f>
        <v>3.1938677738741618E-3</v>
      </c>
      <c r="N5" s="29">
        <f>+NAB!AB31</f>
        <v>2.5870432251805541E-3</v>
      </c>
      <c r="O5" s="29">
        <f>+NAB!AC31</f>
        <v>2.6869682042095834E-3</v>
      </c>
      <c r="P5" s="29">
        <f>+NAB!AD31</f>
        <v>2.3463687150837987E-3</v>
      </c>
    </row>
    <row r="6" spans="1:16" s="29" customFormat="1" ht="12.75" x14ac:dyDescent="0.2">
      <c r="A6" s="48" t="s">
        <v>1</v>
      </c>
      <c r="B6" s="29">
        <f>+WBC!P31</f>
        <v>5.741026630644539E-3</v>
      </c>
      <c r="C6" s="29">
        <f>+WBC!Q31</f>
        <v>4.492019497276116E-3</v>
      </c>
      <c r="D6" s="29">
        <f>+WBC!R31</f>
        <v>5.3829445651147421E-3</v>
      </c>
      <c r="E6" s="29">
        <f>+WBC!S31</f>
        <v>4.8652137218884971E-3</v>
      </c>
      <c r="F6" s="29">
        <f>+WBC!T31</f>
        <v>7.6680198466396029E-3</v>
      </c>
      <c r="G6" s="29">
        <f>+WBC!U31</f>
        <v>7.7067383258125031E-3</v>
      </c>
      <c r="H6" s="29">
        <f>+WBC!V31</f>
        <v>5.4989816700610995E-3</v>
      </c>
      <c r="I6" s="29">
        <f>+WBC!W31</f>
        <v>4.9391516879678191E-3</v>
      </c>
      <c r="J6" s="29">
        <f>+WBC!X31</f>
        <v>6.10079575596817E-3</v>
      </c>
      <c r="K6" s="29">
        <f>+WBC!Y31</f>
        <v>6.442050054158828E-3</v>
      </c>
      <c r="L6" s="29">
        <f>+WBC!Z31</f>
        <v>6.5050266114725017E-3</v>
      </c>
      <c r="M6" s="29">
        <f>+WBC!AA31</f>
        <v>5.4886685552407929E-3</v>
      </c>
      <c r="N6" s="29">
        <f>+WBC!AB31</f>
        <v>5.7111610668934927E-3</v>
      </c>
      <c r="O6" s="29">
        <f>+WBC!AC31</f>
        <v>5.1318695595686629E-3</v>
      </c>
      <c r="P6" s="29">
        <f>+WBC!AD31</f>
        <v>4.8048443362074637E-3</v>
      </c>
    </row>
    <row r="7" spans="1:16" s="7" customFormat="1" x14ac:dyDescent="0.25">
      <c r="B7" s="19"/>
      <c r="C7" s="19"/>
      <c r="D7" s="18"/>
      <c r="E7" s="19"/>
      <c r="F7" s="18"/>
      <c r="G7" s="19"/>
      <c r="H7" s="18"/>
      <c r="I7" s="19"/>
      <c r="J7" s="18"/>
      <c r="K7" s="19"/>
    </row>
    <row r="8" spans="1:16" s="7" customFormat="1" x14ac:dyDescent="0.25">
      <c r="A8" s="15" t="s">
        <v>35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6" s="17" customFormat="1" x14ac:dyDescent="0.25">
      <c r="A9" s="36" t="s">
        <v>2</v>
      </c>
      <c r="B9" s="20">
        <f>+ANZ!P32</f>
        <v>4.0120361083249749E-3</v>
      </c>
      <c r="C9" s="20">
        <f>+ANZ!Q32</f>
        <v>3.9840637450199202E-3</v>
      </c>
      <c r="D9" s="20">
        <f>+ANZ!R32</f>
        <v>4.2378551991791944E-3</v>
      </c>
      <c r="E9" s="20">
        <f>+ANZ!S32</f>
        <v>3.9723276054452134E-3</v>
      </c>
      <c r="F9" s="20">
        <f>+ANZ!T32</f>
        <v>3.9509720289139317E-3</v>
      </c>
      <c r="G9" s="20">
        <f>+ANZ!U32</f>
        <v>3.9446837451824982E-3</v>
      </c>
      <c r="H9" s="20">
        <f>+ANZ!V32</f>
        <v>4.448812787750246E-3</v>
      </c>
      <c r="I9" s="20">
        <f>+ANZ!W32</f>
        <v>4.1199110966552823E-3</v>
      </c>
      <c r="J9" s="20">
        <f>+ANZ!X32</f>
        <v>4.3208823696628575E-3</v>
      </c>
      <c r="K9" s="20">
        <f>+ANZ!Y32</f>
        <v>4.1448909713461884E-3</v>
      </c>
      <c r="L9" s="20">
        <f>+ANZ!Z32</f>
        <v>4.836309523809524E-3</v>
      </c>
      <c r="M9" s="20">
        <f>+ANZ!AA32</f>
        <v>3.1658359153980868E-3</v>
      </c>
      <c r="N9" s="20">
        <f>+ANZ!AB32</f>
        <v>2.6902654867256635E-3</v>
      </c>
      <c r="O9" s="20">
        <f>+ANZ!AC32</f>
        <v>2.3966882126516087E-3</v>
      </c>
      <c r="P9" s="20">
        <f>+ANZ!AD32</f>
        <v>2.4426350851221319E-3</v>
      </c>
    </row>
    <row r="10" spans="1:16" s="17" customFormat="1" x14ac:dyDescent="0.25">
      <c r="A10" s="36" t="s">
        <v>3</v>
      </c>
      <c r="B10" s="20">
        <f>+CBA!P32</f>
        <v>4.3224471700901435E-3</v>
      </c>
      <c r="C10" s="20">
        <f>+CBA!Q32</f>
        <v>3.7827316464064051E-3</v>
      </c>
      <c r="D10" s="20">
        <f>+CBA!R32</f>
        <v>3.8792314730100642E-3</v>
      </c>
      <c r="E10" s="20">
        <f>+CBA!S32</f>
        <v>3.5167411531980366E-3</v>
      </c>
      <c r="F10" s="20">
        <f>+CBA!T32</f>
        <v>4.8310960318631068E-3</v>
      </c>
      <c r="G10" s="20">
        <f>+CBA!U32</f>
        <v>4.3359623219825817E-3</v>
      </c>
      <c r="H10" s="20">
        <f>+CBA!V32</f>
        <v>5.1287346826380279E-3</v>
      </c>
      <c r="I10" s="20">
        <f>+CBA!W32</f>
        <v>4.8411604650341004E-3</v>
      </c>
      <c r="J10" s="20">
        <f>+CBA!X32</f>
        <v>5.041832596543787E-3</v>
      </c>
      <c r="K10" s="20">
        <f>+CBA!Y32</f>
        <v>4.0481277409198249E-3</v>
      </c>
      <c r="L10" s="20">
        <f>+CBA!Z32</f>
        <v>5.650163973290134E-3</v>
      </c>
      <c r="M10" s="20">
        <f>+CBA!AA32</f>
        <v>3.53285145780882E-3</v>
      </c>
      <c r="N10" s="20">
        <f>+CBA!AB32</f>
        <v>3.4099887719881896E-3</v>
      </c>
      <c r="O10" s="20">
        <f>+CBA!AC32</f>
        <v>2.8021908037192712E-3</v>
      </c>
      <c r="P10" s="20">
        <f>+CBA!AD32</f>
        <v>2.8213568161415807E-3</v>
      </c>
    </row>
    <row r="11" spans="1:16" s="17" customFormat="1" x14ac:dyDescent="0.25">
      <c r="A11" s="36" t="s">
        <v>0</v>
      </c>
      <c r="B11" s="20">
        <f>+NAB!P32</f>
        <v>5.1929447578118008E-3</v>
      </c>
      <c r="C11" s="20">
        <f>+NAB!Q32</f>
        <v>5.1454932576295246E-3</v>
      </c>
      <c r="D11" s="20">
        <f>+NAB!R32</f>
        <v>5.6242969628796397E-3</v>
      </c>
      <c r="E11" s="20">
        <f>+NAB!S32</f>
        <v>5.4930907218264527E-3</v>
      </c>
      <c r="F11" s="20">
        <f>+NAB!T32</f>
        <v>5.997772256019193E-3</v>
      </c>
      <c r="G11" s="20">
        <f>+NAB!U32</f>
        <v>5.6160359426300332E-3</v>
      </c>
      <c r="H11" s="20">
        <f>+NAB!V32</f>
        <v>5.6813290866833087E-3</v>
      </c>
      <c r="I11" s="20">
        <f>+NAB!W32</f>
        <v>6.4379574918423145E-3</v>
      </c>
      <c r="J11" s="20">
        <f>+NAB!X32</f>
        <v>4.7259838225938381E-3</v>
      </c>
      <c r="K11" s="20">
        <f>+NAB!Y32</f>
        <v>3.9848197343453507E-3</v>
      </c>
      <c r="L11" s="20">
        <f>+NAB!Z32</f>
        <v>4.1249263406010605E-3</v>
      </c>
      <c r="M11" s="20">
        <f>+NAB!AA32</f>
        <v>2.8744809964867456E-3</v>
      </c>
      <c r="N11" s="20">
        <f>+NAB!AB32</f>
        <v>2.2636628220329847E-3</v>
      </c>
      <c r="O11" s="20">
        <f>+NAB!AC32</f>
        <v>2.4630541871921183E-3</v>
      </c>
      <c r="P11" s="20">
        <f>+NAB!AD32</f>
        <v>2.1229050279329611E-3</v>
      </c>
    </row>
    <row r="12" spans="1:16" s="17" customFormat="1" x14ac:dyDescent="0.25">
      <c r="A12" s="36" t="s">
        <v>1</v>
      </c>
      <c r="B12" s="20">
        <f>+WBC!P32</f>
        <v>5.0173678116557313E-3</v>
      </c>
      <c r="C12" s="20">
        <f>+WBC!Q32</f>
        <v>3.6796329924495843E-3</v>
      </c>
      <c r="D12" s="20">
        <f>+WBC!R32</f>
        <v>4.4857871375956178E-3</v>
      </c>
      <c r="E12" s="20">
        <f>+WBC!S32</f>
        <v>4.1205381522116868E-3</v>
      </c>
      <c r="F12" s="20">
        <f>+WBC!T32</f>
        <v>6.1644865433769357E-3</v>
      </c>
      <c r="G12" s="20">
        <f>+WBC!U32</f>
        <v>5.4758403893930942E-3</v>
      </c>
      <c r="H12" s="20">
        <f>+WBC!V32</f>
        <v>4.837067209775967E-3</v>
      </c>
      <c r="I12" s="20">
        <f>+WBC!W32</f>
        <v>4.429960792301034E-3</v>
      </c>
      <c r="J12" s="20">
        <f>+WBC!X32</f>
        <v>5.3580901856763929E-3</v>
      </c>
      <c r="K12" s="20">
        <f>+WBC!Y32</f>
        <v>6.8981243942762673E-3</v>
      </c>
      <c r="L12" s="20">
        <f>+WBC!Z32</f>
        <v>6.6125477124885758E-3</v>
      </c>
      <c r="M12" s="20">
        <f>+WBC!AA32</f>
        <v>4.8984891406987727E-3</v>
      </c>
      <c r="N12" s="20">
        <f>+WBC!AB32</f>
        <v>4.9820766753751744E-3</v>
      </c>
      <c r="O12" s="20">
        <f>+WBC!AC32</f>
        <v>4.2224243211640899E-3</v>
      </c>
      <c r="P12" s="20">
        <f>+WBC!AD32</f>
        <v>3.8833673402224708E-3</v>
      </c>
    </row>
    <row r="13" spans="1:16" s="7" customFormat="1" x14ac:dyDescent="0.25">
      <c r="B13" s="19"/>
      <c r="C13" s="19"/>
      <c r="D13" s="18"/>
      <c r="E13" s="19"/>
      <c r="F13" s="18"/>
      <c r="G13" s="19"/>
      <c r="H13" s="18"/>
      <c r="I13" s="19"/>
      <c r="J13" s="18"/>
      <c r="K13" s="19"/>
    </row>
    <row r="14" spans="1:16" s="7" customFormat="1" x14ac:dyDescent="0.25">
      <c r="A14" s="15" t="s">
        <v>26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6" s="17" customFormat="1" x14ac:dyDescent="0.25">
      <c r="A15" s="36" t="s">
        <v>2</v>
      </c>
      <c r="B15" s="20">
        <f>+ANZ!P33</f>
        <v>1.2218473602626061E-2</v>
      </c>
      <c r="C15" s="20">
        <f>+ANZ!Q33</f>
        <v>1.2404925751539297E-2</v>
      </c>
      <c r="D15" s="20">
        <f>+ANZ!R33</f>
        <v>1.2267475576571351E-2</v>
      </c>
      <c r="E15" s="20">
        <f>+ANZ!S33</f>
        <v>1.2095514394108458E-2</v>
      </c>
      <c r="F15" s="20">
        <f>+ANZ!T33</f>
        <v>1.2661069456292372E-2</v>
      </c>
      <c r="G15" s="20">
        <f>+ANZ!U33</f>
        <v>1.2604851507594651E-2</v>
      </c>
      <c r="H15" s="20">
        <f>+ANZ!V33</f>
        <v>1.4277585225803115E-2</v>
      </c>
      <c r="I15" s="20">
        <f>+ANZ!W33</f>
        <v>1.5124410473247682E-2</v>
      </c>
      <c r="J15" s="20">
        <f>+ANZ!X33</f>
        <v>1.49525271476491E-2</v>
      </c>
      <c r="K15" s="20">
        <f>+ANZ!Y33</f>
        <v>1.4957650027031897E-2</v>
      </c>
      <c r="L15" s="20">
        <f>+ANZ!Z33</f>
        <v>1.4818948412698412E-2</v>
      </c>
      <c r="M15" s="20">
        <f>+ANZ!AA33</f>
        <v>1.4818806412501684E-2</v>
      </c>
      <c r="N15" s="20">
        <f>+ANZ!AB33</f>
        <v>1.1893805309734513E-2</v>
      </c>
      <c r="O15" s="20">
        <f>+ANZ!AC33</f>
        <v>6.899556975815237E-3</v>
      </c>
      <c r="P15" s="20">
        <f>+ANZ!AD33</f>
        <v>4.8852701702442637E-3</v>
      </c>
    </row>
    <row r="16" spans="1:16" s="17" customFormat="1" x14ac:dyDescent="0.25">
      <c r="A16" s="36" t="s">
        <v>3</v>
      </c>
      <c r="B16" s="20">
        <f>+CBA!P33</f>
        <v>9.642382148662627E-3</v>
      </c>
      <c r="C16" s="20">
        <f>+CBA!Q33</f>
        <v>9.879172940614786E-3</v>
      </c>
      <c r="D16" s="20">
        <f>+CBA!R33</f>
        <v>1.0027447392497713E-2</v>
      </c>
      <c r="E16" s="20">
        <f>+CBA!S33</f>
        <v>9.5245072899113482E-3</v>
      </c>
      <c r="F16" s="20">
        <f>+CBA!T33</f>
        <v>9.0721345331169784E-3</v>
      </c>
      <c r="G16" s="20">
        <f>+CBA!U33</f>
        <v>9.2326094269801519E-3</v>
      </c>
      <c r="H16" s="20">
        <f>+CBA!V33</f>
        <v>8.5364174583505443E-3</v>
      </c>
      <c r="I16" s="20">
        <f>+CBA!W33</f>
        <v>9.3289515530584118E-3</v>
      </c>
      <c r="J16" s="20">
        <f>+CBA!X33</f>
        <v>1.066822549413613E-2</v>
      </c>
      <c r="K16" s="20">
        <f>+CBA!Y33</f>
        <v>1.0120319352299562E-2</v>
      </c>
      <c r="L16" s="20">
        <f>+CBA!Z33</f>
        <v>9.1666995930301479E-3</v>
      </c>
      <c r="M16" s="20">
        <f>+CBA!AA33</f>
        <v>8.1214976041582062E-3</v>
      </c>
      <c r="N16" s="20">
        <f>+CBA!AB33</f>
        <v>6.9031480018297503E-3</v>
      </c>
      <c r="O16" s="20">
        <f>+CBA!AC33</f>
        <v>5.8591262259584768E-3</v>
      </c>
      <c r="P16" s="20">
        <f>+CBA!AD33</f>
        <v>5.8992006155687603E-3</v>
      </c>
    </row>
    <row r="17" spans="1:16" s="17" customFormat="1" x14ac:dyDescent="0.25">
      <c r="A17" s="36" t="s">
        <v>0</v>
      </c>
      <c r="B17" s="20">
        <f>+NAB!P33</f>
        <v>1.2982361894529502E-2</v>
      </c>
      <c r="C17" s="20">
        <f>+NAB!Q33</f>
        <v>1.1976579134137686E-2</v>
      </c>
      <c r="D17" s="20">
        <f>+NAB!R33</f>
        <v>1.2459980963917972E-2</v>
      </c>
      <c r="E17" s="20">
        <f>+NAB!S33</f>
        <v>1.2702772294223673E-2</v>
      </c>
      <c r="F17" s="20">
        <f>+NAB!T33</f>
        <v>1.3195098963242224E-2</v>
      </c>
      <c r="G17" s="20">
        <f>+NAB!U33</f>
        <v>1.416969068602039E-2</v>
      </c>
      <c r="H17" s="20">
        <f>+NAB!V33</f>
        <v>1.3945080485495394E-2</v>
      </c>
      <c r="I17" s="20">
        <f>+NAB!W33</f>
        <v>1.5962606931828202E-2</v>
      </c>
      <c r="J17" s="20">
        <f>+NAB!X33</f>
        <v>1.6995364900481688E-2</v>
      </c>
      <c r="K17" s="20">
        <f>+NAB!Y33</f>
        <v>1.5559772296015181E-2</v>
      </c>
      <c r="L17" s="20">
        <f>+NAB!Z33</f>
        <v>1.4535454724022786E-2</v>
      </c>
      <c r="M17" s="20">
        <f>+NAB!AA33</f>
        <v>1.3840093686788034E-2</v>
      </c>
      <c r="N17" s="20">
        <f>+NAB!AB33</f>
        <v>1.0132585965290503E-2</v>
      </c>
      <c r="O17" s="20">
        <f>+NAB!AC33</f>
        <v>7.0532915360501571E-3</v>
      </c>
      <c r="P17" s="20">
        <f>+NAB!AD33</f>
        <v>6.4804469273743014E-3</v>
      </c>
    </row>
    <row r="18" spans="1:16" s="17" customFormat="1" x14ac:dyDescent="0.25">
      <c r="A18" s="36" t="s">
        <v>1</v>
      </c>
      <c r="B18" s="20">
        <f>+WBC!P33</f>
        <v>1.3556541875723659E-2</v>
      </c>
      <c r="C18" s="20">
        <f>+WBC!Q33</f>
        <v>1.3667208257669884E-2</v>
      </c>
      <c r="D18" s="20">
        <f>+WBC!R33</f>
        <v>1.4354518840305978E-2</v>
      </c>
      <c r="E18" s="20">
        <f>+WBC!S33</f>
        <v>1.5092091545450033E-2</v>
      </c>
      <c r="F18" s="20">
        <f>+WBC!T33</f>
        <v>1.5336039693279206E-2</v>
      </c>
      <c r="G18" s="20">
        <f>+WBC!U33</f>
        <v>1.5109263296658723E-2</v>
      </c>
      <c r="H18" s="20">
        <f>+WBC!V33</f>
        <v>1.4409368635437882E-2</v>
      </c>
      <c r="I18" s="20">
        <f>+WBC!W33</f>
        <v>1.3900911451703243E-2</v>
      </c>
      <c r="J18" s="20">
        <f>+WBC!X33</f>
        <v>1.5331564986737401E-2</v>
      </c>
      <c r="K18" s="20">
        <f>+WBC!Y33</f>
        <v>1.9383159454991163E-2</v>
      </c>
      <c r="L18" s="20">
        <f>+WBC!Z33</f>
        <v>1.903123487984517E-2</v>
      </c>
      <c r="M18" s="20">
        <f>+WBC!AA33</f>
        <v>1.9593956562795091E-2</v>
      </c>
      <c r="N18" s="20">
        <f>+WBC!AB33</f>
        <v>1.4520930797739839E-2</v>
      </c>
      <c r="O18" s="20">
        <f>+WBC!AC33</f>
        <v>8.8346108873587105E-3</v>
      </c>
      <c r="P18" s="20">
        <f>+WBC!AD33</f>
        <v>7.5692753241624429E-3</v>
      </c>
    </row>
    <row r="19" spans="1:16" s="17" customFormat="1" x14ac:dyDescent="0.25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6" s="7" customFormat="1" x14ac:dyDescent="0.25">
      <c r="A20" s="15" t="s">
        <v>59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16" s="42" customFormat="1" x14ac:dyDescent="0.25">
      <c r="A21" s="42" t="s">
        <v>2</v>
      </c>
      <c r="B21" s="42">
        <f>+ANZ!P12</f>
        <v>129</v>
      </c>
      <c r="C21" s="42">
        <f>+ANZ!Q12</f>
        <v>145</v>
      </c>
      <c r="D21" s="42">
        <f>+ANZ!R12</f>
        <v>130</v>
      </c>
      <c r="E21" s="42">
        <f>+ANZ!S12</f>
        <v>141</v>
      </c>
      <c r="F21" s="42">
        <f>+ANZ!T12</f>
        <v>141</v>
      </c>
      <c r="G21" s="42">
        <f>+ANZ!U12</f>
        <v>137</v>
      </c>
      <c r="H21" s="42">
        <f>+ANZ!V12</f>
        <v>139</v>
      </c>
      <c r="I21" s="42">
        <f>+ANZ!W12</f>
        <v>140</v>
      </c>
      <c r="J21" s="42">
        <f>+ANZ!X12</f>
        <v>123</v>
      </c>
      <c r="K21" s="42">
        <f>+ANZ!Y12</f>
        <v>126</v>
      </c>
      <c r="L21" s="42">
        <f>+ANZ!Z12</f>
        <v>113</v>
      </c>
      <c r="M21" s="42">
        <f>+ANZ!AA12</f>
        <v>107</v>
      </c>
      <c r="N21" s="42">
        <f>+ANZ!AB12</f>
        <v>61</v>
      </c>
      <c r="O21" s="42">
        <f>+ANZ!AC12</f>
        <v>34</v>
      </c>
      <c r="P21" s="42">
        <f>+ANZ!AD12</f>
        <v>32</v>
      </c>
    </row>
    <row r="22" spans="1:16" s="42" customFormat="1" x14ac:dyDescent="0.25">
      <c r="A22" s="42" t="s">
        <v>3</v>
      </c>
      <c r="B22" s="42">
        <f>+CBA!P12</f>
        <v>132</v>
      </c>
      <c r="C22" s="42">
        <f>+CBA!Q12</f>
        <v>137</v>
      </c>
      <c r="D22" s="42">
        <f>+CBA!R12</f>
        <v>137</v>
      </c>
      <c r="E22" s="42">
        <f>+CBA!S12</f>
        <v>123</v>
      </c>
      <c r="F22" s="42">
        <f>+CBA!T12</f>
        <v>123</v>
      </c>
      <c r="G22" s="42">
        <f>+CBA!U12</f>
        <v>124</v>
      </c>
      <c r="H22" s="42">
        <f>+CBA!V12</f>
        <v>124</v>
      </c>
      <c r="I22" s="42">
        <f>+CBA!W12</f>
        <v>140</v>
      </c>
      <c r="J22" s="42">
        <f>+CBA!X12</f>
        <v>152</v>
      </c>
      <c r="K22" s="42">
        <f>+CBA!Y12</f>
        <v>118</v>
      </c>
      <c r="L22" s="42">
        <f>+CBA!Z12</f>
        <v>114</v>
      </c>
      <c r="M22" s="42">
        <f>+CBA!AA12</f>
        <v>86</v>
      </c>
      <c r="N22" s="42">
        <f>+CBA!AB12</f>
        <v>80</v>
      </c>
      <c r="O22" s="42">
        <f>+CBA!AC12</f>
        <v>58</v>
      </c>
      <c r="P22" s="42">
        <f>+CBA!AD12</f>
        <v>80</v>
      </c>
    </row>
    <row r="23" spans="1:16" s="42" customFormat="1" x14ac:dyDescent="0.25">
      <c r="A23" s="42" t="s">
        <v>0</v>
      </c>
      <c r="B23" s="42">
        <f>+NAB!P12</f>
        <v>64</v>
      </c>
      <c r="C23" s="42">
        <f>+NAB!Q12</f>
        <v>71</v>
      </c>
      <c r="D23" s="42">
        <f>+NAB!R12</f>
        <v>73</v>
      </c>
      <c r="E23" s="42">
        <f>+NAB!S12</f>
        <v>75</v>
      </c>
      <c r="F23" s="42">
        <f>+NAB!T12</f>
        <v>79</v>
      </c>
      <c r="G23" s="42">
        <f>+NAB!U12</f>
        <v>85</v>
      </c>
      <c r="H23" s="42">
        <f>+NAB!V12</f>
        <v>77</v>
      </c>
      <c r="I23" s="42">
        <f>+NAB!W12</f>
        <v>104</v>
      </c>
      <c r="J23" s="42">
        <f>+NAB!X12</f>
        <v>83</v>
      </c>
      <c r="K23" s="42">
        <f>+NAB!Y12</f>
        <v>81</v>
      </c>
      <c r="L23" s="42">
        <f>+NAB!Z12</f>
        <v>67</v>
      </c>
      <c r="M23" s="42">
        <f>+NAB!AA12</f>
        <v>63</v>
      </c>
      <c r="N23" s="42">
        <f>+NAB!AB12</f>
        <v>31</v>
      </c>
      <c r="O23" s="42">
        <f>+NAB!AC12</f>
        <v>32</v>
      </c>
      <c r="P23" s="42">
        <f>+NAB!AD12</f>
        <v>26</v>
      </c>
    </row>
    <row r="24" spans="1:16" s="42" customFormat="1" x14ac:dyDescent="0.25">
      <c r="A24" s="42" t="s">
        <v>1</v>
      </c>
      <c r="B24" s="42">
        <f>+WBC!P12</f>
        <v>129</v>
      </c>
      <c r="C24" s="42">
        <f>+WBC!Q12</f>
        <v>157</v>
      </c>
      <c r="D24" s="42">
        <f>+WBC!R12</f>
        <v>147</v>
      </c>
      <c r="E24" s="42">
        <f>+WBC!S12</f>
        <v>157</v>
      </c>
      <c r="F24" s="42">
        <f>+WBC!T12</f>
        <v>149</v>
      </c>
      <c r="G24" s="42">
        <f>+WBC!U12</f>
        <v>149</v>
      </c>
      <c r="H24" s="42">
        <f>+WBC!V12</f>
        <v>134</v>
      </c>
      <c r="I24" s="42">
        <f>+WBC!W12</f>
        <v>139</v>
      </c>
      <c r="J24" s="42">
        <f>+WBC!X12</f>
        <v>150</v>
      </c>
      <c r="K24" s="42">
        <f>+WBC!Y12</f>
        <v>190</v>
      </c>
      <c r="L24" s="42">
        <f>+WBC!Z12</f>
        <v>164</v>
      </c>
      <c r="M24" s="42">
        <f>+WBC!AA12</f>
        <v>168</v>
      </c>
      <c r="N24" s="42">
        <f>+WBC!AB12</f>
        <v>71</v>
      </c>
      <c r="O24" s="42">
        <f>+WBC!AC12</f>
        <v>65</v>
      </c>
      <c r="P24" s="42">
        <f>+WBC!AD12</f>
        <v>50</v>
      </c>
    </row>
    <row r="25" spans="1:16" s="17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6" s="7" customFormat="1" x14ac:dyDescent="0.25">
      <c r="A26" s="15" t="s">
        <v>34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6" s="31" customFormat="1" x14ac:dyDescent="0.25">
      <c r="A27" s="35" t="s">
        <v>2</v>
      </c>
      <c r="B27" s="31">
        <f>+ANZ!P34</f>
        <v>0.3544725084343941</v>
      </c>
      <c r="C27" s="31">
        <f>+ANZ!Q34</f>
        <v>0.34163346613545814</v>
      </c>
      <c r="D27" s="31">
        <f>+ANZ!R34</f>
        <v>0.34545211223624928</v>
      </c>
      <c r="E27" s="31">
        <f>+ANZ!S34</f>
        <v>0.32733764784646285</v>
      </c>
      <c r="F27" s="31">
        <f>+ANZ!T34</f>
        <v>0.33731423696852691</v>
      </c>
      <c r="G27" s="31">
        <f>+ANZ!U34</f>
        <v>0.32006347766946269</v>
      </c>
      <c r="H27" s="31">
        <f>+ANZ!V34</f>
        <v>0.35409445967616782</v>
      </c>
      <c r="I27" s="31">
        <f>+ANZ!W34</f>
        <v>0.34227787716159808</v>
      </c>
      <c r="J27" s="31">
        <f>+ANZ!X34</f>
        <v>0.32946728068679287</v>
      </c>
      <c r="K27" s="31">
        <f>+ANZ!Y34</f>
        <v>0.31567249354238003</v>
      </c>
      <c r="L27" s="31">
        <f>+ANZ!Z34</f>
        <v>0.30729166666666669</v>
      </c>
      <c r="M27" s="31">
        <f>+ANZ!AA34</f>
        <v>0.29213256095918094</v>
      </c>
      <c r="N27" s="31">
        <f>+ANZ!AB34</f>
        <v>0.26038938053097344</v>
      </c>
      <c r="O27" s="31">
        <f>+ANZ!AC34</f>
        <v>0.27039000653642242</v>
      </c>
      <c r="P27" s="31">
        <f>+ANZ!AD34</f>
        <v>0.25299777942264989</v>
      </c>
    </row>
    <row r="28" spans="1:16" s="31" customFormat="1" x14ac:dyDescent="0.25">
      <c r="A28" s="35" t="s">
        <v>3</v>
      </c>
      <c r="B28" s="31">
        <f>+CBA!P34</f>
        <v>0.32736072114674153</v>
      </c>
      <c r="C28" s="31">
        <f>+CBA!Q34</f>
        <v>0.34176796797532044</v>
      </c>
      <c r="D28" s="31">
        <f>+CBA!R34</f>
        <v>0.36309895355241417</v>
      </c>
      <c r="E28" s="31">
        <f>+CBA!S34</f>
        <v>0.36724302146677412</v>
      </c>
      <c r="F28" s="31">
        <f>+CBA!T34</f>
        <v>0.36531936863844222</v>
      </c>
      <c r="G28" s="31">
        <f>+CBA!U34</f>
        <v>0.36956602997794641</v>
      </c>
      <c r="H28" s="31">
        <f>+CBA!V34</f>
        <v>0.37271100096378906</v>
      </c>
      <c r="I28" s="31">
        <f>+CBA!W34</f>
        <v>0.37220396480441004</v>
      </c>
      <c r="J28" s="31">
        <f>+CBA!X34</f>
        <v>0.37225530671148294</v>
      </c>
      <c r="K28" s="31">
        <f>+CBA!Y34</f>
        <v>0.37396454139960267</v>
      </c>
      <c r="L28" s="31">
        <f>+CBA!Z34</f>
        <v>0.26460942747639182</v>
      </c>
      <c r="M28" s="31">
        <f>+CBA!AA34</f>
        <v>0.23617315032892067</v>
      </c>
      <c r="N28" s="31">
        <f>+CBA!AB34</f>
        <v>0.22730486131326152</v>
      </c>
      <c r="O28" s="31">
        <f>+CBA!AC34</f>
        <v>0.21378489780308502</v>
      </c>
      <c r="P28" s="31">
        <f>+CBA!AD34</f>
        <v>0.21467960501004574</v>
      </c>
    </row>
    <row r="29" spans="1:16" s="31" customFormat="1" x14ac:dyDescent="0.25">
      <c r="A29" s="35" t="s">
        <v>0</v>
      </c>
      <c r="B29" s="31">
        <f>+NAB!P34</f>
        <v>0.33781000984868831</v>
      </c>
      <c r="C29" s="31">
        <f>+NAB!Q34</f>
        <v>0.33552164655784245</v>
      </c>
      <c r="D29" s="31">
        <f>+NAB!R34</f>
        <v>0.33719823483603012</v>
      </c>
      <c r="E29" s="31">
        <f>+NAB!S34</f>
        <v>0.33688095442451294</v>
      </c>
      <c r="F29" s="31">
        <f>+NAB!T34</f>
        <v>0.32430811412903776</v>
      </c>
      <c r="G29" s="31">
        <f>+NAB!U34</f>
        <v>0.3509590461378953</v>
      </c>
      <c r="H29" s="31">
        <f>+NAB!V34</f>
        <v>0.35499698717396916</v>
      </c>
      <c r="I29" s="31">
        <f>+NAB!W34</f>
        <v>0.35214745568392275</v>
      </c>
      <c r="J29" s="31">
        <f>+NAB!X34</f>
        <v>0.34735981096064711</v>
      </c>
      <c r="K29" s="31">
        <f>+NAB!Y34</f>
        <v>0.33149905123339657</v>
      </c>
      <c r="L29" s="31">
        <f>+NAB!Z34</f>
        <v>0.31997642899233941</v>
      </c>
      <c r="M29" s="31">
        <f>+NAB!AA34</f>
        <v>0.26871074204194612</v>
      </c>
      <c r="N29" s="31">
        <f>+NAB!AB34</f>
        <v>0.26280047429125797</v>
      </c>
      <c r="O29" s="31">
        <f>+NAB!AC34</f>
        <v>0.24697716077026421</v>
      </c>
      <c r="P29" s="31">
        <f>+NAB!AD34</f>
        <v>0.25318435754189944</v>
      </c>
    </row>
    <row r="30" spans="1:16" s="31" customFormat="1" x14ac:dyDescent="0.25">
      <c r="A30" s="35" t="s">
        <v>1</v>
      </c>
      <c r="B30" s="31">
        <f>+WBC!P34</f>
        <v>0.31030490158240059</v>
      </c>
      <c r="C30" s="31">
        <f>+WBC!Q34</f>
        <v>0.29714231100066901</v>
      </c>
      <c r="D30" s="31">
        <f>+WBC!R34</f>
        <v>0.3124468788365285</v>
      </c>
      <c r="E30" s="31">
        <f>+WBC!S34</f>
        <v>0.29310430422479272</v>
      </c>
      <c r="F30" s="31">
        <f>+WBC!T34</f>
        <v>0.30115772064351226</v>
      </c>
      <c r="G30" s="31">
        <f>+WBC!U34</f>
        <v>0.28722810931399889</v>
      </c>
      <c r="H30" s="31">
        <f>+WBC!V34</f>
        <v>0.33365580448065174</v>
      </c>
      <c r="I30" s="31">
        <f>+WBC!W34</f>
        <v>0.32145221243444166</v>
      </c>
      <c r="J30" s="31">
        <f>+WBC!X34</f>
        <v>0.31352785145888595</v>
      </c>
      <c r="K30" s="31">
        <f>+WBC!Y34</f>
        <v>0.29012028960720598</v>
      </c>
      <c r="L30" s="31">
        <f>+WBC!Z34</f>
        <v>0.26003978280737594</v>
      </c>
      <c r="M30" s="31">
        <f>+WBC!AA34</f>
        <v>0.25997403210576014</v>
      </c>
      <c r="N30" s="31">
        <f>+WBC!AB34</f>
        <v>0.25997934260890698</v>
      </c>
      <c r="O30" s="31">
        <f>+WBC!AC34</f>
        <v>0.2599064570611927</v>
      </c>
      <c r="P30" s="31">
        <f>+WBC!AD34</f>
        <v>0.26005397222405052</v>
      </c>
    </row>
    <row r="31" spans="1:16" x14ac:dyDescent="0.25">
      <c r="B31" s="1"/>
      <c r="C31" s="1"/>
      <c r="D31" s="3"/>
      <c r="E31" s="1"/>
      <c r="F31" s="3"/>
      <c r="G31" s="1"/>
      <c r="H31" s="3"/>
      <c r="I31" s="1"/>
      <c r="J31" s="3"/>
      <c r="K31" s="1"/>
    </row>
    <row r="32" spans="1:16" x14ac:dyDescent="0.25">
      <c r="A32" s="34" t="s">
        <v>9</v>
      </c>
    </row>
    <row r="33" spans="1:16" x14ac:dyDescent="0.25">
      <c r="A33" s="35" t="s">
        <v>2</v>
      </c>
      <c r="B33" s="8">
        <f>+ANZ!P24</f>
        <v>21934</v>
      </c>
      <c r="C33" s="8">
        <f>+ANZ!Q24</f>
        <v>22088</v>
      </c>
      <c r="D33" s="8">
        <f>+ANZ!R24</f>
        <v>22417</v>
      </c>
      <c r="E33" s="8">
        <f>+ANZ!S24</f>
        <v>22405</v>
      </c>
      <c r="F33" s="8">
        <f>+ANZ!T24</f>
        <v>22273</v>
      </c>
      <c r="G33" s="8">
        <f>+ANZ!U24</f>
        <v>22055</v>
      </c>
      <c r="H33" s="8">
        <f>+ANZ!V24</f>
        <v>19331</v>
      </c>
      <c r="I33" s="8">
        <f>+ANZ!W24</f>
        <v>18447</v>
      </c>
      <c r="J33" s="8">
        <f>+ANZ!X24</f>
        <v>17589</v>
      </c>
      <c r="K33" s="8">
        <f>+ANZ!Y24</f>
        <v>16647</v>
      </c>
      <c r="L33" s="8">
        <f>+ANZ!Z24</f>
        <v>16128</v>
      </c>
      <c r="M33" s="8">
        <f>+ANZ!AA24</f>
        <v>14846</v>
      </c>
      <c r="N33" s="8">
        <f>+ANZ!AB24</f>
        <v>14125</v>
      </c>
      <c r="O33" s="8">
        <f>+ANZ!AC24</f>
        <v>13769</v>
      </c>
      <c r="P33" s="8">
        <f>+ANZ!AD24</f>
        <v>13510</v>
      </c>
    </row>
    <row r="34" spans="1:16" x14ac:dyDescent="0.25">
      <c r="A34" s="35" t="s">
        <v>3</v>
      </c>
      <c r="B34" s="8">
        <f>+CBA!P24</f>
        <v>27068</v>
      </c>
      <c r="C34" s="8">
        <f>+CBA!Q24</f>
        <v>27229</v>
      </c>
      <c r="D34" s="8">
        <f>+CBA!R24</f>
        <v>27325</v>
      </c>
      <c r="E34" s="8">
        <f>+CBA!S24</f>
        <v>27298</v>
      </c>
      <c r="F34" s="8">
        <f>+CBA!T24</f>
        <v>27116</v>
      </c>
      <c r="G34" s="8">
        <f>+CBA!U24</f>
        <v>26753</v>
      </c>
      <c r="H34" s="8">
        <f>+CBA!V24</f>
        <v>29052</v>
      </c>
      <c r="I34" s="8">
        <f>+CBA!W24</f>
        <v>28299</v>
      </c>
      <c r="J34" s="8">
        <f>+CBA!X24</f>
        <v>27371</v>
      </c>
      <c r="K34" s="8">
        <f>+CBA!Y24</f>
        <v>26679</v>
      </c>
      <c r="L34" s="8">
        <f>+CBA!Z24</f>
        <v>25309</v>
      </c>
      <c r="M34" s="8">
        <f>+CBA!AA24</f>
        <v>24626</v>
      </c>
      <c r="N34" s="8">
        <f>+CBA!AB24</f>
        <v>24047</v>
      </c>
      <c r="O34" s="8">
        <f>+CBA!AC24</f>
        <v>23553</v>
      </c>
      <c r="P34" s="8">
        <f>+CBA!AD24</f>
        <v>23393</v>
      </c>
    </row>
    <row r="35" spans="1:16" x14ac:dyDescent="0.25">
      <c r="A35" s="35" t="s">
        <v>0</v>
      </c>
      <c r="B35" s="8">
        <f>+NAB!P24</f>
        <v>11169</v>
      </c>
      <c r="C35" s="8">
        <f>+NAB!Q24</f>
        <v>11272</v>
      </c>
      <c r="D35" s="8">
        <f>+NAB!R24</f>
        <v>11557</v>
      </c>
      <c r="E35" s="8">
        <f>+NAB!S24</f>
        <v>11651</v>
      </c>
      <c r="F35" s="8">
        <f>+NAB!T24</f>
        <v>11671</v>
      </c>
      <c r="G35" s="8">
        <f>+NAB!U24</f>
        <v>11574</v>
      </c>
      <c r="H35" s="8">
        <f>+NAB!V24</f>
        <v>11617</v>
      </c>
      <c r="I35" s="8">
        <f>+NAB!W24</f>
        <v>11339</v>
      </c>
      <c r="J35" s="8">
        <f>+NAB!X24</f>
        <v>11003</v>
      </c>
      <c r="K35" s="8">
        <f>+NAB!Y24</f>
        <v>10540</v>
      </c>
      <c r="L35" s="8">
        <f>+NAB!Z24</f>
        <v>10182</v>
      </c>
      <c r="M35" s="8">
        <f>+NAB!AA24</f>
        <v>9393</v>
      </c>
      <c r="N35" s="8">
        <f>+NAB!AB24</f>
        <v>9277</v>
      </c>
      <c r="O35" s="8">
        <f>+NAB!AC24</f>
        <v>8932</v>
      </c>
      <c r="P35" s="8">
        <f>+NAB!AD24</f>
        <v>8950</v>
      </c>
    </row>
    <row r="36" spans="1:16" x14ac:dyDescent="0.25">
      <c r="A36" s="35" t="s">
        <v>1</v>
      </c>
      <c r="B36" s="8">
        <f>+WBC!P24</f>
        <v>20728</v>
      </c>
      <c r="C36" s="8">
        <f>+WBC!Q24</f>
        <v>20926</v>
      </c>
      <c r="D36" s="8">
        <f>+WBC!R24</f>
        <v>21178</v>
      </c>
      <c r="E36" s="8">
        <f>+WBC!S24</f>
        <v>20143</v>
      </c>
      <c r="F36" s="8">
        <f>+WBC!T24</f>
        <v>19953</v>
      </c>
      <c r="G36" s="8">
        <f>+WBC!U24</f>
        <v>19723</v>
      </c>
      <c r="H36" s="8">
        <f>+WBC!V24</f>
        <v>19640</v>
      </c>
      <c r="I36" s="8">
        <f>+WBC!W24</f>
        <v>19639</v>
      </c>
      <c r="J36" s="8">
        <f>+WBC!X24</f>
        <v>18850</v>
      </c>
      <c r="K36" s="8">
        <f>+WBC!Y24</f>
        <v>17541</v>
      </c>
      <c r="L36" s="8">
        <f>+WBC!Z24</f>
        <v>18601</v>
      </c>
      <c r="M36" s="8">
        <f>+WBC!AA24</f>
        <v>16944</v>
      </c>
      <c r="N36" s="8">
        <f>+WBC!AB24</f>
        <v>16459</v>
      </c>
      <c r="O36" s="8">
        <f>+WBC!AC24</f>
        <v>15394</v>
      </c>
      <c r="P36" s="8">
        <f>+WBC!AD24</f>
        <v>15193</v>
      </c>
    </row>
    <row r="37" spans="1:16" x14ac:dyDescent="0.25">
      <c r="A37" s="32" t="s">
        <v>40</v>
      </c>
      <c r="B37" s="33">
        <f>SUM(B33:B36)</f>
        <v>80899</v>
      </c>
      <c r="C37" s="33">
        <f t="shared" ref="C37:P37" si="0">SUM(C33:C36)</f>
        <v>81515</v>
      </c>
      <c r="D37" s="33">
        <f t="shared" si="0"/>
        <v>82477</v>
      </c>
      <c r="E37" s="33">
        <f t="shared" si="0"/>
        <v>81497</v>
      </c>
      <c r="F37" s="33">
        <f t="shared" si="0"/>
        <v>81013</v>
      </c>
      <c r="G37" s="33">
        <f t="shared" si="0"/>
        <v>80105</v>
      </c>
      <c r="H37" s="33">
        <f t="shared" si="0"/>
        <v>79640</v>
      </c>
      <c r="I37" s="33">
        <f t="shared" si="0"/>
        <v>77724</v>
      </c>
      <c r="J37" s="33">
        <f t="shared" si="0"/>
        <v>74813</v>
      </c>
      <c r="K37" s="33">
        <f t="shared" si="0"/>
        <v>71407</v>
      </c>
      <c r="L37" s="33">
        <f t="shared" si="0"/>
        <v>70220</v>
      </c>
      <c r="M37" s="33">
        <f t="shared" si="0"/>
        <v>65809</v>
      </c>
      <c r="N37" s="33">
        <f t="shared" si="0"/>
        <v>63908</v>
      </c>
      <c r="O37" s="33">
        <f t="shared" si="0"/>
        <v>61648</v>
      </c>
      <c r="P37" s="33">
        <f t="shared" si="0"/>
        <v>61046</v>
      </c>
    </row>
    <row r="39" spans="1:16" x14ac:dyDescent="0.25">
      <c r="A39" s="39" t="s">
        <v>61</v>
      </c>
    </row>
    <row r="40" spans="1:16" x14ac:dyDescent="0.25">
      <c r="A40" s="35" t="s">
        <v>2</v>
      </c>
      <c r="B40" s="8">
        <f>+ANZ!P28</f>
        <v>8395</v>
      </c>
      <c r="C40" s="8">
        <f>+ANZ!Q28</f>
        <v>8184</v>
      </c>
      <c r="D40" s="8">
        <f>+ANZ!R28</f>
        <v>8131</v>
      </c>
      <c r="E40" s="8">
        <f>+ANZ!S28</f>
        <v>8045</v>
      </c>
      <c r="F40" s="8">
        <f>+ANZ!T28</f>
        <v>7992</v>
      </c>
      <c r="G40" s="8">
        <f>+ANZ!U28</f>
        <v>7736</v>
      </c>
      <c r="H40" s="8">
        <f>+ANZ!V28</f>
        <v>8067</v>
      </c>
      <c r="I40" s="8">
        <f>+ANZ!W28</f>
        <v>7748</v>
      </c>
      <c r="J40" s="8">
        <f>+ANZ!X28</f>
        <v>7545</v>
      </c>
      <c r="K40" s="8">
        <f>+ANZ!Y28</f>
        <v>7157</v>
      </c>
      <c r="L40" s="8">
        <f>+ANZ!Z28</f>
        <v>6875</v>
      </c>
      <c r="M40" s="8">
        <f>+ANZ!AA28</f>
        <v>5542</v>
      </c>
      <c r="N40" s="8">
        <f>+ANZ!AB28</f>
        <v>5656</v>
      </c>
      <c r="O40" s="8">
        <f>+ANZ!AC28</f>
        <v>5053</v>
      </c>
      <c r="P40" s="8">
        <f>+ANZ!AD28</f>
        <v>5206</v>
      </c>
    </row>
    <row r="41" spans="1:16" x14ac:dyDescent="0.25">
      <c r="A41" s="35" t="s">
        <v>3</v>
      </c>
      <c r="B41" s="8">
        <f>+CBA!P28</f>
        <v>9847</v>
      </c>
      <c r="C41" s="8">
        <f>+CBA!Q28</f>
        <v>9945</v>
      </c>
      <c r="D41" s="8">
        <f>+CBA!R28</f>
        <v>9889</v>
      </c>
      <c r="E41" s="8">
        <f>+CBA!S28</f>
        <v>10025</v>
      </c>
      <c r="F41" s="8">
        <f>+CBA!T28</f>
        <v>9906</v>
      </c>
      <c r="G41" s="8">
        <f>+CBA!U28</f>
        <v>9887</v>
      </c>
      <c r="H41" s="8">
        <f>+CBA!V28</f>
        <v>10828</v>
      </c>
      <c r="I41" s="8">
        <f>+CBA!W28</f>
        <v>10533</v>
      </c>
      <c r="J41" s="8">
        <f>+CBA!X28</f>
        <v>10189</v>
      </c>
      <c r="K41" s="8">
        <f>+CBA!Y28</f>
        <v>9977</v>
      </c>
      <c r="L41" s="8">
        <f>+CBA!Z28</f>
        <v>8192</v>
      </c>
      <c r="M41" s="8">
        <f>+CBA!AA28</f>
        <v>8124</v>
      </c>
      <c r="N41" s="8">
        <f>+CBA!AB28</f>
        <v>7865</v>
      </c>
      <c r="O41" s="8">
        <f>+CBA!AC28</f>
        <v>7843</v>
      </c>
      <c r="P41" s="8">
        <f>+CBA!AD28</f>
        <v>7808</v>
      </c>
    </row>
    <row r="42" spans="1:16" x14ac:dyDescent="0.25">
      <c r="A42" s="35" t="s">
        <v>0</v>
      </c>
      <c r="B42" s="8">
        <f>+NAB!P28</f>
        <v>5784</v>
      </c>
      <c r="C42" s="8">
        <f>+NAB!Q28</f>
        <v>5702</v>
      </c>
      <c r="D42" s="8">
        <f>+NAB!R28</f>
        <v>5979</v>
      </c>
      <c r="E42" s="8">
        <f>+NAB!S28</f>
        <v>5907</v>
      </c>
      <c r="F42" s="8">
        <f>+NAB!T28</f>
        <v>5955</v>
      </c>
      <c r="G42" s="8">
        <f>+NAB!U28</f>
        <v>5806</v>
      </c>
      <c r="H42" s="8">
        <f>+NAB!V28</f>
        <v>5883</v>
      </c>
      <c r="I42" s="8">
        <f>+NAB!W28</f>
        <v>5623</v>
      </c>
      <c r="J42" s="8">
        <f>+NAB!X28</f>
        <v>5512</v>
      </c>
      <c r="K42" s="8">
        <f>+NAB!Y28</f>
        <v>5171</v>
      </c>
      <c r="L42" s="8">
        <f>+NAB!Z28</f>
        <v>4916</v>
      </c>
      <c r="M42" s="8">
        <f>+NAB!AA28</f>
        <v>3957</v>
      </c>
      <c r="N42" s="8">
        <f>+NAB!AB28</f>
        <v>4073</v>
      </c>
      <c r="O42" s="8">
        <f>+NAB!AC28</f>
        <v>3657</v>
      </c>
      <c r="P42" s="8">
        <f>+NAB!AD28</f>
        <v>3778</v>
      </c>
    </row>
    <row r="43" spans="1:16" x14ac:dyDescent="0.25">
      <c r="A43" s="35" t="s">
        <v>1</v>
      </c>
      <c r="B43" s="8">
        <f>+WBC!P27</f>
        <v>10227</v>
      </c>
      <c r="C43" s="8">
        <f>+WBC!Q27</f>
        <v>10209</v>
      </c>
      <c r="D43" s="8">
        <f>+WBC!R27</f>
        <v>10467</v>
      </c>
      <c r="E43" s="8">
        <f>+WBC!S27</f>
        <v>10033</v>
      </c>
      <c r="F43" s="8">
        <f>+WBC!T27</f>
        <v>10151</v>
      </c>
      <c r="G43" s="8">
        <f>+WBC!U27</f>
        <v>9835</v>
      </c>
      <c r="H43" s="8">
        <f>+WBC!V27</f>
        <v>9831</v>
      </c>
      <c r="I43" s="8">
        <f>+WBC!W27</f>
        <v>9663</v>
      </c>
      <c r="J43" s="8">
        <f>+WBC!X27</f>
        <v>9618</v>
      </c>
      <c r="K43" s="8">
        <f>+WBC!Y27</f>
        <v>8749</v>
      </c>
      <c r="L43" s="8">
        <f>+WBC!Z27</f>
        <v>8249</v>
      </c>
      <c r="M43" s="8">
        <f>+WBC!AA27</f>
        <v>6675</v>
      </c>
      <c r="N43" s="8">
        <f>+WBC!AB27</f>
        <v>6690</v>
      </c>
      <c r="O43" s="8">
        <f>+WBC!AC27</f>
        <v>5892</v>
      </c>
      <c r="P43" s="8">
        <f>+WBC!AD27</f>
        <v>6118</v>
      </c>
    </row>
    <row r="44" spans="1:16" x14ac:dyDescent="0.25">
      <c r="A44" s="32" t="s">
        <v>40</v>
      </c>
      <c r="B44" s="8">
        <f>SUM(B40:B43)</f>
        <v>34253</v>
      </c>
      <c r="C44" s="8">
        <f t="shared" ref="C44:P44" si="1">SUM(C40:C43)</f>
        <v>34040</v>
      </c>
      <c r="D44" s="8">
        <f t="shared" si="1"/>
        <v>34466</v>
      </c>
      <c r="E44" s="8">
        <f t="shared" si="1"/>
        <v>34010</v>
      </c>
      <c r="F44" s="8">
        <f t="shared" si="1"/>
        <v>34004</v>
      </c>
      <c r="G44" s="8">
        <f t="shared" si="1"/>
        <v>33264</v>
      </c>
      <c r="H44" s="8">
        <f t="shared" si="1"/>
        <v>34609</v>
      </c>
      <c r="I44" s="8">
        <f t="shared" si="1"/>
        <v>33567</v>
      </c>
      <c r="J44" s="8">
        <f t="shared" si="1"/>
        <v>32864</v>
      </c>
      <c r="K44" s="8">
        <f t="shared" si="1"/>
        <v>31054</v>
      </c>
      <c r="L44" s="8">
        <f t="shared" si="1"/>
        <v>28232</v>
      </c>
      <c r="M44" s="8">
        <f t="shared" si="1"/>
        <v>24298</v>
      </c>
      <c r="N44" s="8">
        <f t="shared" si="1"/>
        <v>24284</v>
      </c>
      <c r="O44" s="8">
        <f t="shared" si="1"/>
        <v>22445</v>
      </c>
      <c r="P44" s="8">
        <f t="shared" si="1"/>
        <v>22910</v>
      </c>
    </row>
    <row r="45" spans="1:16" x14ac:dyDescent="0.25">
      <c r="H45" s="5"/>
      <c r="I45" s="5"/>
      <c r="J45" s="5"/>
      <c r="K45" s="5"/>
      <c r="L45" s="5"/>
      <c r="M45" s="5"/>
      <c r="N45" s="5"/>
      <c r="O45" s="5"/>
    </row>
    <row r="46" spans="1:16" s="22" customFormat="1" x14ac:dyDescent="0.25">
      <c r="A46" s="37" t="s">
        <v>62</v>
      </c>
    </row>
    <row r="47" spans="1:16" x14ac:dyDescent="0.25">
      <c r="A47" s="35" t="s">
        <v>2</v>
      </c>
      <c r="B47" s="14">
        <f>+B40/B33</f>
        <v>0.38273912647032005</v>
      </c>
      <c r="C47" s="14">
        <f t="shared" ref="C47:P47" si="2">+C40/C33</f>
        <v>0.37051792828685259</v>
      </c>
      <c r="D47" s="14">
        <f t="shared" si="2"/>
        <v>0.36271579604764242</v>
      </c>
      <c r="E47" s="14">
        <f t="shared" si="2"/>
        <v>0.35907163579558132</v>
      </c>
      <c r="F47" s="14">
        <f t="shared" si="2"/>
        <v>0.35882009608045617</v>
      </c>
      <c r="G47" s="14">
        <f t="shared" si="2"/>
        <v>0.35075946497392879</v>
      </c>
      <c r="H47" s="14">
        <f t="shared" si="2"/>
        <v>0.41730898556722362</v>
      </c>
      <c r="I47" s="14">
        <f t="shared" si="2"/>
        <v>0.4200140944326991</v>
      </c>
      <c r="J47" s="14">
        <f t="shared" si="2"/>
        <v>0.4289612826198192</v>
      </c>
      <c r="K47" s="14">
        <f t="shared" si="2"/>
        <v>0.42992731423079233</v>
      </c>
      <c r="L47" s="14">
        <f t="shared" si="2"/>
        <v>0.42627728174603174</v>
      </c>
      <c r="M47" s="14">
        <f t="shared" si="2"/>
        <v>0.3732992051731106</v>
      </c>
      <c r="N47" s="14">
        <f t="shared" si="2"/>
        <v>0.40042477876106197</v>
      </c>
      <c r="O47" s="14">
        <f t="shared" si="2"/>
        <v>0.36698380419783572</v>
      </c>
      <c r="P47" s="14">
        <f t="shared" si="2"/>
        <v>0.38534418948926719</v>
      </c>
    </row>
    <row r="48" spans="1:16" x14ac:dyDescent="0.25">
      <c r="A48" s="35" t="s">
        <v>3</v>
      </c>
      <c r="B48" s="14">
        <f t="shared" ref="B48:P48" si="3">+B41/B34</f>
        <v>0.36378749815280037</v>
      </c>
      <c r="C48" s="14">
        <f t="shared" si="3"/>
        <v>0.36523559440302616</v>
      </c>
      <c r="D48" s="14">
        <f t="shared" si="3"/>
        <v>0.36190301921317475</v>
      </c>
      <c r="E48" s="14">
        <f t="shared" si="3"/>
        <v>0.36724302146677412</v>
      </c>
      <c r="F48" s="14">
        <f t="shared" si="3"/>
        <v>0.36531936863844222</v>
      </c>
      <c r="G48" s="14">
        <f t="shared" si="3"/>
        <v>0.36956602997794641</v>
      </c>
      <c r="H48" s="14">
        <f t="shared" si="3"/>
        <v>0.37271100096378906</v>
      </c>
      <c r="I48" s="14">
        <f t="shared" si="3"/>
        <v>0.37220396480441004</v>
      </c>
      <c r="J48" s="14">
        <f t="shared" si="3"/>
        <v>0.37225530671148294</v>
      </c>
      <c r="K48" s="14">
        <f t="shared" si="3"/>
        <v>0.37396454139960267</v>
      </c>
      <c r="L48" s="14">
        <f t="shared" si="3"/>
        <v>0.32367932356078866</v>
      </c>
      <c r="M48" s="14">
        <f t="shared" si="3"/>
        <v>0.32989523268090637</v>
      </c>
      <c r="N48" s="14">
        <f t="shared" si="3"/>
        <v>0.32706782550837943</v>
      </c>
      <c r="O48" s="14">
        <f t="shared" si="3"/>
        <v>0.33299367384197343</v>
      </c>
      <c r="P48" s="14">
        <f t="shared" si="3"/>
        <v>0.33377506091565851</v>
      </c>
    </row>
    <row r="49" spans="1:16" x14ac:dyDescent="0.25">
      <c r="A49" s="35" t="s">
        <v>0</v>
      </c>
      <c r="B49" s="14">
        <f t="shared" ref="B49:P49" si="4">+B42/B35</f>
        <v>0.51786193929626645</v>
      </c>
      <c r="C49" s="14">
        <f t="shared" si="4"/>
        <v>0.50585521646557841</v>
      </c>
      <c r="D49" s="14">
        <f t="shared" si="4"/>
        <v>0.5173487929393441</v>
      </c>
      <c r="E49" s="14">
        <f t="shared" si="4"/>
        <v>0.50699510771607592</v>
      </c>
      <c r="F49" s="14">
        <f t="shared" si="4"/>
        <v>0.51023905406563275</v>
      </c>
      <c r="G49" s="14">
        <f t="shared" si="4"/>
        <v>0.50164161050630729</v>
      </c>
      <c r="H49" s="14">
        <f t="shared" si="4"/>
        <v>0.50641301540845318</v>
      </c>
      <c r="I49" s="14">
        <f t="shared" si="4"/>
        <v>0.49589910926889497</v>
      </c>
      <c r="J49" s="14">
        <f t="shared" si="4"/>
        <v>0.50095428519494678</v>
      </c>
      <c r="K49" s="14">
        <f t="shared" si="4"/>
        <v>0.49060721062618595</v>
      </c>
      <c r="L49" s="14">
        <f t="shared" si="4"/>
        <v>0.48281280691416223</v>
      </c>
      <c r="M49" s="14">
        <f t="shared" si="4"/>
        <v>0.42127115937400189</v>
      </c>
      <c r="N49" s="14">
        <f t="shared" si="4"/>
        <v>0.43904279400668317</v>
      </c>
      <c r="O49" s="14">
        <f t="shared" si="4"/>
        <v>0.4094267801164353</v>
      </c>
      <c r="P49" s="14">
        <f t="shared" si="4"/>
        <v>0.42212290502793298</v>
      </c>
    </row>
    <row r="50" spans="1:16" x14ac:dyDescent="0.25">
      <c r="A50" s="35" t="s">
        <v>1</v>
      </c>
      <c r="B50" s="14">
        <f t="shared" ref="B50:P51" si="5">+B43/B36</f>
        <v>0.49339058278656889</v>
      </c>
      <c r="C50" s="14">
        <f t="shared" si="5"/>
        <v>0.48786198986906243</v>
      </c>
      <c r="D50" s="14">
        <f t="shared" si="5"/>
        <v>0.49423930493908774</v>
      </c>
      <c r="E50" s="14">
        <f t="shared" si="5"/>
        <v>0.49808866603782953</v>
      </c>
      <c r="F50" s="14">
        <f t="shared" si="5"/>
        <v>0.5087455520473112</v>
      </c>
      <c r="G50" s="14">
        <f t="shared" si="5"/>
        <v>0.49865639101556558</v>
      </c>
      <c r="H50" s="14">
        <f t="shared" si="5"/>
        <v>0.50056008146639508</v>
      </c>
      <c r="I50" s="14">
        <f t="shared" si="5"/>
        <v>0.49203116248281481</v>
      </c>
      <c r="J50" s="14">
        <f t="shared" si="5"/>
        <v>0.5102387267904509</v>
      </c>
      <c r="K50" s="14">
        <f t="shared" si="5"/>
        <v>0.49877430021093438</v>
      </c>
      <c r="L50" s="14">
        <f t="shared" si="5"/>
        <v>0.44347078114079891</v>
      </c>
      <c r="M50" s="14">
        <f t="shared" si="5"/>
        <v>0.39394475920679889</v>
      </c>
      <c r="N50" s="14">
        <f t="shared" si="5"/>
        <v>0.40646454827146244</v>
      </c>
      <c r="O50" s="14">
        <f t="shared" si="5"/>
        <v>0.38274652461998182</v>
      </c>
      <c r="P50" s="14">
        <f t="shared" si="5"/>
        <v>0.40268544724544197</v>
      </c>
    </row>
    <row r="51" spans="1:16" x14ac:dyDescent="0.25">
      <c r="A51" s="38" t="s">
        <v>40</v>
      </c>
      <c r="B51" s="14">
        <f>+B44/B37</f>
        <v>0.42340449202091496</v>
      </c>
      <c r="C51" s="14">
        <f t="shared" si="5"/>
        <v>0.41759185425995216</v>
      </c>
      <c r="D51" s="14">
        <f t="shared" si="5"/>
        <v>0.41788619857657289</v>
      </c>
      <c r="E51" s="14">
        <f t="shared" si="5"/>
        <v>0.41731597482115906</v>
      </c>
      <c r="F51" s="14">
        <f t="shared" si="5"/>
        <v>0.41973510424252897</v>
      </c>
      <c r="G51" s="14">
        <f t="shared" si="5"/>
        <v>0.41525497784158294</v>
      </c>
      <c r="H51" s="14">
        <f t="shared" si="5"/>
        <v>0.4345680562531391</v>
      </c>
      <c r="I51" s="14">
        <f t="shared" si="5"/>
        <v>0.43187432453296282</v>
      </c>
      <c r="J51" s="14">
        <f t="shared" si="5"/>
        <v>0.43928194297782469</v>
      </c>
      <c r="K51" s="14">
        <f t="shared" si="5"/>
        <v>0.43488733597546458</v>
      </c>
      <c r="L51" s="14">
        <f t="shared" si="5"/>
        <v>0.40205069780689262</v>
      </c>
      <c r="M51" s="14">
        <f t="shared" si="5"/>
        <v>0.36922001549939976</v>
      </c>
      <c r="N51" s="14">
        <f t="shared" si="5"/>
        <v>0.37998372660699758</v>
      </c>
      <c r="O51" s="14">
        <f t="shared" si="5"/>
        <v>0.36408318193615363</v>
      </c>
      <c r="P51" s="14">
        <f t="shared" si="5"/>
        <v>0.37529076434164399</v>
      </c>
    </row>
  </sheetData>
  <phoneticPr fontId="11" type="noConversion"/>
  <pageMargins left="0.23622047244094491" right="0.23622047244094491" top="0.15748031496062992" bottom="0.15748031496062992" header="0.31496062992125984" footer="0.31496062992125984"/>
  <pageSetup paperSize="9" scale="78" orientation="landscape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B050"/>
    <pageSetUpPr fitToPage="1"/>
  </sheetPr>
  <dimension ref="A1:AE78"/>
  <sheetViews>
    <sheetView workbookViewId="0">
      <pane xSplit="1" ySplit="1" topLeftCell="S11" activePane="bottomRight" state="frozen"/>
      <selection pane="topRight" activeCell="B1" sqref="B1"/>
      <selection pane="bottomLeft" activeCell="A3" sqref="A3"/>
      <selection pane="bottomRight" activeCell="Z5" sqref="Z5:AD5"/>
    </sheetView>
  </sheetViews>
  <sheetFormatPr defaultRowHeight="15" x14ac:dyDescent="0.25"/>
  <cols>
    <col min="1" max="1" width="45.42578125" style="2" bestFit="1" customWidth="1"/>
    <col min="2" max="16" width="12" customWidth="1"/>
    <col min="17" max="26" width="10.85546875" customWidth="1"/>
    <col min="27" max="28" width="11.28515625" customWidth="1"/>
    <col min="29" max="29" width="11.28515625" bestFit="1" customWidth="1"/>
    <col min="30" max="30" width="10.28515625" bestFit="1" customWidth="1"/>
  </cols>
  <sheetData>
    <row r="1" spans="1:31" s="22" customFormat="1" x14ac:dyDescent="0.25">
      <c r="A1" s="23"/>
      <c r="B1" s="22">
        <v>39538</v>
      </c>
      <c r="C1" s="22">
        <v>39721</v>
      </c>
      <c r="D1" s="22">
        <v>39903</v>
      </c>
      <c r="E1" s="22">
        <v>40086</v>
      </c>
      <c r="F1" s="22">
        <v>40268</v>
      </c>
      <c r="G1" s="22">
        <v>40451</v>
      </c>
      <c r="H1" s="22">
        <v>40633</v>
      </c>
      <c r="I1" s="22">
        <v>40816</v>
      </c>
      <c r="J1" s="22">
        <v>40999</v>
      </c>
      <c r="K1" s="22">
        <v>41182</v>
      </c>
      <c r="L1" s="22">
        <v>41364</v>
      </c>
      <c r="M1" s="22">
        <v>41547</v>
      </c>
      <c r="N1" s="22">
        <v>41729</v>
      </c>
      <c r="O1" s="22">
        <v>41912</v>
      </c>
      <c r="P1" s="22">
        <v>42094</v>
      </c>
      <c r="Q1" s="22">
        <v>42277</v>
      </c>
      <c r="R1" s="22">
        <v>42460</v>
      </c>
      <c r="S1" s="22">
        <v>42643</v>
      </c>
      <c r="T1" s="22">
        <v>42825</v>
      </c>
      <c r="U1" s="22">
        <v>43008</v>
      </c>
      <c r="V1" s="22">
        <v>43190</v>
      </c>
      <c r="W1" s="22">
        <v>43344</v>
      </c>
      <c r="X1" s="22">
        <v>43525</v>
      </c>
      <c r="Y1" s="22">
        <v>43709</v>
      </c>
      <c r="Z1" s="22">
        <v>43891</v>
      </c>
      <c r="AA1" s="22">
        <v>44075</v>
      </c>
      <c r="AB1" s="22">
        <v>44256</v>
      </c>
      <c r="AC1" s="22">
        <v>44440</v>
      </c>
      <c r="AD1" s="22">
        <v>44621</v>
      </c>
      <c r="AE1" s="22">
        <v>44805</v>
      </c>
    </row>
    <row r="2" spans="1:31" s="8" customFormat="1" x14ac:dyDescent="0.25">
      <c r="A2" s="12" t="s">
        <v>10</v>
      </c>
    </row>
    <row r="3" spans="1:31" s="8" customFormat="1" x14ac:dyDescent="0.25">
      <c r="A3" s="24" t="s">
        <v>20</v>
      </c>
      <c r="C3" s="8">
        <v>8703</v>
      </c>
      <c r="D3" s="8">
        <v>8900</v>
      </c>
      <c r="E3" s="8">
        <v>6852</v>
      </c>
      <c r="F3" s="8">
        <v>7238</v>
      </c>
      <c r="G3" s="8">
        <v>7205</v>
      </c>
      <c r="H3" s="8">
        <v>7552</v>
      </c>
      <c r="I3" s="8">
        <v>7468</v>
      </c>
      <c r="J3" s="8">
        <v>7610</v>
      </c>
      <c r="K3" s="8">
        <v>7092</v>
      </c>
      <c r="L3" s="8">
        <v>7234</v>
      </c>
      <c r="M3" s="8">
        <v>7219</v>
      </c>
      <c r="N3" s="8">
        <v>7260</v>
      </c>
      <c r="O3" s="8">
        <v>7546</v>
      </c>
      <c r="P3" s="8">
        <v>7775</v>
      </c>
      <c r="Q3" s="8">
        <v>7546</v>
      </c>
      <c r="R3" s="8">
        <v>7744</v>
      </c>
      <c r="S3" s="8">
        <v>7334</v>
      </c>
      <c r="T3" s="8">
        <v>7513</v>
      </c>
      <c r="U3" s="8">
        <v>7059</v>
      </c>
      <c r="V3" s="8">
        <v>6845</v>
      </c>
      <c r="W3" s="8">
        <v>6314</v>
      </c>
      <c r="X3" s="8">
        <v>5795</v>
      </c>
      <c r="Y3" s="8">
        <v>5255</v>
      </c>
      <c r="Z3" s="8">
        <v>4956</v>
      </c>
      <c r="AA3" s="8">
        <v>4337</v>
      </c>
      <c r="AB3" s="8">
        <v>3678</v>
      </c>
      <c r="AC3" s="8">
        <v>3723</v>
      </c>
      <c r="AD3" s="8">
        <v>3418</v>
      </c>
    </row>
    <row r="4" spans="1:31" s="8" customFormat="1" x14ac:dyDescent="0.25">
      <c r="A4" s="24" t="s">
        <v>7</v>
      </c>
      <c r="C4" s="8">
        <v>0</v>
      </c>
      <c r="D4" s="8">
        <v>0</v>
      </c>
      <c r="E4" s="8">
        <v>0</v>
      </c>
      <c r="F4" s="8">
        <v>4</v>
      </c>
      <c r="G4" s="8">
        <v>1841</v>
      </c>
      <c r="H4" s="8">
        <v>2207</v>
      </c>
      <c r="I4" s="8">
        <v>2344</v>
      </c>
      <c r="J4" s="8">
        <v>1933</v>
      </c>
      <c r="K4" s="8">
        <v>1934</v>
      </c>
    </row>
    <row r="5" spans="1:31" s="8" customFormat="1" x14ac:dyDescent="0.25">
      <c r="A5" s="12"/>
      <c r="C5" s="8">
        <f>+C3+C4</f>
        <v>8703</v>
      </c>
      <c r="D5" s="8">
        <f t="shared" ref="D5:AD5" si="0">+D3+D4</f>
        <v>8900</v>
      </c>
      <c r="E5" s="8">
        <f t="shared" si="0"/>
        <v>6852</v>
      </c>
      <c r="F5" s="8">
        <f t="shared" si="0"/>
        <v>7242</v>
      </c>
      <c r="G5" s="8">
        <f t="shared" si="0"/>
        <v>9046</v>
      </c>
      <c r="H5" s="8">
        <f t="shared" si="0"/>
        <v>9759</v>
      </c>
      <c r="I5" s="8">
        <f t="shared" si="0"/>
        <v>9812</v>
      </c>
      <c r="J5" s="8">
        <f t="shared" si="0"/>
        <v>9543</v>
      </c>
      <c r="K5" s="8">
        <f t="shared" si="0"/>
        <v>9026</v>
      </c>
      <c r="L5" s="8">
        <f t="shared" si="0"/>
        <v>7234</v>
      </c>
      <c r="M5" s="8">
        <f t="shared" si="0"/>
        <v>7219</v>
      </c>
      <c r="N5" s="8">
        <f t="shared" si="0"/>
        <v>7260</v>
      </c>
      <c r="O5" s="8">
        <f t="shared" si="0"/>
        <v>7546</v>
      </c>
      <c r="P5" s="8">
        <f t="shared" si="0"/>
        <v>7775</v>
      </c>
      <c r="Q5" s="8">
        <f t="shared" si="0"/>
        <v>7546</v>
      </c>
      <c r="R5" s="8">
        <f t="shared" si="0"/>
        <v>7744</v>
      </c>
      <c r="S5" s="8">
        <f t="shared" si="0"/>
        <v>7334</v>
      </c>
      <c r="T5" s="8">
        <f t="shared" si="0"/>
        <v>7513</v>
      </c>
      <c r="U5" s="8">
        <f t="shared" si="0"/>
        <v>7059</v>
      </c>
      <c r="V5" s="8">
        <f t="shared" si="0"/>
        <v>6845</v>
      </c>
      <c r="W5" s="8">
        <f t="shared" si="0"/>
        <v>6314</v>
      </c>
      <c r="X5" s="8">
        <f t="shared" si="0"/>
        <v>5795</v>
      </c>
      <c r="Y5" s="8">
        <f t="shared" si="0"/>
        <v>5255</v>
      </c>
      <c r="Z5" s="8">
        <f t="shared" si="0"/>
        <v>4956</v>
      </c>
      <c r="AA5" s="8">
        <f t="shared" si="0"/>
        <v>4337</v>
      </c>
      <c r="AB5" s="8">
        <f t="shared" si="0"/>
        <v>3678</v>
      </c>
      <c r="AC5" s="8">
        <f t="shared" si="0"/>
        <v>3723</v>
      </c>
      <c r="AD5" s="8">
        <f t="shared" si="0"/>
        <v>3418</v>
      </c>
    </row>
    <row r="6" spans="1:31" s="8" customFormat="1" x14ac:dyDescent="0.25">
      <c r="A6" s="12" t="s">
        <v>9</v>
      </c>
    </row>
    <row r="7" spans="1:31" s="8" customFormat="1" x14ac:dyDescent="0.25">
      <c r="A7" s="24" t="s">
        <v>20</v>
      </c>
      <c r="C7" s="8">
        <v>23458</v>
      </c>
      <c r="D7" s="8">
        <v>23604</v>
      </c>
      <c r="E7" s="8">
        <v>19820</v>
      </c>
      <c r="F7" s="8">
        <v>20396</v>
      </c>
      <c r="G7" s="8">
        <v>20764</v>
      </c>
      <c r="H7" s="8">
        <v>21020</v>
      </c>
      <c r="I7" s="8">
        <v>21219</v>
      </c>
      <c r="J7" s="8">
        <v>21387</v>
      </c>
      <c r="K7" s="8">
        <v>21388</v>
      </c>
      <c r="L7" s="8">
        <f>+L24</f>
        <v>20951</v>
      </c>
      <c r="M7" s="8">
        <f>+M24</f>
        <v>21174</v>
      </c>
      <c r="N7" s="8">
        <f>+N24</f>
        <v>21124</v>
      </c>
      <c r="O7" s="8">
        <f>+O24</f>
        <v>21471</v>
      </c>
      <c r="P7" s="8">
        <f>+P24</f>
        <v>21934</v>
      </c>
      <c r="Q7" s="8">
        <v>22088</v>
      </c>
      <c r="R7" s="8">
        <v>22417</v>
      </c>
      <c r="S7" s="8">
        <v>22395</v>
      </c>
      <c r="T7" s="8">
        <v>22273</v>
      </c>
      <c r="U7" s="8">
        <v>22055</v>
      </c>
      <c r="V7" s="8">
        <v>19331</v>
      </c>
      <c r="W7" s="8">
        <v>18447</v>
      </c>
      <c r="X7" s="8">
        <v>18018</v>
      </c>
      <c r="Y7" s="8">
        <v>16647</v>
      </c>
      <c r="Z7" s="8">
        <v>16128</v>
      </c>
      <c r="AA7" s="8">
        <v>14846</v>
      </c>
      <c r="AB7" s="8">
        <v>14125</v>
      </c>
      <c r="AC7" s="8">
        <v>13769</v>
      </c>
      <c r="AD7" s="8">
        <v>13510</v>
      </c>
    </row>
    <row r="8" spans="1:31" s="8" customFormat="1" x14ac:dyDescent="0.25">
      <c r="A8" s="24" t="s">
        <v>7</v>
      </c>
      <c r="C8" s="8">
        <v>0</v>
      </c>
      <c r="D8" s="8">
        <v>0</v>
      </c>
      <c r="E8" s="8">
        <v>0</v>
      </c>
      <c r="F8" s="8">
        <v>4</v>
      </c>
      <c r="G8" s="8">
        <v>1841</v>
      </c>
      <c r="H8" s="8">
        <v>1791</v>
      </c>
      <c r="I8" s="8">
        <v>2101</v>
      </c>
      <c r="J8" s="8">
        <v>1924</v>
      </c>
      <c r="K8" s="8">
        <v>1925</v>
      </c>
    </row>
    <row r="9" spans="1:31" s="8" customFormat="1" x14ac:dyDescent="0.25">
      <c r="A9" s="25"/>
    </row>
    <row r="10" spans="1:31" s="8" customFormat="1" x14ac:dyDescent="0.25">
      <c r="A10" s="12" t="s">
        <v>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93</v>
      </c>
      <c r="I10" s="8">
        <v>86</v>
      </c>
      <c r="J10" s="8">
        <v>93</v>
      </c>
      <c r="K10" s="8">
        <v>94</v>
      </c>
      <c r="L10" s="8">
        <v>0</v>
      </c>
      <c r="M10" s="8">
        <v>78</v>
      </c>
      <c r="N10" s="8">
        <v>86</v>
      </c>
      <c r="O10" s="8">
        <v>77</v>
      </c>
      <c r="P10" s="8">
        <v>88</v>
      </c>
      <c r="Q10" s="8">
        <v>88</v>
      </c>
      <c r="R10" s="8">
        <v>95</v>
      </c>
      <c r="S10" s="8">
        <v>89</v>
      </c>
      <c r="T10" s="8">
        <v>88</v>
      </c>
      <c r="U10" s="8">
        <v>87</v>
      </c>
      <c r="V10" s="8">
        <v>86</v>
      </c>
      <c r="W10" s="8">
        <v>76</v>
      </c>
      <c r="X10" s="8">
        <v>76</v>
      </c>
      <c r="Y10" s="8">
        <v>69</v>
      </c>
      <c r="Z10" s="8">
        <v>78</v>
      </c>
      <c r="AA10" s="8">
        <v>47</v>
      </c>
      <c r="AB10" s="8">
        <v>38</v>
      </c>
      <c r="AC10" s="8">
        <v>33</v>
      </c>
      <c r="AD10" s="8">
        <v>33</v>
      </c>
    </row>
    <row r="11" spans="1:31" s="8" customFormat="1" x14ac:dyDescent="0.25">
      <c r="A11" s="12" t="s">
        <v>64</v>
      </c>
      <c r="C11" s="8">
        <v>67</v>
      </c>
      <c r="D11" s="8">
        <v>77</v>
      </c>
      <c r="E11" s="8">
        <v>70</v>
      </c>
      <c r="F11" s="8">
        <v>78</v>
      </c>
      <c r="G11" s="8">
        <v>84</v>
      </c>
      <c r="H11" s="8">
        <v>0</v>
      </c>
      <c r="I11" s="8">
        <v>0</v>
      </c>
      <c r="J11" s="8">
        <v>0</v>
      </c>
      <c r="K11" s="8">
        <v>1</v>
      </c>
      <c r="L11" s="8">
        <v>94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31" s="8" customFormat="1" x14ac:dyDescent="0.25">
      <c r="A12" s="12" t="s">
        <v>24</v>
      </c>
      <c r="C12" s="8">
        <v>135</v>
      </c>
      <c r="D12" s="8">
        <v>124</v>
      </c>
      <c r="E12" s="8">
        <f>264-124</f>
        <v>140</v>
      </c>
      <c r="F12" s="8">
        <v>128</v>
      </c>
      <c r="G12" s="8">
        <v>134</v>
      </c>
      <c r="H12" s="8">
        <v>135</v>
      </c>
      <c r="I12" s="8">
        <v>154</v>
      </c>
      <c r="J12" s="8">
        <v>146</v>
      </c>
      <c r="K12" s="8">
        <v>147</v>
      </c>
      <c r="L12" s="8">
        <v>146</v>
      </c>
      <c r="M12" s="8">
        <v>152</v>
      </c>
      <c r="N12" s="8">
        <v>134</v>
      </c>
      <c r="O12" s="8">
        <v>139</v>
      </c>
      <c r="P12" s="8">
        <v>129</v>
      </c>
      <c r="Q12" s="8">
        <v>145</v>
      </c>
      <c r="R12" s="8">
        <v>130</v>
      </c>
      <c r="S12" s="8">
        <v>141</v>
      </c>
      <c r="T12" s="8">
        <v>141</v>
      </c>
      <c r="U12" s="8">
        <v>137</v>
      </c>
      <c r="V12" s="8">
        <v>139</v>
      </c>
      <c r="W12" s="8">
        <v>140</v>
      </c>
      <c r="X12" s="8">
        <v>123</v>
      </c>
      <c r="Y12" s="8">
        <v>126</v>
      </c>
      <c r="Z12" s="8">
        <v>113</v>
      </c>
      <c r="AA12" s="8">
        <v>107</v>
      </c>
      <c r="AB12" s="8">
        <v>61</v>
      </c>
      <c r="AC12" s="8">
        <v>34</v>
      </c>
      <c r="AD12" s="8">
        <v>32</v>
      </c>
    </row>
    <row r="13" spans="1:31" s="8" customFormat="1" x14ac:dyDescent="0.25">
      <c r="A13" s="27" t="s">
        <v>41</v>
      </c>
      <c r="D13" s="8">
        <v>108</v>
      </c>
      <c r="E13" s="8">
        <f>229-108</f>
        <v>121</v>
      </c>
      <c r="R13" s="8">
        <v>96</v>
      </c>
      <c r="S13" s="8">
        <v>104</v>
      </c>
      <c r="T13" s="8">
        <v>104</v>
      </c>
      <c r="U13" s="8">
        <v>104</v>
      </c>
      <c r="V13" s="8">
        <v>104</v>
      </c>
      <c r="W13" s="8">
        <v>93</v>
      </c>
      <c r="X13" s="8">
        <v>85</v>
      </c>
      <c r="Y13" s="8">
        <v>87</v>
      </c>
      <c r="Z13" s="8">
        <v>81</v>
      </c>
      <c r="AC13" s="8">
        <v>60</v>
      </c>
      <c r="AD13" s="8">
        <v>58</v>
      </c>
    </row>
    <row r="14" spans="1:31" s="8" customFormat="1" x14ac:dyDescent="0.25">
      <c r="A14" s="27" t="s">
        <v>29</v>
      </c>
      <c r="L14" s="8">
        <v>112</v>
      </c>
      <c r="M14" s="8">
        <v>115</v>
      </c>
      <c r="N14" s="8">
        <v>97</v>
      </c>
      <c r="O14" s="8">
        <v>100</v>
      </c>
      <c r="P14" s="8">
        <v>89</v>
      </c>
      <c r="Q14" s="8">
        <v>78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31" s="8" customFormat="1" x14ac:dyDescent="0.25">
      <c r="A15" s="12"/>
    </row>
    <row r="16" spans="1:31" s="8" customFormat="1" x14ac:dyDescent="0.25">
      <c r="A16" s="12" t="s">
        <v>63</v>
      </c>
    </row>
    <row r="17" spans="1:30" s="8" customFormat="1" x14ac:dyDescent="0.25">
      <c r="A17" s="24" t="s">
        <v>76</v>
      </c>
      <c r="C17" s="8">
        <v>10556</v>
      </c>
      <c r="D17" s="8">
        <v>10874</v>
      </c>
      <c r="E17" s="8">
        <v>10196</v>
      </c>
      <c r="F17" s="8">
        <v>10390</v>
      </c>
      <c r="G17" s="8">
        <v>10596</v>
      </c>
      <c r="H17" s="8">
        <v>10723</v>
      </c>
      <c r="I17" s="8">
        <v>10800</v>
      </c>
      <c r="J17" s="8">
        <v>10951</v>
      </c>
      <c r="K17" s="8">
        <v>11068</v>
      </c>
      <c r="L17" s="8">
        <v>11148</v>
      </c>
      <c r="M17" s="8">
        <v>11246</v>
      </c>
      <c r="N17" s="8">
        <v>11255</v>
      </c>
      <c r="O17" s="8">
        <v>11239</v>
      </c>
      <c r="P17" s="8">
        <v>11255</v>
      </c>
      <c r="Q17" s="8">
        <v>11409</v>
      </c>
      <c r="R17" s="8">
        <v>11546</v>
      </c>
      <c r="S17" s="8">
        <v>0</v>
      </c>
      <c r="T17" s="8">
        <v>11810</v>
      </c>
      <c r="U17" s="8">
        <v>0</v>
      </c>
      <c r="V17" s="8">
        <v>5799</v>
      </c>
      <c r="W17" s="8">
        <v>5776</v>
      </c>
      <c r="X17" s="8">
        <v>5700</v>
      </c>
      <c r="Y17" s="8">
        <v>5635</v>
      </c>
      <c r="Z17" s="8">
        <v>5464</v>
      </c>
      <c r="AA17" s="8">
        <v>5305</v>
      </c>
      <c r="AB17" s="8">
        <v>5274</v>
      </c>
      <c r="AC17" s="8">
        <v>5276</v>
      </c>
      <c r="AD17" s="8">
        <v>3636</v>
      </c>
    </row>
    <row r="18" spans="1:30" s="8" customFormat="1" x14ac:dyDescent="0.25">
      <c r="A18" s="24" t="s">
        <v>77</v>
      </c>
      <c r="C18" s="8">
        <v>2155</v>
      </c>
      <c r="D18" s="8">
        <v>2141</v>
      </c>
      <c r="E18" s="8">
        <v>249</v>
      </c>
      <c r="F18" s="8">
        <v>274</v>
      </c>
      <c r="G18" s="8">
        <v>290</v>
      </c>
      <c r="H18" s="8">
        <v>300</v>
      </c>
      <c r="I18" s="8">
        <v>319</v>
      </c>
      <c r="J18" s="8">
        <v>355</v>
      </c>
      <c r="K18" s="8">
        <v>121</v>
      </c>
      <c r="L18" s="8">
        <v>167</v>
      </c>
      <c r="M18" s="8">
        <v>219</v>
      </c>
      <c r="N18" s="8">
        <v>257</v>
      </c>
      <c r="O18" s="8">
        <v>291</v>
      </c>
      <c r="P18" s="8">
        <v>377</v>
      </c>
      <c r="Q18" s="8">
        <v>435</v>
      </c>
      <c r="R18" s="8">
        <v>516</v>
      </c>
      <c r="S18" s="8">
        <v>11715</v>
      </c>
      <c r="T18" s="8">
        <v>0</v>
      </c>
      <c r="U18" s="8">
        <v>11785</v>
      </c>
      <c r="V18" s="8">
        <v>4005</v>
      </c>
      <c r="W18" s="8">
        <v>3911</v>
      </c>
      <c r="X18" s="8">
        <v>3914</v>
      </c>
      <c r="Y18" s="8">
        <v>3681</v>
      </c>
      <c r="Z18" s="8">
        <v>3607</v>
      </c>
      <c r="AA18" s="8">
        <v>3405</v>
      </c>
      <c r="AB18" s="8">
        <v>3443</v>
      </c>
      <c r="AC18" s="8">
        <v>3256</v>
      </c>
      <c r="AD18" s="8">
        <v>4279</v>
      </c>
    </row>
    <row r="19" spans="1:30" s="8" customFormat="1" x14ac:dyDescent="0.25">
      <c r="A19" s="24" t="s">
        <v>78</v>
      </c>
      <c r="C19" s="8">
        <v>2018</v>
      </c>
      <c r="D19" s="8">
        <v>1790</v>
      </c>
      <c r="E19" s="8">
        <v>1843</v>
      </c>
      <c r="F19" s="8">
        <v>1824</v>
      </c>
      <c r="G19" s="8">
        <v>1925</v>
      </c>
      <c r="H19" s="8">
        <v>1865</v>
      </c>
      <c r="I19" s="8">
        <v>1884</v>
      </c>
      <c r="J19" s="8">
        <v>1872</v>
      </c>
      <c r="K19" s="8">
        <v>1891</v>
      </c>
      <c r="L19" s="8">
        <v>1859</v>
      </c>
      <c r="M19" s="8">
        <v>1904</v>
      </c>
      <c r="N19" s="8">
        <v>1814</v>
      </c>
      <c r="O19" s="8">
        <v>1861</v>
      </c>
      <c r="P19" s="8">
        <v>1944</v>
      </c>
      <c r="Q19" s="8">
        <v>2007</v>
      </c>
      <c r="R19" s="8">
        <v>2072</v>
      </c>
      <c r="S19" s="8">
        <v>2815</v>
      </c>
      <c r="T19" s="8">
        <v>2666</v>
      </c>
      <c r="U19" s="8">
        <v>2833</v>
      </c>
      <c r="V19" s="8">
        <v>1590</v>
      </c>
      <c r="W19" s="8">
        <v>1521</v>
      </c>
      <c r="X19" s="8">
        <v>1358</v>
      </c>
      <c r="Y19" s="8">
        <v>1317</v>
      </c>
      <c r="Z19" s="8">
        <v>1242</v>
      </c>
      <c r="AA19" s="8">
        <v>1176</v>
      </c>
      <c r="AB19" s="8">
        <v>1137</v>
      </c>
      <c r="AC19" s="8">
        <v>1082</v>
      </c>
      <c r="AD19" s="8">
        <v>1491</v>
      </c>
    </row>
    <row r="20" spans="1:30" s="8" customFormat="1" x14ac:dyDescent="0.25">
      <c r="A20" s="24" t="s">
        <v>79</v>
      </c>
      <c r="C20" s="8">
        <v>5439</v>
      </c>
      <c r="D20" s="8">
        <v>5454</v>
      </c>
      <c r="E20" s="8">
        <v>4598</v>
      </c>
      <c r="F20" s="8">
        <v>4688</v>
      </c>
      <c r="G20" s="8">
        <v>4901</v>
      </c>
      <c r="H20" s="8">
        <v>4769</v>
      </c>
      <c r="I20" s="8">
        <v>4956</v>
      </c>
      <c r="J20" s="8">
        <v>4997</v>
      </c>
      <c r="K20" s="8">
        <v>4932</v>
      </c>
      <c r="L20" s="8">
        <v>4697</v>
      </c>
      <c r="M20" s="8">
        <v>4797</v>
      </c>
      <c r="N20" s="8">
        <v>4774</v>
      </c>
      <c r="O20" s="8">
        <v>4726</v>
      </c>
      <c r="P20" s="8">
        <v>4910</v>
      </c>
      <c r="Q20" s="8">
        <v>5110</v>
      </c>
      <c r="R20" s="8">
        <v>5020</v>
      </c>
      <c r="S20" s="8">
        <v>5149</v>
      </c>
      <c r="T20" s="8">
        <v>4753</v>
      </c>
      <c r="U20" s="8">
        <v>4825</v>
      </c>
      <c r="V20" s="8">
        <v>5184</v>
      </c>
      <c r="W20" s="8">
        <v>4695</v>
      </c>
      <c r="X20" s="8">
        <v>4262</v>
      </c>
      <c r="Y20" s="8">
        <v>3996</v>
      </c>
      <c r="Z20" s="8">
        <v>3872</v>
      </c>
      <c r="AA20" s="8">
        <v>3371</v>
      </c>
      <c r="AB20" s="8">
        <v>2962</v>
      </c>
      <c r="AC20" s="8">
        <v>2938</v>
      </c>
      <c r="AD20" s="8">
        <v>3018</v>
      </c>
    </row>
    <row r="21" spans="1:30" s="8" customFormat="1" x14ac:dyDescent="0.25">
      <c r="A21" s="24" t="s">
        <v>80</v>
      </c>
      <c r="C21" s="8">
        <v>2203</v>
      </c>
      <c r="D21" s="8">
        <v>2073</v>
      </c>
      <c r="E21" s="8">
        <v>1860</v>
      </c>
      <c r="F21" s="8">
        <v>2044</v>
      </c>
      <c r="G21" s="8">
        <v>1953</v>
      </c>
      <c r="H21" s="8">
        <v>2131</v>
      </c>
      <c r="I21" s="8">
        <v>2069</v>
      </c>
      <c r="J21" s="8">
        <v>1939</v>
      </c>
      <c r="K21" s="8">
        <v>1778</v>
      </c>
      <c r="L21" s="8">
        <v>1940</v>
      </c>
      <c r="M21" s="8">
        <v>1962</v>
      </c>
      <c r="N21" s="8">
        <v>1933</v>
      </c>
      <c r="O21" s="8">
        <v>2395</v>
      </c>
      <c r="P21" s="8">
        <v>2317</v>
      </c>
      <c r="Q21" s="8">
        <v>2103</v>
      </c>
      <c r="R21" s="8">
        <v>2188</v>
      </c>
      <c r="S21" s="8">
        <v>1755</v>
      </c>
      <c r="T21" s="8">
        <v>2008</v>
      </c>
      <c r="U21" s="8">
        <v>1723</v>
      </c>
      <c r="V21" s="8">
        <v>1902</v>
      </c>
      <c r="W21" s="8">
        <v>1767</v>
      </c>
      <c r="X21" s="8">
        <v>1638</v>
      </c>
      <c r="Y21" s="8">
        <v>1334</v>
      </c>
      <c r="Z21" s="8">
        <v>1245</v>
      </c>
      <c r="AA21" s="8">
        <v>983</v>
      </c>
      <c r="AB21" s="8">
        <v>852</v>
      </c>
      <c r="AC21" s="8">
        <v>784</v>
      </c>
      <c r="AD21" s="8">
        <v>772</v>
      </c>
    </row>
    <row r="22" spans="1:30" s="8" customFormat="1" x14ac:dyDescent="0.25">
      <c r="A22" s="26" t="s">
        <v>81</v>
      </c>
      <c r="C22" s="8">
        <v>947</v>
      </c>
      <c r="D22" s="8">
        <v>1103</v>
      </c>
      <c r="E22" s="8">
        <v>921</v>
      </c>
      <c r="F22" s="8">
        <v>1019</v>
      </c>
      <c r="G22" s="8">
        <v>958</v>
      </c>
      <c r="H22" s="8">
        <v>1071</v>
      </c>
      <c r="I22" s="8">
        <v>1035</v>
      </c>
      <c r="J22" s="8">
        <v>1104</v>
      </c>
      <c r="K22" s="8">
        <v>962</v>
      </c>
      <c r="L22" s="8">
        <v>974</v>
      </c>
      <c r="M22" s="8">
        <v>889</v>
      </c>
      <c r="N22" s="8">
        <v>929</v>
      </c>
      <c r="O22" s="8">
        <v>804</v>
      </c>
      <c r="P22" s="8">
        <v>968</v>
      </c>
      <c r="Q22" s="8">
        <v>863</v>
      </c>
      <c r="R22" s="8">
        <v>905</v>
      </c>
      <c r="S22" s="8">
        <v>799</v>
      </c>
      <c r="T22" s="8">
        <v>861</v>
      </c>
      <c r="U22" s="8">
        <v>724</v>
      </c>
      <c r="V22" s="8">
        <v>768</v>
      </c>
      <c r="W22" s="8">
        <v>703</v>
      </c>
      <c r="X22" s="8">
        <v>644</v>
      </c>
      <c r="Y22" s="8">
        <v>617</v>
      </c>
      <c r="Z22" s="8">
        <v>624</v>
      </c>
      <c r="AA22" s="8">
        <v>565</v>
      </c>
      <c r="AB22" s="8">
        <v>424</v>
      </c>
      <c r="AC22" s="8">
        <v>397</v>
      </c>
      <c r="AD22" s="8">
        <v>279</v>
      </c>
    </row>
    <row r="23" spans="1:30" s="8" customFormat="1" x14ac:dyDescent="0.25">
      <c r="A23" s="26" t="s">
        <v>4</v>
      </c>
      <c r="C23" s="8">
        <v>140</v>
      </c>
      <c r="D23" s="8">
        <v>169</v>
      </c>
      <c r="E23" s="8">
        <v>153</v>
      </c>
      <c r="F23" s="8">
        <v>157</v>
      </c>
      <c r="G23" s="8">
        <v>141</v>
      </c>
      <c r="H23" s="8">
        <v>161</v>
      </c>
      <c r="I23" s="8">
        <v>156</v>
      </c>
      <c r="J23" s="8">
        <v>169</v>
      </c>
      <c r="K23" s="8">
        <v>160</v>
      </c>
      <c r="L23" s="8">
        <v>166</v>
      </c>
      <c r="M23" s="8">
        <v>157</v>
      </c>
      <c r="N23" s="8">
        <v>162</v>
      </c>
      <c r="O23" s="8">
        <v>155</v>
      </c>
      <c r="P23" s="8">
        <v>163</v>
      </c>
      <c r="Q23" s="8">
        <v>161</v>
      </c>
      <c r="R23" s="8">
        <v>170</v>
      </c>
      <c r="S23" s="8">
        <v>172</v>
      </c>
      <c r="T23" s="8">
        <v>175</v>
      </c>
      <c r="U23" s="8">
        <v>165</v>
      </c>
      <c r="V23" s="8">
        <v>83</v>
      </c>
      <c r="W23" s="8">
        <v>74</v>
      </c>
      <c r="X23" s="8">
        <v>73</v>
      </c>
      <c r="Y23" s="8">
        <v>67</v>
      </c>
      <c r="Z23" s="8">
        <v>74</v>
      </c>
      <c r="AA23" s="8">
        <v>41</v>
      </c>
      <c r="AB23" s="8">
        <v>33</v>
      </c>
      <c r="AC23" s="8">
        <v>36</v>
      </c>
      <c r="AD23" s="8">
        <v>35</v>
      </c>
    </row>
    <row r="24" spans="1:30" s="8" customFormat="1" x14ac:dyDescent="0.25">
      <c r="A24" s="26" t="s">
        <v>5</v>
      </c>
      <c r="C24" s="8">
        <f>SUM(C17:C23)</f>
        <v>23458</v>
      </c>
      <c r="D24" s="8">
        <f t="shared" ref="D24:J24" si="1">SUM(D17:D23)</f>
        <v>23604</v>
      </c>
      <c r="E24" s="8">
        <f t="shared" si="1"/>
        <v>19820</v>
      </c>
      <c r="F24" s="8">
        <f t="shared" si="1"/>
        <v>20396</v>
      </c>
      <c r="G24" s="8">
        <f t="shared" si="1"/>
        <v>20764</v>
      </c>
      <c r="H24" s="8">
        <f t="shared" si="1"/>
        <v>21020</v>
      </c>
      <c r="I24" s="8">
        <f t="shared" si="1"/>
        <v>21219</v>
      </c>
      <c r="J24" s="8">
        <f t="shared" si="1"/>
        <v>21387</v>
      </c>
      <c r="K24" s="8">
        <f>SUM(K17:K23)</f>
        <v>20912</v>
      </c>
      <c r="L24" s="8">
        <v>20951</v>
      </c>
      <c r="M24" s="8">
        <v>21174</v>
      </c>
      <c r="N24" s="8">
        <v>21124</v>
      </c>
      <c r="O24" s="8">
        <v>21471</v>
      </c>
      <c r="P24" s="8">
        <f t="shared" ref="P24:AA24" si="2">SUM(P17:P23)</f>
        <v>21934</v>
      </c>
      <c r="Q24" s="8">
        <f t="shared" si="2"/>
        <v>22088</v>
      </c>
      <c r="R24" s="8">
        <f t="shared" si="2"/>
        <v>22417</v>
      </c>
      <c r="S24" s="8">
        <f t="shared" si="2"/>
        <v>22405</v>
      </c>
      <c r="T24" s="8">
        <f t="shared" si="2"/>
        <v>22273</v>
      </c>
      <c r="U24" s="8">
        <f t="shared" si="2"/>
        <v>22055</v>
      </c>
      <c r="V24" s="8">
        <f t="shared" si="2"/>
        <v>19331</v>
      </c>
      <c r="W24" s="8">
        <f t="shared" si="2"/>
        <v>18447</v>
      </c>
      <c r="X24" s="8">
        <f t="shared" si="2"/>
        <v>17589</v>
      </c>
      <c r="Y24" s="8">
        <f t="shared" si="2"/>
        <v>16647</v>
      </c>
      <c r="Z24" s="8">
        <f t="shared" si="2"/>
        <v>16128</v>
      </c>
      <c r="AA24" s="8">
        <f t="shared" si="2"/>
        <v>14846</v>
      </c>
      <c r="AB24" s="8">
        <f t="shared" ref="AB24:AC24" si="3">SUM(AB17:AB23)</f>
        <v>14125</v>
      </c>
      <c r="AC24" s="8">
        <f t="shared" si="3"/>
        <v>13769</v>
      </c>
      <c r="AD24" s="8">
        <f>SUM(AD17:AD23)</f>
        <v>13510</v>
      </c>
    </row>
    <row r="25" spans="1:30" s="8" customFormat="1" x14ac:dyDescent="0.25">
      <c r="A25" s="25"/>
    </row>
    <row r="26" spans="1:30" s="8" customFormat="1" x14ac:dyDescent="0.25">
      <c r="A26" s="28" t="s">
        <v>13</v>
      </c>
      <c r="D26" s="8">
        <v>23604</v>
      </c>
      <c r="L26" s="8">
        <v>20951</v>
      </c>
      <c r="M26" s="8">
        <v>21174</v>
      </c>
      <c r="N26" s="8">
        <v>21124</v>
      </c>
      <c r="O26" s="8">
        <v>21471</v>
      </c>
      <c r="P26" s="8">
        <v>21934</v>
      </c>
      <c r="Q26" s="8">
        <v>22088</v>
      </c>
      <c r="R26" s="8">
        <v>22417</v>
      </c>
      <c r="S26" s="8">
        <v>22405</v>
      </c>
      <c r="T26" s="8">
        <f t="shared" ref="T26:AD26" si="4">+T24</f>
        <v>22273</v>
      </c>
      <c r="U26" s="8">
        <f t="shared" si="4"/>
        <v>22055</v>
      </c>
      <c r="V26" s="8">
        <f t="shared" si="4"/>
        <v>19331</v>
      </c>
      <c r="W26" s="8">
        <f t="shared" si="4"/>
        <v>18447</v>
      </c>
      <c r="X26" s="8">
        <f t="shared" si="4"/>
        <v>17589</v>
      </c>
      <c r="Y26" s="8">
        <f t="shared" si="4"/>
        <v>16647</v>
      </c>
      <c r="Z26" s="8">
        <f t="shared" si="4"/>
        <v>16128</v>
      </c>
      <c r="AA26" s="8">
        <f t="shared" si="4"/>
        <v>14846</v>
      </c>
      <c r="AB26" s="8">
        <f t="shared" si="4"/>
        <v>14125</v>
      </c>
      <c r="AC26" s="8">
        <f t="shared" si="4"/>
        <v>13769</v>
      </c>
      <c r="AD26" s="8">
        <f t="shared" si="4"/>
        <v>13510</v>
      </c>
    </row>
    <row r="27" spans="1:30" s="8" customFormat="1" x14ac:dyDescent="0.25">
      <c r="A27" s="28" t="s">
        <v>27</v>
      </c>
      <c r="D27" s="8">
        <v>15261</v>
      </c>
      <c r="L27" s="8">
        <v>12825</v>
      </c>
      <c r="M27" s="8">
        <v>12998</v>
      </c>
      <c r="N27" s="8">
        <v>12968</v>
      </c>
      <c r="O27" s="8">
        <v>13392</v>
      </c>
      <c r="P27" s="8">
        <v>13539</v>
      </c>
      <c r="Q27" s="8">
        <v>13904</v>
      </c>
      <c r="R27" s="8">
        <v>14286</v>
      </c>
      <c r="S27" s="8">
        <v>14360</v>
      </c>
      <c r="T27" s="8">
        <v>14281</v>
      </c>
      <c r="U27" s="8">
        <v>14319</v>
      </c>
      <c r="V27" s="8">
        <v>11264</v>
      </c>
      <c r="W27" s="8">
        <v>10699</v>
      </c>
      <c r="X27" s="8">
        <v>10044</v>
      </c>
      <c r="Y27" s="8">
        <v>9490</v>
      </c>
      <c r="Z27" s="8">
        <v>9253</v>
      </c>
      <c r="AA27" s="8">
        <v>9304</v>
      </c>
      <c r="AB27" s="8">
        <v>8469</v>
      </c>
      <c r="AC27" s="8">
        <v>8716</v>
      </c>
      <c r="AD27" s="8">
        <v>8304</v>
      </c>
    </row>
    <row r="28" spans="1:30" s="8" customFormat="1" x14ac:dyDescent="0.25">
      <c r="A28" s="28" t="s">
        <v>28</v>
      </c>
      <c r="L28" s="8">
        <f t="shared" ref="L28" si="5">+L26-L27</f>
        <v>8126</v>
      </c>
      <c r="M28" s="8">
        <f t="shared" ref="M28:T28" si="6">+M26-M27</f>
        <v>8176</v>
      </c>
      <c r="N28" s="8">
        <f t="shared" si="6"/>
        <v>8156</v>
      </c>
      <c r="O28" s="8">
        <f t="shared" si="6"/>
        <v>8079</v>
      </c>
      <c r="P28" s="8">
        <f t="shared" si="6"/>
        <v>8395</v>
      </c>
      <c r="Q28" s="8">
        <f t="shared" si="6"/>
        <v>8184</v>
      </c>
      <c r="R28" s="8">
        <f t="shared" si="6"/>
        <v>8131</v>
      </c>
      <c r="S28" s="8">
        <f t="shared" si="6"/>
        <v>8045</v>
      </c>
      <c r="T28" s="8">
        <f t="shared" si="6"/>
        <v>7992</v>
      </c>
      <c r="U28" s="8">
        <f t="shared" ref="U28:Z28" si="7">+U26-U27</f>
        <v>7736</v>
      </c>
      <c r="V28" s="8">
        <f t="shared" si="7"/>
        <v>8067</v>
      </c>
      <c r="W28" s="8">
        <f t="shared" si="7"/>
        <v>7748</v>
      </c>
      <c r="X28" s="8">
        <f t="shared" si="7"/>
        <v>7545</v>
      </c>
      <c r="Y28" s="8">
        <f t="shared" si="7"/>
        <v>7157</v>
      </c>
      <c r="Z28" s="8">
        <f t="shared" si="7"/>
        <v>6875</v>
      </c>
      <c r="AA28" s="8">
        <f t="shared" ref="AA28:AD28" si="8">+AA26-AA27</f>
        <v>5542</v>
      </c>
      <c r="AB28" s="8">
        <f t="shared" si="8"/>
        <v>5656</v>
      </c>
      <c r="AC28" s="8">
        <f t="shared" si="8"/>
        <v>5053</v>
      </c>
      <c r="AD28" s="8">
        <f t="shared" si="8"/>
        <v>5206</v>
      </c>
    </row>
    <row r="29" spans="1:30" x14ac:dyDescent="0.25">
      <c r="A29" s="8" t="s">
        <v>62</v>
      </c>
      <c r="L29" s="14">
        <f t="shared" ref="L29:Y29" si="9">+L28/L26</f>
        <v>0.38785738150923582</v>
      </c>
      <c r="M29" s="14">
        <f t="shared" si="9"/>
        <v>0.38613393784830452</v>
      </c>
      <c r="N29" s="14">
        <f t="shared" si="9"/>
        <v>0.38610111721264911</v>
      </c>
      <c r="O29" s="14">
        <f t="shared" si="9"/>
        <v>0.37627497554841416</v>
      </c>
      <c r="P29" s="14">
        <f t="shared" si="9"/>
        <v>0.38273912647032005</v>
      </c>
      <c r="Q29" s="14">
        <f t="shared" si="9"/>
        <v>0.37051792828685259</v>
      </c>
      <c r="R29" s="14">
        <f t="shared" si="9"/>
        <v>0.36271579604764242</v>
      </c>
      <c r="S29" s="14">
        <f t="shared" si="9"/>
        <v>0.35907163579558132</v>
      </c>
      <c r="T29" s="14">
        <f t="shared" si="9"/>
        <v>0.35882009608045617</v>
      </c>
      <c r="U29" s="14">
        <f t="shared" si="9"/>
        <v>0.35075946497392879</v>
      </c>
      <c r="V29" s="14">
        <f t="shared" si="9"/>
        <v>0.41730898556722362</v>
      </c>
      <c r="W29" s="14">
        <f t="shared" si="9"/>
        <v>0.4200140944326991</v>
      </c>
      <c r="X29" s="14">
        <f t="shared" si="9"/>
        <v>0.4289612826198192</v>
      </c>
      <c r="Y29" s="14">
        <f t="shared" si="9"/>
        <v>0.42992731423079233</v>
      </c>
      <c r="Z29" s="14">
        <f>+Z28/Z26</f>
        <v>0.42627728174603174</v>
      </c>
      <c r="AA29" s="14">
        <f t="shared" ref="AA29:AD29" si="10">+AA28/AA26</f>
        <v>0.3732992051731106</v>
      </c>
      <c r="AB29" s="14">
        <f t="shared" si="10"/>
        <v>0.40042477876106197</v>
      </c>
      <c r="AC29" s="14">
        <f t="shared" si="10"/>
        <v>0.36698380419783572</v>
      </c>
      <c r="AD29" s="14">
        <f t="shared" si="10"/>
        <v>0.38534418948926719</v>
      </c>
    </row>
    <row r="31" spans="1:30" x14ac:dyDescent="0.25">
      <c r="A31" s="10" t="s">
        <v>11</v>
      </c>
      <c r="B31" s="13"/>
      <c r="C31" s="13">
        <f t="shared" ref="C31:AD31" si="11">C23/C24</f>
        <v>5.9681132236337284E-3</v>
      </c>
      <c r="D31" s="13">
        <f t="shared" si="11"/>
        <v>7.1598034231486187E-3</v>
      </c>
      <c r="E31" s="13">
        <f t="shared" si="11"/>
        <v>7.7194752774974772E-3</v>
      </c>
      <c r="F31" s="13">
        <f t="shared" si="11"/>
        <v>7.6975877623063349E-3</v>
      </c>
      <c r="G31" s="13">
        <f t="shared" si="11"/>
        <v>6.7905991138508962E-3</v>
      </c>
      <c r="H31" s="13">
        <f t="shared" si="11"/>
        <v>7.6593720266412944E-3</v>
      </c>
      <c r="I31" s="13">
        <f t="shared" si="11"/>
        <v>7.3519015976247701E-3</v>
      </c>
      <c r="J31" s="13">
        <f t="shared" si="11"/>
        <v>7.9019965399541783E-3</v>
      </c>
      <c r="K31" s="13">
        <f t="shared" si="11"/>
        <v>7.6511094108645756E-3</v>
      </c>
      <c r="L31" s="13">
        <f t="shared" si="11"/>
        <v>7.9232494868979996E-3</v>
      </c>
      <c r="M31" s="13">
        <f t="shared" si="11"/>
        <v>7.4147539435156324E-3</v>
      </c>
      <c r="N31" s="13">
        <f t="shared" si="11"/>
        <v>7.6690020829388375E-3</v>
      </c>
      <c r="O31" s="13">
        <f t="shared" si="11"/>
        <v>7.2190396348563177E-3</v>
      </c>
      <c r="P31" s="13">
        <f t="shared" si="11"/>
        <v>7.4313850642837602E-3</v>
      </c>
      <c r="Q31" s="13">
        <f t="shared" si="11"/>
        <v>7.2890257153205356E-3</v>
      </c>
      <c r="R31" s="13">
        <f t="shared" si="11"/>
        <v>7.5835303564259268E-3</v>
      </c>
      <c r="S31" s="13">
        <f t="shared" si="11"/>
        <v>7.6768578442311984E-3</v>
      </c>
      <c r="T31" s="13">
        <f t="shared" si="11"/>
        <v>7.8570466484083872E-3</v>
      </c>
      <c r="U31" s="13">
        <f t="shared" si="11"/>
        <v>7.481296758104738E-3</v>
      </c>
      <c r="V31" s="13">
        <f t="shared" si="11"/>
        <v>4.2936216439915164E-3</v>
      </c>
      <c r="W31" s="13">
        <f t="shared" si="11"/>
        <v>4.0114923835854067E-3</v>
      </c>
      <c r="X31" s="13">
        <f t="shared" si="11"/>
        <v>4.1503212234919552E-3</v>
      </c>
      <c r="Y31" s="13">
        <f t="shared" si="11"/>
        <v>4.0247492040607919E-3</v>
      </c>
      <c r="Z31" s="13">
        <f t="shared" si="11"/>
        <v>4.588293650793651E-3</v>
      </c>
      <c r="AA31" s="13">
        <f t="shared" si="11"/>
        <v>2.7616866496025867E-3</v>
      </c>
      <c r="AB31" s="13">
        <f t="shared" si="11"/>
        <v>2.336283185840708E-3</v>
      </c>
      <c r="AC31" s="13">
        <f t="shared" si="11"/>
        <v>2.6145689592563005E-3</v>
      </c>
      <c r="AD31" s="13">
        <f t="shared" si="11"/>
        <v>2.5906735751295338E-3</v>
      </c>
    </row>
    <row r="32" spans="1:30" x14ac:dyDescent="0.25">
      <c r="A32" s="10" t="s">
        <v>14</v>
      </c>
      <c r="B32" s="11"/>
      <c r="C32" s="13">
        <f t="shared" ref="C32:AD32" si="12">(C10+C11)/C24</f>
        <v>2.856168471310427E-3</v>
      </c>
      <c r="D32" s="13">
        <f t="shared" si="12"/>
        <v>3.262158956109134E-3</v>
      </c>
      <c r="E32" s="13">
        <f t="shared" si="12"/>
        <v>3.5317860746720484E-3</v>
      </c>
      <c r="F32" s="13">
        <f t="shared" si="12"/>
        <v>3.8242792704451852E-3</v>
      </c>
      <c r="G32" s="13">
        <f t="shared" si="12"/>
        <v>4.0454633018686187E-3</v>
      </c>
      <c r="H32" s="13">
        <f t="shared" si="12"/>
        <v>4.4243577545195053E-3</v>
      </c>
      <c r="I32" s="13">
        <f t="shared" si="12"/>
        <v>4.0529713935623735E-3</v>
      </c>
      <c r="J32" s="13">
        <f t="shared" si="12"/>
        <v>4.3484359657736012E-3</v>
      </c>
      <c r="K32" s="13">
        <f t="shared" si="12"/>
        <v>4.5428462127008419E-3</v>
      </c>
      <c r="L32" s="13">
        <f t="shared" si="12"/>
        <v>4.4866593480024823E-3</v>
      </c>
      <c r="M32" s="13">
        <f t="shared" si="12"/>
        <v>3.6837631056956645E-3</v>
      </c>
      <c r="N32" s="13">
        <f t="shared" si="12"/>
        <v>4.0711986366218523E-3</v>
      </c>
      <c r="O32" s="13">
        <f t="shared" si="12"/>
        <v>3.5862325927995902E-3</v>
      </c>
      <c r="P32" s="13">
        <f t="shared" si="12"/>
        <v>4.0120361083249749E-3</v>
      </c>
      <c r="Q32" s="13">
        <f t="shared" si="12"/>
        <v>3.9840637450199202E-3</v>
      </c>
      <c r="R32" s="13">
        <f t="shared" si="12"/>
        <v>4.2378551991791944E-3</v>
      </c>
      <c r="S32" s="13">
        <f t="shared" si="12"/>
        <v>3.9723276054452134E-3</v>
      </c>
      <c r="T32" s="13">
        <f t="shared" si="12"/>
        <v>3.9509720289139317E-3</v>
      </c>
      <c r="U32" s="13">
        <f t="shared" si="12"/>
        <v>3.9446837451824982E-3</v>
      </c>
      <c r="V32" s="13">
        <f t="shared" si="12"/>
        <v>4.448812787750246E-3</v>
      </c>
      <c r="W32" s="13">
        <f t="shared" si="12"/>
        <v>4.1199110966552823E-3</v>
      </c>
      <c r="X32" s="13">
        <f t="shared" si="12"/>
        <v>4.3208823696628575E-3</v>
      </c>
      <c r="Y32" s="13">
        <f t="shared" si="12"/>
        <v>4.1448909713461884E-3</v>
      </c>
      <c r="Z32" s="13">
        <f t="shared" si="12"/>
        <v>4.836309523809524E-3</v>
      </c>
      <c r="AA32" s="13">
        <f t="shared" si="12"/>
        <v>3.1658359153980868E-3</v>
      </c>
      <c r="AB32" s="13">
        <f t="shared" si="12"/>
        <v>2.6902654867256635E-3</v>
      </c>
      <c r="AC32" s="13">
        <f t="shared" si="12"/>
        <v>2.3966882126516087E-3</v>
      </c>
      <c r="AD32" s="13">
        <f t="shared" si="12"/>
        <v>2.4426350851221319E-3</v>
      </c>
    </row>
    <row r="33" spans="1:31" s="8" customFormat="1" x14ac:dyDescent="0.25">
      <c r="A33" s="10" t="s">
        <v>33</v>
      </c>
      <c r="B33" s="13"/>
      <c r="C33" s="13"/>
      <c r="D33" s="13">
        <f t="shared" ref="D33:Z33" si="13">(D12+C12)/D24</f>
        <v>1.0972716488730723E-2</v>
      </c>
      <c r="E33" s="13">
        <f t="shared" si="13"/>
        <v>1.3319878910191726E-2</v>
      </c>
      <c r="F33" s="13">
        <f t="shared" si="13"/>
        <v>1.3139831339478329E-2</v>
      </c>
      <c r="G33" s="13">
        <f t="shared" si="13"/>
        <v>1.2617992679637835E-2</v>
      </c>
      <c r="H33" s="13">
        <f t="shared" si="13"/>
        <v>1.2797335870599429E-2</v>
      </c>
      <c r="I33" s="13">
        <f t="shared" si="13"/>
        <v>1.3619868985343325E-2</v>
      </c>
      <c r="J33" s="13">
        <f t="shared" si="13"/>
        <v>1.4027212792818067E-2</v>
      </c>
      <c r="K33" s="13">
        <f t="shared" si="13"/>
        <v>1.4011094108645754E-2</v>
      </c>
      <c r="L33" s="13">
        <f t="shared" si="13"/>
        <v>1.3985012648560929E-2</v>
      </c>
      <c r="M33" s="13">
        <f t="shared" si="13"/>
        <v>1.407386417304241E-2</v>
      </c>
      <c r="N33" s="13">
        <f t="shared" si="13"/>
        <v>1.3539102442719182E-2</v>
      </c>
      <c r="O33" s="13">
        <f t="shared" si="13"/>
        <v>1.2714824647198546E-2</v>
      </c>
      <c r="P33" s="13">
        <f t="shared" si="13"/>
        <v>1.2218473602626061E-2</v>
      </c>
      <c r="Q33" s="13">
        <f t="shared" si="13"/>
        <v>1.2404925751539297E-2</v>
      </c>
      <c r="R33" s="13">
        <f t="shared" si="13"/>
        <v>1.2267475576571351E-2</v>
      </c>
      <c r="S33" s="13">
        <f t="shared" si="13"/>
        <v>1.2095514394108458E-2</v>
      </c>
      <c r="T33" s="13">
        <f t="shared" si="13"/>
        <v>1.2661069456292372E-2</v>
      </c>
      <c r="U33" s="13">
        <f t="shared" si="13"/>
        <v>1.2604851507594651E-2</v>
      </c>
      <c r="V33" s="13">
        <f t="shared" si="13"/>
        <v>1.4277585225803115E-2</v>
      </c>
      <c r="W33" s="13">
        <f t="shared" si="13"/>
        <v>1.5124410473247682E-2</v>
      </c>
      <c r="X33" s="13">
        <f t="shared" si="13"/>
        <v>1.49525271476491E-2</v>
      </c>
      <c r="Y33" s="13">
        <f t="shared" si="13"/>
        <v>1.4957650027031897E-2</v>
      </c>
      <c r="Z33" s="13">
        <f t="shared" si="13"/>
        <v>1.4818948412698412E-2</v>
      </c>
      <c r="AA33" s="13">
        <f t="shared" ref="AA33" si="14">(AA12+Z12)/AA24</f>
        <v>1.4818806412501684E-2</v>
      </c>
      <c r="AB33" s="13">
        <f t="shared" ref="AB33" si="15">(AB12+AA12)/AB24</f>
        <v>1.1893805309734513E-2</v>
      </c>
      <c r="AC33" s="13">
        <f t="shared" ref="AC33" si="16">(AC12+AB12)/AC24</f>
        <v>6.899556975815237E-3</v>
      </c>
      <c r="AD33" s="13">
        <f t="shared" ref="AD33" si="17">(AD12+AC12)/AD24</f>
        <v>4.8852701702442637E-3</v>
      </c>
    </row>
    <row r="34" spans="1:31" s="13" customFormat="1" x14ac:dyDescent="0.25">
      <c r="A34" s="10" t="s">
        <v>30</v>
      </c>
      <c r="M34" s="13">
        <f t="shared" ref="M34:Z34" si="18">+M3/M26</f>
        <v>0.34093699820534618</v>
      </c>
      <c r="N34" s="13">
        <f t="shared" si="18"/>
        <v>0.34368490816133307</v>
      </c>
      <c r="O34" s="13">
        <f t="shared" si="18"/>
        <v>0.35145079409435981</v>
      </c>
      <c r="P34" s="13">
        <f t="shared" si="18"/>
        <v>0.3544725084343941</v>
      </c>
      <c r="Q34" s="13">
        <f t="shared" si="18"/>
        <v>0.34163346613545814</v>
      </c>
      <c r="R34" s="13">
        <f t="shared" si="18"/>
        <v>0.34545211223624928</v>
      </c>
      <c r="S34" s="13">
        <f t="shared" si="18"/>
        <v>0.32733764784646285</v>
      </c>
      <c r="T34" s="13">
        <f t="shared" si="18"/>
        <v>0.33731423696852691</v>
      </c>
      <c r="U34" s="13">
        <f t="shared" si="18"/>
        <v>0.32006347766946269</v>
      </c>
      <c r="V34" s="13">
        <f t="shared" si="18"/>
        <v>0.35409445967616782</v>
      </c>
      <c r="W34" s="13">
        <f t="shared" si="18"/>
        <v>0.34227787716159808</v>
      </c>
      <c r="X34" s="13">
        <f t="shared" si="18"/>
        <v>0.32946728068679287</v>
      </c>
      <c r="Y34" s="13">
        <f t="shared" si="18"/>
        <v>0.31567249354238003</v>
      </c>
      <c r="Z34" s="13">
        <f t="shared" si="18"/>
        <v>0.30729166666666669</v>
      </c>
      <c r="AA34" s="13">
        <f t="shared" ref="AA34:AD34" si="19">+AA3/AA26</f>
        <v>0.29213256095918094</v>
      </c>
      <c r="AB34" s="13">
        <f t="shared" si="19"/>
        <v>0.26038938053097344</v>
      </c>
      <c r="AC34" s="13">
        <f t="shared" si="19"/>
        <v>0.27039000653642242</v>
      </c>
      <c r="AD34" s="13">
        <f t="shared" si="19"/>
        <v>0.25299777942264989</v>
      </c>
    </row>
    <row r="36" spans="1:31" x14ac:dyDescent="0.25">
      <c r="A36" s="9" t="s">
        <v>44</v>
      </c>
      <c r="S36" s="40"/>
      <c r="T36" s="40"/>
      <c r="U36" s="40"/>
      <c r="V36" s="40"/>
      <c r="W36" s="40"/>
      <c r="X36" s="40"/>
      <c r="Y36" s="40"/>
      <c r="Z36" s="40"/>
    </row>
    <row r="37" spans="1:31" x14ac:dyDescent="0.25">
      <c r="A37" s="9" t="s">
        <v>45</v>
      </c>
      <c r="S37" s="40"/>
      <c r="T37" s="40"/>
      <c r="U37" s="40"/>
      <c r="V37" s="40"/>
      <c r="W37" s="40"/>
      <c r="X37" s="40"/>
      <c r="Y37" s="40"/>
      <c r="Z37" s="40"/>
    </row>
    <row r="38" spans="1:31" x14ac:dyDescent="0.25">
      <c r="A38" s="9" t="s">
        <v>65</v>
      </c>
      <c r="S38" s="10"/>
      <c r="T38" s="10"/>
      <c r="U38" s="10"/>
      <c r="V38" s="10"/>
      <c r="W38" s="10"/>
      <c r="X38" s="10"/>
      <c r="Y38" s="10"/>
      <c r="Z38" s="10"/>
    </row>
    <row r="39" spans="1:31" x14ac:dyDescent="0.25">
      <c r="A39" s="9" t="s">
        <v>66</v>
      </c>
      <c r="S39" s="10"/>
      <c r="T39" s="10"/>
      <c r="U39" s="10"/>
      <c r="V39" s="10"/>
      <c r="W39" s="10"/>
      <c r="X39" s="10"/>
      <c r="Y39" s="10"/>
      <c r="Z39" s="10"/>
    </row>
    <row r="40" spans="1:31" x14ac:dyDescent="0.25">
      <c r="A40" s="9"/>
      <c r="S40" s="10"/>
      <c r="T40" s="10"/>
      <c r="U40" s="10"/>
      <c r="V40" s="10"/>
      <c r="W40" s="10"/>
      <c r="X40" s="10"/>
      <c r="Y40" s="10"/>
      <c r="Z40" s="10"/>
    </row>
    <row r="41" spans="1:31" x14ac:dyDescent="0.25">
      <c r="A41" s="4" t="s">
        <v>74</v>
      </c>
    </row>
    <row r="42" spans="1:31" x14ac:dyDescent="0.25">
      <c r="A42" s="24" t="s">
        <v>76</v>
      </c>
      <c r="X42" s="8">
        <f>5700-4178</f>
        <v>1522</v>
      </c>
      <c r="Y42" s="8">
        <f>5635-4106</f>
        <v>1529</v>
      </c>
      <c r="Z42" s="8">
        <f>5464-4013</f>
        <v>1451</v>
      </c>
      <c r="AB42" s="33"/>
      <c r="AC42" s="33"/>
      <c r="AD42" s="14"/>
      <c r="AE42" s="14"/>
    </row>
    <row r="43" spans="1:31" x14ac:dyDescent="0.25">
      <c r="A43" s="24" t="s">
        <v>77</v>
      </c>
      <c r="X43" s="8">
        <f>3914-2943</f>
        <v>971</v>
      </c>
      <c r="Y43" s="8">
        <f>3681-2757</f>
        <v>924</v>
      </c>
      <c r="Z43" s="8">
        <f>3607-2694</f>
        <v>913</v>
      </c>
      <c r="AB43" s="33"/>
      <c r="AC43" s="33"/>
      <c r="AD43" s="14"/>
      <c r="AE43" s="14"/>
    </row>
    <row r="44" spans="1:31" x14ac:dyDescent="0.25">
      <c r="A44" s="24" t="s">
        <v>78</v>
      </c>
      <c r="X44" s="8">
        <f>1358-828</f>
        <v>530</v>
      </c>
      <c r="Y44" s="8">
        <f>1317-819</f>
        <v>498</v>
      </c>
      <c r="Z44" s="8">
        <f>1242-758</f>
        <v>484</v>
      </c>
      <c r="AB44" s="33"/>
      <c r="AC44" s="33"/>
      <c r="AD44" s="14"/>
      <c r="AE44" s="14"/>
    </row>
    <row r="45" spans="1:31" x14ac:dyDescent="0.25">
      <c r="A45" s="24" t="s">
        <v>79</v>
      </c>
      <c r="X45" s="8">
        <f>4262-1587</f>
        <v>2675</v>
      </c>
      <c r="Y45" s="8">
        <f>3996-1463</f>
        <v>2533</v>
      </c>
      <c r="Z45" s="8">
        <f>3872-1414</f>
        <v>2458</v>
      </c>
      <c r="AB45" s="33"/>
      <c r="AC45" s="33"/>
      <c r="AD45" s="14"/>
      <c r="AE45" s="14"/>
    </row>
    <row r="46" spans="1:31" x14ac:dyDescent="0.25">
      <c r="A46" s="24" t="s">
        <v>80</v>
      </c>
      <c r="X46" s="8">
        <f>1638-446</f>
        <v>1192</v>
      </c>
      <c r="Y46" s="8">
        <f>1334-290</f>
        <v>1044</v>
      </c>
      <c r="Z46" s="8">
        <f>1245-304</f>
        <v>941</v>
      </c>
      <c r="AB46" s="33"/>
      <c r="AC46" s="33"/>
      <c r="AD46" s="14"/>
      <c r="AE46" s="14"/>
    </row>
    <row r="47" spans="1:31" x14ac:dyDescent="0.25">
      <c r="A47" s="26" t="s">
        <v>81</v>
      </c>
      <c r="X47" s="8">
        <f>644-60</f>
        <v>584</v>
      </c>
      <c r="Y47" s="8">
        <f>617-53</f>
        <v>564</v>
      </c>
      <c r="Z47" s="8">
        <f>624-68</f>
        <v>556</v>
      </c>
      <c r="AB47" s="33"/>
      <c r="AC47" s="33"/>
      <c r="AD47" s="14"/>
      <c r="AE47" s="14"/>
    </row>
    <row r="48" spans="1:31" x14ac:dyDescent="0.25">
      <c r="A48" s="47" t="s">
        <v>4</v>
      </c>
      <c r="X48" s="8">
        <f>73-2</f>
        <v>71</v>
      </c>
      <c r="Y48" s="8">
        <f>67-2</f>
        <v>65</v>
      </c>
      <c r="Z48" s="8">
        <f>74-2</f>
        <v>72</v>
      </c>
      <c r="AB48" s="33"/>
      <c r="AC48" s="33"/>
      <c r="AD48" s="14"/>
      <c r="AE48" s="14"/>
    </row>
    <row r="49" spans="1:29" x14ac:dyDescent="0.25">
      <c r="A49" s="47" t="s">
        <v>5</v>
      </c>
      <c r="X49" s="33">
        <f>SUM(X42:X48)</f>
        <v>7545</v>
      </c>
      <c r="Y49" s="33">
        <f>SUM(Y42:Y48)</f>
        <v>7157</v>
      </c>
      <c r="Z49" s="33">
        <f>SUM(Z42:Z48)</f>
        <v>6875</v>
      </c>
      <c r="AA49" s="33"/>
      <c r="AB49" s="33"/>
      <c r="AC49" s="33"/>
    </row>
    <row r="50" spans="1:29" x14ac:dyDescent="0.25">
      <c r="A50" s="4"/>
    </row>
    <row r="51" spans="1:29" x14ac:dyDescent="0.25">
      <c r="A51" s="4" t="s">
        <v>75</v>
      </c>
      <c r="X51" s="14"/>
      <c r="Y51" s="14"/>
      <c r="Z51" s="14"/>
    </row>
    <row r="52" spans="1:29" x14ac:dyDescent="0.25">
      <c r="A52" s="24" t="s">
        <v>76</v>
      </c>
      <c r="X52" s="14">
        <f t="shared" ref="X52:Y52" si="20">+X42/X17</f>
        <v>0.2670175438596491</v>
      </c>
      <c r="Y52" s="14">
        <f t="shared" si="20"/>
        <v>0.27133984028393965</v>
      </c>
      <c r="Z52" s="14">
        <f>+Z42/Z17</f>
        <v>0.26555636896046853</v>
      </c>
    </row>
    <row r="53" spans="1:29" x14ac:dyDescent="0.25">
      <c r="A53" s="24" t="s">
        <v>77</v>
      </c>
      <c r="X53" s="14">
        <f t="shared" ref="X53:Z59" si="21">+X43/X18</f>
        <v>0.24808380173735309</v>
      </c>
      <c r="Y53" s="14">
        <f t="shared" si="21"/>
        <v>0.25101874490627546</v>
      </c>
      <c r="Z53" s="14">
        <f t="shared" si="21"/>
        <v>0.25311893540338232</v>
      </c>
    </row>
    <row r="54" spans="1:29" x14ac:dyDescent="0.25">
      <c r="A54" s="24" t="s">
        <v>78</v>
      </c>
      <c r="X54" s="14">
        <f t="shared" si="21"/>
        <v>0.39027982326951399</v>
      </c>
      <c r="Y54" s="14">
        <f t="shared" si="21"/>
        <v>0.37813211845102507</v>
      </c>
      <c r="Z54" s="14">
        <f t="shared" si="21"/>
        <v>0.38969404186795492</v>
      </c>
    </row>
    <row r="55" spans="1:29" x14ac:dyDescent="0.25">
      <c r="A55" s="24" t="s">
        <v>79</v>
      </c>
      <c r="X55" s="14">
        <f t="shared" si="21"/>
        <v>0.62763960581886435</v>
      </c>
      <c r="Y55" s="14">
        <f t="shared" si="21"/>
        <v>0.63388388388388384</v>
      </c>
      <c r="Z55" s="14">
        <f t="shared" si="21"/>
        <v>0.6348140495867769</v>
      </c>
    </row>
    <row r="56" spans="1:29" x14ac:dyDescent="0.25">
      <c r="A56" s="24" t="s">
        <v>80</v>
      </c>
      <c r="X56" s="14">
        <f t="shared" si="21"/>
        <v>0.72771672771672768</v>
      </c>
      <c r="Y56" s="14">
        <f t="shared" si="21"/>
        <v>0.78260869565217395</v>
      </c>
      <c r="Z56" s="14">
        <f t="shared" si="21"/>
        <v>0.75582329317269081</v>
      </c>
    </row>
    <row r="57" spans="1:29" x14ac:dyDescent="0.25">
      <c r="A57" s="26" t="s">
        <v>81</v>
      </c>
      <c r="X57" s="14">
        <f t="shared" si="21"/>
        <v>0.90683229813664601</v>
      </c>
      <c r="Y57" s="14">
        <f t="shared" si="21"/>
        <v>0.91410048622366291</v>
      </c>
      <c r="Z57" s="14">
        <f t="shared" si="21"/>
        <v>0.89102564102564108</v>
      </c>
    </row>
    <row r="58" spans="1:29" x14ac:dyDescent="0.25">
      <c r="A58" s="47" t="s">
        <v>4</v>
      </c>
      <c r="X58" s="14">
        <f t="shared" si="21"/>
        <v>0.9726027397260274</v>
      </c>
      <c r="Y58" s="14">
        <f t="shared" si="21"/>
        <v>0.97014925373134331</v>
      </c>
      <c r="Z58" s="14">
        <f t="shared" si="21"/>
        <v>0.97297297297297303</v>
      </c>
    </row>
    <row r="59" spans="1:29" x14ac:dyDescent="0.25">
      <c r="A59" s="47" t="s">
        <v>5</v>
      </c>
      <c r="X59" s="14">
        <f t="shared" si="21"/>
        <v>0.4289612826198192</v>
      </c>
      <c r="Y59" s="14">
        <f t="shared" si="21"/>
        <v>0.42992731423079233</v>
      </c>
      <c r="Z59" s="14">
        <f t="shared" si="21"/>
        <v>0.42627728174603174</v>
      </c>
    </row>
    <row r="61" spans="1:29" x14ac:dyDescent="0.25">
      <c r="A61" s="4" t="s">
        <v>82</v>
      </c>
    </row>
    <row r="62" spans="1:29" x14ac:dyDescent="0.25">
      <c r="A62" s="47" t="s">
        <v>67</v>
      </c>
      <c r="X62" s="33">
        <f>+X42</f>
        <v>1522</v>
      </c>
      <c r="Y62" s="33">
        <f t="shared" ref="Y62:Z62" si="22">+Y42</f>
        <v>1529</v>
      </c>
      <c r="Z62" s="33">
        <f t="shared" si="22"/>
        <v>1451</v>
      </c>
    </row>
    <row r="63" spans="1:29" x14ac:dyDescent="0.25">
      <c r="A63" s="47" t="s">
        <v>84</v>
      </c>
      <c r="X63" s="33">
        <f>+X17</f>
        <v>5700</v>
      </c>
      <c r="Y63" s="33">
        <f t="shared" ref="Y63:Z63" si="23">+Y17</f>
        <v>5635</v>
      </c>
      <c r="Z63" s="33">
        <f t="shared" si="23"/>
        <v>5464</v>
      </c>
    </row>
    <row r="64" spans="1:29" x14ac:dyDescent="0.25">
      <c r="A64" s="47" t="s">
        <v>75</v>
      </c>
      <c r="X64" s="14">
        <f t="shared" ref="X64:Y64" si="24">+X62/X63</f>
        <v>0.2670175438596491</v>
      </c>
      <c r="Y64" s="14">
        <f t="shared" si="24"/>
        <v>0.27133984028393965</v>
      </c>
      <c r="Z64" s="14">
        <f>+Z62/Z63</f>
        <v>0.26555636896046853</v>
      </c>
    </row>
    <row r="65" spans="1:26" x14ac:dyDescent="0.25">
      <c r="A65" s="47" t="s">
        <v>85</v>
      </c>
      <c r="X65" s="14">
        <f t="shared" ref="X65:Y65" si="25">+X62/X$49</f>
        <v>0.20172299536116634</v>
      </c>
      <c r="Y65" s="14">
        <f t="shared" si="25"/>
        <v>0.21363699874248987</v>
      </c>
      <c r="Z65" s="14">
        <f>+Z62/Z$49</f>
        <v>0.21105454545454547</v>
      </c>
    </row>
    <row r="66" spans="1:26" x14ac:dyDescent="0.25">
      <c r="A66" s="47" t="s">
        <v>86</v>
      </c>
      <c r="X66" s="14">
        <f t="shared" ref="X66:Y66" si="26">+X63/X$24</f>
        <v>0.3240661777247143</v>
      </c>
      <c r="Y66" s="14">
        <f t="shared" si="26"/>
        <v>0.33849942932660537</v>
      </c>
      <c r="Z66" s="14">
        <f>+Z63/Z$24</f>
        <v>0.33878968253968256</v>
      </c>
    </row>
    <row r="67" spans="1:26" x14ac:dyDescent="0.25">
      <c r="A67" s="4" t="s">
        <v>83</v>
      </c>
    </row>
    <row r="68" spans="1:26" x14ac:dyDescent="0.25">
      <c r="A68" s="47" t="s">
        <v>67</v>
      </c>
      <c r="X68" s="33">
        <f>+X43+X44+X45+X46+X47+X48</f>
        <v>6023</v>
      </c>
      <c r="Y68" s="33">
        <f t="shared" ref="Y68:Z68" si="27">+Y43+Y44+Y45+Y46+Y47+Y48</f>
        <v>5628</v>
      </c>
      <c r="Z68" s="33">
        <f t="shared" si="27"/>
        <v>5424</v>
      </c>
    </row>
    <row r="69" spans="1:26" x14ac:dyDescent="0.25">
      <c r="A69" s="47" t="s">
        <v>84</v>
      </c>
      <c r="X69" s="33">
        <f>+X18+X19+X20+X21+X22+X23</f>
        <v>11889</v>
      </c>
      <c r="Y69" s="33">
        <f t="shared" ref="Y69:Z69" si="28">+Y18+Y19+Y20+Y21+Y22+Y23</f>
        <v>11012</v>
      </c>
      <c r="Z69" s="33">
        <f t="shared" si="28"/>
        <v>10664</v>
      </c>
    </row>
    <row r="70" spans="1:26" x14ac:dyDescent="0.25">
      <c r="A70" s="47" t="s">
        <v>75</v>
      </c>
      <c r="X70" s="14">
        <f t="shared" ref="X70:Y70" si="29">+X68/X69</f>
        <v>0.50660274203044831</v>
      </c>
      <c r="Y70" s="14">
        <f t="shared" si="29"/>
        <v>0.51107882310207042</v>
      </c>
      <c r="Z70" s="14">
        <f>+Z68/Z69</f>
        <v>0.50862715678919734</v>
      </c>
    </row>
    <row r="71" spans="1:26" x14ac:dyDescent="0.25">
      <c r="A71" s="47" t="s">
        <v>85</v>
      </c>
      <c r="X71" s="14">
        <f t="shared" ref="X71:Y71" si="30">+X68/X$49</f>
        <v>0.79827700463883366</v>
      </c>
      <c r="Y71" s="14">
        <f t="shared" si="30"/>
        <v>0.78636300125751013</v>
      </c>
      <c r="Z71" s="14">
        <f>+Z68/Z$49</f>
        <v>0.78894545454545451</v>
      </c>
    </row>
    <row r="72" spans="1:26" x14ac:dyDescent="0.25">
      <c r="A72" s="47" t="s">
        <v>86</v>
      </c>
      <c r="X72" s="14">
        <f t="shared" ref="X72:Y72" si="31">+X69/X$24</f>
        <v>0.67593382227528565</v>
      </c>
      <c r="Y72" s="14">
        <f t="shared" si="31"/>
        <v>0.66150057067339463</v>
      </c>
      <c r="Z72" s="14">
        <f>+Z69/Z$24</f>
        <v>0.66121031746031744</v>
      </c>
    </row>
    <row r="74" spans="1:26" s="8" customFormat="1" x14ac:dyDescent="0.25">
      <c r="A74" s="12" t="s">
        <v>13</v>
      </c>
    </row>
    <row r="75" spans="1:26" s="8" customFormat="1" x14ac:dyDescent="0.25">
      <c r="A75" s="24" t="s">
        <v>31</v>
      </c>
      <c r="N75" s="8">
        <v>21124</v>
      </c>
      <c r="O75" s="8">
        <v>21471</v>
      </c>
      <c r="P75" s="8">
        <v>21934</v>
      </c>
      <c r="Q75" s="8">
        <v>22397</v>
      </c>
      <c r="R75" s="8">
        <v>22860</v>
      </c>
      <c r="Z75" s="8">
        <v>16128</v>
      </c>
    </row>
    <row r="76" spans="1:26" s="8" customFormat="1" x14ac:dyDescent="0.25">
      <c r="A76" s="24" t="s">
        <v>32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26" s="8" customFormat="1" x14ac:dyDescent="0.25">
      <c r="A77" s="24" t="s">
        <v>6</v>
      </c>
      <c r="N77" s="8">
        <v>1789</v>
      </c>
      <c r="O77" s="8">
        <v>1900</v>
      </c>
      <c r="P77" s="8">
        <v>2071</v>
      </c>
      <c r="Q77" s="8">
        <v>2242</v>
      </c>
      <c r="R77" s="8">
        <v>2413</v>
      </c>
    </row>
    <row r="78" spans="1:26" s="8" customFormat="1" x14ac:dyDescent="0.25">
      <c r="A78" s="12" t="s">
        <v>5</v>
      </c>
      <c r="N78" s="8">
        <f>SUM(N75:N77)</f>
        <v>22913</v>
      </c>
      <c r="O78" s="8">
        <f>SUM(O75:O77)</f>
        <v>23371</v>
      </c>
      <c r="P78" s="8">
        <f>SUM(P75:P77)</f>
        <v>24005</v>
      </c>
      <c r="Q78" s="8">
        <f>SUM(Q75:Q77)</f>
        <v>24639</v>
      </c>
      <c r="R78" s="8">
        <f>SUM(R75:R77)</f>
        <v>25273</v>
      </c>
    </row>
  </sheetData>
  <printOptions gridLines="1"/>
  <pageMargins left="0" right="0" top="0.59055118110236227" bottom="0" header="0.19685039370078741" footer="0"/>
  <pageSetup paperSize="9" scale="67" orientation="landscape" r:id="rId1"/>
  <headerFooter>
    <oddHeader>&amp;C&amp;"-,Bold"&amp;12 APS330 QRR for 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B050"/>
    <pageSetUpPr fitToPage="1"/>
  </sheetPr>
  <dimension ref="A1:AD35"/>
  <sheetViews>
    <sheetView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Y1" sqref="Y1"/>
    </sheetView>
  </sheetViews>
  <sheetFormatPr defaultRowHeight="15" x14ac:dyDescent="0.25"/>
  <cols>
    <col min="1" max="1" width="52.140625" style="2" bestFit="1" customWidth="1"/>
    <col min="2" max="10" width="12" customWidth="1"/>
    <col min="11" max="27" width="11.28515625" customWidth="1"/>
  </cols>
  <sheetData>
    <row r="1" spans="1:30" s="22" customFormat="1" x14ac:dyDescent="0.25">
      <c r="A1" s="23"/>
      <c r="B1" s="22">
        <v>39629</v>
      </c>
      <c r="C1" s="22">
        <v>39813</v>
      </c>
      <c r="D1" s="22">
        <v>39994</v>
      </c>
      <c r="E1" s="22">
        <v>40178</v>
      </c>
      <c r="F1" s="22">
        <v>40359</v>
      </c>
      <c r="G1" s="22">
        <v>40543</v>
      </c>
      <c r="H1" s="22">
        <v>40724</v>
      </c>
      <c r="I1" s="22">
        <v>40908</v>
      </c>
      <c r="J1" s="22">
        <v>41090</v>
      </c>
      <c r="K1" s="22">
        <v>41274</v>
      </c>
      <c r="L1" s="22">
        <v>41455</v>
      </c>
      <c r="M1" s="22">
        <v>41639</v>
      </c>
      <c r="N1" s="22">
        <v>41820</v>
      </c>
      <c r="O1" s="22">
        <v>42004</v>
      </c>
      <c r="P1" s="22">
        <v>42185</v>
      </c>
      <c r="Q1" s="22">
        <v>42369</v>
      </c>
      <c r="R1" s="22">
        <v>42551</v>
      </c>
      <c r="S1" s="22">
        <v>42735</v>
      </c>
      <c r="T1" s="22">
        <v>42887</v>
      </c>
      <c r="U1" s="22">
        <v>43070</v>
      </c>
      <c r="V1" s="22">
        <v>43252</v>
      </c>
      <c r="W1" s="22">
        <v>43435</v>
      </c>
      <c r="X1" s="22">
        <v>43617</v>
      </c>
      <c r="Y1" s="22">
        <v>43800</v>
      </c>
      <c r="Z1" s="22">
        <v>43983</v>
      </c>
      <c r="AA1" s="22">
        <v>44166</v>
      </c>
      <c r="AB1" s="22">
        <v>44348</v>
      </c>
      <c r="AC1" s="22">
        <v>44531</v>
      </c>
      <c r="AD1" s="22">
        <v>44713</v>
      </c>
    </row>
    <row r="2" spans="1:30" s="8" customFormat="1" x14ac:dyDescent="0.25">
      <c r="A2" s="12" t="s">
        <v>10</v>
      </c>
    </row>
    <row r="3" spans="1:30" s="8" customFormat="1" x14ac:dyDescent="0.25">
      <c r="A3" s="24" t="s">
        <v>20</v>
      </c>
      <c r="E3" s="8">
        <v>6292</v>
      </c>
      <c r="F3" s="8">
        <v>6772</v>
      </c>
      <c r="G3" s="8">
        <v>6761</v>
      </c>
      <c r="H3" s="8">
        <v>6398</v>
      </c>
      <c r="I3" s="8">
        <v>6491</v>
      </c>
      <c r="J3" s="8">
        <v>6703</v>
      </c>
      <c r="K3" s="8">
        <v>6460</v>
      </c>
      <c r="L3" s="8">
        <v>6683</v>
      </c>
      <c r="M3" s="8">
        <v>6553</v>
      </c>
      <c r="N3" s="8">
        <v>8215</v>
      </c>
      <c r="O3" s="8">
        <v>8533</v>
      </c>
      <c r="P3" s="8">
        <v>8861</v>
      </c>
      <c r="Q3" s="8">
        <v>9306</v>
      </c>
      <c r="R3" s="8">
        <v>9889</v>
      </c>
      <c r="S3" s="8">
        <v>10025</v>
      </c>
      <c r="T3" s="8">
        <v>9906</v>
      </c>
      <c r="U3" s="8">
        <v>9887</v>
      </c>
      <c r="V3" s="8">
        <v>10828</v>
      </c>
      <c r="W3" s="8">
        <v>10533</v>
      </c>
      <c r="X3" s="8">
        <v>10189</v>
      </c>
      <c r="Y3" s="8">
        <v>9977</v>
      </c>
      <c r="Z3" s="8">
        <v>6697</v>
      </c>
      <c r="AA3" s="8">
        <v>5816</v>
      </c>
      <c r="AB3" s="8">
        <v>5466</v>
      </c>
      <c r="AC3" s="8">
        <v>5031</v>
      </c>
      <c r="AD3" s="8">
        <v>5022</v>
      </c>
    </row>
    <row r="4" spans="1:30" s="8" customFormat="1" x14ac:dyDescent="0.25">
      <c r="A4" s="24" t="s">
        <v>7</v>
      </c>
      <c r="F4" s="8">
        <v>0</v>
      </c>
      <c r="G4" s="8">
        <v>0</v>
      </c>
      <c r="H4" s="8">
        <v>0</v>
      </c>
    </row>
    <row r="5" spans="1:30" s="8" customFormat="1" x14ac:dyDescent="0.25">
      <c r="A5" s="12"/>
    </row>
    <row r="6" spans="1:30" s="8" customFormat="1" x14ac:dyDescent="0.25">
      <c r="A6" s="12" t="s">
        <v>9</v>
      </c>
    </row>
    <row r="7" spans="1:30" s="8" customFormat="1" x14ac:dyDescent="0.25">
      <c r="A7" s="24" t="s">
        <v>20</v>
      </c>
      <c r="B7" s="8">
        <f>+B24</f>
        <v>10887</v>
      </c>
      <c r="C7" s="8">
        <f>+C24</f>
        <v>11197</v>
      </c>
      <c r="D7" s="8">
        <f>+D24</f>
        <v>11576</v>
      </c>
      <c r="E7" s="8">
        <f>+E24</f>
        <v>12379</v>
      </c>
      <c r="F7" s="8">
        <f>+F24</f>
        <v>12693</v>
      </c>
      <c r="G7" s="8">
        <v>13253</v>
      </c>
      <c r="H7" s="8">
        <v>18560</v>
      </c>
      <c r="I7" s="8">
        <f>+I24</f>
        <v>20948</v>
      </c>
      <c r="J7" s="8">
        <v>21555</v>
      </c>
      <c r="K7" s="8">
        <v>22068</v>
      </c>
      <c r="L7" s="8">
        <f t="shared" ref="L7:Q7" si="0">+L24</f>
        <v>22504</v>
      </c>
      <c r="M7" s="8">
        <f t="shared" si="0"/>
        <v>22954</v>
      </c>
      <c r="N7" s="8">
        <f t="shared" si="0"/>
        <v>26395</v>
      </c>
      <c r="O7" s="8">
        <f t="shared" si="0"/>
        <v>26836</v>
      </c>
      <c r="P7" s="8">
        <f t="shared" si="0"/>
        <v>27068</v>
      </c>
      <c r="Q7" s="8">
        <f t="shared" si="0"/>
        <v>27229</v>
      </c>
      <c r="R7" s="8">
        <v>27235</v>
      </c>
      <c r="S7" s="8">
        <v>27298</v>
      </c>
      <c r="T7" s="8">
        <v>27116</v>
      </c>
      <c r="U7" s="8">
        <v>26753</v>
      </c>
      <c r="V7" s="8">
        <v>29052</v>
      </c>
      <c r="W7" s="8">
        <v>28299</v>
      </c>
      <c r="X7" s="8">
        <v>27371</v>
      </c>
      <c r="Y7" s="8">
        <v>26679</v>
      </c>
      <c r="Z7" s="8">
        <v>25309</v>
      </c>
      <c r="AA7" s="8">
        <v>24626</v>
      </c>
      <c r="AB7" s="8">
        <v>24047</v>
      </c>
      <c r="AC7" s="8">
        <v>23533</v>
      </c>
      <c r="AD7" s="8">
        <v>23393</v>
      </c>
    </row>
    <row r="8" spans="1:30" s="8" customFormat="1" x14ac:dyDescent="0.25">
      <c r="A8" s="24" t="s">
        <v>7</v>
      </c>
      <c r="F8" s="8">
        <v>0</v>
      </c>
      <c r="G8" s="8">
        <v>0</v>
      </c>
      <c r="H8" s="8">
        <v>0</v>
      </c>
    </row>
    <row r="9" spans="1:30" s="8" customFormat="1" x14ac:dyDescent="0.25">
      <c r="A9" s="12"/>
    </row>
    <row r="10" spans="1:30" s="8" customFormat="1" x14ac:dyDescent="0.25">
      <c r="A10" s="12" t="s">
        <v>8</v>
      </c>
      <c r="D10" s="8">
        <v>13</v>
      </c>
      <c r="E10" s="8">
        <v>9</v>
      </c>
      <c r="F10" s="8">
        <v>0</v>
      </c>
      <c r="G10" s="8">
        <v>0</v>
      </c>
      <c r="H10" s="8">
        <v>0</v>
      </c>
      <c r="L10" s="8">
        <v>110</v>
      </c>
      <c r="M10" s="8">
        <v>100</v>
      </c>
      <c r="N10" s="8">
        <v>109</v>
      </c>
      <c r="O10" s="8">
        <v>105</v>
      </c>
      <c r="P10" s="8">
        <v>117</v>
      </c>
      <c r="Q10" s="8">
        <v>103</v>
      </c>
      <c r="R10" s="8">
        <v>106</v>
      </c>
      <c r="S10" s="8">
        <v>96</v>
      </c>
      <c r="T10" s="8">
        <v>131</v>
      </c>
      <c r="U10" s="8">
        <v>116</v>
      </c>
      <c r="V10" s="8">
        <v>149</v>
      </c>
      <c r="W10" s="8">
        <v>137</v>
      </c>
      <c r="X10" s="8">
        <v>138</v>
      </c>
      <c r="Y10" s="8">
        <v>108</v>
      </c>
      <c r="Z10" s="8">
        <v>143</v>
      </c>
      <c r="AA10" s="8">
        <v>87</v>
      </c>
      <c r="AB10" s="8">
        <v>82</v>
      </c>
      <c r="AC10" s="8">
        <v>66</v>
      </c>
      <c r="AD10" s="8">
        <v>66</v>
      </c>
    </row>
    <row r="11" spans="1:30" s="8" customFormat="1" x14ac:dyDescent="0.25">
      <c r="A11" s="12" t="s">
        <v>21</v>
      </c>
      <c r="D11" s="8">
        <v>89</v>
      </c>
      <c r="E11" s="8">
        <v>116</v>
      </c>
      <c r="F11" s="8">
        <v>100</v>
      </c>
      <c r="G11" s="8">
        <v>92</v>
      </c>
      <c r="H11" s="8">
        <v>109</v>
      </c>
      <c r="I11" s="8">
        <v>102</v>
      </c>
      <c r="J11" s="8">
        <v>103</v>
      </c>
      <c r="K11" s="8">
        <v>89</v>
      </c>
      <c r="N11" s="8">
        <v>0</v>
      </c>
      <c r="O11" s="8">
        <v>0</v>
      </c>
      <c r="Q11" s="8">
        <v>0</v>
      </c>
    </row>
    <row r="12" spans="1:30" s="8" customFormat="1" x14ac:dyDescent="0.25">
      <c r="A12" s="12" t="s">
        <v>24</v>
      </c>
      <c r="B12" s="8">
        <v>78.5</v>
      </c>
      <c r="C12" s="8">
        <v>90</v>
      </c>
      <c r="D12" s="8">
        <v>172</v>
      </c>
      <c r="E12" s="8">
        <v>135</v>
      </c>
      <c r="F12" s="8">
        <v>131</v>
      </c>
      <c r="G12" s="8">
        <v>125</v>
      </c>
      <c r="H12" s="8">
        <f>257-125</f>
        <v>132</v>
      </c>
      <c r="I12" s="8">
        <v>136</v>
      </c>
      <c r="J12" s="8">
        <v>122</v>
      </c>
      <c r="K12" s="8">
        <v>133</v>
      </c>
      <c r="L12" s="8">
        <f>260-133</f>
        <v>127</v>
      </c>
      <c r="M12" s="8">
        <v>138</v>
      </c>
      <c r="N12" s="8">
        <v>133</v>
      </c>
      <c r="O12" s="8">
        <v>129</v>
      </c>
      <c r="P12" s="8">
        <f>261-129</f>
        <v>132</v>
      </c>
      <c r="Q12" s="8">
        <v>137</v>
      </c>
      <c r="R12" s="8">
        <v>137</v>
      </c>
      <c r="S12" s="8">
        <v>123</v>
      </c>
      <c r="T12" s="8">
        <v>123</v>
      </c>
      <c r="U12" s="8">
        <v>124</v>
      </c>
      <c r="V12" s="8">
        <v>124</v>
      </c>
      <c r="W12" s="8">
        <v>140</v>
      </c>
      <c r="X12" s="8">
        <v>152</v>
      </c>
      <c r="Y12" s="8">
        <v>118</v>
      </c>
      <c r="Z12" s="8">
        <v>114</v>
      </c>
      <c r="AA12" s="8">
        <v>86</v>
      </c>
      <c r="AB12" s="8">
        <v>80</v>
      </c>
      <c r="AC12" s="8">
        <v>58</v>
      </c>
      <c r="AD12" s="8">
        <v>80</v>
      </c>
    </row>
    <row r="13" spans="1:30" s="8" customFormat="1" x14ac:dyDescent="0.25">
      <c r="A13" s="12" t="s">
        <v>22</v>
      </c>
      <c r="D13" s="8">
        <v>12</v>
      </c>
      <c r="E13" s="8">
        <v>78</v>
      </c>
      <c r="F13" s="8">
        <v>54</v>
      </c>
      <c r="G13" s="8">
        <v>50</v>
      </c>
      <c r="H13" s="8">
        <v>60</v>
      </c>
      <c r="I13" s="8">
        <v>58</v>
      </c>
      <c r="J13" s="8">
        <v>56</v>
      </c>
      <c r="K13" s="8">
        <v>48</v>
      </c>
      <c r="L13" s="8">
        <v>56</v>
      </c>
      <c r="M13" s="8">
        <v>51</v>
      </c>
      <c r="N13" s="8">
        <v>56</v>
      </c>
      <c r="O13" s="8">
        <v>53</v>
      </c>
      <c r="P13" s="8">
        <v>59</v>
      </c>
      <c r="Y13" s="8">
        <v>-1</v>
      </c>
    </row>
    <row r="14" spans="1:30" s="8" customFormat="1" x14ac:dyDescent="0.25">
      <c r="A14" s="12" t="s">
        <v>46</v>
      </c>
      <c r="W14" s="8">
        <v>116</v>
      </c>
      <c r="X14" s="8">
        <v>125</v>
      </c>
      <c r="Y14" s="8">
        <v>93</v>
      </c>
      <c r="Z14" s="8">
        <f>225-93</f>
        <v>132</v>
      </c>
      <c r="AA14" s="8">
        <v>111</v>
      </c>
      <c r="AB14" s="8">
        <f>172-111</f>
        <v>61</v>
      </c>
      <c r="AC14" s="8">
        <v>44</v>
      </c>
      <c r="AD14" s="8">
        <v>66</v>
      </c>
    </row>
    <row r="15" spans="1:30" s="8" customFormat="1" x14ac:dyDescent="0.25">
      <c r="A15" s="12"/>
    </row>
    <row r="16" spans="1:30" s="8" customFormat="1" x14ac:dyDescent="0.25">
      <c r="A16" s="12" t="s">
        <v>63</v>
      </c>
    </row>
    <row r="17" spans="1:30" s="8" customFormat="1" x14ac:dyDescent="0.25">
      <c r="A17" s="8" t="s">
        <v>17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8</v>
      </c>
      <c r="I17" s="8">
        <v>9821</v>
      </c>
      <c r="J17" s="8">
        <v>10027</v>
      </c>
      <c r="K17" s="8">
        <v>10596</v>
      </c>
      <c r="L17" s="8">
        <v>10801</v>
      </c>
      <c r="M17" s="8">
        <v>11315</v>
      </c>
      <c r="N17" s="8">
        <v>13415</v>
      </c>
      <c r="O17" s="8">
        <v>13904</v>
      </c>
      <c r="P17" s="8">
        <v>13976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204</v>
      </c>
      <c r="W17" s="8">
        <v>208</v>
      </c>
      <c r="X17" s="8">
        <v>192</v>
      </c>
      <c r="Y17" s="8">
        <v>195</v>
      </c>
      <c r="Z17" s="8">
        <v>0</v>
      </c>
      <c r="AA17" s="8">
        <v>0</v>
      </c>
      <c r="AB17" s="8">
        <v>204</v>
      </c>
      <c r="AC17" s="8">
        <v>203</v>
      </c>
      <c r="AD17" s="8">
        <v>196</v>
      </c>
    </row>
    <row r="18" spans="1:30" s="8" customFormat="1" x14ac:dyDescent="0.25">
      <c r="A18" s="8" t="s">
        <v>15</v>
      </c>
      <c r="B18" s="8">
        <v>3277</v>
      </c>
      <c r="C18" s="8">
        <v>4500</v>
      </c>
      <c r="D18" s="8">
        <v>4631</v>
      </c>
      <c r="E18" s="8">
        <v>5136</v>
      </c>
      <c r="F18" s="8">
        <v>5027</v>
      </c>
      <c r="G18" s="8">
        <v>5477</v>
      </c>
      <c r="H18" s="8">
        <v>10399</v>
      </c>
      <c r="I18" s="8">
        <v>2810</v>
      </c>
      <c r="J18" s="8">
        <v>2949</v>
      </c>
      <c r="K18" s="8">
        <v>3012</v>
      </c>
      <c r="L18" s="8">
        <v>3054</v>
      </c>
      <c r="M18" s="8">
        <v>3048</v>
      </c>
      <c r="N18" s="8">
        <v>9</v>
      </c>
      <c r="O18" s="8">
        <v>8</v>
      </c>
      <c r="P18" s="8">
        <v>14</v>
      </c>
      <c r="Q18" s="8">
        <v>14330</v>
      </c>
      <c r="R18" s="8">
        <v>14390</v>
      </c>
      <c r="S18" s="8">
        <v>14803</v>
      </c>
      <c r="T18" s="8">
        <v>14745</v>
      </c>
      <c r="U18" s="8">
        <v>14917</v>
      </c>
      <c r="V18" s="8">
        <v>15078</v>
      </c>
      <c r="W18" s="8">
        <v>15086</v>
      </c>
      <c r="X18" s="8">
        <v>14755</v>
      </c>
      <c r="Y18" s="8">
        <v>14781</v>
      </c>
      <c r="Z18" s="8">
        <v>14548</v>
      </c>
      <c r="AA18" s="8">
        <v>15132</v>
      </c>
      <c r="AB18" s="8">
        <v>14686</v>
      </c>
      <c r="AC18" s="8">
        <v>14679</v>
      </c>
      <c r="AD18" s="8">
        <v>14539</v>
      </c>
    </row>
    <row r="19" spans="1:30" s="8" customFormat="1" x14ac:dyDescent="0.25">
      <c r="A19" s="8" t="s">
        <v>16</v>
      </c>
      <c r="B19" s="8">
        <v>101</v>
      </c>
      <c r="C19" s="8">
        <v>101</v>
      </c>
      <c r="D19" s="8">
        <v>96</v>
      </c>
      <c r="E19" s="8">
        <v>100</v>
      </c>
      <c r="F19" s="8">
        <v>94</v>
      </c>
      <c r="G19" s="8">
        <v>98</v>
      </c>
      <c r="H19" s="8">
        <v>0</v>
      </c>
      <c r="I19" s="8">
        <v>0</v>
      </c>
      <c r="J19" s="8">
        <v>0</v>
      </c>
      <c r="K19" s="8">
        <v>0</v>
      </c>
      <c r="L19" s="8" t="s">
        <v>25</v>
      </c>
      <c r="M19" s="8" t="s">
        <v>25</v>
      </c>
      <c r="N19" s="8">
        <v>3608</v>
      </c>
      <c r="O19" s="8">
        <v>3644</v>
      </c>
      <c r="P19" s="8">
        <v>3643</v>
      </c>
      <c r="Q19" s="8">
        <v>3635</v>
      </c>
      <c r="R19" s="8">
        <v>3652</v>
      </c>
      <c r="S19" s="8">
        <v>3587</v>
      </c>
      <c r="T19" s="8">
        <v>3528</v>
      </c>
      <c r="U19" s="8">
        <v>3409</v>
      </c>
      <c r="V19" s="8">
        <v>4118</v>
      </c>
      <c r="W19" s="8">
        <v>3993</v>
      </c>
      <c r="X19" s="8">
        <v>3783</v>
      </c>
      <c r="Y19" s="8">
        <v>3661</v>
      </c>
      <c r="Z19" s="8">
        <v>3652</v>
      </c>
      <c r="AA19" s="8">
        <v>3436</v>
      </c>
      <c r="AB19" s="8">
        <v>3311</v>
      </c>
      <c r="AC19" s="8">
        <v>3267</v>
      </c>
      <c r="AD19" s="8">
        <v>3217</v>
      </c>
    </row>
    <row r="20" spans="1:30" s="8" customFormat="1" x14ac:dyDescent="0.25">
      <c r="A20" s="8" t="s">
        <v>18</v>
      </c>
      <c r="B20" s="8">
        <v>4507</v>
      </c>
      <c r="C20" s="8">
        <v>4044</v>
      </c>
      <c r="D20" s="8">
        <v>4219</v>
      </c>
      <c r="E20" s="8">
        <v>4107</v>
      </c>
      <c r="F20" s="8">
        <v>4275</v>
      </c>
      <c r="G20" s="8">
        <v>4422</v>
      </c>
      <c r="H20" s="8">
        <v>5583</v>
      </c>
      <c r="I20" s="8">
        <v>4670</v>
      </c>
      <c r="J20" s="8">
        <v>4812</v>
      </c>
      <c r="K20" s="8">
        <v>4927</v>
      </c>
      <c r="L20" s="8">
        <v>4966</v>
      </c>
      <c r="M20" s="8">
        <v>5044</v>
      </c>
      <c r="N20" s="8">
        <v>5514</v>
      </c>
      <c r="O20" s="8">
        <v>5559</v>
      </c>
      <c r="P20" s="8">
        <v>5534</v>
      </c>
      <c r="Q20" s="8">
        <v>5677</v>
      </c>
      <c r="R20" s="8">
        <v>5704</v>
      </c>
      <c r="S20" s="8">
        <v>5586</v>
      </c>
      <c r="T20" s="8">
        <v>5521</v>
      </c>
      <c r="U20" s="8">
        <v>5342</v>
      </c>
      <c r="V20" s="8">
        <v>6253</v>
      </c>
      <c r="W20" s="8">
        <v>5928</v>
      </c>
      <c r="X20" s="8">
        <v>5720</v>
      </c>
      <c r="Y20" s="8">
        <v>5445</v>
      </c>
      <c r="Z20" s="8">
        <v>4758</v>
      </c>
      <c r="AA20" s="8">
        <v>4218</v>
      </c>
      <c r="AB20" s="8">
        <v>4103</v>
      </c>
      <c r="AC20" s="8">
        <v>3894</v>
      </c>
      <c r="AD20" s="8">
        <v>3909</v>
      </c>
    </row>
    <row r="21" spans="1:30" s="8" customFormat="1" x14ac:dyDescent="0.25">
      <c r="A21" s="8" t="s">
        <v>19</v>
      </c>
      <c r="B21" s="8">
        <v>2353</v>
      </c>
      <c r="C21" s="8">
        <v>1932</v>
      </c>
      <c r="D21" s="8">
        <v>2031</v>
      </c>
      <c r="E21" s="8">
        <v>2378</v>
      </c>
      <c r="F21" s="8">
        <v>2592</v>
      </c>
      <c r="G21" s="8">
        <v>2603</v>
      </c>
      <c r="H21" s="8">
        <v>2138</v>
      </c>
      <c r="I21" s="8">
        <v>2889</v>
      </c>
      <c r="J21" s="8">
        <v>3017</v>
      </c>
      <c r="K21" s="8">
        <v>2838</v>
      </c>
      <c r="L21" s="8">
        <v>2947</v>
      </c>
      <c r="M21" s="8">
        <v>2862</v>
      </c>
      <c r="N21" s="8">
        <v>3087</v>
      </c>
      <c r="O21" s="8">
        <v>2982</v>
      </c>
      <c r="P21" s="8">
        <v>3126</v>
      </c>
      <c r="Q21" s="8">
        <v>2893</v>
      </c>
      <c r="R21" s="8">
        <v>2874</v>
      </c>
      <c r="S21" s="8">
        <v>2694</v>
      </c>
      <c r="T21" s="8">
        <v>2681</v>
      </c>
      <c r="U21" s="8">
        <v>2516</v>
      </c>
      <c r="V21" s="8">
        <v>2665</v>
      </c>
      <c r="W21" s="8">
        <v>2424</v>
      </c>
      <c r="X21" s="8">
        <v>2346</v>
      </c>
      <c r="Y21" s="8">
        <v>2099</v>
      </c>
      <c r="Z21" s="8">
        <v>1904</v>
      </c>
      <c r="AA21" s="8">
        <v>1558</v>
      </c>
      <c r="AB21" s="8">
        <v>1470</v>
      </c>
      <c r="AC21" s="8">
        <v>1288</v>
      </c>
      <c r="AD21" s="8">
        <v>1312</v>
      </c>
    </row>
    <row r="22" spans="1:30" s="8" customFormat="1" x14ac:dyDescent="0.25">
      <c r="A22" s="6" t="s">
        <v>12</v>
      </c>
      <c r="B22" s="8">
        <v>528</v>
      </c>
      <c r="C22" s="8">
        <v>467</v>
      </c>
      <c r="D22" s="8">
        <v>431</v>
      </c>
      <c r="E22" s="8">
        <v>483</v>
      </c>
      <c r="F22" s="8">
        <v>520</v>
      </c>
      <c r="G22" s="8">
        <v>471</v>
      </c>
      <c r="H22" s="8">
        <v>264</v>
      </c>
      <c r="I22" s="8">
        <v>612</v>
      </c>
      <c r="J22" s="8">
        <v>603</v>
      </c>
      <c r="K22" s="8">
        <v>567</v>
      </c>
      <c r="L22" s="8">
        <v>583</v>
      </c>
      <c r="M22" s="8">
        <v>547</v>
      </c>
      <c r="N22" s="8">
        <v>609</v>
      </c>
      <c r="O22" s="8">
        <v>595</v>
      </c>
      <c r="P22" s="8">
        <v>615</v>
      </c>
      <c r="Q22" s="8">
        <v>550</v>
      </c>
      <c r="R22" s="8">
        <v>547</v>
      </c>
      <c r="S22" s="8">
        <v>487</v>
      </c>
      <c r="T22" s="8">
        <v>480</v>
      </c>
      <c r="U22" s="8">
        <v>438</v>
      </c>
      <c r="V22" s="8">
        <v>566</v>
      </c>
      <c r="W22" s="8">
        <v>514</v>
      </c>
      <c r="X22" s="8">
        <v>455</v>
      </c>
      <c r="Y22" s="8">
        <v>405</v>
      </c>
      <c r="Z22" s="8">
        <v>335</v>
      </c>
      <c r="AA22" s="8">
        <v>222</v>
      </c>
      <c r="AB22" s="8">
        <v>212</v>
      </c>
      <c r="AC22" s="8">
        <v>174</v>
      </c>
      <c r="AD22" s="8">
        <v>169</v>
      </c>
    </row>
    <row r="23" spans="1:30" s="8" customFormat="1" x14ac:dyDescent="0.25">
      <c r="A23" s="6" t="s">
        <v>4</v>
      </c>
      <c r="B23" s="8">
        <v>121</v>
      </c>
      <c r="C23" s="8">
        <v>153</v>
      </c>
      <c r="D23" s="8">
        <v>168</v>
      </c>
      <c r="E23" s="8">
        <v>175</v>
      </c>
      <c r="F23" s="8">
        <v>185</v>
      </c>
      <c r="G23" s="8">
        <v>182</v>
      </c>
      <c r="H23" s="8">
        <v>168</v>
      </c>
      <c r="I23" s="8">
        <v>146</v>
      </c>
      <c r="J23" s="8">
        <v>147</v>
      </c>
      <c r="K23" s="8">
        <v>128</v>
      </c>
      <c r="L23" s="8">
        <v>153</v>
      </c>
      <c r="M23" s="8">
        <v>138</v>
      </c>
      <c r="N23" s="8">
        <v>153</v>
      </c>
      <c r="O23" s="8">
        <v>144</v>
      </c>
      <c r="P23" s="8">
        <v>160</v>
      </c>
      <c r="Q23" s="8">
        <v>144</v>
      </c>
      <c r="R23" s="8">
        <v>158</v>
      </c>
      <c r="S23" s="8">
        <v>141</v>
      </c>
      <c r="T23" s="8">
        <v>161</v>
      </c>
      <c r="U23" s="8">
        <v>131</v>
      </c>
      <c r="V23" s="8">
        <v>168</v>
      </c>
      <c r="W23" s="8">
        <v>146</v>
      </c>
      <c r="X23" s="8">
        <v>120</v>
      </c>
      <c r="Y23" s="8">
        <v>93</v>
      </c>
      <c r="Z23" s="8">
        <v>112</v>
      </c>
      <c r="AA23" s="8">
        <v>60</v>
      </c>
      <c r="AB23" s="8">
        <v>61</v>
      </c>
      <c r="AC23" s="8">
        <v>48</v>
      </c>
      <c r="AD23" s="8">
        <v>51</v>
      </c>
    </row>
    <row r="24" spans="1:30" s="8" customFormat="1" x14ac:dyDescent="0.25">
      <c r="A24" s="6" t="s">
        <v>5</v>
      </c>
      <c r="B24" s="8">
        <f>SUM(B17:B23)</f>
        <v>10887</v>
      </c>
      <c r="C24" s="8">
        <f>SUM(C17:C23)</f>
        <v>11197</v>
      </c>
      <c r="D24" s="8">
        <f t="shared" ref="D24:I24" si="1">SUM(D17:D23)</f>
        <v>11576</v>
      </c>
      <c r="E24" s="8">
        <f t="shared" si="1"/>
        <v>12379</v>
      </c>
      <c r="F24" s="8">
        <f t="shared" si="1"/>
        <v>12693</v>
      </c>
      <c r="G24" s="8">
        <f t="shared" si="1"/>
        <v>13253</v>
      </c>
      <c r="H24" s="8">
        <f t="shared" si="1"/>
        <v>18560</v>
      </c>
      <c r="I24" s="8">
        <f t="shared" si="1"/>
        <v>20948</v>
      </c>
      <c r="J24" s="8">
        <f>SUM(J17:J23)</f>
        <v>21555</v>
      </c>
      <c r="K24" s="8">
        <f>SUM(K17:K23)</f>
        <v>22068</v>
      </c>
      <c r="L24" s="8">
        <v>22504</v>
      </c>
      <c r="M24" s="8">
        <v>22954</v>
      </c>
      <c r="N24" s="8">
        <v>26395</v>
      </c>
      <c r="O24" s="8">
        <v>26836</v>
      </c>
      <c r="P24" s="8">
        <v>27068</v>
      </c>
      <c r="Q24" s="8">
        <f>SUM(Q17:Q23)</f>
        <v>27229</v>
      </c>
      <c r="R24" s="8">
        <f>SUM(R17:R23)</f>
        <v>27325</v>
      </c>
      <c r="S24" s="8">
        <f>SUM(S17:S23)</f>
        <v>27298</v>
      </c>
      <c r="T24" s="8">
        <f>SUM(T17:T23)</f>
        <v>27116</v>
      </c>
      <c r="U24" s="8">
        <f t="shared" ref="U24:AC24" si="2">SUM(U17:U23)</f>
        <v>26753</v>
      </c>
      <c r="V24" s="8">
        <f t="shared" si="2"/>
        <v>29052</v>
      </c>
      <c r="W24" s="8">
        <f t="shared" si="2"/>
        <v>28299</v>
      </c>
      <c r="X24" s="8">
        <f t="shared" si="2"/>
        <v>27371</v>
      </c>
      <c r="Y24" s="8">
        <f t="shared" si="2"/>
        <v>26679</v>
      </c>
      <c r="Z24" s="8">
        <f t="shared" si="2"/>
        <v>25309</v>
      </c>
      <c r="AA24" s="8">
        <f t="shared" si="2"/>
        <v>24626</v>
      </c>
      <c r="AB24" s="8">
        <f t="shared" si="2"/>
        <v>24047</v>
      </c>
      <c r="AC24" s="8">
        <f t="shared" si="2"/>
        <v>23553</v>
      </c>
      <c r="AD24" s="8">
        <f>SUM(AD17:AD23)</f>
        <v>23393</v>
      </c>
    </row>
    <row r="25" spans="1:30" s="8" customFormat="1" x14ac:dyDescent="0.25">
      <c r="A25" s="6"/>
    </row>
    <row r="26" spans="1:30" s="8" customFormat="1" x14ac:dyDescent="0.25">
      <c r="A26" s="26" t="s">
        <v>13</v>
      </c>
      <c r="B26" s="8">
        <f>+B24</f>
        <v>10887</v>
      </c>
      <c r="C26" s="8">
        <f t="shared" ref="C26:Y26" si="3">+C24</f>
        <v>11197</v>
      </c>
      <c r="D26" s="8">
        <f t="shared" si="3"/>
        <v>11576</v>
      </c>
      <c r="E26" s="8">
        <f t="shared" si="3"/>
        <v>12379</v>
      </c>
      <c r="F26" s="8">
        <f t="shared" si="3"/>
        <v>12693</v>
      </c>
      <c r="G26" s="8">
        <f t="shared" si="3"/>
        <v>13253</v>
      </c>
      <c r="H26" s="8">
        <f t="shared" si="3"/>
        <v>18560</v>
      </c>
      <c r="I26" s="8">
        <f t="shared" si="3"/>
        <v>20948</v>
      </c>
      <c r="J26" s="8">
        <f t="shared" si="3"/>
        <v>21555</v>
      </c>
      <c r="K26" s="8">
        <f t="shared" si="3"/>
        <v>22068</v>
      </c>
      <c r="L26" s="8">
        <f t="shared" si="3"/>
        <v>22504</v>
      </c>
      <c r="M26" s="8">
        <f t="shared" si="3"/>
        <v>22954</v>
      </c>
      <c r="N26" s="8">
        <f t="shared" si="3"/>
        <v>26395</v>
      </c>
      <c r="O26" s="8">
        <f t="shared" si="3"/>
        <v>26836</v>
      </c>
      <c r="P26" s="8">
        <f t="shared" si="3"/>
        <v>27068</v>
      </c>
      <c r="Q26" s="8">
        <f t="shared" si="3"/>
        <v>27229</v>
      </c>
      <c r="R26" s="8">
        <f t="shared" si="3"/>
        <v>27325</v>
      </c>
      <c r="S26" s="8">
        <f t="shared" si="3"/>
        <v>27298</v>
      </c>
      <c r="T26" s="8">
        <f t="shared" si="3"/>
        <v>27116</v>
      </c>
      <c r="U26" s="8">
        <f t="shared" si="3"/>
        <v>26753</v>
      </c>
      <c r="V26" s="8">
        <f t="shared" si="3"/>
        <v>29052</v>
      </c>
      <c r="W26" s="8">
        <f t="shared" si="3"/>
        <v>28299</v>
      </c>
      <c r="X26" s="8">
        <f t="shared" si="3"/>
        <v>27371</v>
      </c>
      <c r="Y26" s="8">
        <f t="shared" si="3"/>
        <v>26679</v>
      </c>
      <c r="Z26" s="8">
        <f t="shared" ref="Z26:AC26" si="4">+Z24</f>
        <v>25309</v>
      </c>
      <c r="AA26" s="8">
        <f t="shared" si="4"/>
        <v>24626</v>
      </c>
      <c r="AB26" s="8">
        <f t="shared" si="4"/>
        <v>24047</v>
      </c>
      <c r="AC26" s="8">
        <f t="shared" si="4"/>
        <v>23553</v>
      </c>
      <c r="AD26" s="8">
        <f>+AD24</f>
        <v>23393</v>
      </c>
    </row>
    <row r="27" spans="1:30" s="8" customFormat="1" x14ac:dyDescent="0.25">
      <c r="A27" s="24" t="s">
        <v>27</v>
      </c>
      <c r="J27" s="8">
        <v>12299</v>
      </c>
      <c r="K27" s="8">
        <v>12655</v>
      </c>
      <c r="L27" s="8">
        <v>13041</v>
      </c>
      <c r="M27" s="8">
        <v>13293</v>
      </c>
      <c r="N27" s="8">
        <v>16662</v>
      </c>
      <c r="O27" s="8">
        <v>16808</v>
      </c>
      <c r="P27" s="8">
        <v>17221</v>
      </c>
      <c r="Q27" s="8">
        <v>17284</v>
      </c>
      <c r="R27" s="8">
        <v>17436</v>
      </c>
      <c r="S27" s="8">
        <v>17273</v>
      </c>
      <c r="T27" s="8">
        <v>17210</v>
      </c>
      <c r="U27" s="8">
        <v>16866</v>
      </c>
      <c r="V27" s="8">
        <v>18224</v>
      </c>
      <c r="W27" s="8">
        <v>17766</v>
      </c>
      <c r="X27" s="8">
        <v>17182</v>
      </c>
      <c r="Y27" s="8">
        <v>16702</v>
      </c>
      <c r="Z27" s="8">
        <v>17117</v>
      </c>
      <c r="AA27" s="8">
        <v>16502</v>
      </c>
      <c r="AB27" s="8">
        <v>16182</v>
      </c>
      <c r="AC27" s="8">
        <v>15710</v>
      </c>
      <c r="AD27" s="8">
        <v>15585</v>
      </c>
    </row>
    <row r="28" spans="1:30" s="8" customFormat="1" x14ac:dyDescent="0.25">
      <c r="A28" s="24" t="s">
        <v>28</v>
      </c>
      <c r="J28" s="8">
        <f t="shared" ref="J28:Y28" si="5">+J24-J27</f>
        <v>9256</v>
      </c>
      <c r="K28" s="8">
        <f t="shared" si="5"/>
        <v>9413</v>
      </c>
      <c r="L28" s="8">
        <f t="shared" si="5"/>
        <v>9463</v>
      </c>
      <c r="M28" s="8">
        <f t="shared" si="5"/>
        <v>9661</v>
      </c>
      <c r="N28" s="8">
        <f t="shared" si="5"/>
        <v>9733</v>
      </c>
      <c r="O28" s="8">
        <f t="shared" si="5"/>
        <v>10028</v>
      </c>
      <c r="P28" s="8">
        <f t="shared" si="5"/>
        <v>9847</v>
      </c>
      <c r="Q28" s="8">
        <f t="shared" si="5"/>
        <v>9945</v>
      </c>
      <c r="R28" s="8">
        <f t="shared" si="5"/>
        <v>9889</v>
      </c>
      <c r="S28" s="8">
        <f t="shared" si="5"/>
        <v>10025</v>
      </c>
      <c r="T28" s="8">
        <f t="shared" si="5"/>
        <v>9906</v>
      </c>
      <c r="U28" s="8">
        <f t="shared" si="5"/>
        <v>9887</v>
      </c>
      <c r="V28" s="8">
        <f t="shared" si="5"/>
        <v>10828</v>
      </c>
      <c r="W28" s="8">
        <f t="shared" si="5"/>
        <v>10533</v>
      </c>
      <c r="X28" s="8">
        <f t="shared" si="5"/>
        <v>10189</v>
      </c>
      <c r="Y28" s="8">
        <f t="shared" si="5"/>
        <v>9977</v>
      </c>
      <c r="Z28" s="8">
        <f t="shared" ref="Z28" si="6">+Z26-Z27</f>
        <v>8192</v>
      </c>
      <c r="AA28" s="8">
        <f t="shared" ref="AA28" si="7">+AA26-AA27</f>
        <v>8124</v>
      </c>
      <c r="AB28" s="8">
        <f t="shared" ref="AB28:AC28" si="8">+AB26-AB27</f>
        <v>7865</v>
      </c>
      <c r="AC28" s="8">
        <f t="shared" si="8"/>
        <v>7843</v>
      </c>
      <c r="AD28" s="8">
        <f>+AD26-AD27</f>
        <v>7808</v>
      </c>
    </row>
    <row r="29" spans="1:30" x14ac:dyDescent="0.25">
      <c r="A29" s="2" t="s">
        <v>62</v>
      </c>
      <c r="J29" s="21">
        <f t="shared" ref="J29:AD29" si="9">(J24-J27)/J24</f>
        <v>0.42941312920436092</v>
      </c>
      <c r="K29" s="21">
        <f t="shared" si="9"/>
        <v>0.4265452238535436</v>
      </c>
      <c r="L29" s="21">
        <f t="shared" si="9"/>
        <v>0.42050302168503378</v>
      </c>
      <c r="M29" s="21">
        <f t="shared" si="9"/>
        <v>0.42088524875838634</v>
      </c>
      <c r="N29" s="21">
        <f t="shared" si="9"/>
        <v>0.36874408031824207</v>
      </c>
      <c r="O29" s="21">
        <f t="shared" si="9"/>
        <v>0.37367715009688479</v>
      </c>
      <c r="P29" s="21">
        <f t="shared" si="9"/>
        <v>0.36378749815280037</v>
      </c>
      <c r="Q29" s="21">
        <f t="shared" si="9"/>
        <v>0.36523559440302616</v>
      </c>
      <c r="R29" s="21">
        <f t="shared" si="9"/>
        <v>0.36190301921317475</v>
      </c>
      <c r="S29" s="21">
        <f t="shared" si="9"/>
        <v>0.36724302146677412</v>
      </c>
      <c r="T29" s="21">
        <f t="shared" si="9"/>
        <v>0.36531936863844222</v>
      </c>
      <c r="U29" s="21">
        <f t="shared" si="9"/>
        <v>0.36956602997794641</v>
      </c>
      <c r="V29" s="21">
        <f t="shared" si="9"/>
        <v>0.37271100096378906</v>
      </c>
      <c r="W29" s="21">
        <f t="shared" si="9"/>
        <v>0.37220396480441004</v>
      </c>
      <c r="X29" s="21">
        <f t="shared" si="9"/>
        <v>0.37225530671148294</v>
      </c>
      <c r="Y29" s="21">
        <f t="shared" si="9"/>
        <v>0.37396454139960267</v>
      </c>
      <c r="Z29" s="21">
        <f t="shared" si="9"/>
        <v>0.32367932356078866</v>
      </c>
      <c r="AA29" s="21">
        <f t="shared" si="9"/>
        <v>0.32989523268090637</v>
      </c>
      <c r="AB29" s="21">
        <f t="shared" si="9"/>
        <v>0.32706782550837943</v>
      </c>
      <c r="AC29" s="21">
        <f t="shared" si="9"/>
        <v>0.33299367384197343</v>
      </c>
      <c r="AD29" s="21">
        <f t="shared" si="9"/>
        <v>0.33377506091565851</v>
      </c>
    </row>
    <row r="30" spans="1:30" x14ac:dyDescent="0.25">
      <c r="A30" s="4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30" s="8" customFormat="1" x14ac:dyDescent="0.25">
      <c r="A31" s="8" t="s">
        <v>11</v>
      </c>
      <c r="B31" s="13">
        <f>B23/B24</f>
        <v>1.1114172866721778E-2</v>
      </c>
      <c r="C31" s="13">
        <f t="shared" ref="C31:P31" si="10">C23/C24</f>
        <v>1.3664374385996249E-2</v>
      </c>
      <c r="D31" s="13">
        <f t="shared" si="10"/>
        <v>1.4512785072563926E-2</v>
      </c>
      <c r="E31" s="13">
        <f t="shared" si="10"/>
        <v>1.4136844656272719E-2</v>
      </c>
      <c r="F31" s="13">
        <f t="shared" si="10"/>
        <v>1.4574962577798787E-2</v>
      </c>
      <c r="G31" s="13">
        <f t="shared" si="10"/>
        <v>1.3732739757036143E-2</v>
      </c>
      <c r="H31" s="13">
        <f t="shared" si="10"/>
        <v>9.0517241379310352E-3</v>
      </c>
      <c r="I31" s="13">
        <f t="shared" si="10"/>
        <v>6.9696391063586022E-3</v>
      </c>
      <c r="J31" s="13">
        <f t="shared" si="10"/>
        <v>6.8197633959638133E-3</v>
      </c>
      <c r="K31" s="13">
        <f t="shared" si="10"/>
        <v>5.8002537611020486E-3</v>
      </c>
      <c r="L31" s="13">
        <f t="shared" si="10"/>
        <v>6.7987913259864915E-3</v>
      </c>
      <c r="M31" s="13">
        <f t="shared" si="10"/>
        <v>6.0120240480961923E-3</v>
      </c>
      <c r="N31" s="13">
        <f t="shared" si="10"/>
        <v>5.796552377344194E-3</v>
      </c>
      <c r="O31" s="13">
        <f t="shared" si="10"/>
        <v>5.365926367565956E-3</v>
      </c>
      <c r="P31" s="13">
        <f t="shared" si="10"/>
        <v>5.911038865080538E-3</v>
      </c>
      <c r="Q31" s="13">
        <f>Q23/Q24</f>
        <v>5.2884791949759447E-3</v>
      </c>
      <c r="R31" s="13">
        <f>R23/R24</f>
        <v>5.7822506861848122E-3</v>
      </c>
      <c r="S31" s="13">
        <f>S23/S24</f>
        <v>5.1652135687596159E-3</v>
      </c>
      <c r="T31" s="13">
        <f t="shared" ref="T31:X31" si="11">T23/T24</f>
        <v>5.9374539017554209E-3</v>
      </c>
      <c r="U31" s="13">
        <f t="shared" si="11"/>
        <v>4.8966471049975702E-3</v>
      </c>
      <c r="V31" s="13">
        <f t="shared" si="11"/>
        <v>5.7827344072697235E-3</v>
      </c>
      <c r="W31" s="13">
        <f t="shared" si="11"/>
        <v>5.1591929043429095E-3</v>
      </c>
      <c r="X31" s="13">
        <f t="shared" si="11"/>
        <v>4.3842022578641626E-3</v>
      </c>
      <c r="Y31" s="13">
        <f t="shared" ref="Y31:AD31" si="12">Y23/Y24</f>
        <v>3.4858877769031824E-3</v>
      </c>
      <c r="Z31" s="13">
        <f t="shared" si="12"/>
        <v>4.4253032518076574E-3</v>
      </c>
      <c r="AA31" s="13">
        <f t="shared" si="12"/>
        <v>2.4364492812474622E-3</v>
      </c>
      <c r="AB31" s="13">
        <f t="shared" si="12"/>
        <v>2.5366989645277996E-3</v>
      </c>
      <c r="AC31" s="13">
        <f t="shared" si="12"/>
        <v>2.0379569481594703E-3</v>
      </c>
      <c r="AD31" s="13">
        <f t="shared" si="12"/>
        <v>2.1801393579275853E-3</v>
      </c>
    </row>
    <row r="32" spans="1:30" s="8" customFormat="1" x14ac:dyDescent="0.25">
      <c r="A32" s="4" t="s">
        <v>14</v>
      </c>
      <c r="B32" s="13"/>
      <c r="C32" s="13"/>
      <c r="D32" s="13">
        <f t="shared" ref="D32:Y32" si="13">+(D11+D10)/D24</f>
        <v>8.8113337940566687E-3</v>
      </c>
      <c r="E32" s="13">
        <f t="shared" si="13"/>
        <v>1.0097746183051943E-2</v>
      </c>
      <c r="F32" s="13">
        <f t="shared" si="13"/>
        <v>7.8783581501615067E-3</v>
      </c>
      <c r="G32" s="13">
        <f t="shared" si="13"/>
        <v>6.9418244925677202E-3</v>
      </c>
      <c r="H32" s="13">
        <f t="shared" si="13"/>
        <v>5.8728448275862065E-3</v>
      </c>
      <c r="I32" s="13">
        <f t="shared" si="13"/>
        <v>4.8691999236203931E-3</v>
      </c>
      <c r="J32" s="13">
        <f t="shared" si="13"/>
        <v>4.7784736720018553E-3</v>
      </c>
      <c r="K32" s="13">
        <f t="shared" si="13"/>
        <v>4.0329889432662675E-3</v>
      </c>
      <c r="L32" s="13">
        <f t="shared" si="13"/>
        <v>4.8880199075719876E-3</v>
      </c>
      <c r="M32" s="13">
        <f t="shared" si="13"/>
        <v>4.3565391652870961E-3</v>
      </c>
      <c r="N32" s="13">
        <f t="shared" si="13"/>
        <v>4.1295699943171057E-3</v>
      </c>
      <c r="O32" s="13">
        <f t="shared" si="13"/>
        <v>3.9126546430168427E-3</v>
      </c>
      <c r="P32" s="13">
        <f t="shared" si="13"/>
        <v>4.3224471700901435E-3</v>
      </c>
      <c r="Q32" s="13">
        <f t="shared" si="13"/>
        <v>3.7827316464064051E-3</v>
      </c>
      <c r="R32" s="13">
        <f t="shared" si="13"/>
        <v>3.8792314730100642E-3</v>
      </c>
      <c r="S32" s="13">
        <f t="shared" si="13"/>
        <v>3.5167411531980366E-3</v>
      </c>
      <c r="T32" s="13">
        <f t="shared" si="13"/>
        <v>4.8310960318631068E-3</v>
      </c>
      <c r="U32" s="13">
        <f t="shared" si="13"/>
        <v>4.3359623219825817E-3</v>
      </c>
      <c r="V32" s="13">
        <f t="shared" si="13"/>
        <v>5.1287346826380279E-3</v>
      </c>
      <c r="W32" s="13">
        <f t="shared" si="13"/>
        <v>4.8411604650341004E-3</v>
      </c>
      <c r="X32" s="13">
        <f t="shared" si="13"/>
        <v>5.041832596543787E-3</v>
      </c>
      <c r="Y32" s="13">
        <f t="shared" si="13"/>
        <v>4.0481277409198249E-3</v>
      </c>
      <c r="Z32" s="13">
        <f t="shared" ref="Z32:AD32" si="14">+(Z11+Z10)/Z24</f>
        <v>5.650163973290134E-3</v>
      </c>
      <c r="AA32" s="13">
        <f t="shared" si="14"/>
        <v>3.53285145780882E-3</v>
      </c>
      <c r="AB32" s="13">
        <f t="shared" si="14"/>
        <v>3.4099887719881896E-3</v>
      </c>
      <c r="AC32" s="13">
        <f t="shared" si="14"/>
        <v>2.8021908037192712E-3</v>
      </c>
      <c r="AD32" s="13">
        <f t="shared" si="14"/>
        <v>2.8213568161415807E-3</v>
      </c>
    </row>
    <row r="33" spans="1:30" s="8" customFormat="1" x14ac:dyDescent="0.25">
      <c r="A33" s="12" t="s">
        <v>33</v>
      </c>
      <c r="B33" s="13"/>
      <c r="C33" s="13"/>
      <c r="D33" s="13">
        <f t="shared" ref="D33:Y33" si="15">(D12+C12)/D24</f>
        <v>2.2633033863165168E-2</v>
      </c>
      <c r="E33" s="13">
        <f t="shared" si="15"/>
        <v>2.4800064625575571E-2</v>
      </c>
      <c r="F33" s="13">
        <f t="shared" si="15"/>
        <v>2.0956432679429607E-2</v>
      </c>
      <c r="G33" s="13">
        <f t="shared" si="15"/>
        <v>1.931638119671018E-2</v>
      </c>
      <c r="H33" s="13">
        <f t="shared" si="15"/>
        <v>1.384698275862069E-2</v>
      </c>
      <c r="I33" s="13">
        <f t="shared" si="15"/>
        <v>1.2793584113041817E-2</v>
      </c>
      <c r="J33" s="13">
        <f t="shared" si="15"/>
        <v>1.196938065414057E-2</v>
      </c>
      <c r="K33" s="13">
        <f t="shared" si="15"/>
        <v>1.1555193039695487E-2</v>
      </c>
      <c r="L33" s="13">
        <f t="shared" si="15"/>
        <v>1.1553501599715606E-2</v>
      </c>
      <c r="M33" s="13">
        <f t="shared" si="15"/>
        <v>1.1544828788010804E-2</v>
      </c>
      <c r="N33" s="13">
        <f t="shared" si="15"/>
        <v>1.0267096040916841E-2</v>
      </c>
      <c r="O33" s="13">
        <f t="shared" si="15"/>
        <v>9.7630049187658365E-3</v>
      </c>
      <c r="P33" s="13">
        <f t="shared" si="15"/>
        <v>9.642382148662627E-3</v>
      </c>
      <c r="Q33" s="13">
        <f t="shared" si="15"/>
        <v>9.879172940614786E-3</v>
      </c>
      <c r="R33" s="13">
        <f t="shared" si="15"/>
        <v>1.0027447392497713E-2</v>
      </c>
      <c r="S33" s="13">
        <f t="shared" si="15"/>
        <v>9.5245072899113482E-3</v>
      </c>
      <c r="T33" s="13">
        <f t="shared" si="15"/>
        <v>9.0721345331169784E-3</v>
      </c>
      <c r="U33" s="13">
        <f t="shared" si="15"/>
        <v>9.2326094269801519E-3</v>
      </c>
      <c r="V33" s="13">
        <f t="shared" si="15"/>
        <v>8.5364174583505443E-3</v>
      </c>
      <c r="W33" s="13">
        <f t="shared" si="15"/>
        <v>9.3289515530584118E-3</v>
      </c>
      <c r="X33" s="13">
        <f t="shared" si="15"/>
        <v>1.066822549413613E-2</v>
      </c>
      <c r="Y33" s="13">
        <f t="shared" si="15"/>
        <v>1.0120319352299562E-2</v>
      </c>
      <c r="Z33" s="13">
        <f t="shared" ref="Z33" si="16">(Z12+Y12)/Z24</f>
        <v>9.1666995930301479E-3</v>
      </c>
      <c r="AA33" s="13">
        <f t="shared" ref="AA33" si="17">(AA12+Z12)/AA24</f>
        <v>8.1214976041582062E-3</v>
      </c>
      <c r="AB33" s="13">
        <f t="shared" ref="AB33" si="18">(AB12+AA12)/AB24</f>
        <v>6.9031480018297503E-3</v>
      </c>
      <c r="AC33" s="13">
        <f t="shared" ref="AC33" si="19">(AC12+AB12)/AC24</f>
        <v>5.8591262259584768E-3</v>
      </c>
      <c r="AD33" s="13">
        <f t="shared" ref="AD33" si="20">(AD12+AC12)/AD24</f>
        <v>5.8992006155687603E-3</v>
      </c>
    </row>
    <row r="34" spans="1:30" s="8" customFormat="1" x14ac:dyDescent="0.25">
      <c r="A34" s="10" t="s">
        <v>30</v>
      </c>
      <c r="C34" s="13"/>
      <c r="D34" s="13"/>
      <c r="E34" s="13">
        <f t="shared" ref="E34:S34" si="21">E3/E7</f>
        <v>0.50828015187010256</v>
      </c>
      <c r="F34" s="13">
        <f t="shared" si="21"/>
        <v>0.53352241392893718</v>
      </c>
      <c r="G34" s="13">
        <f t="shared" si="21"/>
        <v>0.51014864558967776</v>
      </c>
      <c r="H34" s="13">
        <f t="shared" si="21"/>
        <v>0.3447198275862069</v>
      </c>
      <c r="I34" s="13">
        <f t="shared" si="21"/>
        <v>0.30986251670803894</v>
      </c>
      <c r="J34" s="13">
        <f t="shared" si="21"/>
        <v>0.31097193226629555</v>
      </c>
      <c r="K34" s="13">
        <f t="shared" si="21"/>
        <v>0.29273155700561898</v>
      </c>
      <c r="L34" s="13">
        <f t="shared" si="21"/>
        <v>0.29696942765730538</v>
      </c>
      <c r="M34" s="13">
        <f t="shared" si="21"/>
        <v>0.2854840115012634</v>
      </c>
      <c r="N34" s="13">
        <f t="shared" si="21"/>
        <v>0.31123318810380751</v>
      </c>
      <c r="O34" s="13">
        <f t="shared" si="21"/>
        <v>0.31796840065583543</v>
      </c>
      <c r="P34" s="13">
        <f t="shared" si="21"/>
        <v>0.32736072114674153</v>
      </c>
      <c r="Q34" s="13">
        <f t="shared" si="21"/>
        <v>0.34176796797532044</v>
      </c>
      <c r="R34" s="13">
        <f t="shared" si="21"/>
        <v>0.36309895355241417</v>
      </c>
      <c r="S34" s="13">
        <f t="shared" si="21"/>
        <v>0.36724302146677412</v>
      </c>
      <c r="T34" s="13">
        <f t="shared" ref="T34:X34" si="22">T3/T7</f>
        <v>0.36531936863844222</v>
      </c>
      <c r="U34" s="13">
        <f t="shared" si="22"/>
        <v>0.36956602997794641</v>
      </c>
      <c r="V34" s="13">
        <f t="shared" si="22"/>
        <v>0.37271100096378906</v>
      </c>
      <c r="W34" s="13">
        <f t="shared" si="22"/>
        <v>0.37220396480441004</v>
      </c>
      <c r="X34" s="13">
        <f t="shared" si="22"/>
        <v>0.37225530671148294</v>
      </c>
      <c r="Y34" s="13">
        <f t="shared" ref="Y34:AD34" si="23">Y3/Y7</f>
        <v>0.37396454139960267</v>
      </c>
      <c r="Z34" s="13">
        <f t="shared" si="23"/>
        <v>0.26460942747639182</v>
      </c>
      <c r="AA34" s="13">
        <f t="shared" si="23"/>
        <v>0.23617315032892067</v>
      </c>
      <c r="AB34" s="13">
        <f t="shared" si="23"/>
        <v>0.22730486131326152</v>
      </c>
      <c r="AC34" s="13">
        <f t="shared" si="23"/>
        <v>0.21378489780308502</v>
      </c>
      <c r="AD34" s="13">
        <f t="shared" si="23"/>
        <v>0.21467960501004574</v>
      </c>
    </row>
    <row r="35" spans="1:30" x14ac:dyDescent="0.25">
      <c r="M35" s="33"/>
    </row>
  </sheetData>
  <printOptions gridLines="1"/>
  <pageMargins left="0" right="0" top="0.59055118110236227" bottom="0" header="0.19685039370078741" footer="0"/>
  <pageSetup paperSize="9" scale="62" orientation="landscape" r:id="rId1"/>
  <headerFooter>
    <oddHeader>&amp;C&amp;"-,Bold"&amp;12QRR APS330 for &amp;A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00B050"/>
    <pageSetUpPr fitToPage="1"/>
  </sheetPr>
  <dimension ref="A1:AE72"/>
  <sheetViews>
    <sheetView workbookViewId="0">
      <pane xSplit="1" ySplit="1" topLeftCell="Q2" activePane="bottomRight" state="frozen"/>
      <selection pane="topRight" activeCell="B1" sqref="B1"/>
      <selection pane="bottomLeft" activeCell="A3" sqref="A3"/>
      <selection pane="bottomRight" activeCell="AA24" sqref="AA24"/>
    </sheetView>
  </sheetViews>
  <sheetFormatPr defaultRowHeight="15" x14ac:dyDescent="0.25"/>
  <cols>
    <col min="1" max="1" width="45.42578125" style="2" bestFit="1" customWidth="1"/>
    <col min="2" max="11" width="12" customWidth="1"/>
    <col min="12" max="28" width="11.28515625" customWidth="1"/>
    <col min="29" max="29" width="11.28515625" bestFit="1" customWidth="1"/>
    <col min="30" max="30" width="10.28515625" bestFit="1" customWidth="1"/>
  </cols>
  <sheetData>
    <row r="1" spans="1:31" s="22" customFormat="1" x14ac:dyDescent="0.25">
      <c r="A1" s="23"/>
      <c r="B1" s="22">
        <v>39538</v>
      </c>
      <c r="C1" s="22">
        <v>39721</v>
      </c>
      <c r="D1" s="22">
        <v>39903</v>
      </c>
      <c r="E1" s="22">
        <v>40086</v>
      </c>
      <c r="F1" s="22">
        <v>40268</v>
      </c>
      <c r="G1" s="22">
        <v>40451</v>
      </c>
      <c r="H1" s="22">
        <v>40633</v>
      </c>
      <c r="I1" s="22">
        <v>40816</v>
      </c>
      <c r="J1" s="22">
        <v>40999</v>
      </c>
      <c r="K1" s="22">
        <v>41182</v>
      </c>
      <c r="L1" s="22">
        <v>41364</v>
      </c>
      <c r="M1" s="22">
        <v>41547</v>
      </c>
      <c r="N1" s="22">
        <v>41729</v>
      </c>
      <c r="O1" s="22">
        <v>41912</v>
      </c>
      <c r="P1" s="22">
        <v>42094</v>
      </c>
      <c r="Q1" s="22">
        <v>42277</v>
      </c>
      <c r="R1" s="22">
        <v>42460</v>
      </c>
      <c r="S1" s="22">
        <v>42643</v>
      </c>
      <c r="T1" s="22">
        <v>42825</v>
      </c>
      <c r="U1" s="22">
        <v>43008</v>
      </c>
      <c r="V1" s="22">
        <v>43160</v>
      </c>
      <c r="W1" s="22">
        <v>43344</v>
      </c>
      <c r="X1" s="22">
        <v>43525</v>
      </c>
      <c r="Y1" s="22">
        <v>43709</v>
      </c>
      <c r="Z1" s="22">
        <v>43891</v>
      </c>
      <c r="AA1" s="22">
        <v>44075</v>
      </c>
      <c r="AB1" s="22">
        <v>44256</v>
      </c>
      <c r="AC1" s="22">
        <v>44440</v>
      </c>
      <c r="AD1" s="22">
        <v>44621</v>
      </c>
      <c r="AE1" s="22">
        <v>44805</v>
      </c>
    </row>
    <row r="2" spans="1:31" s="8" customFormat="1" x14ac:dyDescent="0.25">
      <c r="A2" s="12" t="s">
        <v>10</v>
      </c>
      <c r="B2" s="12"/>
      <c r="C2" s="12"/>
    </row>
    <row r="3" spans="1:31" s="8" customFormat="1" x14ac:dyDescent="0.25">
      <c r="A3" s="24" t="s">
        <v>20</v>
      </c>
      <c r="D3" s="8">
        <v>4610</v>
      </c>
      <c r="E3" s="8">
        <v>4031</v>
      </c>
      <c r="F3" s="8">
        <v>4110</v>
      </c>
      <c r="G3" s="8">
        <v>3991</v>
      </c>
      <c r="H3" s="8">
        <v>4186</v>
      </c>
      <c r="I3" s="8">
        <v>4377</v>
      </c>
      <c r="J3" s="8">
        <v>4055</v>
      </c>
      <c r="K3" s="8">
        <v>4036</v>
      </c>
      <c r="L3" s="8">
        <v>4022</v>
      </c>
      <c r="M3" s="8">
        <v>3725</v>
      </c>
      <c r="N3" s="8">
        <v>3649</v>
      </c>
      <c r="O3" s="8">
        <v>3641</v>
      </c>
      <c r="P3" s="8">
        <v>3773</v>
      </c>
      <c r="Q3" s="8">
        <v>3782</v>
      </c>
      <c r="R3" s="8">
        <v>3897</v>
      </c>
      <c r="S3" s="8">
        <v>3925</v>
      </c>
      <c r="T3" s="8">
        <v>3785</v>
      </c>
      <c r="U3" s="8">
        <v>4062</v>
      </c>
      <c r="V3" s="8">
        <v>4124</v>
      </c>
      <c r="W3" s="8">
        <v>3993</v>
      </c>
      <c r="X3" s="8">
        <v>3822</v>
      </c>
      <c r="Y3" s="8">
        <v>3494</v>
      </c>
      <c r="Z3" s="8">
        <v>3258</v>
      </c>
      <c r="AA3" s="8">
        <v>2524</v>
      </c>
      <c r="AB3" s="8">
        <v>2438</v>
      </c>
      <c r="AC3" s="8">
        <v>2206</v>
      </c>
      <c r="AD3" s="8">
        <v>2266</v>
      </c>
    </row>
    <row r="4" spans="1:31" s="8" customFormat="1" x14ac:dyDescent="0.25">
      <c r="A4" s="24" t="s">
        <v>7</v>
      </c>
    </row>
    <row r="5" spans="1:31" s="8" customFormat="1" x14ac:dyDescent="0.25">
      <c r="A5" s="12"/>
    </row>
    <row r="6" spans="1:31" s="8" customFormat="1" x14ac:dyDescent="0.25">
      <c r="A6" s="12" t="s">
        <v>9</v>
      </c>
    </row>
    <row r="7" spans="1:31" s="8" customFormat="1" x14ac:dyDescent="0.25">
      <c r="A7" s="24" t="s">
        <v>20</v>
      </c>
      <c r="D7" s="8">
        <v>11596</v>
      </c>
      <c r="E7" s="8">
        <v>9987</v>
      </c>
      <c r="F7" s="8">
        <v>10693</v>
      </c>
      <c r="G7" s="8">
        <v>10277</v>
      </c>
      <c r="H7" s="8">
        <v>10693</v>
      </c>
      <c r="I7" s="8">
        <v>10978</v>
      </c>
      <c r="J7" s="8">
        <v>11100</v>
      </c>
      <c r="K7" s="8">
        <v>11148</v>
      </c>
      <c r="L7" s="8">
        <f t="shared" ref="L7:Q7" si="0">+L24</f>
        <v>11199</v>
      </c>
      <c r="M7" s="8">
        <f t="shared" si="0"/>
        <v>11095</v>
      </c>
      <c r="N7" s="8">
        <f t="shared" si="0"/>
        <v>11167</v>
      </c>
      <c r="O7" s="8">
        <f t="shared" si="0"/>
        <v>10882</v>
      </c>
      <c r="P7" s="8">
        <f t="shared" si="0"/>
        <v>11169</v>
      </c>
      <c r="Q7" s="8">
        <f t="shared" si="0"/>
        <v>11272</v>
      </c>
      <c r="R7" s="8">
        <v>11557</v>
      </c>
      <c r="S7" s="8">
        <v>11651</v>
      </c>
      <c r="T7" s="8">
        <v>11671</v>
      </c>
      <c r="U7" s="8">
        <v>11574</v>
      </c>
      <c r="V7" s="8">
        <v>11617</v>
      </c>
      <c r="W7" s="8">
        <v>11339</v>
      </c>
      <c r="X7" s="8">
        <v>11003</v>
      </c>
      <c r="Y7" s="8">
        <v>10540</v>
      </c>
      <c r="Z7" s="8">
        <v>10182</v>
      </c>
      <c r="AA7" s="8">
        <v>9393</v>
      </c>
      <c r="AB7" s="8">
        <v>9277</v>
      </c>
      <c r="AC7" s="8">
        <v>8932</v>
      </c>
      <c r="AD7" s="8">
        <v>8950</v>
      </c>
    </row>
    <row r="8" spans="1:31" s="8" customFormat="1" x14ac:dyDescent="0.25">
      <c r="A8" s="24" t="s">
        <v>7</v>
      </c>
      <c r="B8" s="6"/>
      <c r="C8" s="6"/>
    </row>
    <row r="9" spans="1:31" s="8" customFormat="1" x14ac:dyDescent="0.25">
      <c r="A9" s="12"/>
      <c r="B9" s="6"/>
      <c r="C9" s="6"/>
    </row>
    <row r="10" spans="1:31" s="8" customFormat="1" x14ac:dyDescent="0.25">
      <c r="A10" s="12" t="s">
        <v>8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</row>
    <row r="11" spans="1:31" s="8" customFormat="1" x14ac:dyDescent="0.25">
      <c r="A11" s="12" t="s">
        <v>21</v>
      </c>
      <c r="D11" s="8">
        <v>62</v>
      </c>
      <c r="E11" s="8">
        <v>73</v>
      </c>
      <c r="F11" s="8">
        <v>60</v>
      </c>
      <c r="H11" s="8">
        <v>64</v>
      </c>
      <c r="I11" s="8">
        <v>65</v>
      </c>
      <c r="J11" s="8">
        <v>68</v>
      </c>
      <c r="K11" s="6">
        <v>58</v>
      </c>
      <c r="L11" s="8">
        <v>72</v>
      </c>
      <c r="M11" s="8">
        <v>81</v>
      </c>
      <c r="N11" s="8">
        <v>74</v>
      </c>
      <c r="O11" s="8">
        <v>57</v>
      </c>
      <c r="P11" s="8">
        <v>58</v>
      </c>
      <c r="Q11" s="8">
        <v>58</v>
      </c>
      <c r="R11" s="8">
        <v>65</v>
      </c>
      <c r="S11" s="8">
        <v>64</v>
      </c>
      <c r="T11" s="8">
        <v>70</v>
      </c>
      <c r="U11" s="8">
        <v>65</v>
      </c>
      <c r="V11" s="8">
        <v>66</v>
      </c>
      <c r="W11" s="8">
        <v>73</v>
      </c>
      <c r="X11" s="8">
        <v>52</v>
      </c>
      <c r="Y11" s="8">
        <v>42</v>
      </c>
      <c r="Z11" s="8">
        <v>42</v>
      </c>
      <c r="AA11" s="8">
        <v>27</v>
      </c>
      <c r="AB11" s="8">
        <v>21</v>
      </c>
      <c r="AC11" s="8">
        <v>22</v>
      </c>
      <c r="AD11" s="8">
        <v>19</v>
      </c>
    </row>
    <row r="12" spans="1:31" s="8" customFormat="1" x14ac:dyDescent="0.25">
      <c r="A12" s="12" t="s">
        <v>23</v>
      </c>
      <c r="D12" s="8">
        <v>89</v>
      </c>
      <c r="E12" s="8">
        <v>63</v>
      </c>
      <c r="F12" s="8">
        <v>101</v>
      </c>
      <c r="G12" s="8">
        <f>204-101</f>
        <v>103</v>
      </c>
      <c r="H12" s="8">
        <v>90</v>
      </c>
      <c r="I12" s="8">
        <v>96</v>
      </c>
      <c r="J12" s="46">
        <v>90</v>
      </c>
      <c r="K12" s="8">
        <v>101</v>
      </c>
      <c r="L12" s="8">
        <v>87</v>
      </c>
      <c r="M12" s="8">
        <v>97</v>
      </c>
      <c r="N12" s="8">
        <v>106</v>
      </c>
      <c r="O12" s="8">
        <v>81</v>
      </c>
      <c r="P12" s="8">
        <v>64</v>
      </c>
      <c r="Q12" s="8">
        <v>71</v>
      </c>
      <c r="R12" s="8">
        <v>73</v>
      </c>
      <c r="S12" s="8">
        <v>75</v>
      </c>
      <c r="T12" s="8">
        <v>79</v>
      </c>
      <c r="U12" s="8">
        <v>85</v>
      </c>
      <c r="V12" s="8">
        <v>77</v>
      </c>
      <c r="W12" s="8">
        <v>104</v>
      </c>
      <c r="X12" s="8">
        <v>83</v>
      </c>
      <c r="Y12" s="8">
        <v>81</v>
      </c>
      <c r="Z12" s="8">
        <v>67</v>
      </c>
      <c r="AA12" s="8">
        <v>63</v>
      </c>
      <c r="AB12" s="8">
        <v>31</v>
      </c>
      <c r="AC12" s="8">
        <v>32</v>
      </c>
      <c r="AD12" s="8">
        <v>26</v>
      </c>
    </row>
    <row r="13" spans="1:31" s="8" customFormat="1" x14ac:dyDescent="0.25">
      <c r="A13" s="12" t="s">
        <v>22</v>
      </c>
      <c r="E13" s="8">
        <v>70</v>
      </c>
      <c r="F13" s="8">
        <v>99</v>
      </c>
      <c r="H13" s="8">
        <v>88</v>
      </c>
      <c r="I13" s="8">
        <v>96</v>
      </c>
      <c r="K13" s="8">
        <v>100</v>
      </c>
      <c r="L13" s="8">
        <v>89</v>
      </c>
      <c r="M13" s="8">
        <v>93</v>
      </c>
      <c r="N13" s="8">
        <v>118</v>
      </c>
      <c r="O13" s="8">
        <v>89</v>
      </c>
      <c r="P13" s="8">
        <v>67</v>
      </c>
      <c r="Q13" s="8">
        <v>69</v>
      </c>
      <c r="R13" s="8">
        <v>71</v>
      </c>
      <c r="S13" s="8">
        <v>85</v>
      </c>
      <c r="T13" s="8">
        <v>84</v>
      </c>
      <c r="U13" s="8">
        <v>86</v>
      </c>
      <c r="V13" s="8">
        <v>79</v>
      </c>
      <c r="W13" s="8">
        <v>96</v>
      </c>
      <c r="X13" s="8">
        <v>95</v>
      </c>
      <c r="Y13" s="8">
        <v>81</v>
      </c>
      <c r="Z13" s="8">
        <v>67</v>
      </c>
    </row>
    <row r="14" spans="1:31" s="8" customFormat="1" x14ac:dyDescent="0.25">
      <c r="A14" s="12" t="s">
        <v>47</v>
      </c>
      <c r="Y14" s="8">
        <v>98</v>
      </c>
      <c r="Z14" s="8">
        <v>77</v>
      </c>
      <c r="AA14" s="8">
        <v>75</v>
      </c>
      <c r="AB14" s="8">
        <v>34</v>
      </c>
      <c r="AC14" s="8">
        <v>41</v>
      </c>
      <c r="AD14" s="8">
        <v>31</v>
      </c>
    </row>
    <row r="15" spans="1:31" s="8" customFormat="1" x14ac:dyDescent="0.25">
      <c r="A15" s="12"/>
    </row>
    <row r="16" spans="1:31" s="8" customFormat="1" x14ac:dyDescent="0.25">
      <c r="A16" s="12" t="s">
        <v>63</v>
      </c>
      <c r="B16" s="6"/>
      <c r="C16" s="6"/>
    </row>
    <row r="17" spans="1:30" s="8" customFormat="1" x14ac:dyDescent="0.25">
      <c r="A17" s="24" t="s">
        <v>87</v>
      </c>
      <c r="B17" s="25"/>
      <c r="C17" s="25"/>
      <c r="D17" s="8">
        <v>2985</v>
      </c>
      <c r="E17" s="8">
        <v>2995</v>
      </c>
      <c r="F17" s="8">
        <v>3004</v>
      </c>
      <c r="G17" s="8">
        <v>3100</v>
      </c>
      <c r="H17" s="8">
        <v>3243</v>
      </c>
      <c r="I17" s="8">
        <v>3300</v>
      </c>
      <c r="J17" s="8">
        <v>3499</v>
      </c>
      <c r="P17" s="8">
        <v>4360</v>
      </c>
      <c r="Q17" s="8">
        <v>4291</v>
      </c>
      <c r="R17" s="8">
        <v>4571</v>
      </c>
      <c r="S17" s="8">
        <v>4459</v>
      </c>
      <c r="T17" s="8">
        <v>4715</v>
      </c>
      <c r="U17" s="8">
        <v>2571</v>
      </c>
      <c r="V17" s="8">
        <v>2549</v>
      </c>
      <c r="W17" s="8">
        <v>2590</v>
      </c>
      <c r="X17" s="8">
        <v>2537</v>
      </c>
      <c r="Y17" s="8">
        <v>2551</v>
      </c>
      <c r="Z17" s="8">
        <v>2577</v>
      </c>
      <c r="AA17" s="8">
        <v>2782</v>
      </c>
      <c r="AB17" s="8">
        <v>2663</v>
      </c>
      <c r="AC17" s="8">
        <v>1829</v>
      </c>
      <c r="AD17" s="8">
        <v>1745</v>
      </c>
    </row>
    <row r="18" spans="1:30" s="8" customFormat="1" x14ac:dyDescent="0.25">
      <c r="A18" s="24" t="s">
        <v>88</v>
      </c>
      <c r="B18" s="25"/>
      <c r="C18" s="25"/>
      <c r="D18" s="8">
        <v>2876</v>
      </c>
      <c r="E18" s="8">
        <v>2179</v>
      </c>
      <c r="F18" s="8">
        <v>2109</v>
      </c>
      <c r="G18" s="8">
        <v>2196</v>
      </c>
      <c r="H18" s="8">
        <v>2216</v>
      </c>
      <c r="I18" s="8">
        <v>2276</v>
      </c>
      <c r="J18" s="8">
        <v>2617</v>
      </c>
      <c r="K18" s="8">
        <v>3863</v>
      </c>
      <c r="L18" s="8">
        <v>4100</v>
      </c>
      <c r="M18" s="8">
        <v>3998</v>
      </c>
      <c r="N18" s="8">
        <v>4243</v>
      </c>
      <c r="O18" s="8">
        <v>4129</v>
      </c>
      <c r="P18" s="8">
        <v>2766</v>
      </c>
      <c r="Q18" s="8">
        <v>2976</v>
      </c>
      <c r="R18" s="8">
        <v>2835</v>
      </c>
      <c r="S18" s="8">
        <v>3022</v>
      </c>
      <c r="T18" s="8">
        <v>2862</v>
      </c>
      <c r="U18" s="8">
        <v>3678</v>
      </c>
      <c r="V18" s="8">
        <v>3691</v>
      </c>
      <c r="W18" s="8">
        <v>3598</v>
      </c>
      <c r="X18" s="8">
        <v>3515</v>
      </c>
      <c r="Y18" s="8">
        <v>3421</v>
      </c>
      <c r="Z18" s="8">
        <v>3302</v>
      </c>
      <c r="AA18" s="8">
        <v>3242</v>
      </c>
      <c r="AB18" s="8">
        <v>3300</v>
      </c>
      <c r="AC18" s="8">
        <v>4058</v>
      </c>
      <c r="AD18" s="8">
        <v>4110</v>
      </c>
    </row>
    <row r="19" spans="1:30" s="8" customFormat="1" x14ac:dyDescent="0.25">
      <c r="A19" s="24" t="s">
        <v>89</v>
      </c>
      <c r="D19" s="8">
        <v>1060</v>
      </c>
      <c r="E19" s="8">
        <v>920</v>
      </c>
      <c r="F19" s="8">
        <v>1039</v>
      </c>
      <c r="G19" s="8">
        <v>1001</v>
      </c>
      <c r="H19" s="8">
        <v>1105</v>
      </c>
      <c r="I19" s="8">
        <v>1079</v>
      </c>
      <c r="J19" s="8">
        <v>744</v>
      </c>
      <c r="K19" s="8">
        <v>3104</v>
      </c>
      <c r="L19" s="8">
        <v>2980</v>
      </c>
      <c r="M19" s="8">
        <v>3157</v>
      </c>
      <c r="N19" s="8">
        <v>3014</v>
      </c>
      <c r="O19" s="8">
        <v>2848</v>
      </c>
      <c r="P19" s="8">
        <v>2043</v>
      </c>
      <c r="Q19" s="8">
        <v>1937</v>
      </c>
      <c r="R19" s="8">
        <v>2100</v>
      </c>
      <c r="S19" s="8">
        <v>2012</v>
      </c>
      <c r="T19" s="8">
        <v>2095</v>
      </c>
      <c r="U19" s="8">
        <v>2747</v>
      </c>
      <c r="V19" s="8">
        <v>2753</v>
      </c>
      <c r="W19" s="8">
        <v>2628</v>
      </c>
      <c r="X19" s="8">
        <v>2580</v>
      </c>
      <c r="Y19" s="8">
        <v>2424</v>
      </c>
      <c r="Z19" s="8">
        <v>2305</v>
      </c>
      <c r="AA19" s="8">
        <v>1911</v>
      </c>
      <c r="AB19" s="8">
        <v>1956</v>
      </c>
      <c r="AC19" s="8">
        <v>1819</v>
      </c>
      <c r="AD19" s="8">
        <v>1876</v>
      </c>
    </row>
    <row r="20" spans="1:30" s="8" customFormat="1" x14ac:dyDescent="0.25">
      <c r="A20" s="24" t="s">
        <v>90</v>
      </c>
      <c r="D20" s="8">
        <v>2652</v>
      </c>
      <c r="E20" s="8">
        <v>2080</v>
      </c>
      <c r="F20" s="8">
        <v>2161</v>
      </c>
      <c r="G20" s="8">
        <v>2175</v>
      </c>
      <c r="H20" s="8">
        <v>2259</v>
      </c>
      <c r="I20" s="8">
        <v>2343</v>
      </c>
      <c r="J20" s="8">
        <v>2396</v>
      </c>
      <c r="K20" s="8">
        <v>2001</v>
      </c>
      <c r="L20" s="8">
        <v>2019</v>
      </c>
      <c r="M20" s="8">
        <v>1928</v>
      </c>
      <c r="N20" s="8">
        <v>2024</v>
      </c>
      <c r="O20" s="8">
        <v>1916</v>
      </c>
      <c r="P20" s="8">
        <v>1030</v>
      </c>
      <c r="Q20" s="8">
        <v>1087</v>
      </c>
      <c r="R20" s="8">
        <v>1042</v>
      </c>
      <c r="S20" s="8">
        <v>1133</v>
      </c>
      <c r="T20" s="8">
        <v>1041</v>
      </c>
      <c r="U20" s="8">
        <v>1698</v>
      </c>
      <c r="V20" s="8">
        <v>1715</v>
      </c>
      <c r="W20" s="8">
        <v>1647</v>
      </c>
      <c r="X20" s="8">
        <v>1532</v>
      </c>
      <c r="Y20" s="8">
        <v>1407</v>
      </c>
      <c r="Z20" s="8">
        <v>1297</v>
      </c>
      <c r="AA20" s="8">
        <v>942</v>
      </c>
      <c r="AB20" s="8">
        <v>907</v>
      </c>
      <c r="AC20" s="8">
        <v>856</v>
      </c>
      <c r="AD20" s="8">
        <v>848</v>
      </c>
    </row>
    <row r="21" spans="1:30" s="8" customFormat="1" x14ac:dyDescent="0.25">
      <c r="A21" s="24" t="s">
        <v>91</v>
      </c>
      <c r="D21" s="8">
        <v>1547</v>
      </c>
      <c r="E21" s="8">
        <v>1278</v>
      </c>
      <c r="F21" s="8">
        <v>1252</v>
      </c>
      <c r="G21" s="8">
        <v>1328</v>
      </c>
      <c r="H21" s="8">
        <v>1379</v>
      </c>
      <c r="I21" s="8">
        <v>1444</v>
      </c>
      <c r="J21" s="8">
        <v>1436</v>
      </c>
      <c r="K21" s="8">
        <v>1139</v>
      </c>
      <c r="L21" s="8">
        <v>1049</v>
      </c>
      <c r="M21" s="8">
        <v>1004</v>
      </c>
      <c r="N21" s="8">
        <v>931</v>
      </c>
      <c r="O21" s="8">
        <v>1067</v>
      </c>
      <c r="P21" s="8">
        <v>942</v>
      </c>
      <c r="Q21" s="8">
        <v>957</v>
      </c>
      <c r="R21" s="8">
        <v>983</v>
      </c>
      <c r="S21" s="8">
        <v>1000</v>
      </c>
      <c r="T21" s="8">
        <v>933</v>
      </c>
      <c r="U21" s="8">
        <v>819</v>
      </c>
      <c r="V21" s="8">
        <v>841</v>
      </c>
      <c r="W21" s="8">
        <v>816</v>
      </c>
      <c r="X21" s="8">
        <v>782</v>
      </c>
      <c r="Y21" s="8">
        <v>691</v>
      </c>
      <c r="Z21" s="8">
        <v>654</v>
      </c>
      <c r="AA21" s="8">
        <v>486</v>
      </c>
      <c r="AB21" s="8">
        <v>427</v>
      </c>
      <c r="AC21" s="8">
        <v>346</v>
      </c>
      <c r="AD21" s="8">
        <v>350</v>
      </c>
    </row>
    <row r="22" spans="1:30" s="8" customFormat="1" x14ac:dyDescent="0.25">
      <c r="A22" s="26" t="s">
        <v>92</v>
      </c>
      <c r="D22" s="8">
        <v>415</v>
      </c>
      <c r="E22" s="8">
        <v>479</v>
      </c>
      <c r="F22" s="8">
        <v>494</v>
      </c>
      <c r="G22" s="8">
        <v>416</v>
      </c>
      <c r="H22" s="8">
        <v>431</v>
      </c>
      <c r="I22" s="8">
        <v>478</v>
      </c>
      <c r="J22" s="8">
        <v>341</v>
      </c>
      <c r="K22" s="8">
        <v>983</v>
      </c>
      <c r="L22" s="8">
        <v>980</v>
      </c>
      <c r="M22" s="8">
        <v>919</v>
      </c>
      <c r="N22" s="8">
        <v>880</v>
      </c>
      <c r="O22" s="8">
        <v>894</v>
      </c>
    </row>
    <row r="23" spans="1:30" s="8" customFormat="1" x14ac:dyDescent="0.25">
      <c r="A23" s="26" t="s">
        <v>4</v>
      </c>
      <c r="D23" s="8">
        <v>61</v>
      </c>
      <c r="E23" s="8">
        <v>56</v>
      </c>
      <c r="F23" s="8">
        <v>61</v>
      </c>
      <c r="G23" s="8">
        <v>61</v>
      </c>
      <c r="H23" s="8">
        <v>60</v>
      </c>
      <c r="I23" s="8">
        <v>58</v>
      </c>
      <c r="J23" s="8">
        <v>67</v>
      </c>
      <c r="K23" s="8">
        <v>58</v>
      </c>
      <c r="L23" s="8">
        <v>71</v>
      </c>
      <c r="M23" s="8">
        <v>89</v>
      </c>
      <c r="N23" s="8">
        <v>75</v>
      </c>
      <c r="O23" s="8">
        <v>28</v>
      </c>
      <c r="P23" s="8">
        <v>28</v>
      </c>
      <c r="Q23" s="8">
        <v>24</v>
      </c>
      <c r="R23" s="8">
        <v>26</v>
      </c>
      <c r="S23" s="8">
        <v>25</v>
      </c>
      <c r="T23" s="8">
        <v>25</v>
      </c>
      <c r="U23" s="8">
        <v>61</v>
      </c>
      <c r="V23" s="8">
        <v>68</v>
      </c>
      <c r="W23" s="8">
        <v>60</v>
      </c>
      <c r="X23" s="8">
        <v>57</v>
      </c>
      <c r="Y23" s="8">
        <v>46</v>
      </c>
      <c r="Z23" s="8">
        <v>47</v>
      </c>
      <c r="AA23" s="8">
        <v>30</v>
      </c>
      <c r="AB23" s="8">
        <v>24</v>
      </c>
      <c r="AC23" s="8">
        <v>24</v>
      </c>
      <c r="AD23" s="8">
        <v>21</v>
      </c>
    </row>
    <row r="24" spans="1:30" s="8" customFormat="1" x14ac:dyDescent="0.25">
      <c r="A24" s="26" t="s">
        <v>5</v>
      </c>
      <c r="D24" s="8">
        <f t="shared" ref="D24:J24" si="1">SUM(D17:D23)</f>
        <v>11596</v>
      </c>
      <c r="E24" s="8">
        <f t="shared" si="1"/>
        <v>9987</v>
      </c>
      <c r="F24" s="8">
        <f t="shared" si="1"/>
        <v>10120</v>
      </c>
      <c r="G24" s="8">
        <f t="shared" si="1"/>
        <v>10277</v>
      </c>
      <c r="H24" s="8">
        <f t="shared" si="1"/>
        <v>10693</v>
      </c>
      <c r="I24" s="8">
        <f t="shared" si="1"/>
        <v>10978</v>
      </c>
      <c r="J24" s="8">
        <f t="shared" si="1"/>
        <v>11100</v>
      </c>
      <c r="K24" s="8">
        <f>SUM(K18:K23)</f>
        <v>11148</v>
      </c>
      <c r="L24" s="8">
        <f>SUM(L18:L23)</f>
        <v>11199</v>
      </c>
      <c r="M24" s="8">
        <f>SUM(M18:M23)</f>
        <v>11095</v>
      </c>
      <c r="N24" s="8">
        <f>SUM(N18:N23)</f>
        <v>11167</v>
      </c>
      <c r="O24" s="8">
        <f>SUM(O18:O23)</f>
        <v>10882</v>
      </c>
      <c r="P24" s="8">
        <f t="shared" ref="P24:Z24" si="2">SUM(P17:P23)</f>
        <v>11169</v>
      </c>
      <c r="Q24" s="8">
        <f t="shared" si="2"/>
        <v>11272</v>
      </c>
      <c r="R24" s="8">
        <f t="shared" si="2"/>
        <v>11557</v>
      </c>
      <c r="S24" s="8">
        <f t="shared" si="2"/>
        <v>11651</v>
      </c>
      <c r="T24" s="8">
        <f t="shared" si="2"/>
        <v>11671</v>
      </c>
      <c r="U24" s="8">
        <f t="shared" si="2"/>
        <v>11574</v>
      </c>
      <c r="V24" s="8">
        <f t="shared" si="2"/>
        <v>11617</v>
      </c>
      <c r="W24" s="8">
        <f t="shared" si="2"/>
        <v>11339</v>
      </c>
      <c r="X24" s="8">
        <f t="shared" si="2"/>
        <v>11003</v>
      </c>
      <c r="Y24" s="8">
        <f t="shared" si="2"/>
        <v>10540</v>
      </c>
      <c r="Z24" s="8">
        <f t="shared" si="2"/>
        <v>10182</v>
      </c>
      <c r="AA24" s="8">
        <f t="shared" ref="AA24" si="3">SUM(AA17:AA23)</f>
        <v>9393</v>
      </c>
      <c r="AB24" s="8">
        <f t="shared" ref="AB24" si="4">SUM(AB17:AB23)</f>
        <v>9277</v>
      </c>
      <c r="AC24" s="8">
        <f t="shared" ref="AC24" si="5">SUM(AC17:AC23)</f>
        <v>8932</v>
      </c>
      <c r="AD24" s="8">
        <f t="shared" ref="AD24" si="6">SUM(AD17:AD23)</f>
        <v>8950</v>
      </c>
    </row>
    <row r="25" spans="1:30" s="8" customFormat="1" x14ac:dyDescent="0.25">
      <c r="A25" s="25"/>
    </row>
    <row r="26" spans="1:30" s="8" customFormat="1" x14ac:dyDescent="0.25">
      <c r="A26" s="26" t="s">
        <v>9</v>
      </c>
      <c r="D26" s="8">
        <f>+D24</f>
        <v>11596</v>
      </c>
      <c r="E26" s="8">
        <f t="shared" ref="E26:Z26" si="7">+E24</f>
        <v>9987</v>
      </c>
      <c r="F26" s="8">
        <f t="shared" si="7"/>
        <v>10120</v>
      </c>
      <c r="G26" s="8">
        <f t="shared" si="7"/>
        <v>10277</v>
      </c>
      <c r="H26" s="8">
        <f t="shared" si="7"/>
        <v>10693</v>
      </c>
      <c r="I26" s="8">
        <f t="shared" si="7"/>
        <v>10978</v>
      </c>
      <c r="J26" s="8">
        <f t="shared" si="7"/>
        <v>11100</v>
      </c>
      <c r="K26" s="8">
        <f t="shared" si="7"/>
        <v>11148</v>
      </c>
      <c r="L26" s="8">
        <f t="shared" si="7"/>
        <v>11199</v>
      </c>
      <c r="M26" s="8">
        <f t="shared" si="7"/>
        <v>11095</v>
      </c>
      <c r="N26" s="8">
        <f t="shared" si="7"/>
        <v>11167</v>
      </c>
      <c r="O26" s="8">
        <f t="shared" si="7"/>
        <v>10882</v>
      </c>
      <c r="P26" s="8">
        <f t="shared" si="7"/>
        <v>11169</v>
      </c>
      <c r="Q26" s="8">
        <f t="shared" si="7"/>
        <v>11272</v>
      </c>
      <c r="R26" s="8">
        <f t="shared" si="7"/>
        <v>11557</v>
      </c>
      <c r="S26" s="8">
        <f t="shared" si="7"/>
        <v>11651</v>
      </c>
      <c r="T26" s="8">
        <f t="shared" si="7"/>
        <v>11671</v>
      </c>
      <c r="U26" s="8">
        <f t="shared" si="7"/>
        <v>11574</v>
      </c>
      <c r="V26" s="8">
        <f t="shared" si="7"/>
        <v>11617</v>
      </c>
      <c r="W26" s="8">
        <f t="shared" si="7"/>
        <v>11339</v>
      </c>
      <c r="X26" s="8">
        <f t="shared" si="7"/>
        <v>11003</v>
      </c>
      <c r="Y26" s="8">
        <f t="shared" si="7"/>
        <v>10540</v>
      </c>
      <c r="Z26" s="8">
        <f t="shared" si="7"/>
        <v>10182</v>
      </c>
      <c r="AA26" s="8">
        <f t="shared" ref="AA26:AD26" si="8">+AA24</f>
        <v>9393</v>
      </c>
      <c r="AB26" s="8">
        <f t="shared" si="8"/>
        <v>9277</v>
      </c>
      <c r="AC26" s="8">
        <f t="shared" si="8"/>
        <v>8932</v>
      </c>
      <c r="AD26" s="8">
        <f t="shared" si="8"/>
        <v>8950</v>
      </c>
    </row>
    <row r="27" spans="1:30" s="8" customFormat="1" x14ac:dyDescent="0.25">
      <c r="A27" s="24" t="s">
        <v>27</v>
      </c>
      <c r="K27" s="8">
        <v>5577</v>
      </c>
      <c r="L27" s="8">
        <v>5558</v>
      </c>
      <c r="M27" s="8">
        <v>5643</v>
      </c>
      <c r="N27" s="8">
        <v>5677</v>
      </c>
      <c r="O27" s="8">
        <v>5307</v>
      </c>
      <c r="P27" s="8">
        <v>5385</v>
      </c>
      <c r="Q27" s="8">
        <f>3264+1712+445+112+36+1</f>
        <v>5570</v>
      </c>
      <c r="R27" s="8">
        <f>3401+1591+453+97+35+1</f>
        <v>5578</v>
      </c>
      <c r="S27" s="8">
        <f>3400+1730+454+119+40+1</f>
        <v>5744</v>
      </c>
      <c r="T27" s="8">
        <f>3540+1607+443+93+32+1</f>
        <v>5716</v>
      </c>
      <c r="U27" s="8">
        <v>5768</v>
      </c>
      <c r="V27" s="8">
        <v>5734</v>
      </c>
      <c r="W27" s="8">
        <v>5716</v>
      </c>
      <c r="X27" s="8">
        <v>5491</v>
      </c>
      <c r="Y27" s="8">
        <f>2246+2240+691+139+50+3</f>
        <v>5369</v>
      </c>
      <c r="Z27" s="8">
        <f>2285+2174+640+122+42+3</f>
        <v>5266</v>
      </c>
      <c r="AA27" s="8">
        <v>5436</v>
      </c>
      <c r="AB27" s="8">
        <v>5204</v>
      </c>
      <c r="AC27" s="8">
        <f>1669+2902+562+102+38+2</f>
        <v>5275</v>
      </c>
      <c r="AD27" s="8">
        <f>1578+2819+591+136+48</f>
        <v>5172</v>
      </c>
    </row>
    <row r="28" spans="1:30" s="8" customFormat="1" x14ac:dyDescent="0.25">
      <c r="A28" s="24" t="s">
        <v>28</v>
      </c>
      <c r="K28" s="8">
        <f t="shared" ref="K28:T28" si="9">+K7-K27</f>
        <v>5571</v>
      </c>
      <c r="L28" s="8">
        <f t="shared" si="9"/>
        <v>5641</v>
      </c>
      <c r="M28" s="8">
        <f t="shared" si="9"/>
        <v>5452</v>
      </c>
      <c r="N28" s="8">
        <f t="shared" si="9"/>
        <v>5490</v>
      </c>
      <c r="O28" s="8">
        <f t="shared" si="9"/>
        <v>5575</v>
      </c>
      <c r="P28" s="8">
        <f t="shared" si="9"/>
        <v>5784</v>
      </c>
      <c r="Q28" s="8">
        <f t="shared" si="9"/>
        <v>5702</v>
      </c>
      <c r="R28" s="8">
        <f t="shared" si="9"/>
        <v>5979</v>
      </c>
      <c r="S28" s="8">
        <f t="shared" si="9"/>
        <v>5907</v>
      </c>
      <c r="T28" s="8">
        <f t="shared" si="9"/>
        <v>5955</v>
      </c>
      <c r="U28" s="8">
        <v>5806</v>
      </c>
      <c r="V28" s="8">
        <v>5883</v>
      </c>
      <c r="W28" s="8">
        <v>5623</v>
      </c>
      <c r="X28" s="8">
        <v>5512</v>
      </c>
      <c r="Y28" s="8">
        <f>+Y24-Y27</f>
        <v>5171</v>
      </c>
      <c r="Z28" s="8">
        <f>+Z24-Z27</f>
        <v>4916</v>
      </c>
      <c r="AA28" s="8">
        <f t="shared" ref="AA28:AD28" si="10">+AA24-AA27</f>
        <v>3957</v>
      </c>
      <c r="AB28" s="8">
        <f t="shared" si="10"/>
        <v>4073</v>
      </c>
      <c r="AC28" s="8">
        <f t="shared" si="10"/>
        <v>3657</v>
      </c>
      <c r="AD28" s="8">
        <f t="shared" si="10"/>
        <v>3778</v>
      </c>
    </row>
    <row r="29" spans="1:30" x14ac:dyDescent="0.25">
      <c r="A29" s="2" t="s">
        <v>62</v>
      </c>
      <c r="K29" s="14">
        <f t="shared" ref="K29:Z29" si="11">+K28/K24</f>
        <v>0.49973089343379978</v>
      </c>
      <c r="L29" s="14">
        <f t="shared" si="11"/>
        <v>0.50370568800785787</v>
      </c>
      <c r="M29" s="14">
        <f t="shared" si="11"/>
        <v>0.49139251915277155</v>
      </c>
      <c r="N29" s="14">
        <f t="shared" si="11"/>
        <v>0.49162711560848932</v>
      </c>
      <c r="O29" s="14">
        <f t="shared" si="11"/>
        <v>0.51231391288366113</v>
      </c>
      <c r="P29" s="14">
        <f t="shared" si="11"/>
        <v>0.51786193929626645</v>
      </c>
      <c r="Q29" s="14">
        <f t="shared" si="11"/>
        <v>0.50585521646557841</v>
      </c>
      <c r="R29" s="14">
        <f t="shared" si="11"/>
        <v>0.5173487929393441</v>
      </c>
      <c r="S29" s="14">
        <f t="shared" si="11"/>
        <v>0.50699510771607592</v>
      </c>
      <c r="T29" s="14">
        <f t="shared" si="11"/>
        <v>0.51023905406563275</v>
      </c>
      <c r="U29" s="14">
        <f t="shared" si="11"/>
        <v>0.50164161050630729</v>
      </c>
      <c r="V29" s="14">
        <f t="shared" si="11"/>
        <v>0.50641301540845318</v>
      </c>
      <c r="W29" s="14">
        <f t="shared" si="11"/>
        <v>0.49589910926889497</v>
      </c>
      <c r="X29" s="14">
        <f t="shared" si="11"/>
        <v>0.50095428519494678</v>
      </c>
      <c r="Y29" s="14">
        <f t="shared" si="11"/>
        <v>0.49060721062618595</v>
      </c>
      <c r="Z29" s="14">
        <f t="shared" si="11"/>
        <v>0.48281280691416223</v>
      </c>
      <c r="AA29" s="14">
        <f t="shared" ref="AA29:AD29" si="12">+AA28/AA24</f>
        <v>0.42127115937400189</v>
      </c>
      <c r="AB29" s="14">
        <f t="shared" si="12"/>
        <v>0.43904279400668317</v>
      </c>
      <c r="AC29" s="14">
        <f t="shared" si="12"/>
        <v>0.4094267801164353</v>
      </c>
      <c r="AD29" s="14">
        <f t="shared" si="12"/>
        <v>0.42212290502793298</v>
      </c>
    </row>
    <row r="30" spans="1:30" x14ac:dyDescent="0.25">
      <c r="A30" s="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8" customFormat="1" x14ac:dyDescent="0.25">
      <c r="A31" s="8" t="s">
        <v>11</v>
      </c>
      <c r="B31" s="13"/>
      <c r="C31" s="13"/>
      <c r="D31" s="13">
        <f t="shared" ref="D31:Z31" si="13">D23/D24</f>
        <v>5.2604346326319421E-3</v>
      </c>
      <c r="E31" s="13">
        <f t="shared" si="13"/>
        <v>5.6072894763192146E-3</v>
      </c>
      <c r="F31" s="13">
        <f t="shared" si="13"/>
        <v>6.0276679841897232E-3</v>
      </c>
      <c r="G31" s="13">
        <f t="shared" si="13"/>
        <v>5.9355843144886641E-3</v>
      </c>
      <c r="H31" s="13">
        <f t="shared" si="13"/>
        <v>5.6111474796595902E-3</v>
      </c>
      <c r="I31" s="13">
        <f t="shared" si="13"/>
        <v>5.283293860448169E-3</v>
      </c>
      <c r="J31" s="13">
        <f t="shared" si="13"/>
        <v>6.036036036036036E-3</v>
      </c>
      <c r="K31" s="13">
        <f t="shared" si="13"/>
        <v>5.2027269465374955E-3</v>
      </c>
      <c r="L31" s="13">
        <f t="shared" si="13"/>
        <v>6.3398517724796858E-3</v>
      </c>
      <c r="M31" s="13">
        <f t="shared" si="13"/>
        <v>8.0216313654799462E-3</v>
      </c>
      <c r="N31" s="13">
        <f t="shared" si="13"/>
        <v>6.7162174263454824E-3</v>
      </c>
      <c r="O31" s="13">
        <f t="shared" si="13"/>
        <v>2.5730564234515713E-3</v>
      </c>
      <c r="P31" s="13">
        <f t="shared" si="13"/>
        <v>2.5069388485988004E-3</v>
      </c>
      <c r="Q31" s="13">
        <f t="shared" si="13"/>
        <v>2.1291696238466998E-3</v>
      </c>
      <c r="R31" s="13">
        <f t="shared" si="13"/>
        <v>2.2497187851518562E-3</v>
      </c>
      <c r="S31" s="13">
        <f t="shared" si="13"/>
        <v>2.145738563213458E-3</v>
      </c>
      <c r="T31" s="13">
        <f t="shared" si="13"/>
        <v>2.1420615200068546E-3</v>
      </c>
      <c r="U31" s="13">
        <f t="shared" si="13"/>
        <v>5.270433730775877E-3</v>
      </c>
      <c r="V31" s="13">
        <f t="shared" si="13"/>
        <v>5.8534905741585604E-3</v>
      </c>
      <c r="W31" s="13">
        <f t="shared" si="13"/>
        <v>5.2914719111032717E-3</v>
      </c>
      <c r="X31" s="13">
        <f t="shared" si="13"/>
        <v>5.180405343997092E-3</v>
      </c>
      <c r="Y31" s="13">
        <f t="shared" si="13"/>
        <v>4.3643263757115747E-3</v>
      </c>
      <c r="Z31" s="13">
        <f t="shared" si="13"/>
        <v>4.6159890001964254E-3</v>
      </c>
      <c r="AA31" s="13">
        <f t="shared" ref="AA31:AD31" si="14">AA23/AA24</f>
        <v>3.1938677738741618E-3</v>
      </c>
      <c r="AB31" s="13">
        <f t="shared" si="14"/>
        <v>2.5870432251805541E-3</v>
      </c>
      <c r="AC31" s="13">
        <f t="shared" si="14"/>
        <v>2.6869682042095834E-3</v>
      </c>
      <c r="AD31" s="13">
        <f t="shared" si="14"/>
        <v>2.3463687150837987E-3</v>
      </c>
    </row>
    <row r="32" spans="1:30" s="8" customFormat="1" x14ac:dyDescent="0.25">
      <c r="A32" s="4" t="s">
        <v>14</v>
      </c>
      <c r="D32" s="13">
        <f>+(D10+D11)/D24</f>
        <v>5.3466712659537771E-3</v>
      </c>
      <c r="E32" s="13">
        <f>+(E10+E11)/E24</f>
        <v>7.3095023530589769E-3</v>
      </c>
      <c r="F32" s="13">
        <f>+(F10+F11)/F24</f>
        <v>5.9288537549407111E-3</v>
      </c>
      <c r="G32" s="30">
        <v>6.0000000000000001E-3</v>
      </c>
      <c r="H32" s="13">
        <f t="shared" ref="H32:Z32" si="15">+(H10+H11)/H24</f>
        <v>5.9852239783035627E-3</v>
      </c>
      <c r="I32" s="13">
        <f t="shared" si="15"/>
        <v>5.9209327746401891E-3</v>
      </c>
      <c r="J32" s="13">
        <f t="shared" si="15"/>
        <v>6.126126126126126E-3</v>
      </c>
      <c r="K32" s="13">
        <f t="shared" si="15"/>
        <v>5.2027269465374955E-3</v>
      </c>
      <c r="L32" s="13">
        <f t="shared" si="15"/>
        <v>6.4291454594160189E-3</v>
      </c>
      <c r="M32" s="13">
        <f t="shared" si="15"/>
        <v>7.3005858494817489E-3</v>
      </c>
      <c r="N32" s="13">
        <f t="shared" si="15"/>
        <v>6.626667860660876E-3</v>
      </c>
      <c r="O32" s="13">
        <f t="shared" si="15"/>
        <v>5.2380077191692704E-3</v>
      </c>
      <c r="P32" s="13">
        <f t="shared" si="15"/>
        <v>5.1929447578118008E-3</v>
      </c>
      <c r="Q32" s="13">
        <f t="shared" si="15"/>
        <v>5.1454932576295246E-3</v>
      </c>
      <c r="R32" s="13">
        <f t="shared" si="15"/>
        <v>5.6242969628796397E-3</v>
      </c>
      <c r="S32" s="13">
        <f t="shared" si="15"/>
        <v>5.4930907218264527E-3</v>
      </c>
      <c r="T32" s="13">
        <f t="shared" si="15"/>
        <v>5.997772256019193E-3</v>
      </c>
      <c r="U32" s="13">
        <f t="shared" si="15"/>
        <v>5.6160359426300332E-3</v>
      </c>
      <c r="V32" s="13">
        <f t="shared" si="15"/>
        <v>5.6813290866833087E-3</v>
      </c>
      <c r="W32" s="13">
        <f t="shared" si="15"/>
        <v>6.4379574918423145E-3</v>
      </c>
      <c r="X32" s="13">
        <f t="shared" si="15"/>
        <v>4.7259838225938381E-3</v>
      </c>
      <c r="Y32" s="13">
        <f t="shared" si="15"/>
        <v>3.9848197343453507E-3</v>
      </c>
      <c r="Z32" s="13">
        <f t="shared" si="15"/>
        <v>4.1249263406010605E-3</v>
      </c>
      <c r="AA32" s="13">
        <f t="shared" ref="AA32:AD32" si="16">+(AA10+AA11)/AA24</f>
        <v>2.8744809964867456E-3</v>
      </c>
      <c r="AB32" s="13">
        <f t="shared" si="16"/>
        <v>2.2636628220329847E-3</v>
      </c>
      <c r="AC32" s="13">
        <f t="shared" si="16"/>
        <v>2.4630541871921183E-3</v>
      </c>
      <c r="AD32" s="13">
        <f t="shared" si="16"/>
        <v>2.1229050279329611E-3</v>
      </c>
    </row>
    <row r="33" spans="1:31" s="8" customFormat="1" x14ac:dyDescent="0.25">
      <c r="A33" s="12" t="s">
        <v>33</v>
      </c>
      <c r="C33" s="13"/>
      <c r="D33" s="13"/>
      <c r="E33" s="13">
        <f t="shared" ref="E33:Z33" si="17">(E12+D12)/E24</f>
        <v>1.5219785721437869E-2</v>
      </c>
      <c r="F33" s="13">
        <f t="shared" si="17"/>
        <v>1.6205533596837945E-2</v>
      </c>
      <c r="G33" s="13">
        <f t="shared" si="17"/>
        <v>1.9850150822224386E-2</v>
      </c>
      <c r="H33" s="13">
        <f t="shared" si="17"/>
        <v>1.8049191059571684E-2</v>
      </c>
      <c r="I33" s="13">
        <f t="shared" si="17"/>
        <v>1.6942976862816542E-2</v>
      </c>
      <c r="J33" s="13">
        <f t="shared" si="17"/>
        <v>1.6756756756756756E-2</v>
      </c>
      <c r="K33" s="13">
        <f t="shared" si="17"/>
        <v>1.7133118048080372E-2</v>
      </c>
      <c r="L33" s="13">
        <f t="shared" si="17"/>
        <v>1.6787213144030717E-2</v>
      </c>
      <c r="M33" s="13">
        <f t="shared" si="17"/>
        <v>1.658404686795854E-2</v>
      </c>
      <c r="N33" s="13">
        <f t="shared" si="17"/>
        <v>1.8178561833975104E-2</v>
      </c>
      <c r="O33" s="13">
        <f t="shared" si="17"/>
        <v>1.7184341113765853E-2</v>
      </c>
      <c r="P33" s="13">
        <f t="shared" si="17"/>
        <v>1.2982361894529502E-2</v>
      </c>
      <c r="Q33" s="13">
        <f t="shared" si="17"/>
        <v>1.1976579134137686E-2</v>
      </c>
      <c r="R33" s="13">
        <f t="shared" si="17"/>
        <v>1.2459980963917972E-2</v>
      </c>
      <c r="S33" s="13">
        <f t="shared" si="17"/>
        <v>1.2702772294223673E-2</v>
      </c>
      <c r="T33" s="13">
        <f t="shared" si="17"/>
        <v>1.3195098963242224E-2</v>
      </c>
      <c r="U33" s="13">
        <f t="shared" si="17"/>
        <v>1.416969068602039E-2</v>
      </c>
      <c r="V33" s="13">
        <f t="shared" si="17"/>
        <v>1.3945080485495394E-2</v>
      </c>
      <c r="W33" s="13">
        <f t="shared" si="17"/>
        <v>1.5962606931828202E-2</v>
      </c>
      <c r="X33" s="13">
        <f t="shared" si="17"/>
        <v>1.6995364900481688E-2</v>
      </c>
      <c r="Y33" s="13">
        <f t="shared" si="17"/>
        <v>1.5559772296015181E-2</v>
      </c>
      <c r="Z33" s="13">
        <f t="shared" si="17"/>
        <v>1.4535454724022786E-2</v>
      </c>
      <c r="AA33" s="13">
        <f t="shared" ref="AA33:AD33" si="18">(AA12+Z12)/AA24</f>
        <v>1.3840093686788034E-2</v>
      </c>
      <c r="AB33" s="13">
        <f t="shared" si="18"/>
        <v>1.0132585965290503E-2</v>
      </c>
      <c r="AC33" s="13">
        <f t="shared" si="18"/>
        <v>7.0532915360501571E-3</v>
      </c>
      <c r="AD33" s="13">
        <f t="shared" si="18"/>
        <v>6.4804469273743014E-3</v>
      </c>
    </row>
    <row r="34" spans="1:31" s="8" customFormat="1" x14ac:dyDescent="0.25">
      <c r="A34" s="10" t="s">
        <v>30</v>
      </c>
      <c r="C34" s="13"/>
      <c r="D34" s="13">
        <f t="shared" ref="D34:Z34" si="19">D3/D7</f>
        <v>0.39755087961365987</v>
      </c>
      <c r="E34" s="13">
        <f t="shared" si="19"/>
        <v>0.40362471212576351</v>
      </c>
      <c r="F34" s="13">
        <f t="shared" si="19"/>
        <v>0.38436360235668193</v>
      </c>
      <c r="G34" s="13">
        <f t="shared" si="19"/>
        <v>0.38834290162498786</v>
      </c>
      <c r="H34" s="13">
        <f t="shared" si="19"/>
        <v>0.3914710558309174</v>
      </c>
      <c r="I34" s="13">
        <f t="shared" si="19"/>
        <v>0.39870650391692475</v>
      </c>
      <c r="J34" s="13">
        <f t="shared" si="19"/>
        <v>0.3653153153153153</v>
      </c>
      <c r="K34" s="13">
        <f t="shared" si="19"/>
        <v>0.36203803372802296</v>
      </c>
      <c r="L34" s="13">
        <f t="shared" si="19"/>
        <v>0.35913920885793377</v>
      </c>
      <c r="M34" s="13">
        <f t="shared" si="19"/>
        <v>0.33573681838666064</v>
      </c>
      <c r="N34" s="13">
        <f t="shared" si="19"/>
        <v>0.32676636518312885</v>
      </c>
      <c r="O34" s="13">
        <f t="shared" si="19"/>
        <v>0.3345892299209704</v>
      </c>
      <c r="P34" s="13">
        <f t="shared" si="19"/>
        <v>0.33781000984868831</v>
      </c>
      <c r="Q34" s="13">
        <f t="shared" si="19"/>
        <v>0.33552164655784245</v>
      </c>
      <c r="R34" s="13">
        <f t="shared" si="19"/>
        <v>0.33719823483603012</v>
      </c>
      <c r="S34" s="13">
        <f t="shared" si="19"/>
        <v>0.33688095442451294</v>
      </c>
      <c r="T34" s="13">
        <f t="shared" si="19"/>
        <v>0.32430811412903776</v>
      </c>
      <c r="U34" s="13">
        <f t="shared" si="19"/>
        <v>0.3509590461378953</v>
      </c>
      <c r="V34" s="13">
        <f t="shared" si="19"/>
        <v>0.35499698717396916</v>
      </c>
      <c r="W34" s="13">
        <f t="shared" si="19"/>
        <v>0.35214745568392275</v>
      </c>
      <c r="X34" s="13">
        <f t="shared" si="19"/>
        <v>0.34735981096064711</v>
      </c>
      <c r="Y34" s="13">
        <f t="shared" si="19"/>
        <v>0.33149905123339657</v>
      </c>
      <c r="Z34" s="13">
        <f t="shared" si="19"/>
        <v>0.31997642899233941</v>
      </c>
      <c r="AA34" s="13">
        <f t="shared" ref="AA34:AD34" si="20">AA3/AA7</f>
        <v>0.26871074204194612</v>
      </c>
      <c r="AB34" s="13">
        <f t="shared" si="20"/>
        <v>0.26280047429125797</v>
      </c>
      <c r="AC34" s="13">
        <f t="shared" si="20"/>
        <v>0.24697716077026421</v>
      </c>
      <c r="AD34" s="13">
        <f t="shared" si="20"/>
        <v>0.25318435754189944</v>
      </c>
    </row>
    <row r="35" spans="1:31" x14ac:dyDescent="0.25">
      <c r="S35" s="11"/>
    </row>
    <row r="36" spans="1:31" x14ac:dyDescent="0.25">
      <c r="A36" s="9" t="s">
        <v>44</v>
      </c>
      <c r="S36" s="40">
        <v>66.8</v>
      </c>
      <c r="T36" s="40">
        <v>66.7</v>
      </c>
      <c r="U36" s="40">
        <v>54.6</v>
      </c>
      <c r="V36" s="40">
        <v>54</v>
      </c>
      <c r="W36" s="40">
        <v>54.4</v>
      </c>
      <c r="X36" s="40">
        <v>54</v>
      </c>
      <c r="Y36" s="40"/>
      <c r="Z36" s="40"/>
    </row>
    <row r="37" spans="1:31" x14ac:dyDescent="0.25">
      <c r="A37" s="9" t="s">
        <v>45</v>
      </c>
      <c r="S37" s="40">
        <v>87.1</v>
      </c>
      <c r="T37" s="40">
        <v>87.2</v>
      </c>
      <c r="U37" s="40">
        <v>87.2</v>
      </c>
      <c r="V37" s="40">
        <v>87.2</v>
      </c>
      <c r="W37" s="40">
        <v>87.2</v>
      </c>
      <c r="X37" s="40">
        <v>87.2</v>
      </c>
      <c r="Y37" s="40"/>
      <c r="Z37" s="40"/>
    </row>
    <row r="38" spans="1:31" x14ac:dyDescent="0.25">
      <c r="A38" s="9" t="s">
        <v>65</v>
      </c>
      <c r="S38" s="10">
        <v>1.59</v>
      </c>
      <c r="T38" s="10">
        <v>1.61</v>
      </c>
      <c r="U38" s="10">
        <v>1.51</v>
      </c>
      <c r="V38" s="10">
        <v>1.51</v>
      </c>
      <c r="W38" s="10">
        <v>1.52</v>
      </c>
      <c r="X38" s="10">
        <v>1.51</v>
      </c>
      <c r="Y38" s="10"/>
      <c r="Z38" s="10"/>
    </row>
    <row r="39" spans="1:31" x14ac:dyDescent="0.25">
      <c r="A39" s="9" t="s">
        <v>66</v>
      </c>
      <c r="S39" s="10">
        <v>1.5</v>
      </c>
      <c r="T39" s="10">
        <v>1.59</v>
      </c>
      <c r="U39" s="10">
        <v>1.46</v>
      </c>
      <c r="V39" s="10">
        <v>1.53</v>
      </c>
      <c r="W39" s="10">
        <v>1.49</v>
      </c>
      <c r="X39" s="10">
        <v>1.56</v>
      </c>
      <c r="Y39" s="10"/>
      <c r="Z39" s="10"/>
    </row>
    <row r="41" spans="1:31" x14ac:dyDescent="0.25">
      <c r="A41" s="4" t="s">
        <v>74</v>
      </c>
    </row>
    <row r="42" spans="1:31" x14ac:dyDescent="0.25">
      <c r="A42" s="8" t="s">
        <v>87</v>
      </c>
      <c r="X42" s="8"/>
      <c r="Y42" s="8">
        <f>2551-2246</f>
        <v>305</v>
      </c>
      <c r="Z42" s="8">
        <f>2577-2285</f>
        <v>292</v>
      </c>
      <c r="AB42" s="33"/>
      <c r="AC42" s="33"/>
      <c r="AD42" s="14"/>
      <c r="AE42" s="14"/>
    </row>
    <row r="43" spans="1:31" x14ac:dyDescent="0.25">
      <c r="A43" s="8" t="s">
        <v>88</v>
      </c>
      <c r="X43" s="8"/>
      <c r="Y43" s="8">
        <f>3421-2240</f>
        <v>1181</v>
      </c>
      <c r="Z43" s="8">
        <f>3302-2174</f>
        <v>1128</v>
      </c>
      <c r="AB43" s="33"/>
      <c r="AC43" s="33"/>
      <c r="AD43" s="14"/>
      <c r="AE43" s="14"/>
    </row>
    <row r="44" spans="1:31" x14ac:dyDescent="0.25">
      <c r="A44" s="8" t="s">
        <v>89</v>
      </c>
      <c r="X44" s="8"/>
      <c r="Y44" s="8">
        <f>2424-691</f>
        <v>1733</v>
      </c>
      <c r="Z44" s="8">
        <f>2305-640</f>
        <v>1665</v>
      </c>
      <c r="AB44" s="33"/>
      <c r="AC44" s="33"/>
      <c r="AD44" s="14"/>
      <c r="AE44" s="14"/>
    </row>
    <row r="45" spans="1:31" x14ac:dyDescent="0.25">
      <c r="A45" s="8" t="s">
        <v>90</v>
      </c>
      <c r="X45" s="8"/>
      <c r="Y45" s="8">
        <f>1407-139</f>
        <v>1268</v>
      </c>
      <c r="Z45" s="8">
        <f>1297-122</f>
        <v>1175</v>
      </c>
      <c r="AB45" s="33"/>
      <c r="AC45" s="33"/>
      <c r="AD45" s="14"/>
      <c r="AE45" s="14"/>
    </row>
    <row r="46" spans="1:31" x14ac:dyDescent="0.25">
      <c r="A46" s="8" t="s">
        <v>91</v>
      </c>
      <c r="X46" s="8"/>
      <c r="Y46" s="8">
        <f>691-50</f>
        <v>641</v>
      </c>
      <c r="Z46" s="8">
        <f>654-42</f>
        <v>612</v>
      </c>
      <c r="AB46" s="33"/>
      <c r="AC46" s="33"/>
      <c r="AD46" s="14"/>
      <c r="AE46" s="14"/>
    </row>
    <row r="47" spans="1:31" x14ac:dyDescent="0.25">
      <c r="A47" s="6" t="s">
        <v>92</v>
      </c>
      <c r="X47" s="8"/>
      <c r="Y47" s="8"/>
      <c r="AB47" s="33"/>
      <c r="AC47" s="33"/>
      <c r="AD47" s="14"/>
      <c r="AE47" s="14"/>
    </row>
    <row r="48" spans="1:31" x14ac:dyDescent="0.25">
      <c r="A48" s="6" t="s">
        <v>4</v>
      </c>
      <c r="X48" s="8"/>
      <c r="Y48" s="8">
        <f>46-3</f>
        <v>43</v>
      </c>
      <c r="Z48" s="8">
        <f>47-3</f>
        <v>44</v>
      </c>
      <c r="AB48" s="33"/>
      <c r="AC48" s="33"/>
      <c r="AD48" s="14"/>
      <c r="AE48" s="14"/>
    </row>
    <row r="49" spans="1:29" x14ac:dyDescent="0.25">
      <c r="A49" s="6" t="s">
        <v>5</v>
      </c>
      <c r="X49" s="33"/>
      <c r="Y49" s="33">
        <f>SUM(Y42:Y48)</f>
        <v>5171</v>
      </c>
      <c r="Z49" s="33">
        <f>SUM(Z42:Z48)</f>
        <v>4916</v>
      </c>
      <c r="AA49" s="33"/>
      <c r="AB49" s="33"/>
      <c r="AC49" s="33"/>
    </row>
    <row r="50" spans="1:29" x14ac:dyDescent="0.25">
      <c r="A50" s="4"/>
    </row>
    <row r="51" spans="1:29" x14ac:dyDescent="0.25">
      <c r="A51" s="4" t="s">
        <v>75</v>
      </c>
      <c r="X51" s="14"/>
      <c r="Y51" s="14"/>
      <c r="Z51" s="14"/>
    </row>
    <row r="52" spans="1:29" x14ac:dyDescent="0.25">
      <c r="A52" s="8" t="s">
        <v>87</v>
      </c>
      <c r="X52" s="14"/>
      <c r="Y52" s="14">
        <f t="shared" ref="Y52:Z56" si="21">+Y42/Y17</f>
        <v>0.1195609564876519</v>
      </c>
      <c r="Z52" s="14">
        <f t="shared" si="21"/>
        <v>0.11331005044625533</v>
      </c>
    </row>
    <row r="53" spans="1:29" x14ac:dyDescent="0.25">
      <c r="A53" s="8" t="s">
        <v>88</v>
      </c>
      <c r="X53" s="14"/>
      <c r="Y53" s="14">
        <f t="shared" si="21"/>
        <v>0.34522069570301084</v>
      </c>
      <c r="Z53" s="14">
        <f t="shared" si="21"/>
        <v>0.34161114476075105</v>
      </c>
    </row>
    <row r="54" spans="1:29" x14ac:dyDescent="0.25">
      <c r="A54" s="8" t="s">
        <v>89</v>
      </c>
      <c r="X54" s="14"/>
      <c r="Y54" s="14">
        <f t="shared" si="21"/>
        <v>0.71493399339933994</v>
      </c>
      <c r="Z54" s="14">
        <f t="shared" si="21"/>
        <v>0.72234273318872022</v>
      </c>
    </row>
    <row r="55" spans="1:29" x14ac:dyDescent="0.25">
      <c r="A55" s="8" t="s">
        <v>90</v>
      </c>
      <c r="X55" s="14"/>
      <c r="Y55" s="14">
        <f t="shared" si="21"/>
        <v>0.90120824449182657</v>
      </c>
      <c r="Z55" s="14">
        <f t="shared" si="21"/>
        <v>0.90593677717810328</v>
      </c>
    </row>
    <row r="56" spans="1:29" x14ac:dyDescent="0.25">
      <c r="A56" s="8" t="s">
        <v>91</v>
      </c>
      <c r="X56" s="14"/>
      <c r="Y56" s="14">
        <f t="shared" si="21"/>
        <v>0.9276410998552822</v>
      </c>
      <c r="Z56" s="14">
        <f t="shared" si="21"/>
        <v>0.93577981651376152</v>
      </c>
    </row>
    <row r="57" spans="1:29" x14ac:dyDescent="0.25">
      <c r="A57" s="6"/>
      <c r="X57" s="14"/>
      <c r="Y57" s="14">
        <f>+Y47/Y23</f>
        <v>0</v>
      </c>
      <c r="Z57" s="14">
        <f>+Z47/Z23</f>
        <v>0</v>
      </c>
    </row>
    <row r="58" spans="1:29" x14ac:dyDescent="0.25">
      <c r="A58" s="6" t="s">
        <v>4</v>
      </c>
      <c r="X58" s="14"/>
      <c r="Y58" s="14"/>
      <c r="Z58" s="14"/>
    </row>
    <row r="59" spans="1:29" x14ac:dyDescent="0.25">
      <c r="A59" s="6" t="s">
        <v>5</v>
      </c>
      <c r="X59" s="14"/>
      <c r="Y59" s="14">
        <f t="shared" ref="Y59:Z59" si="22">+Y49/Y24</f>
        <v>0.49060721062618595</v>
      </c>
      <c r="Z59" s="14">
        <f t="shared" si="22"/>
        <v>0.48281280691416223</v>
      </c>
    </row>
    <row r="60" spans="1:29" x14ac:dyDescent="0.25">
      <c r="A60" s="4"/>
    </row>
    <row r="61" spans="1:29" x14ac:dyDescent="0.25">
      <c r="A61" s="4" t="s">
        <v>82</v>
      </c>
    </row>
    <row r="62" spans="1:29" x14ac:dyDescent="0.25">
      <c r="A62" s="47" t="s">
        <v>67</v>
      </c>
      <c r="X62" s="33"/>
      <c r="Y62" s="33">
        <f t="shared" ref="Y62:Z62" si="23">+Y42</f>
        <v>305</v>
      </c>
      <c r="Z62" s="33">
        <f t="shared" si="23"/>
        <v>292</v>
      </c>
    </row>
    <row r="63" spans="1:29" x14ac:dyDescent="0.25">
      <c r="A63" s="47" t="s">
        <v>84</v>
      </c>
      <c r="X63" s="33"/>
      <c r="Y63" s="33">
        <f t="shared" ref="Y63:Z63" si="24">+Y17</f>
        <v>2551</v>
      </c>
      <c r="Z63" s="33">
        <f t="shared" si="24"/>
        <v>2577</v>
      </c>
    </row>
    <row r="64" spans="1:29" x14ac:dyDescent="0.25">
      <c r="A64" s="47" t="s">
        <v>75</v>
      </c>
      <c r="X64" s="14"/>
      <c r="Y64" s="14">
        <f t="shared" ref="Y64" si="25">+Y62/Y63</f>
        <v>0.1195609564876519</v>
      </c>
      <c r="Z64" s="14">
        <f>+Z62/Z63</f>
        <v>0.11331005044625533</v>
      </c>
    </row>
    <row r="65" spans="1:26" x14ac:dyDescent="0.25">
      <c r="A65" s="47" t="s">
        <v>85</v>
      </c>
      <c r="X65" s="14"/>
      <c r="Y65" s="14">
        <f t="shared" ref="Y65" si="26">+Y62/Y$49</f>
        <v>5.8982788628891898E-2</v>
      </c>
      <c r="Z65" s="14">
        <f>+Z62/Z$49</f>
        <v>5.9397884458909686E-2</v>
      </c>
    </row>
    <row r="66" spans="1:26" x14ac:dyDescent="0.25">
      <c r="A66" s="47" t="s">
        <v>86</v>
      </c>
      <c r="X66" s="14"/>
      <c r="Y66" s="14">
        <f t="shared" ref="Y66" si="27">+Y63/Y$24</f>
        <v>0.2420303605313093</v>
      </c>
      <c r="Z66" s="14">
        <f>+Z63/Z$24</f>
        <v>0.25309369475545079</v>
      </c>
    </row>
    <row r="67" spans="1:26" x14ac:dyDescent="0.25">
      <c r="A67" s="4" t="s">
        <v>83</v>
      </c>
    </row>
    <row r="68" spans="1:26" x14ac:dyDescent="0.25">
      <c r="A68" s="47" t="s">
        <v>67</v>
      </c>
      <c r="X68" s="33"/>
      <c r="Y68" s="33">
        <f t="shared" ref="Y68:Z68" si="28">+Y43+Y44+Y45+Y46+Y47+Y48</f>
        <v>4866</v>
      </c>
      <c r="Z68" s="33">
        <f t="shared" si="28"/>
        <v>4624</v>
      </c>
    </row>
    <row r="69" spans="1:26" x14ac:dyDescent="0.25">
      <c r="A69" s="47" t="s">
        <v>84</v>
      </c>
      <c r="X69" s="33"/>
      <c r="Y69" s="33">
        <f t="shared" ref="Y69:Z69" si="29">+Y18+Y19+Y20+Y21+Y22+Y23</f>
        <v>7989</v>
      </c>
      <c r="Z69" s="33">
        <f t="shared" si="29"/>
        <v>7605</v>
      </c>
    </row>
    <row r="70" spans="1:26" x14ac:dyDescent="0.25">
      <c r="A70" s="47" t="s">
        <v>75</v>
      </c>
      <c r="X70" s="14"/>
      <c r="Y70" s="14">
        <f t="shared" ref="Y70" si="30">+Y68/Y69</f>
        <v>0.60908749530604578</v>
      </c>
      <c r="Z70" s="14">
        <f>+Z68/Z69</f>
        <v>0.60802103879026959</v>
      </c>
    </row>
    <row r="71" spans="1:26" x14ac:dyDescent="0.25">
      <c r="A71" s="47" t="s">
        <v>85</v>
      </c>
      <c r="X71" s="14"/>
      <c r="Y71" s="14">
        <f t="shared" ref="Y71" si="31">+Y68/Y$49</f>
        <v>0.94101721137110805</v>
      </c>
      <c r="Z71" s="14">
        <f>+Z68/Z$49</f>
        <v>0.9406021155410903</v>
      </c>
    </row>
    <row r="72" spans="1:26" x14ac:dyDescent="0.25">
      <c r="A72" s="47" t="s">
        <v>86</v>
      </c>
      <c r="X72" s="14"/>
      <c r="Y72" s="14">
        <f t="shared" ref="Y72" si="32">+Y69/Y$24</f>
        <v>0.75796963946869067</v>
      </c>
      <c r="Z72" s="14">
        <f>+Z69/Z$24</f>
        <v>0.74690630524454915</v>
      </c>
    </row>
  </sheetData>
  <printOptions gridLines="1"/>
  <pageMargins left="0" right="0" top="0.59055118110236227" bottom="0" header="0.19685039370078741" footer="0"/>
  <pageSetup paperSize="9" scale="67" orientation="landscape" r:id="rId1"/>
  <headerFooter>
    <oddHeader>&amp;C&amp;"-,Bold"&amp;12QRR APS330 for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00B050"/>
    <pageSetUpPr fitToPage="1"/>
  </sheetPr>
  <dimension ref="A1:AE72"/>
  <sheetViews>
    <sheetView zoomScaleNormal="100" workbookViewId="0">
      <pane xSplit="1" ySplit="1" topLeftCell="N11" activePane="bottomRight" state="frozen"/>
      <selection pane="topRight" activeCell="B1" sqref="B1"/>
      <selection pane="bottomLeft" activeCell="A3" sqref="A3"/>
      <selection pane="bottomRight" activeCell="AA4" sqref="AA4"/>
    </sheetView>
  </sheetViews>
  <sheetFormatPr defaultRowHeight="15" x14ac:dyDescent="0.25"/>
  <cols>
    <col min="1" max="1" width="45.42578125" style="2" bestFit="1" customWidth="1"/>
    <col min="2" max="12" width="12" customWidth="1"/>
    <col min="13" max="29" width="11.28515625" customWidth="1"/>
    <col min="30" max="30" width="11.28515625" bestFit="1" customWidth="1"/>
    <col min="31" max="31" width="10.28515625" bestFit="1" customWidth="1"/>
  </cols>
  <sheetData>
    <row r="1" spans="1:31" s="22" customFormat="1" x14ac:dyDescent="0.25">
      <c r="A1" s="23"/>
      <c r="B1" s="22">
        <v>39538</v>
      </c>
      <c r="C1" s="22">
        <v>39721</v>
      </c>
      <c r="D1" s="22">
        <v>39903</v>
      </c>
      <c r="E1" s="22">
        <v>40086</v>
      </c>
      <c r="F1" s="22">
        <v>40268</v>
      </c>
      <c r="G1" s="22">
        <v>40451</v>
      </c>
      <c r="H1" s="22">
        <v>40633</v>
      </c>
      <c r="I1" s="22">
        <v>40816</v>
      </c>
      <c r="J1" s="22">
        <v>40999</v>
      </c>
      <c r="K1" s="22">
        <v>41182</v>
      </c>
      <c r="L1" s="22">
        <v>41364</v>
      </c>
      <c r="M1" s="22">
        <v>41547</v>
      </c>
      <c r="N1" s="22">
        <v>41729</v>
      </c>
      <c r="O1" s="22">
        <v>41912</v>
      </c>
      <c r="P1" s="22">
        <v>42094</v>
      </c>
      <c r="Q1" s="22">
        <v>42277</v>
      </c>
      <c r="R1" s="22">
        <v>42460</v>
      </c>
      <c r="S1" s="22">
        <v>42643</v>
      </c>
      <c r="T1" s="22">
        <v>42825</v>
      </c>
      <c r="U1" s="22">
        <v>42979</v>
      </c>
      <c r="V1" s="22">
        <v>43160</v>
      </c>
      <c r="W1" s="22">
        <v>43344</v>
      </c>
      <c r="X1" s="22">
        <v>43525</v>
      </c>
      <c r="Y1" s="22">
        <v>43709</v>
      </c>
      <c r="Z1" s="22">
        <v>43891</v>
      </c>
      <c r="AA1" s="22">
        <v>44075</v>
      </c>
      <c r="AB1" s="22">
        <v>44256</v>
      </c>
      <c r="AC1" s="22">
        <v>44440</v>
      </c>
      <c r="AD1" s="22">
        <v>44621</v>
      </c>
      <c r="AE1" s="22">
        <v>44805</v>
      </c>
    </row>
    <row r="2" spans="1:31" s="8" customFormat="1" x14ac:dyDescent="0.25">
      <c r="A2" s="12" t="s">
        <v>10</v>
      </c>
    </row>
    <row r="3" spans="1:31" s="8" customFormat="1" x14ac:dyDescent="0.25">
      <c r="A3" s="24" t="s">
        <v>20</v>
      </c>
      <c r="C3" s="8">
        <v>4200</v>
      </c>
      <c r="D3" s="8">
        <v>4725</v>
      </c>
      <c r="E3" s="8">
        <v>4699</v>
      </c>
      <c r="F3" s="8">
        <v>4917</v>
      </c>
      <c r="G3" s="8">
        <v>6093</v>
      </c>
      <c r="H3" s="8">
        <v>5473</v>
      </c>
      <c r="I3" s="8">
        <v>4884</v>
      </c>
      <c r="J3" s="8">
        <v>5329</v>
      </c>
      <c r="K3" s="8">
        <v>5037</v>
      </c>
      <c r="L3" s="8">
        <v>5209</v>
      </c>
      <c r="M3" s="8">
        <v>4870</v>
      </c>
      <c r="N3" s="8">
        <v>6188</v>
      </c>
      <c r="O3" s="8">
        <v>6069</v>
      </c>
      <c r="P3" s="8">
        <v>6432</v>
      </c>
      <c r="Q3" s="8">
        <v>6218</v>
      </c>
      <c r="R3" s="8">
        <v>6617</v>
      </c>
      <c r="S3" s="8">
        <v>5904</v>
      </c>
      <c r="T3" s="8">
        <v>6009</v>
      </c>
      <c r="U3" s="8">
        <v>5665</v>
      </c>
      <c r="V3" s="8">
        <v>6553</v>
      </c>
      <c r="W3" s="8">
        <v>6313</v>
      </c>
      <c r="X3" s="8">
        <v>5910</v>
      </c>
      <c r="Y3" s="8">
        <v>5089</v>
      </c>
      <c r="Z3" s="8">
        <v>4837</v>
      </c>
      <c r="AA3" s="8">
        <v>4405</v>
      </c>
      <c r="AB3" s="8">
        <v>4279</v>
      </c>
      <c r="AC3" s="8">
        <v>4001</v>
      </c>
      <c r="AD3" s="8">
        <v>3951</v>
      </c>
    </row>
    <row r="4" spans="1:31" s="8" customFormat="1" x14ac:dyDescent="0.25">
      <c r="A4" s="24" t="s">
        <v>7</v>
      </c>
    </row>
    <row r="5" spans="1:31" s="8" customFormat="1" x14ac:dyDescent="0.25">
      <c r="A5" s="12"/>
    </row>
    <row r="6" spans="1:31" s="8" customFormat="1" x14ac:dyDescent="0.25">
      <c r="A6" s="12" t="s">
        <v>9</v>
      </c>
    </row>
    <row r="7" spans="1:31" s="8" customFormat="1" x14ac:dyDescent="0.25">
      <c r="A7" s="24" t="s">
        <v>20</v>
      </c>
      <c r="C7" s="8">
        <f>+C24</f>
        <v>15353</v>
      </c>
      <c r="D7" s="8">
        <f t="shared" ref="D7:J7" si="0">+D24</f>
        <v>14145</v>
      </c>
      <c r="E7" s="8">
        <f t="shared" si="0"/>
        <v>14295</v>
      </c>
      <c r="F7" s="8">
        <f t="shared" si="0"/>
        <v>14441</v>
      </c>
      <c r="G7" s="8">
        <f t="shared" si="0"/>
        <v>17862</v>
      </c>
      <c r="H7" s="8">
        <f t="shared" si="0"/>
        <v>17587</v>
      </c>
      <c r="I7" s="8">
        <f t="shared" si="0"/>
        <v>17376</v>
      </c>
      <c r="J7" s="8">
        <f t="shared" si="0"/>
        <v>18044</v>
      </c>
      <c r="K7" s="8">
        <v>18332</v>
      </c>
      <c r="L7" s="8">
        <v>19097</v>
      </c>
      <c r="M7" s="8">
        <v>19293</v>
      </c>
      <c r="N7" s="8">
        <v>19949</v>
      </c>
      <c r="O7" s="8">
        <v>20383</v>
      </c>
      <c r="P7" s="8">
        <v>20728</v>
      </c>
      <c r="Q7" s="8">
        <v>20926</v>
      </c>
      <c r="R7" s="8">
        <v>21178</v>
      </c>
      <c r="S7" s="8">
        <v>20143</v>
      </c>
      <c r="T7" s="8">
        <v>19953</v>
      </c>
      <c r="U7" s="8">
        <v>19723</v>
      </c>
      <c r="V7" s="8">
        <v>19640</v>
      </c>
      <c r="W7" s="8">
        <v>19639</v>
      </c>
      <c r="X7" s="8">
        <v>18850</v>
      </c>
      <c r="Y7" s="8">
        <v>17541</v>
      </c>
      <c r="Z7" s="8">
        <v>18601</v>
      </c>
      <c r="AA7" s="8">
        <v>16944</v>
      </c>
      <c r="AB7" s="8">
        <v>16459</v>
      </c>
      <c r="AC7" s="8">
        <v>15394</v>
      </c>
      <c r="AD7" s="8">
        <v>15193</v>
      </c>
    </row>
    <row r="8" spans="1:31" s="8" customFormat="1" x14ac:dyDescent="0.25">
      <c r="A8" s="24" t="s">
        <v>7</v>
      </c>
    </row>
    <row r="9" spans="1:31" s="8" customFormat="1" x14ac:dyDescent="0.25">
      <c r="A9" s="12"/>
    </row>
    <row r="10" spans="1:31" s="8" customFormat="1" x14ac:dyDescent="0.25">
      <c r="A10" s="12" t="s">
        <v>8</v>
      </c>
      <c r="D10" s="8">
        <v>67</v>
      </c>
      <c r="E10" s="8">
        <v>61</v>
      </c>
      <c r="F10" s="8">
        <v>85</v>
      </c>
      <c r="G10" s="8">
        <v>104</v>
      </c>
      <c r="H10" s="8">
        <v>107</v>
      </c>
      <c r="I10" s="8">
        <v>92</v>
      </c>
      <c r="J10" s="8">
        <v>110</v>
      </c>
      <c r="K10" s="8">
        <v>83</v>
      </c>
      <c r="L10" s="8">
        <v>104</v>
      </c>
      <c r="M10" s="8">
        <v>110</v>
      </c>
      <c r="N10" s="8">
        <v>93</v>
      </c>
      <c r="O10" s="8">
        <v>78</v>
      </c>
      <c r="P10" s="8">
        <v>104</v>
      </c>
      <c r="Q10" s="8">
        <v>77</v>
      </c>
      <c r="R10" s="8">
        <v>95</v>
      </c>
      <c r="S10" s="8">
        <v>83</v>
      </c>
      <c r="T10" s="8">
        <v>123</v>
      </c>
      <c r="U10" s="8">
        <v>108</v>
      </c>
      <c r="V10" s="8">
        <v>95</v>
      </c>
      <c r="W10" s="8">
        <v>87</v>
      </c>
      <c r="X10" s="8">
        <v>101</v>
      </c>
      <c r="Y10" s="8">
        <v>121</v>
      </c>
      <c r="Z10" s="8">
        <v>123</v>
      </c>
      <c r="AA10" s="8">
        <v>83</v>
      </c>
      <c r="AB10" s="8">
        <v>82</v>
      </c>
      <c r="AC10" s="8">
        <v>65</v>
      </c>
      <c r="AD10" s="8">
        <v>59</v>
      </c>
    </row>
    <row r="11" spans="1:31" s="8" customFormat="1" x14ac:dyDescent="0.25">
      <c r="A11" s="12" t="s">
        <v>21</v>
      </c>
    </row>
    <row r="12" spans="1:31" s="8" customFormat="1" x14ac:dyDescent="0.25">
      <c r="A12" s="12" t="s">
        <v>23</v>
      </c>
      <c r="B12" s="8">
        <v>92.5</v>
      </c>
      <c r="C12" s="8">
        <v>92.5</v>
      </c>
      <c r="D12" s="8">
        <v>108</v>
      </c>
      <c r="E12" s="8">
        <f>225-108</f>
        <v>117</v>
      </c>
      <c r="F12" s="8">
        <v>113</v>
      </c>
      <c r="G12" s="8">
        <f>324-113</f>
        <v>211</v>
      </c>
      <c r="H12" s="8">
        <v>150</v>
      </c>
      <c r="I12" s="8">
        <f>326-150</f>
        <v>176</v>
      </c>
      <c r="J12" s="8">
        <v>153</v>
      </c>
      <c r="K12" s="8">
        <f>318-153</f>
        <v>165</v>
      </c>
      <c r="L12" s="8">
        <v>131</v>
      </c>
      <c r="M12" s="8">
        <f>180-131</f>
        <v>49</v>
      </c>
      <c r="N12" s="8">
        <v>136</v>
      </c>
      <c r="O12" s="8">
        <f>288-136</f>
        <v>152</v>
      </c>
      <c r="P12" s="8">
        <v>129</v>
      </c>
      <c r="Q12" s="8">
        <f>286-129</f>
        <v>157</v>
      </c>
      <c r="R12" s="8">
        <v>147</v>
      </c>
      <c r="S12" s="8">
        <f>304-147</f>
        <v>157</v>
      </c>
      <c r="T12" s="8">
        <v>149</v>
      </c>
      <c r="U12" s="8">
        <v>149</v>
      </c>
      <c r="V12" s="8">
        <v>134</v>
      </c>
      <c r="W12" s="8">
        <v>139</v>
      </c>
      <c r="X12" s="8">
        <v>150</v>
      </c>
      <c r="Y12" s="8">
        <f>340-150</f>
        <v>190</v>
      </c>
      <c r="Z12" s="8">
        <v>164</v>
      </c>
      <c r="AA12" s="8">
        <f>332-164</f>
        <v>168</v>
      </c>
      <c r="AB12" s="8">
        <v>71</v>
      </c>
      <c r="AC12" s="8">
        <f>136-71</f>
        <v>65</v>
      </c>
      <c r="AD12" s="8">
        <v>50</v>
      </c>
    </row>
    <row r="13" spans="1:31" s="8" customFormat="1" x14ac:dyDescent="0.25">
      <c r="A13" s="12" t="s">
        <v>22</v>
      </c>
      <c r="I13" s="8">
        <v>76</v>
      </c>
      <c r="J13" s="8">
        <v>75</v>
      </c>
      <c r="K13" s="8">
        <v>59</v>
      </c>
      <c r="L13" s="8">
        <v>71</v>
      </c>
      <c r="M13" s="8">
        <v>72</v>
      </c>
      <c r="N13" s="8">
        <v>64</v>
      </c>
      <c r="O13" s="8">
        <v>58</v>
      </c>
      <c r="P13" s="8">
        <v>71</v>
      </c>
      <c r="Q13" s="8">
        <v>59</v>
      </c>
      <c r="R13" s="8">
        <v>57</v>
      </c>
      <c r="S13" s="8">
        <v>54</v>
      </c>
      <c r="T13" s="8">
        <v>63</v>
      </c>
      <c r="U13" s="8">
        <v>55</v>
      </c>
      <c r="V13" s="8">
        <v>47</v>
      </c>
      <c r="W13" s="8">
        <v>50</v>
      </c>
      <c r="X13" s="8">
        <v>63</v>
      </c>
    </row>
    <row r="14" spans="1:31" s="8" customFormat="1" x14ac:dyDescent="0.25">
      <c r="A14" s="25" t="s">
        <v>47</v>
      </c>
      <c r="Y14" s="8">
        <v>80</v>
      </c>
      <c r="Z14" s="8">
        <v>92</v>
      </c>
      <c r="AA14" s="8">
        <v>48</v>
      </c>
      <c r="AB14" s="8">
        <v>49</v>
      </c>
      <c r="AC14" s="8">
        <v>76</v>
      </c>
      <c r="AD14" s="8">
        <v>33</v>
      </c>
    </row>
    <row r="15" spans="1:31" s="8" customFormat="1" x14ac:dyDescent="0.25">
      <c r="A15" s="25"/>
    </row>
    <row r="16" spans="1:31" s="8" customFormat="1" x14ac:dyDescent="0.25">
      <c r="A16" s="12" t="s">
        <v>63</v>
      </c>
    </row>
    <row r="17" spans="1:30" s="8" customFormat="1" x14ac:dyDescent="0.25">
      <c r="A17" s="47" t="s">
        <v>69</v>
      </c>
      <c r="C17" s="8">
        <v>0</v>
      </c>
      <c r="D17" s="8">
        <v>0</v>
      </c>
      <c r="E17" s="8">
        <v>0</v>
      </c>
      <c r="F17" s="8">
        <v>0</v>
      </c>
      <c r="G17" s="8">
        <v>650</v>
      </c>
      <c r="H17" s="8">
        <v>7412</v>
      </c>
      <c r="I17" s="8">
        <v>7538</v>
      </c>
      <c r="J17" s="8">
        <v>7796</v>
      </c>
      <c r="K17" s="8">
        <v>8064</v>
      </c>
      <c r="L17" s="8">
        <v>8518</v>
      </c>
      <c r="M17" s="8">
        <v>8673</v>
      </c>
      <c r="N17" s="8">
        <v>7324</v>
      </c>
      <c r="O17" s="8">
        <v>7383</v>
      </c>
      <c r="P17" s="8">
        <v>7542</v>
      </c>
      <c r="Q17" s="8">
        <v>7655</v>
      </c>
      <c r="R17" s="8">
        <v>7366</v>
      </c>
      <c r="S17" s="8">
        <v>7296</v>
      </c>
      <c r="T17" s="8">
        <v>7373</v>
      </c>
      <c r="U17" s="8">
        <v>7417</v>
      </c>
      <c r="V17" s="8">
        <v>6219</v>
      </c>
      <c r="W17" s="8">
        <v>6207</v>
      </c>
      <c r="X17" s="8">
        <v>6245</v>
      </c>
      <c r="Y17" s="8">
        <v>6254</v>
      </c>
      <c r="Z17" s="8">
        <v>7793</v>
      </c>
      <c r="AA17" s="8">
        <v>7755</v>
      </c>
      <c r="AB17" s="8">
        <v>7739</v>
      </c>
      <c r="AC17" s="8">
        <v>7647</v>
      </c>
      <c r="AD17" s="8">
        <v>7567</v>
      </c>
    </row>
    <row r="18" spans="1:30" s="8" customFormat="1" x14ac:dyDescent="0.25">
      <c r="A18" s="47" t="s">
        <v>68</v>
      </c>
      <c r="C18" s="8">
        <v>5662</v>
      </c>
      <c r="D18" s="8">
        <v>4788</v>
      </c>
      <c r="E18" s="8">
        <v>4956</v>
      </c>
      <c r="F18" s="8">
        <v>5026</v>
      </c>
      <c r="G18" s="8">
        <v>5602</v>
      </c>
      <c r="H18" s="8">
        <v>1695</v>
      </c>
      <c r="I18" s="8">
        <v>1838</v>
      </c>
      <c r="J18" s="8">
        <v>1924</v>
      </c>
      <c r="K18" s="8">
        <v>1932</v>
      </c>
      <c r="L18" s="8">
        <v>2061</v>
      </c>
      <c r="M18" s="8">
        <v>2172</v>
      </c>
      <c r="N18" s="8">
        <v>2198</v>
      </c>
      <c r="O18" s="8">
        <v>2301</v>
      </c>
      <c r="P18" s="8">
        <v>2282</v>
      </c>
      <c r="Q18" s="8">
        <v>2347</v>
      </c>
      <c r="R18" s="8">
        <v>4108</v>
      </c>
      <c r="S18" s="8">
        <v>4062</v>
      </c>
      <c r="T18" s="8">
        <v>4101</v>
      </c>
      <c r="U18" s="8">
        <v>4169</v>
      </c>
      <c r="V18" s="8">
        <v>4335</v>
      </c>
      <c r="W18" s="8">
        <v>4306</v>
      </c>
      <c r="X18" s="8">
        <v>3727</v>
      </c>
      <c r="Y18" s="8">
        <v>3529</v>
      </c>
      <c r="Z18" s="8">
        <v>3603</v>
      </c>
      <c r="AA18" s="8">
        <v>3400</v>
      </c>
      <c r="AB18" s="8">
        <v>3219</v>
      </c>
      <c r="AC18" s="8">
        <v>2894</v>
      </c>
      <c r="AD18" s="8">
        <v>2922</v>
      </c>
    </row>
    <row r="19" spans="1:30" s="8" customFormat="1" x14ac:dyDescent="0.25">
      <c r="A19" s="47" t="s">
        <v>70</v>
      </c>
      <c r="C19" s="8">
        <v>3382</v>
      </c>
      <c r="D19" s="8">
        <v>5352</v>
      </c>
      <c r="E19" s="8">
        <v>5294</v>
      </c>
      <c r="F19" s="8">
        <v>5346</v>
      </c>
      <c r="G19" s="8">
        <v>6413</v>
      </c>
      <c r="H19" s="8">
        <v>3192</v>
      </c>
      <c r="I19" s="8">
        <v>3072</v>
      </c>
      <c r="J19" s="8">
        <v>3190</v>
      </c>
      <c r="K19" s="8">
        <v>3152</v>
      </c>
      <c r="L19" s="8">
        <v>3280</v>
      </c>
      <c r="M19" s="8">
        <v>3343</v>
      </c>
      <c r="N19" s="8">
        <v>4384</v>
      </c>
      <c r="O19" s="8">
        <v>4378</v>
      </c>
      <c r="P19" s="8">
        <v>4167</v>
      </c>
      <c r="Q19" s="8">
        <v>4161</v>
      </c>
      <c r="R19" s="8">
        <v>2373</v>
      </c>
      <c r="S19" s="8">
        <v>2247</v>
      </c>
      <c r="T19" s="8">
        <v>2252</v>
      </c>
      <c r="U19" s="8">
        <v>2253</v>
      </c>
      <c r="V19" s="8">
        <v>2307</v>
      </c>
      <c r="W19" s="8">
        <v>2294</v>
      </c>
      <c r="X19" s="8">
        <v>2315</v>
      </c>
      <c r="Y19" s="8">
        <v>2173</v>
      </c>
      <c r="Z19" s="8">
        <v>2109</v>
      </c>
      <c r="AA19" s="8">
        <v>1871</v>
      </c>
      <c r="AB19" s="8">
        <v>1792</v>
      </c>
      <c r="AC19" s="8">
        <v>1649</v>
      </c>
      <c r="AD19" s="8">
        <v>1671</v>
      </c>
    </row>
    <row r="20" spans="1:30" s="8" customFormat="1" x14ac:dyDescent="0.25">
      <c r="A20" s="47" t="s">
        <v>71</v>
      </c>
      <c r="C20" s="8">
        <v>4232</v>
      </c>
      <c r="D20" s="8">
        <v>1984</v>
      </c>
      <c r="E20" s="8">
        <v>2001</v>
      </c>
      <c r="F20" s="8">
        <v>1956</v>
      </c>
      <c r="G20" s="8">
        <v>2525</v>
      </c>
      <c r="H20" s="8">
        <v>2665</v>
      </c>
      <c r="I20" s="8">
        <v>2406</v>
      </c>
      <c r="J20" s="8">
        <v>2570</v>
      </c>
      <c r="K20" s="8">
        <v>2761</v>
      </c>
      <c r="L20" s="8">
        <v>2796</v>
      </c>
      <c r="M20" s="8">
        <v>2851</v>
      </c>
      <c r="N20" s="8">
        <v>3282</v>
      </c>
      <c r="O20" s="8">
        <v>3752</v>
      </c>
      <c r="P20" s="8">
        <v>3948</v>
      </c>
      <c r="Q20" s="8">
        <v>4088</v>
      </c>
      <c r="R20" s="8">
        <v>4369</v>
      </c>
      <c r="S20" s="8">
        <v>3767</v>
      </c>
      <c r="T20" s="8">
        <v>3847</v>
      </c>
      <c r="U20" s="8">
        <v>3683</v>
      </c>
      <c r="V20" s="8">
        <v>3944</v>
      </c>
      <c r="W20" s="8">
        <v>4096</v>
      </c>
      <c r="X20" s="8">
        <v>4050</v>
      </c>
      <c r="Y20" s="8">
        <v>3418</v>
      </c>
      <c r="Z20" s="8">
        <v>3124</v>
      </c>
      <c r="AA20" s="8">
        <v>2529</v>
      </c>
      <c r="AB20" s="8">
        <v>1843</v>
      </c>
      <c r="AC20" s="8">
        <v>1657</v>
      </c>
      <c r="AD20" s="8">
        <v>1601</v>
      </c>
    </row>
    <row r="21" spans="1:30" s="8" customFormat="1" x14ac:dyDescent="0.25">
      <c r="A21" s="47" t="s">
        <v>72</v>
      </c>
      <c r="C21" s="8">
        <v>1626</v>
      </c>
      <c r="D21" s="8">
        <v>1296</v>
      </c>
      <c r="E21" s="8">
        <v>1373</v>
      </c>
      <c r="F21" s="8">
        <v>1352</v>
      </c>
      <c r="G21" s="8">
        <v>1782</v>
      </c>
      <c r="H21" s="8">
        <v>1869</v>
      </c>
      <c r="I21" s="8">
        <v>1809</v>
      </c>
      <c r="J21" s="8">
        <v>1910</v>
      </c>
      <c r="K21" s="8">
        <v>1876</v>
      </c>
      <c r="L21" s="8">
        <v>1807</v>
      </c>
      <c r="M21" s="8">
        <v>1729</v>
      </c>
      <c r="N21" s="8">
        <v>1911</v>
      </c>
      <c r="O21" s="8">
        <v>1808</v>
      </c>
      <c r="P21" s="8">
        <v>1934</v>
      </c>
      <c r="Q21" s="8">
        <v>1917</v>
      </c>
      <c r="R21" s="8">
        <v>2037</v>
      </c>
      <c r="S21" s="8">
        <v>1975</v>
      </c>
      <c r="T21" s="8">
        <v>1559</v>
      </c>
      <c r="U21" s="8">
        <v>1463</v>
      </c>
      <c r="V21" s="8">
        <v>1840</v>
      </c>
      <c r="W21" s="8">
        <v>1819</v>
      </c>
      <c r="X21" s="8">
        <v>1626</v>
      </c>
      <c r="Y21" s="8">
        <v>1405</v>
      </c>
      <c r="Z21" s="8">
        <v>1222</v>
      </c>
      <c r="AA21" s="8">
        <v>850</v>
      </c>
      <c r="AB21" s="8">
        <v>1384</v>
      </c>
      <c r="AC21" s="8">
        <v>1158</v>
      </c>
      <c r="AD21" s="8">
        <v>1075</v>
      </c>
    </row>
    <row r="22" spans="1:30" s="8" customFormat="1" x14ac:dyDescent="0.25">
      <c r="A22" s="47" t="s">
        <v>73</v>
      </c>
      <c r="C22" s="8">
        <v>383</v>
      </c>
      <c r="D22" s="8">
        <v>648</v>
      </c>
      <c r="E22" s="8">
        <v>600</v>
      </c>
      <c r="F22" s="8">
        <v>659</v>
      </c>
      <c r="G22" s="8">
        <v>747</v>
      </c>
      <c r="H22" s="8">
        <v>618</v>
      </c>
      <c r="I22" s="8">
        <v>602</v>
      </c>
      <c r="J22" s="8">
        <v>523</v>
      </c>
      <c r="K22" s="8">
        <v>456</v>
      </c>
      <c r="L22" s="8">
        <v>516</v>
      </c>
      <c r="M22" s="8">
        <v>428</v>
      </c>
      <c r="N22" s="8">
        <v>742</v>
      </c>
      <c r="O22" s="8">
        <v>671</v>
      </c>
      <c r="P22" s="8">
        <v>736</v>
      </c>
      <c r="Q22" s="8">
        <v>664</v>
      </c>
      <c r="R22" s="8">
        <v>811</v>
      </c>
      <c r="S22" s="8">
        <v>698</v>
      </c>
      <c r="T22" s="8">
        <v>668</v>
      </c>
      <c r="U22" s="8">
        <v>586</v>
      </c>
      <c r="V22" s="8">
        <v>887</v>
      </c>
      <c r="W22" s="8">
        <v>820</v>
      </c>
      <c r="X22" s="8">
        <v>772</v>
      </c>
      <c r="Y22" s="8">
        <v>649</v>
      </c>
      <c r="Z22" s="8">
        <v>629</v>
      </c>
      <c r="AA22" s="8">
        <v>446</v>
      </c>
      <c r="AB22" s="8">
        <v>388</v>
      </c>
      <c r="AC22" s="8">
        <v>310</v>
      </c>
      <c r="AD22" s="8">
        <v>284</v>
      </c>
    </row>
    <row r="23" spans="1:30" s="8" customFormat="1" x14ac:dyDescent="0.25">
      <c r="A23" s="47" t="s">
        <v>4</v>
      </c>
      <c r="C23" s="8">
        <v>68</v>
      </c>
      <c r="D23" s="8">
        <v>77</v>
      </c>
      <c r="E23" s="8">
        <v>71</v>
      </c>
      <c r="F23" s="8">
        <v>102</v>
      </c>
      <c r="G23" s="8">
        <v>143</v>
      </c>
      <c r="H23" s="8">
        <v>136</v>
      </c>
      <c r="I23" s="8">
        <v>111</v>
      </c>
      <c r="J23" s="8">
        <v>131</v>
      </c>
      <c r="K23" s="8">
        <v>91</v>
      </c>
      <c r="L23" s="8">
        <v>119</v>
      </c>
      <c r="M23" s="8">
        <v>97</v>
      </c>
      <c r="N23" s="8">
        <v>108</v>
      </c>
      <c r="O23" s="8">
        <v>90</v>
      </c>
      <c r="P23" s="8">
        <v>119</v>
      </c>
      <c r="Q23" s="8">
        <v>94</v>
      </c>
      <c r="R23" s="8">
        <v>114</v>
      </c>
      <c r="S23" s="8">
        <v>98</v>
      </c>
      <c r="T23" s="8">
        <v>153</v>
      </c>
      <c r="U23" s="8">
        <v>152</v>
      </c>
      <c r="V23" s="8">
        <v>108</v>
      </c>
      <c r="W23" s="8">
        <v>97</v>
      </c>
      <c r="X23" s="8">
        <v>115</v>
      </c>
      <c r="Y23" s="8">
        <v>113</v>
      </c>
      <c r="Z23" s="8">
        <v>121</v>
      </c>
      <c r="AA23" s="8">
        <v>93</v>
      </c>
      <c r="AB23" s="8">
        <v>94</v>
      </c>
      <c r="AC23" s="8">
        <v>79</v>
      </c>
      <c r="AD23" s="8">
        <v>73</v>
      </c>
    </row>
    <row r="24" spans="1:30" s="8" customFormat="1" x14ac:dyDescent="0.25">
      <c r="A24" s="47" t="s">
        <v>5</v>
      </c>
      <c r="C24" s="8">
        <f t="shared" ref="C24:N24" si="1">SUM(C17:C23)</f>
        <v>15353</v>
      </c>
      <c r="D24" s="8">
        <f t="shared" si="1"/>
        <v>14145</v>
      </c>
      <c r="E24" s="8">
        <f t="shared" si="1"/>
        <v>14295</v>
      </c>
      <c r="F24" s="8">
        <f t="shared" si="1"/>
        <v>14441</v>
      </c>
      <c r="G24" s="8">
        <f t="shared" si="1"/>
        <v>17862</v>
      </c>
      <c r="H24" s="8">
        <f t="shared" si="1"/>
        <v>17587</v>
      </c>
      <c r="I24" s="8">
        <f t="shared" si="1"/>
        <v>17376</v>
      </c>
      <c r="J24" s="8">
        <f t="shared" si="1"/>
        <v>18044</v>
      </c>
      <c r="K24" s="8">
        <f t="shared" si="1"/>
        <v>18332</v>
      </c>
      <c r="L24" s="8">
        <f t="shared" si="1"/>
        <v>19097</v>
      </c>
      <c r="M24" s="8">
        <f t="shared" si="1"/>
        <v>19293</v>
      </c>
      <c r="N24" s="8">
        <f t="shared" si="1"/>
        <v>19949</v>
      </c>
      <c r="O24" s="8">
        <f t="shared" ref="O24:Z24" si="2">SUM(O17:O23)</f>
        <v>20383</v>
      </c>
      <c r="P24" s="8">
        <f t="shared" si="2"/>
        <v>20728</v>
      </c>
      <c r="Q24" s="8">
        <f t="shared" si="2"/>
        <v>20926</v>
      </c>
      <c r="R24" s="8">
        <f t="shared" si="2"/>
        <v>21178</v>
      </c>
      <c r="S24" s="8">
        <f t="shared" si="2"/>
        <v>20143</v>
      </c>
      <c r="T24" s="8">
        <f t="shared" si="2"/>
        <v>19953</v>
      </c>
      <c r="U24" s="8">
        <f t="shared" si="2"/>
        <v>19723</v>
      </c>
      <c r="V24" s="8">
        <f t="shared" si="2"/>
        <v>19640</v>
      </c>
      <c r="W24" s="8">
        <f t="shared" si="2"/>
        <v>19639</v>
      </c>
      <c r="X24" s="8">
        <f t="shared" si="2"/>
        <v>18850</v>
      </c>
      <c r="Y24" s="8">
        <f t="shared" si="2"/>
        <v>17541</v>
      </c>
      <c r="Z24" s="8">
        <f t="shared" si="2"/>
        <v>18601</v>
      </c>
      <c r="AA24" s="8">
        <f t="shared" ref="AA24:AD24" si="3">SUM(AA17:AA23)</f>
        <v>16944</v>
      </c>
      <c r="AB24" s="8">
        <f t="shared" si="3"/>
        <v>16459</v>
      </c>
      <c r="AC24" s="8">
        <f t="shared" si="3"/>
        <v>15394</v>
      </c>
      <c r="AD24" s="8">
        <f t="shared" si="3"/>
        <v>15193</v>
      </c>
    </row>
    <row r="25" spans="1:30" s="8" customFormat="1" x14ac:dyDescent="0.25">
      <c r="A25" s="25"/>
    </row>
    <row r="26" spans="1:30" s="8" customFormat="1" x14ac:dyDescent="0.25">
      <c r="A26" s="26" t="s">
        <v>9</v>
      </c>
      <c r="C26" s="8">
        <f>+C24</f>
        <v>15353</v>
      </c>
      <c r="D26" s="8">
        <f t="shared" ref="D26:Z26" si="4">+D24</f>
        <v>14145</v>
      </c>
      <c r="E26" s="8">
        <f t="shared" si="4"/>
        <v>14295</v>
      </c>
      <c r="F26" s="8">
        <f t="shared" si="4"/>
        <v>14441</v>
      </c>
      <c r="G26" s="8">
        <f t="shared" si="4"/>
        <v>17862</v>
      </c>
      <c r="H26" s="8">
        <f t="shared" si="4"/>
        <v>17587</v>
      </c>
      <c r="I26" s="8">
        <f t="shared" si="4"/>
        <v>17376</v>
      </c>
      <c r="J26" s="8">
        <f t="shared" si="4"/>
        <v>18044</v>
      </c>
      <c r="K26" s="8">
        <f t="shared" si="4"/>
        <v>18332</v>
      </c>
      <c r="L26" s="8">
        <f t="shared" si="4"/>
        <v>19097</v>
      </c>
      <c r="M26" s="8">
        <f t="shared" si="4"/>
        <v>19293</v>
      </c>
      <c r="N26" s="8">
        <f t="shared" si="4"/>
        <v>19949</v>
      </c>
      <c r="O26" s="8">
        <f t="shared" si="4"/>
        <v>20383</v>
      </c>
      <c r="P26" s="8">
        <f t="shared" si="4"/>
        <v>20728</v>
      </c>
      <c r="Q26" s="8">
        <f t="shared" si="4"/>
        <v>20926</v>
      </c>
      <c r="R26" s="8">
        <f t="shared" si="4"/>
        <v>21178</v>
      </c>
      <c r="S26" s="8">
        <f t="shared" si="4"/>
        <v>20143</v>
      </c>
      <c r="T26" s="8">
        <f t="shared" si="4"/>
        <v>19953</v>
      </c>
      <c r="U26" s="8">
        <f t="shared" si="4"/>
        <v>19723</v>
      </c>
      <c r="V26" s="8">
        <f t="shared" si="4"/>
        <v>19640</v>
      </c>
      <c r="W26" s="8">
        <f t="shared" si="4"/>
        <v>19639</v>
      </c>
      <c r="X26" s="8">
        <f t="shared" si="4"/>
        <v>18850</v>
      </c>
      <c r="Y26" s="8">
        <f t="shared" si="4"/>
        <v>17541</v>
      </c>
      <c r="Z26" s="8">
        <f t="shared" si="4"/>
        <v>18601</v>
      </c>
      <c r="AA26" s="8">
        <f t="shared" ref="AA26:AD26" si="5">+AA24</f>
        <v>16944</v>
      </c>
      <c r="AB26" s="8">
        <f t="shared" si="5"/>
        <v>16459</v>
      </c>
      <c r="AC26" s="8">
        <f t="shared" si="5"/>
        <v>15394</v>
      </c>
      <c r="AD26" s="8">
        <f t="shared" si="5"/>
        <v>15193</v>
      </c>
    </row>
    <row r="27" spans="1:30" s="8" customFormat="1" x14ac:dyDescent="0.25">
      <c r="A27" s="24" t="s">
        <v>67</v>
      </c>
      <c r="J27" s="8">
        <v>9587</v>
      </c>
      <c r="K27" s="8">
        <v>9586</v>
      </c>
      <c r="L27" s="8">
        <v>9679</v>
      </c>
      <c r="M27" s="8">
        <v>9569</v>
      </c>
      <c r="N27" s="8">
        <v>9950</v>
      </c>
      <c r="O27" s="8">
        <v>10059</v>
      </c>
      <c r="P27" s="8">
        <v>10227</v>
      </c>
      <c r="Q27" s="8">
        <v>10209</v>
      </c>
      <c r="R27" s="8">
        <v>10467</v>
      </c>
      <c r="S27" s="8">
        <v>10033</v>
      </c>
      <c r="T27" s="8">
        <v>10151</v>
      </c>
      <c r="U27" s="8">
        <v>9835</v>
      </c>
      <c r="V27" s="8">
        <v>9831</v>
      </c>
      <c r="W27" s="8">
        <v>9663</v>
      </c>
      <c r="X27" s="8">
        <v>9618</v>
      </c>
      <c r="Y27" s="8">
        <v>8749</v>
      </c>
      <c r="Z27" s="8">
        <v>8249</v>
      </c>
      <c r="AA27" s="8">
        <v>6675</v>
      </c>
      <c r="AB27" s="8">
        <v>6690</v>
      </c>
      <c r="AC27" s="8">
        <v>5892</v>
      </c>
      <c r="AD27" s="8">
        <v>6118</v>
      </c>
    </row>
    <row r="28" spans="1:30" s="8" customFormat="1" x14ac:dyDescent="0.25">
      <c r="A28" s="24" t="s">
        <v>27</v>
      </c>
      <c r="J28" s="8">
        <f t="shared" ref="J28:Z28" si="6">J7-J27</f>
        <v>8457</v>
      </c>
      <c r="K28" s="8">
        <f t="shared" si="6"/>
        <v>8746</v>
      </c>
      <c r="L28" s="8">
        <f t="shared" si="6"/>
        <v>9418</v>
      </c>
      <c r="M28" s="8">
        <f t="shared" si="6"/>
        <v>9724</v>
      </c>
      <c r="N28" s="8">
        <f t="shared" si="6"/>
        <v>9999</v>
      </c>
      <c r="O28" s="8">
        <f t="shared" si="6"/>
        <v>10324</v>
      </c>
      <c r="P28" s="8">
        <f t="shared" si="6"/>
        <v>10501</v>
      </c>
      <c r="Q28" s="8">
        <f t="shared" si="6"/>
        <v>10717</v>
      </c>
      <c r="R28" s="8">
        <f t="shared" si="6"/>
        <v>10711</v>
      </c>
      <c r="S28" s="8">
        <f t="shared" si="6"/>
        <v>10110</v>
      </c>
      <c r="T28" s="8">
        <f t="shared" si="6"/>
        <v>9802</v>
      </c>
      <c r="U28" s="8">
        <f t="shared" si="6"/>
        <v>9888</v>
      </c>
      <c r="V28" s="8">
        <f t="shared" si="6"/>
        <v>9809</v>
      </c>
      <c r="W28" s="8">
        <f t="shared" si="6"/>
        <v>9976</v>
      </c>
      <c r="X28" s="8">
        <f t="shared" si="6"/>
        <v>9232</v>
      </c>
      <c r="Y28" s="8">
        <f t="shared" si="6"/>
        <v>8792</v>
      </c>
      <c r="Z28" s="8">
        <f t="shared" si="6"/>
        <v>10352</v>
      </c>
      <c r="AA28" s="8">
        <f t="shared" ref="AA28:AD28" si="7">AA7-AA27</f>
        <v>10269</v>
      </c>
      <c r="AB28" s="8">
        <f t="shared" si="7"/>
        <v>9769</v>
      </c>
      <c r="AC28" s="8">
        <f t="shared" si="7"/>
        <v>9502</v>
      </c>
      <c r="AD28" s="8">
        <f t="shared" si="7"/>
        <v>9075</v>
      </c>
    </row>
    <row r="29" spans="1:30" s="8" customFormat="1" x14ac:dyDescent="0.25">
      <c r="A29" s="12" t="s">
        <v>62</v>
      </c>
      <c r="J29" s="14">
        <f t="shared" ref="J29:Z29" si="8">+J27/J24</f>
        <v>0.53131234759476831</v>
      </c>
      <c r="K29" s="14">
        <f t="shared" si="8"/>
        <v>0.52291075714597424</v>
      </c>
      <c r="L29" s="14">
        <f t="shared" si="8"/>
        <v>0.50683353406294185</v>
      </c>
      <c r="M29" s="14">
        <f t="shared" si="8"/>
        <v>0.49598299901518683</v>
      </c>
      <c r="N29" s="14">
        <f t="shared" si="8"/>
        <v>0.49877186826407338</v>
      </c>
      <c r="O29" s="14">
        <f t="shared" si="8"/>
        <v>0.49349948486483836</v>
      </c>
      <c r="P29" s="14">
        <f t="shared" si="8"/>
        <v>0.49339058278656889</v>
      </c>
      <c r="Q29" s="14">
        <f t="shared" si="8"/>
        <v>0.48786198986906243</v>
      </c>
      <c r="R29" s="14">
        <f t="shared" si="8"/>
        <v>0.49423930493908774</v>
      </c>
      <c r="S29" s="14">
        <f t="shared" si="8"/>
        <v>0.49808866603782953</v>
      </c>
      <c r="T29" s="14">
        <f t="shared" si="8"/>
        <v>0.5087455520473112</v>
      </c>
      <c r="U29" s="14">
        <f t="shared" si="8"/>
        <v>0.49865639101556558</v>
      </c>
      <c r="V29" s="14">
        <f t="shared" si="8"/>
        <v>0.50056008146639508</v>
      </c>
      <c r="W29" s="14">
        <f t="shared" si="8"/>
        <v>0.49203116248281481</v>
      </c>
      <c r="X29" s="14">
        <f t="shared" si="8"/>
        <v>0.5102387267904509</v>
      </c>
      <c r="Y29" s="14">
        <f t="shared" si="8"/>
        <v>0.49877430021093438</v>
      </c>
      <c r="Z29" s="14">
        <f t="shared" si="8"/>
        <v>0.44347078114079891</v>
      </c>
      <c r="AA29" s="14">
        <f t="shared" ref="AA29:AD29" si="9">+AA27/AA24</f>
        <v>0.39394475920679889</v>
      </c>
      <c r="AB29" s="14">
        <f t="shared" si="9"/>
        <v>0.40646454827146244</v>
      </c>
      <c r="AC29" s="14">
        <f t="shared" si="9"/>
        <v>0.38274652461998182</v>
      </c>
      <c r="AD29" s="14">
        <f t="shared" si="9"/>
        <v>0.40268544724544197</v>
      </c>
    </row>
    <row r="30" spans="1:30" s="8" customFormat="1" x14ac:dyDescent="0.25">
      <c r="A30" s="12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x14ac:dyDescent="0.25">
      <c r="A31" s="9" t="s">
        <v>11</v>
      </c>
      <c r="B31" s="13"/>
      <c r="C31" s="13">
        <f>C23/C24</f>
        <v>4.429101804207647E-3</v>
      </c>
      <c r="D31" s="13">
        <f t="shared" ref="D31:P31" si="10">D23/D24</f>
        <v>5.4436196535878403E-3</v>
      </c>
      <c r="E31" s="13">
        <f t="shared" si="10"/>
        <v>4.9667715984610004E-3</v>
      </c>
      <c r="F31" s="13">
        <f t="shared" si="10"/>
        <v>7.0632227685063359E-3</v>
      </c>
      <c r="G31" s="13">
        <f t="shared" si="10"/>
        <v>8.0058224163027658E-3</v>
      </c>
      <c r="H31" s="13">
        <f t="shared" si="10"/>
        <v>7.7329845908909994E-3</v>
      </c>
      <c r="I31" s="13">
        <f t="shared" si="10"/>
        <v>6.3881215469613261E-3</v>
      </c>
      <c r="J31" s="13">
        <f t="shared" si="10"/>
        <v>7.2600310352471734E-3</v>
      </c>
      <c r="K31" s="13">
        <f t="shared" si="10"/>
        <v>4.9639973816277549E-3</v>
      </c>
      <c r="L31" s="13">
        <f t="shared" si="10"/>
        <v>6.2313452374718539E-3</v>
      </c>
      <c r="M31" s="13">
        <f t="shared" si="10"/>
        <v>5.0277302648629035E-3</v>
      </c>
      <c r="N31" s="13">
        <f t="shared" si="10"/>
        <v>5.4138052032683343E-3</v>
      </c>
      <c r="O31" s="13">
        <f t="shared" si="10"/>
        <v>4.4154442427513122E-3</v>
      </c>
      <c r="P31" s="13">
        <f t="shared" si="10"/>
        <v>5.741026630644539E-3</v>
      </c>
      <c r="Q31" s="13">
        <f>Q23/Q24</f>
        <v>4.492019497276116E-3</v>
      </c>
      <c r="R31" s="13">
        <f>R23/R24</f>
        <v>5.3829445651147421E-3</v>
      </c>
      <c r="S31" s="13">
        <f>S23/S24</f>
        <v>4.8652137218884971E-3</v>
      </c>
      <c r="T31" s="13">
        <f>T23/T24</f>
        <v>7.6680198466396029E-3</v>
      </c>
      <c r="U31" s="13">
        <f t="shared" ref="U31:X31" si="11">U23/U24</f>
        <v>7.7067383258125031E-3</v>
      </c>
      <c r="V31" s="13">
        <f t="shared" si="11"/>
        <v>5.4989816700610995E-3</v>
      </c>
      <c r="W31" s="13">
        <f t="shared" si="11"/>
        <v>4.9391516879678191E-3</v>
      </c>
      <c r="X31" s="13">
        <f t="shared" si="11"/>
        <v>6.10079575596817E-3</v>
      </c>
      <c r="Y31" s="13">
        <f t="shared" ref="Y31:Z31" si="12">Y23/Y24</f>
        <v>6.442050054158828E-3</v>
      </c>
      <c r="Z31" s="13">
        <f t="shared" si="12"/>
        <v>6.5050266114725017E-3</v>
      </c>
      <c r="AA31" s="13">
        <f t="shared" ref="AA31:AD31" si="13">AA23/AA24</f>
        <v>5.4886685552407929E-3</v>
      </c>
      <c r="AB31" s="13">
        <f t="shared" si="13"/>
        <v>5.7111610668934927E-3</v>
      </c>
      <c r="AC31" s="13">
        <f t="shared" si="13"/>
        <v>5.1318695595686629E-3</v>
      </c>
      <c r="AD31" s="13">
        <f t="shared" si="13"/>
        <v>4.8048443362074637E-3</v>
      </c>
    </row>
    <row r="32" spans="1:30" s="8" customFormat="1" x14ac:dyDescent="0.25">
      <c r="A32" s="4" t="s">
        <v>14</v>
      </c>
      <c r="C32" s="13"/>
      <c r="D32" s="13">
        <f t="shared" ref="D32:Z32" si="14">(D10+D11)/D24</f>
        <v>4.7366560622127962E-3</v>
      </c>
      <c r="E32" s="13">
        <f t="shared" si="14"/>
        <v>4.267226302903113E-3</v>
      </c>
      <c r="F32" s="13">
        <f t="shared" si="14"/>
        <v>5.8860189737552802E-3</v>
      </c>
      <c r="G32" s="13">
        <f t="shared" si="14"/>
        <v>5.822416302765648E-3</v>
      </c>
      <c r="H32" s="13">
        <f t="shared" si="14"/>
        <v>6.0840393472451244E-3</v>
      </c>
      <c r="I32" s="13">
        <f t="shared" si="14"/>
        <v>5.2946593001841624E-3</v>
      </c>
      <c r="J32" s="13">
        <f t="shared" si="14"/>
        <v>6.0962092662380845E-3</v>
      </c>
      <c r="K32" s="13">
        <f t="shared" si="14"/>
        <v>4.5276020074187214E-3</v>
      </c>
      <c r="L32" s="13">
        <f t="shared" si="14"/>
        <v>5.445881552076242E-3</v>
      </c>
      <c r="M32" s="13">
        <f t="shared" si="14"/>
        <v>5.7015497848960763E-3</v>
      </c>
      <c r="N32" s="13">
        <f t="shared" si="14"/>
        <v>4.6618878139255103E-3</v>
      </c>
      <c r="O32" s="13">
        <f t="shared" si="14"/>
        <v>3.826718343717804E-3</v>
      </c>
      <c r="P32" s="13">
        <f t="shared" si="14"/>
        <v>5.0173678116557313E-3</v>
      </c>
      <c r="Q32" s="13">
        <f t="shared" si="14"/>
        <v>3.6796329924495843E-3</v>
      </c>
      <c r="R32" s="13">
        <f t="shared" si="14"/>
        <v>4.4857871375956178E-3</v>
      </c>
      <c r="S32" s="13">
        <f t="shared" si="14"/>
        <v>4.1205381522116868E-3</v>
      </c>
      <c r="T32" s="13">
        <f t="shared" si="14"/>
        <v>6.1644865433769357E-3</v>
      </c>
      <c r="U32" s="13">
        <f t="shared" si="14"/>
        <v>5.4758403893930942E-3</v>
      </c>
      <c r="V32" s="13">
        <f t="shared" si="14"/>
        <v>4.837067209775967E-3</v>
      </c>
      <c r="W32" s="13">
        <f t="shared" si="14"/>
        <v>4.429960792301034E-3</v>
      </c>
      <c r="X32" s="13">
        <f t="shared" si="14"/>
        <v>5.3580901856763929E-3</v>
      </c>
      <c r="Y32" s="13">
        <f t="shared" si="14"/>
        <v>6.8981243942762673E-3</v>
      </c>
      <c r="Z32" s="13">
        <f t="shared" si="14"/>
        <v>6.6125477124885758E-3</v>
      </c>
      <c r="AA32" s="13">
        <f t="shared" ref="AA32:AD32" si="15">(AA10+AA11)/AA24</f>
        <v>4.8984891406987727E-3</v>
      </c>
      <c r="AB32" s="13">
        <f t="shared" si="15"/>
        <v>4.9820766753751744E-3</v>
      </c>
      <c r="AC32" s="13">
        <f t="shared" si="15"/>
        <v>4.2224243211640899E-3</v>
      </c>
      <c r="AD32" s="13">
        <f t="shared" si="15"/>
        <v>3.8833673402224708E-3</v>
      </c>
    </row>
    <row r="33" spans="1:31" s="8" customFormat="1" x14ac:dyDescent="0.25">
      <c r="A33" s="12" t="s">
        <v>33</v>
      </c>
      <c r="C33" s="13">
        <f t="shared" ref="C33:Z33" si="16">(C12+B12)/C24</f>
        <v>1.2049762261447274E-2</v>
      </c>
      <c r="D33" s="13">
        <f t="shared" si="16"/>
        <v>1.4174620007069635E-2</v>
      </c>
      <c r="E33" s="13">
        <f t="shared" si="16"/>
        <v>1.5739769150052464E-2</v>
      </c>
      <c r="F33" s="13">
        <f t="shared" si="16"/>
        <v>1.5926874870161346E-2</v>
      </c>
      <c r="G33" s="13">
        <f t="shared" si="16"/>
        <v>1.813906617400067E-2</v>
      </c>
      <c r="H33" s="13">
        <f t="shared" si="16"/>
        <v>2.0526525274350373E-2</v>
      </c>
      <c r="I33" s="13">
        <f t="shared" si="16"/>
        <v>1.8761510128913444E-2</v>
      </c>
      <c r="J33" s="13">
        <f t="shared" si="16"/>
        <v>1.8233207714475726E-2</v>
      </c>
      <c r="K33" s="13">
        <f t="shared" si="16"/>
        <v>1.7346716124809078E-2</v>
      </c>
      <c r="L33" s="13">
        <f t="shared" si="16"/>
        <v>1.5499816725140074E-2</v>
      </c>
      <c r="M33" s="13">
        <f t="shared" si="16"/>
        <v>9.3298087389208518E-3</v>
      </c>
      <c r="N33" s="13">
        <f t="shared" si="16"/>
        <v>9.2736478018948312E-3</v>
      </c>
      <c r="O33" s="13">
        <f t="shared" si="16"/>
        <v>1.41294215768042E-2</v>
      </c>
      <c r="P33" s="13">
        <f t="shared" si="16"/>
        <v>1.3556541875723659E-2</v>
      </c>
      <c r="Q33" s="13">
        <f t="shared" si="16"/>
        <v>1.3667208257669884E-2</v>
      </c>
      <c r="R33" s="13">
        <f t="shared" si="16"/>
        <v>1.4354518840305978E-2</v>
      </c>
      <c r="S33" s="13">
        <f t="shared" si="16"/>
        <v>1.5092091545450033E-2</v>
      </c>
      <c r="T33" s="13">
        <f t="shared" si="16"/>
        <v>1.5336039693279206E-2</v>
      </c>
      <c r="U33" s="13">
        <f t="shared" si="16"/>
        <v>1.5109263296658723E-2</v>
      </c>
      <c r="V33" s="13">
        <f t="shared" si="16"/>
        <v>1.4409368635437882E-2</v>
      </c>
      <c r="W33" s="13">
        <f t="shared" si="16"/>
        <v>1.3900911451703243E-2</v>
      </c>
      <c r="X33" s="13">
        <f t="shared" si="16"/>
        <v>1.5331564986737401E-2</v>
      </c>
      <c r="Y33" s="13">
        <f t="shared" si="16"/>
        <v>1.9383159454991163E-2</v>
      </c>
      <c r="Z33" s="13">
        <f t="shared" si="16"/>
        <v>1.903123487984517E-2</v>
      </c>
      <c r="AA33" s="13">
        <f t="shared" ref="AA33" si="17">(AA12+Z12)/AA24</f>
        <v>1.9593956562795091E-2</v>
      </c>
      <c r="AB33" s="13">
        <f t="shared" ref="AB33" si="18">(AB12+AA12)/AB24</f>
        <v>1.4520930797739839E-2</v>
      </c>
      <c r="AC33" s="13">
        <f t="shared" ref="AC33" si="19">(AC12+AB12)/AC24</f>
        <v>8.8346108873587105E-3</v>
      </c>
      <c r="AD33" s="13">
        <f t="shared" ref="AD33" si="20">(AD12+AC12)/AD24</f>
        <v>7.5692753241624429E-3</v>
      </c>
    </row>
    <row r="34" spans="1:31" s="8" customFormat="1" x14ac:dyDescent="0.25">
      <c r="A34" s="10" t="s">
        <v>30</v>
      </c>
      <c r="C34" s="13">
        <f>C3/C7</f>
        <v>0.27356217025988405</v>
      </c>
      <c r="D34" s="13">
        <f t="shared" ref="D34:S34" si="21">D3/D7</f>
        <v>0.33404029692470838</v>
      </c>
      <c r="E34" s="13">
        <f t="shared" si="21"/>
        <v>0.3287163343826513</v>
      </c>
      <c r="F34" s="13">
        <f t="shared" si="21"/>
        <v>0.34048888581123193</v>
      </c>
      <c r="G34" s="13">
        <f t="shared" si="21"/>
        <v>0.3411152166610682</v>
      </c>
      <c r="H34" s="13">
        <f t="shared" si="21"/>
        <v>0.31119576960254736</v>
      </c>
      <c r="I34" s="13">
        <f t="shared" si="21"/>
        <v>0.28107734806629836</v>
      </c>
      <c r="J34" s="13">
        <f t="shared" si="21"/>
        <v>0.29533362890711595</v>
      </c>
      <c r="K34" s="13">
        <f t="shared" si="21"/>
        <v>0.27476543748636262</v>
      </c>
      <c r="L34" s="13">
        <f t="shared" si="21"/>
        <v>0.27276535581504946</v>
      </c>
      <c r="M34" s="13">
        <f t="shared" si="21"/>
        <v>0.25242315865858084</v>
      </c>
      <c r="N34" s="13">
        <f t="shared" si="21"/>
        <v>0.31019098701689307</v>
      </c>
      <c r="O34" s="13">
        <f t="shared" si="21"/>
        <v>0.29774812343619683</v>
      </c>
      <c r="P34" s="13">
        <f t="shared" si="21"/>
        <v>0.31030490158240059</v>
      </c>
      <c r="Q34" s="13">
        <f t="shared" si="21"/>
        <v>0.29714231100066901</v>
      </c>
      <c r="R34" s="13">
        <f t="shared" si="21"/>
        <v>0.3124468788365285</v>
      </c>
      <c r="S34" s="13">
        <f t="shared" si="21"/>
        <v>0.29310430422479272</v>
      </c>
      <c r="T34" s="13">
        <f t="shared" ref="T34:X34" si="22">T3/T7</f>
        <v>0.30115772064351226</v>
      </c>
      <c r="U34" s="13">
        <f t="shared" si="22"/>
        <v>0.28722810931399889</v>
      </c>
      <c r="V34" s="13">
        <f t="shared" si="22"/>
        <v>0.33365580448065174</v>
      </c>
      <c r="W34" s="13">
        <f t="shared" si="22"/>
        <v>0.32145221243444166</v>
      </c>
      <c r="X34" s="13">
        <f t="shared" si="22"/>
        <v>0.31352785145888595</v>
      </c>
      <c r="Y34" s="13">
        <f t="shared" ref="Y34:Z34" si="23">Y3/Y7</f>
        <v>0.29012028960720598</v>
      </c>
      <c r="Z34" s="13">
        <f t="shared" si="23"/>
        <v>0.26003978280737594</v>
      </c>
      <c r="AA34" s="13">
        <f t="shared" ref="AA34:AD34" si="24">AA3/AA7</f>
        <v>0.25997403210576014</v>
      </c>
      <c r="AB34" s="13">
        <f t="shared" si="24"/>
        <v>0.25997934260890698</v>
      </c>
      <c r="AC34" s="13">
        <f t="shared" si="24"/>
        <v>0.2599064570611927</v>
      </c>
      <c r="AD34" s="13">
        <f t="shared" si="24"/>
        <v>0.26005397222405052</v>
      </c>
    </row>
    <row r="36" spans="1:31" x14ac:dyDescent="0.25">
      <c r="A36" s="9" t="s">
        <v>44</v>
      </c>
      <c r="R36" s="41">
        <v>0.56999999999999995</v>
      </c>
      <c r="S36" s="41">
        <v>0.56999999999999995</v>
      </c>
      <c r="T36" s="41">
        <v>0.56999999999999995</v>
      </c>
      <c r="U36" s="41">
        <v>0.55000000000000004</v>
      </c>
      <c r="V36" s="41">
        <v>0.65</v>
      </c>
      <c r="W36" s="41">
        <v>0.63</v>
      </c>
      <c r="X36" s="41">
        <v>0.62</v>
      </c>
      <c r="Y36" s="41"/>
      <c r="Z36" s="41"/>
    </row>
    <row r="37" spans="1:31" x14ac:dyDescent="0.25">
      <c r="A37" s="9" t="s">
        <v>45</v>
      </c>
      <c r="R37" s="41">
        <v>0.76</v>
      </c>
      <c r="S37" s="41">
        <v>0.76</v>
      </c>
      <c r="T37" s="41">
        <v>0.76</v>
      </c>
      <c r="U37" s="41">
        <v>0.75</v>
      </c>
      <c r="V37" s="41">
        <v>0.72</v>
      </c>
      <c r="W37" s="41">
        <v>0.72</v>
      </c>
      <c r="X37" s="41">
        <v>0.72</v>
      </c>
      <c r="Y37" s="41"/>
      <c r="Z37" s="41"/>
    </row>
    <row r="38" spans="1:31" x14ac:dyDescent="0.25">
      <c r="A38" s="9" t="s">
        <v>65</v>
      </c>
    </row>
    <row r="39" spans="1:31" x14ac:dyDescent="0.25">
      <c r="A39" s="9" t="s">
        <v>66</v>
      </c>
    </row>
    <row r="41" spans="1:31" x14ac:dyDescent="0.25">
      <c r="A41" s="2" t="s">
        <v>74</v>
      </c>
    </row>
    <row r="42" spans="1:31" x14ac:dyDescent="0.25">
      <c r="A42" s="47" t="s">
        <v>69</v>
      </c>
      <c r="X42" s="8">
        <v>1808</v>
      </c>
      <c r="Y42" s="8">
        <v>1808</v>
      </c>
      <c r="Z42" s="8">
        <v>1704</v>
      </c>
      <c r="AB42" s="33"/>
      <c r="AC42" s="33"/>
      <c r="AD42" s="14"/>
      <c r="AE42" s="14"/>
    </row>
    <row r="43" spans="1:31" x14ac:dyDescent="0.25">
      <c r="A43" s="47" t="s">
        <v>68</v>
      </c>
      <c r="X43" s="8">
        <v>1234</v>
      </c>
      <c r="Y43" s="8">
        <v>1206</v>
      </c>
      <c r="Z43" s="8">
        <v>1146</v>
      </c>
      <c r="AB43" s="33"/>
      <c r="AC43" s="33"/>
      <c r="AD43" s="14"/>
      <c r="AE43" s="14"/>
    </row>
    <row r="44" spans="1:31" x14ac:dyDescent="0.25">
      <c r="A44" s="47" t="s">
        <v>70</v>
      </c>
      <c r="X44" s="8">
        <v>1366</v>
      </c>
      <c r="Y44" s="8">
        <v>1315</v>
      </c>
      <c r="Z44" s="8">
        <v>1260</v>
      </c>
      <c r="AB44" s="33"/>
      <c r="AC44" s="33"/>
      <c r="AD44" s="14"/>
      <c r="AE44" s="14"/>
    </row>
    <row r="45" spans="1:31" x14ac:dyDescent="0.25">
      <c r="A45" s="47" t="s">
        <v>71</v>
      </c>
      <c r="X45" s="8">
        <v>3037</v>
      </c>
      <c r="Y45" s="8">
        <v>2525</v>
      </c>
      <c r="Z45" s="8">
        <v>2350</v>
      </c>
      <c r="AB45" s="33"/>
      <c r="AC45" s="33"/>
      <c r="AD45" s="14"/>
      <c r="AE45" s="14"/>
    </row>
    <row r="46" spans="1:31" x14ac:dyDescent="0.25">
      <c r="A46" s="47" t="s">
        <v>72</v>
      </c>
      <c r="X46" s="8">
        <v>1341</v>
      </c>
      <c r="Y46" s="8">
        <v>1176</v>
      </c>
      <c r="Z46" s="8">
        <v>1060</v>
      </c>
      <c r="AB46" s="33"/>
      <c r="AC46" s="33"/>
      <c r="AD46" s="14"/>
      <c r="AE46" s="14"/>
    </row>
    <row r="47" spans="1:31" x14ac:dyDescent="0.25">
      <c r="A47" s="47" t="s">
        <v>73</v>
      </c>
      <c r="X47" s="8">
        <v>717</v>
      </c>
      <c r="Y47" s="8">
        <v>606</v>
      </c>
      <c r="Z47" s="8">
        <v>608</v>
      </c>
      <c r="AB47" s="33"/>
      <c r="AC47" s="33"/>
      <c r="AD47" s="14"/>
      <c r="AE47" s="14"/>
    </row>
    <row r="48" spans="1:31" x14ac:dyDescent="0.25">
      <c r="A48" s="47" t="s">
        <v>4</v>
      </c>
      <c r="X48" s="8">
        <v>115</v>
      </c>
      <c r="Y48" s="8">
        <v>113</v>
      </c>
      <c r="Z48" s="8">
        <v>121</v>
      </c>
      <c r="AB48" s="33"/>
      <c r="AC48" s="33"/>
      <c r="AD48" s="14"/>
      <c r="AE48" s="14"/>
    </row>
    <row r="49" spans="1:29" x14ac:dyDescent="0.25">
      <c r="A49" s="47" t="s">
        <v>5</v>
      </c>
      <c r="X49" s="33">
        <f t="shared" ref="X49:Y49" si="25">SUM(X42:X48)</f>
        <v>9618</v>
      </c>
      <c r="Y49" s="33">
        <f t="shared" si="25"/>
        <v>8749</v>
      </c>
      <c r="Z49" s="33">
        <f>SUM(Z42:Z48)</f>
        <v>8249</v>
      </c>
      <c r="AA49" s="33"/>
      <c r="AB49" s="33"/>
      <c r="AC49" s="33"/>
    </row>
    <row r="51" spans="1:29" x14ac:dyDescent="0.25">
      <c r="A51" s="4" t="s">
        <v>75</v>
      </c>
      <c r="X51" s="14">
        <f t="shared" ref="X51:Y51" si="26">+X42/X17</f>
        <v>0.28951160928742992</v>
      </c>
      <c r="Y51" s="14">
        <f t="shared" si="26"/>
        <v>0.28909497921330346</v>
      </c>
      <c r="Z51" s="14">
        <f t="shared" ref="Z51:Z58" si="27">+Z42/Z17</f>
        <v>0.21865776979340434</v>
      </c>
    </row>
    <row r="52" spans="1:29" x14ac:dyDescent="0.25">
      <c r="A52" s="47" t="s">
        <v>69</v>
      </c>
      <c r="X52" s="14">
        <f t="shared" ref="X52:Y58" si="28">+X43/X18</f>
        <v>0.33109739737053928</v>
      </c>
      <c r="Y52" s="14">
        <f t="shared" si="28"/>
        <v>0.34173986965145936</v>
      </c>
      <c r="Z52" s="14">
        <f t="shared" si="27"/>
        <v>0.31806827643630309</v>
      </c>
    </row>
    <row r="53" spans="1:29" x14ac:dyDescent="0.25">
      <c r="A53" s="47" t="s">
        <v>68</v>
      </c>
      <c r="X53" s="14">
        <f t="shared" si="28"/>
        <v>0.59006479481641472</v>
      </c>
      <c r="Y53" s="14">
        <f t="shared" si="28"/>
        <v>0.6051541647491947</v>
      </c>
      <c r="Z53" s="14">
        <f t="shared" si="27"/>
        <v>0.59743954480796591</v>
      </c>
    </row>
    <row r="54" spans="1:29" x14ac:dyDescent="0.25">
      <c r="A54" s="47" t="s">
        <v>70</v>
      </c>
      <c r="X54" s="14">
        <f t="shared" si="28"/>
        <v>0.74987654320987651</v>
      </c>
      <c r="Y54" s="14">
        <f t="shared" si="28"/>
        <v>0.73873610298420134</v>
      </c>
      <c r="Z54" s="14">
        <f t="shared" si="27"/>
        <v>0.75224071702944939</v>
      </c>
    </row>
    <row r="55" spans="1:29" x14ac:dyDescent="0.25">
      <c r="A55" s="47" t="s">
        <v>71</v>
      </c>
      <c r="X55" s="14">
        <f t="shared" si="28"/>
        <v>0.82472324723247237</v>
      </c>
      <c r="Y55" s="14">
        <f t="shared" si="28"/>
        <v>0.83701067615658364</v>
      </c>
      <c r="Z55" s="14">
        <f t="shared" si="27"/>
        <v>0.86743044189852703</v>
      </c>
    </row>
    <row r="56" spans="1:29" x14ac:dyDescent="0.25">
      <c r="A56" s="47" t="s">
        <v>72</v>
      </c>
      <c r="X56" s="14">
        <f t="shared" si="28"/>
        <v>0.92875647668393779</v>
      </c>
      <c r="Y56" s="14">
        <f t="shared" si="28"/>
        <v>0.9337442218798151</v>
      </c>
      <c r="Z56" s="14">
        <f t="shared" si="27"/>
        <v>0.96661367249602548</v>
      </c>
    </row>
    <row r="57" spans="1:29" x14ac:dyDescent="0.25">
      <c r="A57" s="47" t="s">
        <v>73</v>
      </c>
      <c r="X57" s="14">
        <f t="shared" si="28"/>
        <v>1</v>
      </c>
      <c r="Y57" s="14">
        <f t="shared" si="28"/>
        <v>1</v>
      </c>
      <c r="Z57" s="14">
        <f t="shared" si="27"/>
        <v>1</v>
      </c>
    </row>
    <row r="58" spans="1:29" x14ac:dyDescent="0.25">
      <c r="A58" s="47" t="s">
        <v>4</v>
      </c>
      <c r="X58" s="14">
        <f t="shared" si="28"/>
        <v>0.5102387267904509</v>
      </c>
      <c r="Y58" s="14">
        <f t="shared" si="28"/>
        <v>0.49877430021093438</v>
      </c>
      <c r="Z58" s="14">
        <f t="shared" si="27"/>
        <v>0.44347078114079891</v>
      </c>
    </row>
    <row r="59" spans="1:29" x14ac:dyDescent="0.25">
      <c r="A59" s="47" t="s">
        <v>5</v>
      </c>
    </row>
    <row r="61" spans="1:29" x14ac:dyDescent="0.25">
      <c r="A61" s="4" t="s">
        <v>82</v>
      </c>
    </row>
    <row r="62" spans="1:29" x14ac:dyDescent="0.25">
      <c r="A62" s="47" t="s">
        <v>67</v>
      </c>
      <c r="X62" s="33">
        <f>+X42</f>
        <v>1808</v>
      </c>
      <c r="Y62" s="33">
        <f t="shared" ref="Y62:Z62" si="29">+Y42</f>
        <v>1808</v>
      </c>
      <c r="Z62" s="33">
        <f t="shared" si="29"/>
        <v>1704</v>
      </c>
    </row>
    <row r="63" spans="1:29" x14ac:dyDescent="0.25">
      <c r="A63" s="47" t="s">
        <v>84</v>
      </c>
      <c r="X63" s="33">
        <f>+X17</f>
        <v>6245</v>
      </c>
      <c r="Y63" s="33">
        <f t="shared" ref="Y63:Z63" si="30">+Y17</f>
        <v>6254</v>
      </c>
      <c r="Z63" s="33">
        <f t="shared" si="30"/>
        <v>7793</v>
      </c>
    </row>
    <row r="64" spans="1:29" x14ac:dyDescent="0.25">
      <c r="A64" s="47" t="s">
        <v>75</v>
      </c>
      <c r="X64" s="14">
        <f t="shared" ref="X64:Y64" si="31">+X62/X63</f>
        <v>0.28951160928742992</v>
      </c>
      <c r="Y64" s="14">
        <f t="shared" si="31"/>
        <v>0.28909497921330346</v>
      </c>
      <c r="Z64" s="14">
        <f>+Z62/Z63</f>
        <v>0.21865776979340434</v>
      </c>
    </row>
    <row r="65" spans="1:26" x14ac:dyDescent="0.25">
      <c r="A65" s="47" t="s">
        <v>85</v>
      </c>
      <c r="X65" s="14">
        <f t="shared" ref="X65:Y65" si="32">+X62/X$49</f>
        <v>0.18798086920357662</v>
      </c>
      <c r="Y65" s="14">
        <f t="shared" si="32"/>
        <v>0.2066521888215796</v>
      </c>
      <c r="Z65" s="14">
        <f>+Z62/Z$49</f>
        <v>0.20657049339313857</v>
      </c>
    </row>
    <row r="66" spans="1:26" x14ac:dyDescent="0.25">
      <c r="A66" s="47" t="s">
        <v>86</v>
      </c>
      <c r="X66" s="14">
        <f t="shared" ref="X66:Y66" si="33">+X63/X$24</f>
        <v>0.33129973474801061</v>
      </c>
      <c r="Y66" s="14">
        <f t="shared" si="33"/>
        <v>0.35653611538680807</v>
      </c>
      <c r="Z66" s="14">
        <f>+Z63/Z$24</f>
        <v>0.41895597010913393</v>
      </c>
    </row>
    <row r="67" spans="1:26" x14ac:dyDescent="0.25">
      <c r="A67" s="4" t="s">
        <v>83</v>
      </c>
    </row>
    <row r="68" spans="1:26" x14ac:dyDescent="0.25">
      <c r="A68" s="47" t="s">
        <v>67</v>
      </c>
      <c r="X68" s="33">
        <f>+X43+X44+X45+X46+X47+X48</f>
        <v>7810</v>
      </c>
      <c r="Y68" s="33">
        <f t="shared" ref="Y68:Z68" si="34">+Y43+Y44+Y45+Y46+Y47+Y48</f>
        <v>6941</v>
      </c>
      <c r="Z68" s="33">
        <f t="shared" si="34"/>
        <v>6545</v>
      </c>
    </row>
    <row r="69" spans="1:26" x14ac:dyDescent="0.25">
      <c r="A69" s="47" t="s">
        <v>84</v>
      </c>
      <c r="X69" s="33">
        <f>+X18+X19+X20+X21+X22+X23</f>
        <v>12605</v>
      </c>
      <c r="Y69" s="33">
        <f t="shared" ref="Y69:Z69" si="35">+Y18+Y19+Y20+Y21+Y22+Y23</f>
        <v>11287</v>
      </c>
      <c r="Z69" s="33">
        <f t="shared" si="35"/>
        <v>10808</v>
      </c>
    </row>
    <row r="70" spans="1:26" x14ac:dyDescent="0.25">
      <c r="A70" s="47" t="s">
        <v>75</v>
      </c>
      <c r="X70" s="14">
        <f t="shared" ref="X70:Y70" si="36">+X68/X69</f>
        <v>0.61959539865132884</v>
      </c>
      <c r="Y70" s="14">
        <f t="shared" si="36"/>
        <v>0.61495525826171704</v>
      </c>
      <c r="Z70" s="14">
        <f>+Z68/Z69</f>
        <v>0.60556994818652854</v>
      </c>
    </row>
    <row r="71" spans="1:26" x14ac:dyDescent="0.25">
      <c r="A71" s="47" t="s">
        <v>85</v>
      </c>
      <c r="X71" s="14">
        <f t="shared" ref="X71:Y71" si="37">+X68/X$49</f>
        <v>0.81201913079642341</v>
      </c>
      <c r="Y71" s="14">
        <f t="shared" si="37"/>
        <v>0.79334781117842035</v>
      </c>
      <c r="Z71" s="14">
        <f>+Z68/Z$49</f>
        <v>0.7934295066068614</v>
      </c>
    </row>
    <row r="72" spans="1:26" x14ac:dyDescent="0.25">
      <c r="A72" s="47" t="s">
        <v>86</v>
      </c>
      <c r="X72" s="14">
        <f t="shared" ref="X72:Y72" si="38">+X69/X$24</f>
        <v>0.66870026525198945</v>
      </c>
      <c r="Y72" s="14">
        <f t="shared" si="38"/>
        <v>0.64346388461319193</v>
      </c>
      <c r="Z72" s="14">
        <f>+Z69/Z$24</f>
        <v>0.58104402989086612</v>
      </c>
    </row>
  </sheetData>
  <printOptions gridLines="1"/>
  <pageMargins left="0" right="0" top="0.59055118110236227" bottom="0" header="0.19685039370078741" footer="0"/>
  <pageSetup paperSize="9" scale="67" orientation="landscape" r:id="rId1"/>
  <headerFooter>
    <oddHeader>&amp;C&amp;"-,Bold"&amp;12 QRR APS330 for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5AAB-A5B6-4E83-8D9A-B936B9C99406}">
  <sheetPr>
    <tabColor rgb="FF00B050"/>
  </sheetPr>
  <dimension ref="A1:BN13"/>
  <sheetViews>
    <sheetView workbookViewId="0">
      <selection activeCell="BN17" sqref="BN17"/>
    </sheetView>
  </sheetViews>
  <sheetFormatPr defaultRowHeight="15" x14ac:dyDescent="0.25"/>
  <cols>
    <col min="1" max="1" width="46.28515625" bestFit="1" customWidth="1"/>
    <col min="3" max="66" width="10.5703125" bestFit="1" customWidth="1"/>
  </cols>
  <sheetData>
    <row r="1" spans="1:66" x14ac:dyDescent="0.25">
      <c r="A1" s="43" t="s">
        <v>43</v>
      </c>
      <c r="C1" s="44">
        <v>201501</v>
      </c>
      <c r="D1" s="44">
        <v>201502</v>
      </c>
      <c r="E1" s="44">
        <v>201503</v>
      </c>
      <c r="F1" s="44">
        <v>201504</v>
      </c>
      <c r="G1" s="44">
        <v>201505</v>
      </c>
      <c r="H1" s="44">
        <v>201506</v>
      </c>
      <c r="I1" s="44">
        <v>201507</v>
      </c>
      <c r="J1" s="44">
        <v>201508</v>
      </c>
      <c r="K1" s="44">
        <v>201509</v>
      </c>
      <c r="L1" s="44">
        <v>201510</v>
      </c>
      <c r="M1" s="44">
        <v>201511</v>
      </c>
      <c r="N1" s="44">
        <v>201512</v>
      </c>
      <c r="O1" s="44">
        <v>201601</v>
      </c>
      <c r="P1" s="44">
        <v>201602</v>
      </c>
      <c r="Q1" s="44">
        <v>201603</v>
      </c>
      <c r="R1" s="44">
        <v>201604</v>
      </c>
      <c r="S1" s="44">
        <v>201605</v>
      </c>
      <c r="T1" s="44">
        <v>201606</v>
      </c>
      <c r="U1" s="44">
        <v>201607</v>
      </c>
      <c r="V1" s="44">
        <v>201608</v>
      </c>
      <c r="W1" s="44">
        <v>201609</v>
      </c>
      <c r="X1" s="44">
        <v>201610</v>
      </c>
      <c r="Y1" s="44">
        <v>201611</v>
      </c>
      <c r="Z1" s="44">
        <v>201612</v>
      </c>
      <c r="AA1" s="44">
        <v>201701</v>
      </c>
      <c r="AB1" s="44">
        <v>201702</v>
      </c>
      <c r="AC1" s="44">
        <v>201703</v>
      </c>
      <c r="AD1" s="44">
        <v>201704</v>
      </c>
      <c r="AE1" s="44">
        <v>201705</v>
      </c>
      <c r="AF1" s="44">
        <v>201706</v>
      </c>
      <c r="AG1" s="44">
        <v>201707</v>
      </c>
      <c r="AH1" s="44">
        <v>201708</v>
      </c>
      <c r="AI1" s="44">
        <v>201709</v>
      </c>
      <c r="AJ1" s="44">
        <v>201710</v>
      </c>
      <c r="AK1" s="44">
        <v>201711</v>
      </c>
      <c r="AL1" s="44">
        <v>201712</v>
      </c>
      <c r="AM1" s="44">
        <v>201801</v>
      </c>
      <c r="AN1" s="44">
        <v>201802</v>
      </c>
      <c r="AO1" s="44">
        <v>201803</v>
      </c>
      <c r="AP1" s="44">
        <v>201804</v>
      </c>
      <c r="AQ1" s="44">
        <v>201805</v>
      </c>
      <c r="AR1" s="44">
        <v>201806</v>
      </c>
      <c r="AS1" s="44">
        <v>201807</v>
      </c>
      <c r="AT1" s="44">
        <v>201808</v>
      </c>
      <c r="AU1" s="44">
        <v>201809</v>
      </c>
      <c r="AV1" s="44">
        <v>201810</v>
      </c>
      <c r="AW1" s="44">
        <v>201811</v>
      </c>
      <c r="AX1" s="44">
        <v>201812</v>
      </c>
      <c r="AY1" s="44">
        <v>201901</v>
      </c>
      <c r="AZ1" s="44">
        <v>201902</v>
      </c>
      <c r="BA1" s="44">
        <v>201903</v>
      </c>
      <c r="BB1" s="44">
        <v>201904</v>
      </c>
      <c r="BC1" s="44">
        <v>201905</v>
      </c>
      <c r="BD1" s="44">
        <v>201906</v>
      </c>
      <c r="BE1" s="44">
        <v>201907</v>
      </c>
      <c r="BF1" s="44">
        <v>201908</v>
      </c>
      <c r="BG1" s="44">
        <v>201909</v>
      </c>
      <c r="BH1" s="44">
        <v>201910</v>
      </c>
      <c r="BI1" s="44">
        <v>201911</v>
      </c>
      <c r="BJ1" s="44">
        <v>201912</v>
      </c>
      <c r="BK1" s="44">
        <v>202001</v>
      </c>
      <c r="BL1" s="44">
        <v>202002</v>
      </c>
      <c r="BM1" s="44">
        <v>202003</v>
      </c>
      <c r="BN1" s="44">
        <v>202004</v>
      </c>
    </row>
    <row r="2" spans="1:66" x14ac:dyDescent="0.25">
      <c r="C2" s="45">
        <v>42005</v>
      </c>
      <c r="D2" s="45">
        <v>42036</v>
      </c>
      <c r="E2" s="45">
        <v>42064</v>
      </c>
      <c r="F2" s="45">
        <v>42095</v>
      </c>
      <c r="G2" s="45">
        <v>42125</v>
      </c>
      <c r="H2" s="45">
        <v>42156</v>
      </c>
      <c r="I2" s="45">
        <v>42186</v>
      </c>
      <c r="J2" s="45">
        <v>42217</v>
      </c>
      <c r="K2" s="45">
        <v>42248</v>
      </c>
      <c r="L2" s="45">
        <v>42278</v>
      </c>
      <c r="M2" s="45">
        <v>42309</v>
      </c>
      <c r="N2" s="45">
        <v>42339</v>
      </c>
      <c r="O2" s="45">
        <v>42370</v>
      </c>
      <c r="P2" s="45">
        <v>42401</v>
      </c>
      <c r="Q2" s="45">
        <v>42430</v>
      </c>
      <c r="R2" s="45">
        <v>42461</v>
      </c>
      <c r="S2" s="45">
        <v>42491</v>
      </c>
      <c r="T2" s="45">
        <v>42522</v>
      </c>
      <c r="U2" s="45">
        <v>42552</v>
      </c>
      <c r="V2" s="45">
        <v>42583</v>
      </c>
      <c r="W2" s="45">
        <v>42614</v>
      </c>
      <c r="X2" s="45">
        <v>42644</v>
      </c>
      <c r="Y2" s="45">
        <v>42675</v>
      </c>
      <c r="Z2" s="45">
        <v>42705</v>
      </c>
      <c r="AA2" s="45">
        <v>42736</v>
      </c>
      <c r="AB2" s="45">
        <v>42767</v>
      </c>
      <c r="AC2" s="45">
        <v>42795</v>
      </c>
      <c r="AD2" s="45">
        <v>42826</v>
      </c>
      <c r="AE2" s="45">
        <v>42856</v>
      </c>
      <c r="AF2" s="45">
        <v>42887</v>
      </c>
      <c r="AG2" s="45">
        <v>42917</v>
      </c>
      <c r="AH2" s="45">
        <v>42948</v>
      </c>
      <c r="AI2" s="45">
        <v>42979</v>
      </c>
      <c r="AJ2" s="45">
        <v>43009</v>
      </c>
      <c r="AK2" s="45">
        <v>43040</v>
      </c>
      <c r="AL2" s="45">
        <v>43070</v>
      </c>
      <c r="AM2" s="45">
        <v>43101</v>
      </c>
      <c r="AN2" s="45">
        <v>43132</v>
      </c>
      <c r="AO2" s="45">
        <v>43160</v>
      </c>
      <c r="AP2" s="45">
        <v>43191</v>
      </c>
      <c r="AQ2" s="45">
        <v>43221</v>
      </c>
      <c r="AR2" s="45">
        <v>43252</v>
      </c>
      <c r="AS2" s="45">
        <v>43282</v>
      </c>
      <c r="AT2" s="45">
        <v>43313</v>
      </c>
      <c r="AU2" s="45">
        <v>43344</v>
      </c>
      <c r="AV2" s="45">
        <v>43374</v>
      </c>
      <c r="AW2" s="45">
        <v>43405</v>
      </c>
      <c r="AX2" s="45">
        <v>43435</v>
      </c>
      <c r="AY2" s="45">
        <v>43466</v>
      </c>
      <c r="AZ2" s="45">
        <v>43497</v>
      </c>
      <c r="BA2" s="45">
        <v>43525</v>
      </c>
      <c r="BB2" s="45">
        <v>43556</v>
      </c>
      <c r="BC2" s="45">
        <v>43586</v>
      </c>
      <c r="BD2" s="45">
        <v>43617</v>
      </c>
      <c r="BE2" s="45">
        <v>43647</v>
      </c>
      <c r="BF2" s="45">
        <v>43678</v>
      </c>
      <c r="BG2" s="45">
        <v>43709</v>
      </c>
      <c r="BH2" s="45">
        <v>43739</v>
      </c>
      <c r="BI2" s="45">
        <v>43770</v>
      </c>
      <c r="BJ2" s="45">
        <v>43800</v>
      </c>
      <c r="BK2" s="45">
        <v>43831</v>
      </c>
      <c r="BL2" s="45">
        <v>43862</v>
      </c>
      <c r="BM2" s="45">
        <v>43891</v>
      </c>
      <c r="BN2" s="45">
        <v>43922</v>
      </c>
    </row>
    <row r="3" spans="1:66" s="8" customFormat="1" x14ac:dyDescent="0.25">
      <c r="A3" s="12" t="s">
        <v>37</v>
      </c>
      <c r="B3" s="8" t="s">
        <v>3</v>
      </c>
      <c r="C3" s="8">
        <v>11476.9</v>
      </c>
      <c r="D3" s="8">
        <v>11531.5</v>
      </c>
      <c r="E3" s="8">
        <v>11590</v>
      </c>
      <c r="F3" s="8">
        <v>11454.5</v>
      </c>
      <c r="G3" s="8">
        <v>11356.1</v>
      </c>
      <c r="H3" s="8">
        <v>11323.3</v>
      </c>
      <c r="I3" s="8">
        <v>11180</v>
      </c>
      <c r="J3" s="8">
        <v>11151.1</v>
      </c>
      <c r="K3" s="8">
        <v>11231.6</v>
      </c>
      <c r="L3" s="8">
        <v>11148.7</v>
      </c>
      <c r="M3" s="8">
        <v>11297.8</v>
      </c>
      <c r="N3" s="8">
        <v>11668</v>
      </c>
      <c r="O3" s="8">
        <v>11523.6</v>
      </c>
      <c r="P3" s="8">
        <v>11456.9</v>
      </c>
      <c r="Q3" s="8">
        <v>11579.2</v>
      </c>
      <c r="R3" s="8">
        <v>11468</v>
      </c>
      <c r="S3" s="8">
        <v>11400.3</v>
      </c>
      <c r="T3" s="8">
        <v>11481.5</v>
      </c>
      <c r="U3" s="8">
        <v>11265.3</v>
      </c>
      <c r="V3" s="8">
        <v>11152.6</v>
      </c>
      <c r="W3" s="8">
        <v>11260.4</v>
      </c>
      <c r="X3" s="8">
        <v>11243.7</v>
      </c>
      <c r="Y3" s="8">
        <v>11466.1</v>
      </c>
      <c r="Z3" s="8">
        <v>11673.4</v>
      </c>
      <c r="AA3" s="8">
        <v>11411.8</v>
      </c>
      <c r="AB3" s="8">
        <v>11527.7</v>
      </c>
      <c r="AC3" s="8">
        <v>11566.3</v>
      </c>
      <c r="AD3" s="8">
        <v>11380.5</v>
      </c>
      <c r="AE3" s="8">
        <v>11398.8</v>
      </c>
      <c r="AF3" s="8">
        <v>11430.1</v>
      </c>
      <c r="AG3" s="8">
        <v>11146.8</v>
      </c>
      <c r="AH3" s="8">
        <v>11184.9</v>
      </c>
      <c r="AI3" s="8">
        <v>11195.1</v>
      </c>
      <c r="AJ3" s="8">
        <v>11140.8</v>
      </c>
      <c r="AK3" s="8">
        <v>11326.3</v>
      </c>
      <c r="AL3" s="8">
        <v>11606.4</v>
      </c>
      <c r="AM3" s="8">
        <v>11383.9</v>
      </c>
      <c r="AN3" s="8">
        <v>11438.7</v>
      </c>
      <c r="AO3" s="8">
        <v>11402.3</v>
      </c>
      <c r="AP3" s="8">
        <v>11155.9</v>
      </c>
      <c r="AQ3" s="8">
        <v>11285.9</v>
      </c>
      <c r="AR3" s="8">
        <v>11229.1</v>
      </c>
      <c r="AS3" s="8">
        <v>10995.4</v>
      </c>
      <c r="AT3" s="8">
        <v>10894</v>
      </c>
      <c r="AU3" s="8">
        <v>10901.1</v>
      </c>
      <c r="AV3" s="8">
        <v>10843.5</v>
      </c>
      <c r="AW3" s="8">
        <v>10880.7</v>
      </c>
      <c r="AX3" s="8">
        <v>10813.9</v>
      </c>
      <c r="AY3" s="8">
        <v>10649.2</v>
      </c>
      <c r="AZ3" s="8">
        <v>10874.7</v>
      </c>
      <c r="BA3" s="8">
        <v>10710.2</v>
      </c>
      <c r="BB3" s="8">
        <v>10487</v>
      </c>
      <c r="BC3" s="8">
        <v>10419.1</v>
      </c>
      <c r="BD3" s="8">
        <v>10432.700000000001</v>
      </c>
      <c r="BE3" s="8">
        <v>10302.200000000001</v>
      </c>
      <c r="BF3" s="8">
        <v>10130.1</v>
      </c>
      <c r="BG3" s="8">
        <v>9946.5</v>
      </c>
      <c r="BH3" s="8">
        <v>9990.2000000000007</v>
      </c>
      <c r="BI3" s="8">
        <v>10099.799999999999</v>
      </c>
      <c r="BJ3" s="8">
        <v>10186.5</v>
      </c>
      <c r="BK3" s="8">
        <v>9945.7000000000007</v>
      </c>
      <c r="BL3" s="8">
        <v>10001.6</v>
      </c>
      <c r="BM3" s="8">
        <v>9726</v>
      </c>
      <c r="BN3" s="8">
        <v>8646.7999999999993</v>
      </c>
    </row>
    <row r="4" spans="1:66" s="8" customFormat="1" x14ac:dyDescent="0.25">
      <c r="A4" s="12" t="s">
        <v>39</v>
      </c>
      <c r="B4" s="8" t="s">
        <v>1</v>
      </c>
      <c r="C4" s="8">
        <v>9273.9</v>
      </c>
      <c r="D4" s="8">
        <v>9414.9</v>
      </c>
      <c r="E4" s="8">
        <v>9437.7000000000007</v>
      </c>
      <c r="F4" s="8">
        <v>9418.2999999999993</v>
      </c>
      <c r="G4" s="8">
        <v>9451</v>
      </c>
      <c r="H4" s="8">
        <v>9507.4</v>
      </c>
      <c r="I4" s="8">
        <v>9355.7999999999993</v>
      </c>
      <c r="J4" s="8">
        <v>9355.7000000000007</v>
      </c>
      <c r="K4" s="8">
        <v>9422.4</v>
      </c>
      <c r="L4" s="8">
        <v>9507.4</v>
      </c>
      <c r="M4" s="8">
        <v>9583.5</v>
      </c>
      <c r="N4" s="8">
        <v>9713.2999999999993</v>
      </c>
      <c r="O4" s="8">
        <v>9572.7000000000007</v>
      </c>
      <c r="P4" s="8">
        <v>9773.5</v>
      </c>
      <c r="Q4" s="8">
        <v>9696.9</v>
      </c>
      <c r="R4" s="8">
        <v>9707.6</v>
      </c>
      <c r="S4" s="8">
        <v>9734.7999999999993</v>
      </c>
      <c r="T4" s="8">
        <v>9809</v>
      </c>
      <c r="U4" s="8">
        <v>9622.1</v>
      </c>
      <c r="V4" s="8">
        <v>9655.9</v>
      </c>
      <c r="W4" s="8">
        <v>9668</v>
      </c>
      <c r="X4" s="8">
        <v>9698.6</v>
      </c>
      <c r="Y4" s="8">
        <v>9902.2000000000007</v>
      </c>
      <c r="Z4" s="8">
        <v>9950.2999999999993</v>
      </c>
      <c r="AA4" s="8">
        <v>9808.4</v>
      </c>
      <c r="AB4" s="8">
        <v>9982.5</v>
      </c>
      <c r="AC4" s="8">
        <v>9802.9</v>
      </c>
      <c r="AD4" s="8">
        <v>9769.7999999999993</v>
      </c>
      <c r="AE4" s="8">
        <v>9748.5</v>
      </c>
      <c r="AF4" s="8">
        <v>9733.4</v>
      </c>
      <c r="AG4" s="8">
        <v>9561.5</v>
      </c>
      <c r="AH4" s="8">
        <v>9505</v>
      </c>
      <c r="AI4" s="8">
        <v>9548.2000000000007</v>
      </c>
      <c r="AJ4" s="8">
        <v>9490.7999999999993</v>
      </c>
      <c r="AK4" s="8">
        <v>9605</v>
      </c>
      <c r="AL4" s="8">
        <v>9741.2999999999993</v>
      </c>
      <c r="AM4" s="8">
        <v>9562.9</v>
      </c>
      <c r="AN4" s="8">
        <v>9718.2000000000007</v>
      </c>
      <c r="AO4" s="8">
        <v>9544.1</v>
      </c>
      <c r="AP4" s="8">
        <v>9383</v>
      </c>
      <c r="AQ4" s="8">
        <v>9350.4</v>
      </c>
      <c r="AR4" s="8">
        <v>9395.9</v>
      </c>
      <c r="AS4" s="8">
        <v>9268.2999999999993</v>
      </c>
      <c r="AT4" s="8">
        <v>9265.7999999999993</v>
      </c>
      <c r="AU4" s="8">
        <v>9282.4</v>
      </c>
      <c r="AV4" s="8">
        <v>9264.4</v>
      </c>
      <c r="AW4" s="8">
        <v>9412.2000000000007</v>
      </c>
      <c r="AX4" s="8">
        <v>9473.6</v>
      </c>
      <c r="AY4" s="8">
        <v>9189</v>
      </c>
      <c r="AZ4" s="8">
        <v>9360.4</v>
      </c>
      <c r="BA4" s="8">
        <v>9186.7999999999993</v>
      </c>
      <c r="BB4" s="8">
        <v>9131.7999999999993</v>
      </c>
      <c r="BC4" s="8">
        <v>9043.1</v>
      </c>
      <c r="BD4" s="8">
        <v>9046.7000000000007</v>
      </c>
      <c r="BE4" s="8">
        <v>8850</v>
      </c>
      <c r="BF4" s="8">
        <v>8736.1</v>
      </c>
      <c r="BG4" s="8">
        <v>8682</v>
      </c>
      <c r="BH4" s="8">
        <v>8539.2000000000007</v>
      </c>
      <c r="BI4" s="8">
        <v>8608.5</v>
      </c>
      <c r="BJ4" s="8">
        <v>8608.5</v>
      </c>
      <c r="BK4" s="8">
        <v>8377.7000000000007</v>
      </c>
      <c r="BL4" s="8">
        <v>8447.2999999999993</v>
      </c>
      <c r="BM4" s="8">
        <v>8180.2</v>
      </c>
      <c r="BN4" s="8">
        <v>7355</v>
      </c>
    </row>
    <row r="5" spans="1:66" s="8" customFormat="1" x14ac:dyDescent="0.25">
      <c r="A5" s="12" t="s">
        <v>36</v>
      </c>
      <c r="B5" s="8" t="s">
        <v>2</v>
      </c>
      <c r="C5" s="8">
        <v>8277.9</v>
      </c>
      <c r="D5" s="8">
        <v>8392.1</v>
      </c>
      <c r="E5" s="8">
        <v>8368.5</v>
      </c>
      <c r="F5" s="8">
        <v>8349.9</v>
      </c>
      <c r="G5" s="8">
        <v>8263.2000000000007</v>
      </c>
      <c r="H5" s="8">
        <v>8281</v>
      </c>
      <c r="I5" s="8">
        <v>8164.8</v>
      </c>
      <c r="J5" s="8">
        <v>8154.5</v>
      </c>
      <c r="K5" s="8">
        <v>8158.3</v>
      </c>
      <c r="L5" s="8">
        <v>8104.5</v>
      </c>
      <c r="M5" s="8">
        <v>8204.7000000000007</v>
      </c>
      <c r="N5" s="8">
        <v>8280.7000000000007</v>
      </c>
      <c r="O5" s="8">
        <v>8084.5</v>
      </c>
      <c r="P5" s="8">
        <v>8187.7</v>
      </c>
      <c r="Q5" s="8">
        <v>8106.9</v>
      </c>
      <c r="R5" s="8">
        <v>8125.6</v>
      </c>
      <c r="S5" s="8">
        <v>8139.1</v>
      </c>
      <c r="T5" s="8">
        <v>8149.7</v>
      </c>
      <c r="U5" s="8">
        <v>8022.3</v>
      </c>
      <c r="V5" s="8">
        <v>8033.6</v>
      </c>
      <c r="W5" s="8">
        <v>8013.4</v>
      </c>
      <c r="X5" s="8">
        <v>7980.6</v>
      </c>
      <c r="Y5" s="8">
        <v>8105.3</v>
      </c>
      <c r="Z5" s="8">
        <v>8151.5</v>
      </c>
      <c r="AA5" s="8">
        <v>7986.2</v>
      </c>
      <c r="AB5" s="8">
        <v>8056.4</v>
      </c>
      <c r="AC5" s="8">
        <v>7968.6</v>
      </c>
      <c r="AD5" s="8">
        <v>7950</v>
      </c>
      <c r="AE5" s="8">
        <v>7950.7</v>
      </c>
      <c r="AF5" s="8">
        <v>7941.9</v>
      </c>
      <c r="AG5" s="8">
        <v>7805.6</v>
      </c>
      <c r="AH5" s="8">
        <v>7708.8</v>
      </c>
      <c r="AI5" s="8">
        <v>7713.4</v>
      </c>
      <c r="AJ5" s="8">
        <v>7680</v>
      </c>
      <c r="AK5" s="8">
        <v>7764.5</v>
      </c>
      <c r="AL5" s="8">
        <v>7858.9</v>
      </c>
      <c r="AM5" s="8">
        <v>7724</v>
      </c>
      <c r="AN5" s="8">
        <v>7820</v>
      </c>
      <c r="AO5" s="8">
        <v>7704.1</v>
      </c>
      <c r="AP5" s="8">
        <v>7649.1</v>
      </c>
      <c r="AQ5" s="8">
        <v>7617.7</v>
      </c>
      <c r="AR5" s="8">
        <v>7627.3</v>
      </c>
      <c r="AS5" s="8">
        <v>7491</v>
      </c>
      <c r="AT5" s="8">
        <v>7447.3</v>
      </c>
      <c r="AU5" s="8">
        <v>7405.7</v>
      </c>
      <c r="AV5" s="8">
        <v>7376</v>
      </c>
      <c r="AW5" s="8">
        <v>7424.7</v>
      </c>
      <c r="AX5" s="8">
        <v>7454.5</v>
      </c>
      <c r="AY5" s="8">
        <v>7260.1</v>
      </c>
      <c r="AZ5" s="8">
        <v>7325.3</v>
      </c>
      <c r="BA5" s="8">
        <v>7205.9</v>
      </c>
      <c r="BB5" s="8">
        <v>7189.3</v>
      </c>
      <c r="BC5" s="8">
        <v>7119.2</v>
      </c>
      <c r="BD5" s="8">
        <v>7097.9</v>
      </c>
      <c r="BE5" s="8">
        <v>6966.2</v>
      </c>
      <c r="BF5" s="8">
        <v>6882.7</v>
      </c>
      <c r="BG5" s="8">
        <v>6849.2</v>
      </c>
      <c r="BH5" s="8">
        <v>6805.7</v>
      </c>
      <c r="BI5" s="8">
        <v>6821.3</v>
      </c>
      <c r="BJ5" s="8">
        <v>6928.8</v>
      </c>
      <c r="BK5" s="8">
        <v>6718.7</v>
      </c>
      <c r="BL5" s="8">
        <v>6740.8</v>
      </c>
      <c r="BM5" s="8">
        <v>6562.3</v>
      </c>
      <c r="BN5" s="8">
        <v>5875.7</v>
      </c>
    </row>
    <row r="6" spans="1:66" s="8" customFormat="1" x14ac:dyDescent="0.25">
      <c r="A6" s="12" t="s">
        <v>38</v>
      </c>
      <c r="B6" s="8" t="s">
        <v>0</v>
      </c>
      <c r="C6" s="8">
        <v>5556.2</v>
      </c>
      <c r="D6" s="8">
        <v>5608.5</v>
      </c>
      <c r="E6" s="8">
        <v>5665.7</v>
      </c>
      <c r="F6" s="8">
        <v>5644</v>
      </c>
      <c r="G6" s="8">
        <v>5651.4</v>
      </c>
      <c r="H6" s="8">
        <v>5700.8</v>
      </c>
      <c r="I6" s="8">
        <v>5556.2</v>
      </c>
      <c r="J6" s="8">
        <v>5569.6</v>
      </c>
      <c r="K6" s="8">
        <v>5594.1</v>
      </c>
      <c r="L6" s="8">
        <v>5561</v>
      </c>
      <c r="M6" s="8">
        <v>5674.9</v>
      </c>
      <c r="N6" s="8">
        <v>5836</v>
      </c>
      <c r="O6" s="8">
        <v>5682.7</v>
      </c>
      <c r="P6" s="8">
        <v>5793</v>
      </c>
      <c r="Q6" s="8">
        <v>5864.4</v>
      </c>
      <c r="R6" s="8">
        <v>5822.9</v>
      </c>
      <c r="S6" s="8">
        <v>5845</v>
      </c>
      <c r="T6" s="8">
        <v>5886.8</v>
      </c>
      <c r="U6" s="8">
        <v>5766.9</v>
      </c>
      <c r="V6" s="8">
        <v>5797.6</v>
      </c>
      <c r="W6" s="8">
        <v>5799.5</v>
      </c>
      <c r="X6" s="8">
        <v>5814.5</v>
      </c>
      <c r="Y6" s="8">
        <v>5922.2</v>
      </c>
      <c r="Z6" s="8">
        <v>6023.5</v>
      </c>
      <c r="AA6" s="8">
        <v>5871.9</v>
      </c>
      <c r="AB6" s="8">
        <v>5925.5</v>
      </c>
      <c r="AC6" s="8">
        <v>5840.9</v>
      </c>
      <c r="AD6" s="8">
        <v>5891.2</v>
      </c>
      <c r="AE6" s="8">
        <v>5837.3</v>
      </c>
      <c r="AF6" s="8">
        <v>5782.1</v>
      </c>
      <c r="AG6" s="8">
        <v>5663.7</v>
      </c>
      <c r="AH6" s="8">
        <v>5612.9</v>
      </c>
      <c r="AI6" s="8">
        <v>5612.1</v>
      </c>
      <c r="AJ6" s="8">
        <v>5636.4</v>
      </c>
      <c r="AK6" s="8">
        <v>5647.9</v>
      </c>
      <c r="AL6" s="8">
        <v>5742</v>
      </c>
      <c r="AM6" s="8">
        <v>5690.3</v>
      </c>
      <c r="AN6" s="8">
        <v>5729.6</v>
      </c>
      <c r="AO6" s="8">
        <v>5701.5</v>
      </c>
      <c r="AP6" s="8">
        <v>5664.3</v>
      </c>
      <c r="AQ6" s="8">
        <v>5613.6</v>
      </c>
      <c r="AR6" s="8">
        <v>5596.7</v>
      </c>
      <c r="AS6" s="8">
        <v>5527.6</v>
      </c>
      <c r="AT6" s="8">
        <v>5478.8</v>
      </c>
      <c r="AU6" s="8">
        <v>5457</v>
      </c>
      <c r="AV6" s="8">
        <v>5460.4</v>
      </c>
      <c r="AW6" s="8">
        <v>5505.6</v>
      </c>
      <c r="AX6" s="8">
        <v>5639</v>
      </c>
      <c r="AY6" s="8">
        <v>5435.9</v>
      </c>
      <c r="AZ6" s="8">
        <v>5449</v>
      </c>
      <c r="BA6" s="8">
        <v>5340.3</v>
      </c>
      <c r="BB6" s="8">
        <v>5426.4</v>
      </c>
      <c r="BC6" s="8">
        <v>5232.3</v>
      </c>
      <c r="BD6" s="8">
        <v>5215.2</v>
      </c>
      <c r="BE6" s="8">
        <v>5110.8999999999996</v>
      </c>
      <c r="BF6" s="8">
        <v>5029.2</v>
      </c>
      <c r="BG6" s="8">
        <v>5020.3</v>
      </c>
      <c r="BH6" s="8">
        <v>4963.6000000000004</v>
      </c>
      <c r="BI6" s="8">
        <v>4881.5</v>
      </c>
      <c r="BJ6" s="8">
        <v>5129.8</v>
      </c>
      <c r="BK6" s="8">
        <v>4925.8999999999996</v>
      </c>
      <c r="BL6" s="8">
        <v>4913.5</v>
      </c>
      <c r="BM6" s="8">
        <v>4781.2</v>
      </c>
      <c r="BN6" s="8">
        <v>4273.3</v>
      </c>
    </row>
    <row r="7" spans="1:66" s="8" customFormat="1" x14ac:dyDescent="0.25">
      <c r="A7" s="12" t="s">
        <v>42</v>
      </c>
      <c r="B7" s="8" t="s">
        <v>60</v>
      </c>
      <c r="C7" s="8">
        <v>4165.8999999999996</v>
      </c>
      <c r="D7" s="8">
        <v>4234.3</v>
      </c>
      <c r="E7" s="8">
        <v>4294.6000000000004</v>
      </c>
      <c r="F7" s="8">
        <v>4328.3999999999996</v>
      </c>
      <c r="G7" s="8">
        <v>4320.3999999999996</v>
      </c>
      <c r="H7" s="8">
        <v>4375</v>
      </c>
      <c r="I7" s="8">
        <v>4349.3</v>
      </c>
      <c r="J7" s="8">
        <v>4346.8</v>
      </c>
      <c r="K7" s="8">
        <v>4345.2</v>
      </c>
      <c r="L7" s="8">
        <v>4315.2</v>
      </c>
      <c r="M7" s="8">
        <v>4308.8</v>
      </c>
      <c r="N7" s="8">
        <v>4330.1000000000004</v>
      </c>
      <c r="O7" s="8">
        <v>4236.3</v>
      </c>
      <c r="P7" s="8">
        <v>4243.1000000000004</v>
      </c>
      <c r="Q7" s="8">
        <v>4213.3999999999996</v>
      </c>
      <c r="R7" s="8">
        <v>4147.1000000000004</v>
      </c>
      <c r="S7" s="8">
        <v>4113.2</v>
      </c>
      <c r="T7" s="8">
        <v>4083.1</v>
      </c>
      <c r="U7" s="8">
        <v>4017.1</v>
      </c>
      <c r="V7" s="8">
        <v>3985.9</v>
      </c>
      <c r="W7" s="8">
        <v>3959.7</v>
      </c>
      <c r="X7" s="8">
        <v>3941</v>
      </c>
      <c r="Y7" s="8">
        <v>3967.5</v>
      </c>
      <c r="Z7" s="8">
        <v>3992.2</v>
      </c>
      <c r="AA7" s="8">
        <v>3931.4</v>
      </c>
      <c r="AB7" s="8">
        <v>4868.3</v>
      </c>
      <c r="AC7" s="8">
        <v>4912.3</v>
      </c>
      <c r="AD7" s="8">
        <v>4895.8</v>
      </c>
      <c r="AE7" s="8">
        <v>4920.7</v>
      </c>
      <c r="AF7" s="8">
        <v>4927.3</v>
      </c>
      <c r="AG7" s="8">
        <v>4875.3999999999996</v>
      </c>
      <c r="AH7" s="8">
        <v>4856.1000000000004</v>
      </c>
      <c r="AI7" s="8">
        <v>4862.7</v>
      </c>
      <c r="AJ7" s="8">
        <v>4867.6000000000004</v>
      </c>
      <c r="AK7" s="8">
        <v>4886.8</v>
      </c>
      <c r="AL7" s="8">
        <v>4967.3</v>
      </c>
      <c r="AM7" s="8">
        <v>4900.2</v>
      </c>
      <c r="AN7" s="8">
        <v>4950</v>
      </c>
      <c r="AO7" s="8">
        <v>4921.7</v>
      </c>
      <c r="AP7" s="8">
        <v>4849</v>
      </c>
      <c r="AQ7" s="8">
        <v>4868.3</v>
      </c>
      <c r="AR7" s="8">
        <v>4887.8</v>
      </c>
      <c r="AS7" s="8">
        <v>4829.5</v>
      </c>
      <c r="AT7" s="8">
        <v>4791</v>
      </c>
      <c r="AU7" s="8">
        <v>4756</v>
      </c>
      <c r="AV7" s="8">
        <v>4763.3</v>
      </c>
      <c r="AW7" s="8">
        <v>4760.8</v>
      </c>
      <c r="AX7" s="8">
        <v>4786.6000000000004</v>
      </c>
      <c r="AY7" s="8">
        <v>4737.6000000000004</v>
      </c>
      <c r="AZ7" s="8">
        <v>4811.3999999999996</v>
      </c>
      <c r="BA7" s="8">
        <v>4804.6000000000004</v>
      </c>
      <c r="BB7" s="8">
        <v>4802.5</v>
      </c>
      <c r="BC7" s="8">
        <v>4789.8999999999996</v>
      </c>
      <c r="BD7" s="8">
        <v>4809.8</v>
      </c>
      <c r="BE7" s="8">
        <v>4789.1000000000004</v>
      </c>
      <c r="BF7" s="8">
        <v>4726.8999999999996</v>
      </c>
      <c r="BG7" s="8">
        <v>4688.3</v>
      </c>
      <c r="BH7" s="8">
        <v>4683.3</v>
      </c>
      <c r="BI7" s="8">
        <v>4711.3</v>
      </c>
      <c r="BJ7" s="8">
        <v>4781.7</v>
      </c>
      <c r="BK7" s="8">
        <v>4677.2</v>
      </c>
      <c r="BL7" s="8">
        <v>4689.2</v>
      </c>
      <c r="BM7" s="8">
        <v>4577.8999999999996</v>
      </c>
      <c r="BN7" s="8">
        <v>4113.6000000000004</v>
      </c>
    </row>
    <row r="9" spans="1:66" x14ac:dyDescent="0.25">
      <c r="N9" s="8" t="s">
        <v>3</v>
      </c>
      <c r="O9" s="13">
        <f>+O3/C3-1</f>
        <v>4.0690430342689154E-3</v>
      </c>
      <c r="P9" s="13">
        <f t="shared" ref="P9:BD9" si="0">+P3/D3-1</f>
        <v>-6.4692364393184043E-3</v>
      </c>
      <c r="Q9" s="13">
        <f t="shared" si="0"/>
        <v>-9.3183779119920818E-4</v>
      </c>
      <c r="R9" s="13">
        <f t="shared" si="0"/>
        <v>1.1785761054607935E-3</v>
      </c>
      <c r="S9" s="13">
        <f t="shared" si="0"/>
        <v>3.8921812946344225E-3</v>
      </c>
      <c r="T9" s="13">
        <f t="shared" si="0"/>
        <v>1.3971192143633182E-2</v>
      </c>
      <c r="U9" s="13">
        <f t="shared" si="0"/>
        <v>7.6296958855097685E-3</v>
      </c>
      <c r="V9" s="13">
        <f t="shared" si="0"/>
        <v>1.3451587735735515E-4</v>
      </c>
      <c r="W9" s="13">
        <f t="shared" si="0"/>
        <v>2.5641938815483822E-3</v>
      </c>
      <c r="X9" s="13">
        <f t="shared" si="0"/>
        <v>8.5211728721734659E-3</v>
      </c>
      <c r="Y9" s="13">
        <f t="shared" si="0"/>
        <v>1.4896705553293588E-2</v>
      </c>
      <c r="Z9" s="13">
        <f t="shared" si="0"/>
        <v>4.628042509426944E-4</v>
      </c>
      <c r="AA9" s="13">
        <f t="shared" si="0"/>
        <v>-9.7018292894582858E-3</v>
      </c>
      <c r="AB9" s="13">
        <f t="shared" si="0"/>
        <v>6.1796821129624924E-3</v>
      </c>
      <c r="AC9" s="13">
        <f t="shared" si="0"/>
        <v>-1.1140666021833834E-3</v>
      </c>
      <c r="AD9" s="13">
        <f t="shared" si="0"/>
        <v>-7.6299267527031311E-3</v>
      </c>
      <c r="AE9" s="13">
        <f t="shared" si="0"/>
        <v>-1.3157548485565052E-4</v>
      </c>
      <c r="AF9" s="13">
        <f t="shared" si="0"/>
        <v>-4.476766972956514E-3</v>
      </c>
      <c r="AG9" s="13">
        <f t="shared" si="0"/>
        <v>-1.0519027455993202E-2</v>
      </c>
      <c r="AH9" s="13">
        <f t="shared" si="0"/>
        <v>2.8961856428095789E-3</v>
      </c>
      <c r="AI9" s="13">
        <f t="shared" si="0"/>
        <v>-5.7990835139071217E-3</v>
      </c>
      <c r="AJ9" s="13">
        <f t="shared" si="0"/>
        <v>-9.1517916700020185E-3</v>
      </c>
      <c r="AK9" s="13">
        <f t="shared" si="0"/>
        <v>-1.2192462999625064E-2</v>
      </c>
      <c r="AL9" s="13">
        <f t="shared" si="0"/>
        <v>-5.7395446056847099E-3</v>
      </c>
      <c r="AM9" s="13">
        <f t="shared" si="0"/>
        <v>-2.4448377994706894E-3</v>
      </c>
      <c r="AN9" s="13">
        <f t="shared" si="0"/>
        <v>-7.7205340180608317E-3</v>
      </c>
      <c r="AO9" s="13">
        <f t="shared" si="0"/>
        <v>-1.4179123833896745E-2</v>
      </c>
      <c r="AP9" s="13">
        <f t="shared" si="0"/>
        <v>-1.9735512499450825E-2</v>
      </c>
      <c r="AQ9" s="13">
        <f t="shared" si="0"/>
        <v>-9.9045513562830978E-3</v>
      </c>
      <c r="AR9" s="13">
        <f t="shared" si="0"/>
        <v>-1.7585147986456828E-2</v>
      </c>
      <c r="AS9" s="13">
        <f t="shared" si="0"/>
        <v>-1.3582373416585858E-2</v>
      </c>
      <c r="AT9" s="13">
        <f t="shared" si="0"/>
        <v>-2.6008279019034575E-2</v>
      </c>
      <c r="AU9" s="13">
        <f t="shared" si="0"/>
        <v>-2.6261489401613214E-2</v>
      </c>
      <c r="AV9" s="13">
        <f t="shared" si="0"/>
        <v>-2.6685695820766853E-2</v>
      </c>
      <c r="AW9" s="13">
        <f t="shared" si="0"/>
        <v>-3.9342062279826506E-2</v>
      </c>
      <c r="AX9" s="13">
        <f t="shared" si="0"/>
        <v>-6.8281293079680228E-2</v>
      </c>
      <c r="AY9" s="13">
        <f t="shared" si="0"/>
        <v>-6.4538514920194245E-2</v>
      </c>
      <c r="AZ9" s="13">
        <f t="shared" si="0"/>
        <v>-4.9306302289595871E-2</v>
      </c>
      <c r="BA9" s="13">
        <f t="shared" si="0"/>
        <v>-6.0698280171544217E-2</v>
      </c>
      <c r="BB9" s="13">
        <f t="shared" si="0"/>
        <v>-5.9959304045392958E-2</v>
      </c>
      <c r="BC9" s="13">
        <f t="shared" si="0"/>
        <v>-7.6803799431148567E-2</v>
      </c>
      <c r="BD9" s="13">
        <f t="shared" si="0"/>
        <v>-7.0922870043013231E-2</v>
      </c>
      <c r="BE9" s="13">
        <f t="shared" ref="BE9:BE13" si="1">+BE3/AS3-1</f>
        <v>-6.3044545901013049E-2</v>
      </c>
      <c r="BF9" s="13">
        <f t="shared" ref="BF9:BF13" si="2">+BF3/AT3-1</f>
        <v>-7.0121167615201041E-2</v>
      </c>
      <c r="BG9" s="13">
        <f t="shared" ref="BG9:BG13" si="3">+BG3/AU3-1</f>
        <v>-8.7569144398271792E-2</v>
      </c>
      <c r="BH9" s="13">
        <f t="shared" ref="BH9:BH13" si="4">+BH3/AV3-1</f>
        <v>-7.8692304145340453E-2</v>
      </c>
      <c r="BI9" s="13">
        <f t="shared" ref="BI9:BI13" si="5">+BI3/AW3-1</f>
        <v>-7.1769279550029097E-2</v>
      </c>
      <c r="BJ9" s="13">
        <f t="shared" ref="BJ9:BJ13" si="6">+BJ3/AX3-1</f>
        <v>-5.8017921378965887E-2</v>
      </c>
      <c r="BK9" s="13">
        <f t="shared" ref="BK9:BK13" si="7">+BK3/AY3-1</f>
        <v>-6.6061300379371191E-2</v>
      </c>
      <c r="BL9" s="13">
        <f t="shared" ref="BL9:BL13" si="8">+BL3/AZ3-1</f>
        <v>-8.0287272292569045E-2</v>
      </c>
      <c r="BM9" s="13">
        <f t="shared" ref="BM9:BM13" si="9">+BM3/BA3-1</f>
        <v>-9.1893708800956153E-2</v>
      </c>
      <c r="BN9" s="13">
        <f t="shared" ref="BN9:BN13" si="10">+BN3/BB3-1</f>
        <v>-0.17547439687231814</v>
      </c>
    </row>
    <row r="10" spans="1:66" x14ac:dyDescent="0.25">
      <c r="N10" s="8" t="s">
        <v>1</v>
      </c>
      <c r="O10" s="13">
        <f t="shared" ref="O10:O12" si="11">+O4/C4-1</f>
        <v>3.2219454598389152E-2</v>
      </c>
      <c r="P10" s="13">
        <f t="shared" ref="P10:P12" si="12">+P4/D4-1</f>
        <v>3.8088561747867677E-2</v>
      </c>
      <c r="Q10" s="13">
        <f t="shared" ref="Q10:Q12" si="13">+Q4/E4-1</f>
        <v>2.7464318636955865E-2</v>
      </c>
      <c r="R10" s="13">
        <f t="shared" ref="R10:R12" si="14">+R4/F4-1</f>
        <v>3.0716796024760518E-2</v>
      </c>
      <c r="S10" s="13">
        <f t="shared" ref="S10:S12" si="15">+S4/G4-1</f>
        <v>3.0028568405459755E-2</v>
      </c>
      <c r="T10" s="13">
        <f t="shared" ref="T10:T12" si="16">+T4/H4-1</f>
        <v>3.1722658139975213E-2</v>
      </c>
      <c r="U10" s="13">
        <f t="shared" ref="U10:U12" si="17">+U4/I4-1</f>
        <v>2.8463626841104039E-2</v>
      </c>
      <c r="V10" s="13">
        <f t="shared" ref="V10:V12" si="18">+V4/J4-1</f>
        <v>3.2087390574729646E-2</v>
      </c>
      <c r="W10" s="13">
        <f t="shared" ref="W10:W12" si="19">+W4/K4-1</f>
        <v>2.6065545933095624E-2</v>
      </c>
      <c r="X10" s="13">
        <f t="shared" ref="X10:X12" si="20">+X4/L4-1</f>
        <v>2.0110650651071982E-2</v>
      </c>
      <c r="Y10" s="13">
        <f t="shared" ref="Y10:Y12" si="21">+Y4/M4-1</f>
        <v>3.3255073824803194E-2</v>
      </c>
      <c r="Z10" s="13">
        <f t="shared" ref="Z10:Z12" si="22">+Z4/N4-1</f>
        <v>2.4399534658663846E-2</v>
      </c>
      <c r="AA10" s="13">
        <f t="shared" ref="AA10:AA12" si="23">+AA4/O4-1</f>
        <v>2.4622102437138915E-2</v>
      </c>
      <c r="AB10" s="13">
        <f t="shared" ref="AB10:AB12" si="24">+AB4/P4-1</f>
        <v>2.1384355655599263E-2</v>
      </c>
      <c r="AC10" s="13">
        <f t="shared" ref="AC10:AC12" si="25">+AC4/Q4-1</f>
        <v>1.0931328568924092E-2</v>
      </c>
      <c r="AD10" s="13">
        <f t="shared" ref="AD10:AD12" si="26">+AD4/R4-1</f>
        <v>6.407350941530332E-3</v>
      </c>
      <c r="AE10" s="13">
        <f t="shared" ref="AE10:AE12" si="27">+AE4/S4-1</f>
        <v>1.4073221843284855E-3</v>
      </c>
      <c r="AF10" s="13">
        <f t="shared" ref="AF10:AF12" si="28">+AF4/T4-1</f>
        <v>-7.7072076664288502E-3</v>
      </c>
      <c r="AG10" s="13">
        <f t="shared" ref="AG10:AG12" si="29">+AG4/U4-1</f>
        <v>-6.2980014757693104E-3</v>
      </c>
      <c r="AH10" s="13">
        <f t="shared" ref="AH10:AH12" si="30">+AH4/V4-1</f>
        <v>-1.5627750908770777E-2</v>
      </c>
      <c r="AI10" s="13">
        <f t="shared" ref="AI10:AI12" si="31">+AI4/W4-1</f>
        <v>-1.239139429044267E-2</v>
      </c>
      <c r="AJ10" s="13">
        <f t="shared" ref="AJ10:AJ12" si="32">+AJ4/X4-1</f>
        <v>-2.142577279194946E-2</v>
      </c>
      <c r="AK10" s="13">
        <f t="shared" ref="AK10:AK12" si="33">+AK4/Y4-1</f>
        <v>-3.0013532346347294E-2</v>
      </c>
      <c r="AL10" s="13">
        <f t="shared" ref="AL10:AL12" si="34">+AL4/Z4-1</f>
        <v>-2.1004391827382118E-2</v>
      </c>
      <c r="AM10" s="13">
        <f t="shared" ref="AM10:AM12" si="35">+AM4/AA4-1</f>
        <v>-2.5029566494025546E-2</v>
      </c>
      <c r="AN10" s="13">
        <f t="shared" ref="AN10:AN12" si="36">+AN4/AB4-1</f>
        <v>-2.647633358377155E-2</v>
      </c>
      <c r="AO10" s="13">
        <f t="shared" ref="AO10:AO12" si="37">+AO4/AC4-1</f>
        <v>-2.6400350916565452E-2</v>
      </c>
      <c r="AP10" s="13">
        <f t="shared" ref="AP10:AP12" si="38">+AP4/AD4-1</f>
        <v>-3.9591393887285276E-2</v>
      </c>
      <c r="AQ10" s="13">
        <f t="shared" ref="AQ10:AQ12" si="39">+AQ4/AE4-1</f>
        <v>-4.0837051854131445E-2</v>
      </c>
      <c r="AR10" s="13">
        <f t="shared" ref="AR10:AR12" si="40">+AR4/AF4-1</f>
        <v>-3.4674420038218967E-2</v>
      </c>
      <c r="AS10" s="13">
        <f t="shared" ref="AS10:AS12" si="41">+AS4/AG4-1</f>
        <v>-3.0664644668723651E-2</v>
      </c>
      <c r="AT10" s="13">
        <f t="shared" ref="AT10:AT12" si="42">+AT4/AH4-1</f>
        <v>-2.516570226196746E-2</v>
      </c>
      <c r="AU10" s="13">
        <f t="shared" ref="AU10:AU12" si="43">+AU4/AI4-1</f>
        <v>-2.7837707630757769E-2</v>
      </c>
      <c r="AV10" s="13">
        <f t="shared" ref="AV10:AV12" si="44">+AV4/AJ4-1</f>
        <v>-2.3854680321996002E-2</v>
      </c>
      <c r="AW10" s="13">
        <f t="shared" ref="AW10:AW12" si="45">+AW4/AK4-1</f>
        <v>-2.0072878709005648E-2</v>
      </c>
      <c r="AX10" s="13">
        <f t="shared" ref="AX10:AX12" si="46">+AX4/AL4-1</f>
        <v>-2.7480931703160683E-2</v>
      </c>
      <c r="AY10" s="13">
        <f t="shared" ref="AY10:AY12" si="47">+AY4/AM4-1</f>
        <v>-3.9099018080289372E-2</v>
      </c>
      <c r="AZ10" s="13">
        <f t="shared" ref="AZ10:AZ12" si="48">+AZ4/AN4-1</f>
        <v>-3.6817517647301012E-2</v>
      </c>
      <c r="BA10" s="13">
        <f t="shared" ref="BA10:BA12" si="49">+BA4/AO4-1</f>
        <v>-3.743674102325012E-2</v>
      </c>
      <c r="BB10" s="13">
        <f t="shared" ref="BB10:BB12" si="50">+BB4/AP4-1</f>
        <v>-2.6771821379089955E-2</v>
      </c>
      <c r="BC10" s="13">
        <f t="shared" ref="BC10:BC12" si="51">+BC4/AQ4-1</f>
        <v>-3.2864904175222365E-2</v>
      </c>
      <c r="BD10" s="13">
        <f t="shared" ref="BD10:BD12" si="52">+BD4/AR4-1</f>
        <v>-3.7165146500069079E-2</v>
      </c>
      <c r="BE10" s="13">
        <f t="shared" si="1"/>
        <v>-4.5132332790263519E-2</v>
      </c>
      <c r="BF10" s="13">
        <f t="shared" si="2"/>
        <v>-5.7167217077856103E-2</v>
      </c>
      <c r="BG10" s="13">
        <f t="shared" si="3"/>
        <v>-6.4681547875549361E-2</v>
      </c>
      <c r="BH10" s="13">
        <f t="shared" si="4"/>
        <v>-7.8278139976684868E-2</v>
      </c>
      <c r="BI10" s="13">
        <f t="shared" si="5"/>
        <v>-8.538917575062166E-2</v>
      </c>
      <c r="BJ10" s="13">
        <f t="shared" si="6"/>
        <v>-9.1316922817091695E-2</v>
      </c>
      <c r="BK10" s="13">
        <f t="shared" si="7"/>
        <v>-8.8290347154206028E-2</v>
      </c>
      <c r="BL10" s="13">
        <f t="shared" si="8"/>
        <v>-9.754925003204995E-2</v>
      </c>
      <c r="BM10" s="13">
        <f t="shared" si="9"/>
        <v>-0.1095702529716549</v>
      </c>
      <c r="BN10" s="13">
        <f t="shared" si="10"/>
        <v>-0.19457281149390038</v>
      </c>
    </row>
    <row r="11" spans="1:66" x14ac:dyDescent="0.25">
      <c r="N11" s="8" t="s">
        <v>2</v>
      </c>
      <c r="O11" s="13">
        <f t="shared" si="11"/>
        <v>-2.336341342611048E-2</v>
      </c>
      <c r="P11" s="13">
        <f t="shared" si="12"/>
        <v>-2.4356239796952006E-2</v>
      </c>
      <c r="Q11" s="13">
        <f t="shared" si="13"/>
        <v>-3.1260082452052362E-2</v>
      </c>
      <c r="R11" s="13">
        <f t="shared" si="14"/>
        <v>-2.686259715685213E-2</v>
      </c>
      <c r="S11" s="13">
        <f t="shared" si="15"/>
        <v>-1.5018394810727087E-2</v>
      </c>
      <c r="T11" s="13">
        <f t="shared" si="16"/>
        <v>-1.5855572998430212E-2</v>
      </c>
      <c r="U11" s="13">
        <f t="shared" si="17"/>
        <v>-1.7452968841857763E-2</v>
      </c>
      <c r="V11" s="13">
        <f t="shared" si="18"/>
        <v>-1.4826169599607586E-2</v>
      </c>
      <c r="W11" s="13">
        <f t="shared" si="19"/>
        <v>-1.7761053160584961E-2</v>
      </c>
      <c r="X11" s="13">
        <f t="shared" si="20"/>
        <v>-1.5287803072367212E-2</v>
      </c>
      <c r="Y11" s="13">
        <f t="shared" si="21"/>
        <v>-1.2115007251941035E-2</v>
      </c>
      <c r="Z11" s="13">
        <f t="shared" si="22"/>
        <v>-1.5602545678505497E-2</v>
      </c>
      <c r="AA11" s="13">
        <f t="shared" si="23"/>
        <v>-1.2159069824973723E-2</v>
      </c>
      <c r="AB11" s="13">
        <f t="shared" si="24"/>
        <v>-1.6036249496195532E-2</v>
      </c>
      <c r="AC11" s="13">
        <f t="shared" si="25"/>
        <v>-1.7059541871738748E-2</v>
      </c>
      <c r="AD11" s="13">
        <f t="shared" si="26"/>
        <v>-2.1610711824357587E-2</v>
      </c>
      <c r="AE11" s="13">
        <f t="shared" si="27"/>
        <v>-2.3147522453342617E-2</v>
      </c>
      <c r="AF11" s="13">
        <f t="shared" si="28"/>
        <v>-2.54978710872793E-2</v>
      </c>
      <c r="AG11" s="13">
        <f t="shared" si="29"/>
        <v>-2.7012203482791652E-2</v>
      </c>
      <c r="AH11" s="13">
        <f t="shared" si="30"/>
        <v>-4.0430193188607855E-2</v>
      </c>
      <c r="AI11" s="13">
        <f t="shared" si="31"/>
        <v>-3.743729253500383E-2</v>
      </c>
      <c r="AJ11" s="13">
        <f t="shared" si="32"/>
        <v>-3.7666340876625903E-2</v>
      </c>
      <c r="AK11" s="13">
        <f t="shared" si="33"/>
        <v>-4.2046562126016318E-2</v>
      </c>
      <c r="AL11" s="13">
        <f t="shared" si="34"/>
        <v>-3.5895234006011245E-2</v>
      </c>
      <c r="AM11" s="13">
        <f t="shared" si="35"/>
        <v>-3.2831634569632562E-2</v>
      </c>
      <c r="AN11" s="13">
        <f t="shared" si="36"/>
        <v>-2.9343130926964833E-2</v>
      </c>
      <c r="AO11" s="13">
        <f t="shared" si="37"/>
        <v>-3.3192781668047067E-2</v>
      </c>
      <c r="AP11" s="13">
        <f t="shared" si="38"/>
        <v>-3.7849056603773579E-2</v>
      </c>
      <c r="AQ11" s="13">
        <f t="shared" si="39"/>
        <v>-4.1883104632296497E-2</v>
      </c>
      <c r="AR11" s="13">
        <f t="shared" si="40"/>
        <v>-3.9612687140356817E-2</v>
      </c>
      <c r="AS11" s="13">
        <f t="shared" si="41"/>
        <v>-4.0304396843292012E-2</v>
      </c>
      <c r="AT11" s="13">
        <f t="shared" si="42"/>
        <v>-3.3922270651722708E-2</v>
      </c>
      <c r="AU11" s="13">
        <f t="shared" si="43"/>
        <v>-3.9891617185676798E-2</v>
      </c>
      <c r="AV11" s="13">
        <f t="shared" si="44"/>
        <v>-3.9583333333333304E-2</v>
      </c>
      <c r="AW11" s="13">
        <f t="shared" si="45"/>
        <v>-4.3763281602163695E-2</v>
      </c>
      <c r="AX11" s="13">
        <f t="shared" si="46"/>
        <v>-5.145758312231985E-2</v>
      </c>
      <c r="AY11" s="13">
        <f t="shared" si="47"/>
        <v>-6.00595546349042E-2</v>
      </c>
      <c r="AZ11" s="13">
        <f t="shared" si="48"/>
        <v>-6.326086956521737E-2</v>
      </c>
      <c r="BA11" s="13">
        <f t="shared" si="49"/>
        <v>-6.4666865694889775E-2</v>
      </c>
      <c r="BB11" s="13">
        <f t="shared" si="50"/>
        <v>-6.011164712188366E-2</v>
      </c>
      <c r="BC11" s="13">
        <f t="shared" si="51"/>
        <v>-6.5439699646875016E-2</v>
      </c>
      <c r="BD11" s="13">
        <f t="shared" si="52"/>
        <v>-6.9408571840625211E-2</v>
      </c>
      <c r="BE11" s="13">
        <f t="shared" si="1"/>
        <v>-7.0057402215992548E-2</v>
      </c>
      <c r="BF11" s="13">
        <f t="shared" si="2"/>
        <v>-7.581271064681161E-2</v>
      </c>
      <c r="BG11" s="13">
        <f t="shared" si="3"/>
        <v>-7.5144820881213104E-2</v>
      </c>
      <c r="BH11" s="13">
        <f t="shared" si="4"/>
        <v>-7.7318329718004342E-2</v>
      </c>
      <c r="BI11" s="13">
        <f t="shared" si="5"/>
        <v>-8.1269276873139562E-2</v>
      </c>
      <c r="BJ11" s="13">
        <f t="shared" si="6"/>
        <v>-7.0521161714400704E-2</v>
      </c>
      <c r="BK11" s="13">
        <f t="shared" si="7"/>
        <v>-7.4571975592622741E-2</v>
      </c>
      <c r="BL11" s="13">
        <f t="shared" si="8"/>
        <v>-7.9791953913150304E-2</v>
      </c>
      <c r="BM11" s="13">
        <f t="shared" si="9"/>
        <v>-8.9315699635021284E-2</v>
      </c>
      <c r="BN11" s="13">
        <f t="shared" si="10"/>
        <v>-0.18271598069353068</v>
      </c>
    </row>
    <row r="12" spans="1:66" x14ac:dyDescent="0.25">
      <c r="N12" s="8" t="s">
        <v>0</v>
      </c>
      <c r="O12" s="13">
        <f t="shared" si="11"/>
        <v>2.2767358986357511E-2</v>
      </c>
      <c r="P12" s="13">
        <f t="shared" si="12"/>
        <v>3.2896496389408947E-2</v>
      </c>
      <c r="Q12" s="13">
        <f t="shared" si="13"/>
        <v>3.5070688529219574E-2</v>
      </c>
      <c r="R12" s="13">
        <f t="shared" si="14"/>
        <v>3.1697377746279232E-2</v>
      </c>
      <c r="S12" s="13">
        <f t="shared" si="15"/>
        <v>3.4256998265916438E-2</v>
      </c>
      <c r="T12" s="13">
        <f t="shared" si="16"/>
        <v>3.2626999719337579E-2</v>
      </c>
      <c r="U12" s="13">
        <f t="shared" si="17"/>
        <v>3.7921601094273116E-2</v>
      </c>
      <c r="V12" s="13">
        <f t="shared" si="18"/>
        <v>4.0936512496409172E-2</v>
      </c>
      <c r="W12" s="13">
        <f t="shared" si="19"/>
        <v>3.6717255680091432E-2</v>
      </c>
      <c r="X12" s="13">
        <f t="shared" si="20"/>
        <v>4.5585326380147562E-2</v>
      </c>
      <c r="Y12" s="13">
        <f t="shared" si="21"/>
        <v>4.3577860402826518E-2</v>
      </c>
      <c r="Z12" s="13">
        <f t="shared" si="22"/>
        <v>3.2128169979438015E-2</v>
      </c>
      <c r="AA12" s="13">
        <f t="shared" si="23"/>
        <v>3.3294032766114645E-2</v>
      </c>
      <c r="AB12" s="13">
        <f t="shared" si="24"/>
        <v>2.2872432245813812E-2</v>
      </c>
      <c r="AC12" s="13">
        <f t="shared" si="25"/>
        <v>-4.007230066161882E-3</v>
      </c>
      <c r="AD12" s="13">
        <f t="shared" si="26"/>
        <v>1.1729550567586733E-2</v>
      </c>
      <c r="AE12" s="13">
        <f t="shared" si="27"/>
        <v>-1.3173652694610238E-3</v>
      </c>
      <c r="AF12" s="13">
        <f t="shared" si="28"/>
        <v>-1.7785554121084401E-2</v>
      </c>
      <c r="AG12" s="13">
        <f t="shared" si="29"/>
        <v>-1.7895229672787782E-2</v>
      </c>
      <c r="AH12" s="13">
        <f t="shared" si="30"/>
        <v>-3.1858010211122001E-2</v>
      </c>
      <c r="AI12" s="13">
        <f t="shared" si="31"/>
        <v>-3.2313130442279459E-2</v>
      </c>
      <c r="AJ12" s="13">
        <f t="shared" si="32"/>
        <v>-3.0630320749849616E-2</v>
      </c>
      <c r="AK12" s="13">
        <f t="shared" si="33"/>
        <v>-4.6317246969031833E-2</v>
      </c>
      <c r="AL12" s="13">
        <f t="shared" si="34"/>
        <v>-4.673362662903624E-2</v>
      </c>
      <c r="AM12" s="13">
        <f t="shared" si="35"/>
        <v>-3.0926957202949579E-2</v>
      </c>
      <c r="AN12" s="13">
        <f t="shared" si="36"/>
        <v>-3.3060501223525329E-2</v>
      </c>
      <c r="AO12" s="13">
        <f t="shared" si="37"/>
        <v>-2.3866185005735341E-2</v>
      </c>
      <c r="AP12" s="13">
        <f t="shared" si="38"/>
        <v>-3.8515073329712046E-2</v>
      </c>
      <c r="AQ12" s="13">
        <f t="shared" si="39"/>
        <v>-3.8322512120329555E-2</v>
      </c>
      <c r="AR12" s="13">
        <f t="shared" si="40"/>
        <v>-3.20644748447797E-2</v>
      </c>
      <c r="AS12" s="13">
        <f t="shared" si="41"/>
        <v>-2.4030227589738051E-2</v>
      </c>
      <c r="AT12" s="13">
        <f t="shared" si="42"/>
        <v>-2.3891393041030384E-2</v>
      </c>
      <c r="AU12" s="13">
        <f t="shared" si="43"/>
        <v>-2.7636713529694878E-2</v>
      </c>
      <c r="AV12" s="13">
        <f t="shared" si="44"/>
        <v>-3.1225604996096834E-2</v>
      </c>
      <c r="AW12" s="13">
        <f t="shared" si="45"/>
        <v>-2.5195205297544043E-2</v>
      </c>
      <c r="AX12" s="13">
        <f t="shared" si="46"/>
        <v>-1.7938000696621437E-2</v>
      </c>
      <c r="AY12" s="13">
        <f t="shared" si="47"/>
        <v>-4.4707660404548211E-2</v>
      </c>
      <c r="AZ12" s="13">
        <f t="shared" si="48"/>
        <v>-4.8973750349064593E-2</v>
      </c>
      <c r="BA12" s="13">
        <f t="shared" si="49"/>
        <v>-6.3351749539594771E-2</v>
      </c>
      <c r="BB12" s="13">
        <f t="shared" si="50"/>
        <v>-4.1999894073407207E-2</v>
      </c>
      <c r="BC12" s="13">
        <f t="shared" si="51"/>
        <v>-6.7924326635314225E-2</v>
      </c>
      <c r="BD12" s="13">
        <f t="shared" si="52"/>
        <v>-6.8165168760162209E-2</v>
      </c>
      <c r="BE12" s="13">
        <f t="shared" si="1"/>
        <v>-7.5385339025978881E-2</v>
      </c>
      <c r="BF12" s="13">
        <f t="shared" si="2"/>
        <v>-8.2061765350076699E-2</v>
      </c>
      <c r="BG12" s="13">
        <f t="shared" si="3"/>
        <v>-8.0025655121861772E-2</v>
      </c>
      <c r="BH12" s="13">
        <f t="shared" si="4"/>
        <v>-9.0982345615705729E-2</v>
      </c>
      <c r="BI12" s="13">
        <f t="shared" si="5"/>
        <v>-0.11335730892182516</v>
      </c>
      <c r="BJ12" s="13">
        <f t="shared" si="6"/>
        <v>-9.0299698528107819E-2</v>
      </c>
      <c r="BK12" s="13">
        <f t="shared" si="7"/>
        <v>-9.382071046192908E-2</v>
      </c>
      <c r="BL12" s="13">
        <f t="shared" si="8"/>
        <v>-9.8274912828041794E-2</v>
      </c>
      <c r="BM12" s="13">
        <f t="shared" si="9"/>
        <v>-0.10469449281875554</v>
      </c>
      <c r="BN12" s="13">
        <f t="shared" si="10"/>
        <v>-0.21249815715759979</v>
      </c>
    </row>
    <row r="13" spans="1:66" x14ac:dyDescent="0.25">
      <c r="N13" s="8" t="s">
        <v>60</v>
      </c>
      <c r="O13" s="13">
        <f t="shared" ref="O13" si="53">+O7/C7-1</f>
        <v>1.6899109436136373E-2</v>
      </c>
      <c r="P13" s="13">
        <f t="shared" ref="P13" si="54">+P7/D7-1</f>
        <v>2.0782655928961447E-3</v>
      </c>
      <c r="Q13" s="13">
        <f t="shared" ref="Q13" si="55">+Q7/E7-1</f>
        <v>-1.890746518884201E-2</v>
      </c>
      <c r="R13" s="13">
        <f t="shared" ref="R13" si="56">+R7/F7-1</f>
        <v>-4.1886147306163801E-2</v>
      </c>
      <c r="S13" s="13">
        <f t="shared" ref="S13" si="57">+S7/G7-1</f>
        <v>-4.7958522359040745E-2</v>
      </c>
      <c r="T13" s="13">
        <f t="shared" ref="T13" si="58">+T7/H7-1</f>
        <v>-6.6720000000000002E-2</v>
      </c>
      <c r="U13" s="13">
        <f t="shared" ref="U13" si="59">+U7/I7-1</f>
        <v>-7.6380107143678377E-2</v>
      </c>
      <c r="V13" s="13">
        <f t="shared" ref="V13" si="60">+V7/J7-1</f>
        <v>-8.3026594276249255E-2</v>
      </c>
      <c r="W13" s="13">
        <f t="shared" ref="W13" si="61">+W7/K7-1</f>
        <v>-8.8718586025959723E-2</v>
      </c>
      <c r="X13" s="13">
        <f t="shared" ref="X13" si="62">+X7/L7-1</f>
        <v>-8.6716722284019276E-2</v>
      </c>
      <c r="Y13" s="13">
        <f t="shared" ref="Y13" si="63">+Y7/M7-1</f>
        <v>-7.9209988860007519E-2</v>
      </c>
      <c r="Z13" s="13">
        <f t="shared" ref="Z13" si="64">+Z7/N7-1</f>
        <v>-7.803514930371136E-2</v>
      </c>
      <c r="AA13" s="13">
        <f t="shared" ref="AA13" si="65">+AA7/O7-1</f>
        <v>-7.1973184146542968E-2</v>
      </c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>
        <f t="shared" ref="AN13" si="66">+AN7/AB7-1</f>
        <v>1.6782038904751051E-2</v>
      </c>
      <c r="AO13" s="13">
        <f t="shared" ref="AO13" si="67">+AO7/AC7-1</f>
        <v>1.9135639109988389E-3</v>
      </c>
      <c r="AP13" s="13">
        <f t="shared" ref="AP13" si="68">+AP7/AD7-1</f>
        <v>-9.559214020180562E-3</v>
      </c>
      <c r="AQ13" s="13">
        <f t="shared" ref="AQ13" si="69">+AQ7/AE7-1</f>
        <v>-1.0648891417887607E-2</v>
      </c>
      <c r="AR13" s="13">
        <f t="shared" ref="AR13" si="70">+AR7/AF7-1</f>
        <v>-8.016560793943972E-3</v>
      </c>
      <c r="AS13" s="13">
        <f t="shared" ref="AS13" si="71">+AS7/AG7-1</f>
        <v>-9.4146121343888778E-3</v>
      </c>
      <c r="AT13" s="13">
        <f t="shared" ref="AT13" si="72">+AT7/AH7-1</f>
        <v>-1.3405819484771819E-2</v>
      </c>
      <c r="AU13" s="13">
        <f t="shared" ref="AU13" si="73">+AU7/AI7-1</f>
        <v>-2.1942542209060778E-2</v>
      </c>
      <c r="AV13" s="13">
        <f t="shared" ref="AV13" si="74">+AV7/AJ7-1</f>
        <v>-2.1427397485413779E-2</v>
      </c>
      <c r="AW13" s="13">
        <f t="shared" ref="AW13" si="75">+AW7/AK7-1</f>
        <v>-2.578374396332983E-2</v>
      </c>
      <c r="AX13" s="13">
        <f t="shared" ref="AX13" si="76">+AX7/AL7-1</f>
        <v>-3.6377911541481289E-2</v>
      </c>
      <c r="AY13" s="13">
        <f t="shared" ref="AY13" si="77">+AY7/AM7-1</f>
        <v>-3.3182319089016699E-2</v>
      </c>
      <c r="AZ13" s="13">
        <f t="shared" ref="AZ13" si="78">+AZ7/AN7-1</f>
        <v>-2.8000000000000025E-2</v>
      </c>
      <c r="BA13" s="13">
        <f t="shared" ref="BA13" si="79">+BA7/AO7-1</f>
        <v>-2.3792591990572265E-2</v>
      </c>
      <c r="BB13" s="13">
        <f t="shared" ref="BB13" si="80">+BB7/AP7-1</f>
        <v>-9.5896061043514447E-3</v>
      </c>
      <c r="BC13" s="13">
        <f t="shared" ref="BC13" si="81">+BC7/AQ7-1</f>
        <v>-1.6104184212148098E-2</v>
      </c>
      <c r="BD13" s="13">
        <f t="shared" ref="BD13" si="82">+BD7/AR7-1</f>
        <v>-1.5958099758582645E-2</v>
      </c>
      <c r="BE13" s="13">
        <f t="shared" si="1"/>
        <v>-8.3652552024018334E-3</v>
      </c>
      <c r="BF13" s="13">
        <f t="shared" si="2"/>
        <v>-1.3379252765602256E-2</v>
      </c>
      <c r="BG13" s="13">
        <f t="shared" si="3"/>
        <v>-1.4234650967199336E-2</v>
      </c>
      <c r="BH13" s="13">
        <f t="shared" si="4"/>
        <v>-1.6795079041840744E-2</v>
      </c>
      <c r="BI13" s="13">
        <f t="shared" si="5"/>
        <v>-1.0397412199630307E-2</v>
      </c>
      <c r="BJ13" s="13">
        <f t="shared" si="6"/>
        <v>-1.0236911377596858E-3</v>
      </c>
      <c r="BK13" s="13">
        <f t="shared" si="7"/>
        <v>-1.2749071259709699E-2</v>
      </c>
      <c r="BL13" s="13">
        <f t="shared" si="8"/>
        <v>-2.5398013052334023E-2</v>
      </c>
      <c r="BM13" s="13">
        <f t="shared" si="9"/>
        <v>-4.7183948715814106E-2</v>
      </c>
      <c r="BN13" s="13">
        <f t="shared" si="10"/>
        <v>-0.14344612181155636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QR Summary HY</vt:lpstr>
      <vt:lpstr>ANZ</vt:lpstr>
      <vt:lpstr>CBA</vt:lpstr>
      <vt:lpstr>NAB</vt:lpstr>
      <vt:lpstr>WBC</vt:lpstr>
      <vt:lpstr>APRA MBS</vt:lpstr>
      <vt:lpstr>'QR Summary HY'!Print_Titles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Johnson</cp:lastModifiedBy>
  <cp:lastPrinted>2020-06-18T05:02:24Z</cp:lastPrinted>
  <dcterms:created xsi:type="dcterms:W3CDTF">2010-01-31T00:18:13Z</dcterms:created>
  <dcterms:modified xsi:type="dcterms:W3CDTF">2022-11-06T06:53:27Z</dcterms:modified>
</cp:coreProperties>
</file>