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ell counts" sheetId="1" state="visible" r:id="rId2"/>
    <sheet name="connectivity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<sst xmlns="http://schemas.openxmlformats.org/spreadsheetml/2006/main" count="157" uniqueCount="80">
  <si>
    <t xml:space="preserve">Domain geometry and cell counts for VisP column model </t>
  </si>
  <si>
    <t xml:space="preserve">Notes:</t>
  </si>
  <si>
    <t xml:space="preserve">Cell densities are from Shuz &amp; Palm (1989)</t>
  </si>
  <si>
    <t xml:space="preserve">Layer thicknesses are measured by Nathan from Brain Atlas</t>
  </si>
  <si>
    <t xml:space="preserve">E fraction is assumed at 85%</t>
  </si>
  <si>
    <t xml:space="preserve">Data for L23 is an average of layer 2 and 3 when available</t>
  </si>
  <si>
    <t xml:space="preserve">Fraction of inhbitory cells are from Lee et al. (2010)</t>
  </si>
  <si>
    <t xml:space="preserve">Domain -  right circular cylinder with a core including biophysically detailed cells and perifery including intfire cell models</t>
  </si>
  <si>
    <t xml:space="preserve">Domain</t>
  </si>
  <si>
    <t xml:space="preserve">core </t>
  </si>
  <si>
    <t xml:space="preserve">perifery</t>
  </si>
  <si>
    <t xml:space="preserve">radius (mm)</t>
  </si>
  <si>
    <t xml:space="preserve">area (mm^2)</t>
  </si>
  <si>
    <t xml:space="preserve">fraction of each within inhibitory</t>
  </si>
  <si>
    <t xml:space="preserve">layer</t>
  </si>
  <si>
    <t xml:space="preserve">density (#/mm^3)</t>
  </si>
  <si>
    <t xml:space="preserve">median thickness (um)</t>
  </si>
  <si>
    <t xml:space="preserve"># of cells core</t>
  </si>
  <si>
    <t xml:space="preserve"># of cells perifery</t>
  </si>
  <si>
    <t xml:space="preserve"># of cell both</t>
  </si>
  <si>
    <t xml:space="preserve">exc frac</t>
  </si>
  <si>
    <t xml:space="preserve">inh frac</t>
  </si>
  <si>
    <t xml:space="preserve">PV </t>
  </si>
  <si>
    <t xml:space="preserve">SST</t>
  </si>
  <si>
    <t xml:space="preserve">5HT3a</t>
  </si>
  <si>
    <t xml:space="preserve">Total</t>
  </si>
  <si>
    <t xml:space="preserve">total</t>
  </si>
  <si>
    <t xml:space="preserve">Biophysically detailed cells within a core</t>
  </si>
  <si>
    <t xml:space="preserve"># of cells</t>
  </si>
  <si>
    <t xml:space="preserve">excitatory</t>
  </si>
  <si>
    <t xml:space="preserve">inhibitory</t>
  </si>
  <si>
    <t xml:space="preserve">PV</t>
  </si>
  <si>
    <t xml:space="preserve">Total inh</t>
  </si>
  <si>
    <t xml:space="preserve">desired</t>
  </si>
  <si>
    <t xml:space="preserve">Cux2:80%, noCux2:20%</t>
  </si>
  <si>
    <t xml:space="preserve">Scnn1a:30%, Rorb:26%, Nr5a1:12%</t>
  </si>
  <si>
    <t xml:space="preserve">Rbp4:80%, noRbp4: 20%</t>
  </si>
  <si>
    <t xml:space="preserve">Ntsr1:80%, noNtsr:20%</t>
  </si>
  <si>
    <t xml:space="preserve">IntFire cells on a perifery</t>
  </si>
  <si>
    <t xml:space="preserve">used</t>
  </si>
  <si>
    <t xml:space="preserve">Cux2:100%, noCux2:0%</t>
  </si>
  <si>
    <t xml:space="preserve">Rbp4:80% noRbp4:20%</t>
  </si>
  <si>
    <t xml:space="preserve">Ntsr1:100%, noNtsr:0%</t>
  </si>
  <si>
    <t xml:space="preserve">IntFire and Biophysical cells</t>
  </si>
  <si>
    <t xml:space="preserve">This</t>
  </si>
  <si>
    <t xml:space="preserve">frac2model</t>
  </si>
  <si>
    <t xml:space="preserve">Shuz &amp; Palm:</t>
  </si>
  <si>
    <t xml:space="preserve">density(#/mm^3)</t>
  </si>
  <si>
    <t xml:space="preserve">depth (um)</t>
  </si>
  <si>
    <t xml:space="preserve"># of cell (0.5nmm2)</t>
  </si>
  <si>
    <t xml:space="preserve"># modeled</t>
  </si>
  <si>
    <t xml:space="preserve">e cells</t>
  </si>
  <si>
    <t xml:space="preserve">i cells</t>
  </si>
  <si>
    <t xml:space="preserve">local (0.5 mm2)</t>
  </si>
  <si>
    <t xml:space="preserve">modeled</t>
  </si>
  <si>
    <t xml:space="preserve"># syns</t>
  </si>
  <si>
    <t xml:space="preserve">ex</t>
  </si>
  <si>
    <t xml:space="preserve">inh</t>
  </si>
  <si>
    <t xml:space="preserve">23e</t>
  </si>
  <si>
    <t xml:space="preserve">23i</t>
  </si>
  <si>
    <t xml:space="preserve">4e</t>
  </si>
  <si>
    <t xml:space="preserve">4i</t>
  </si>
  <si>
    <t xml:space="preserve">5e</t>
  </si>
  <si>
    <t xml:space="preserve">5i</t>
  </si>
  <si>
    <t xml:space="preserve">6e</t>
  </si>
  <si>
    <t xml:space="preserve">6i</t>
  </si>
  <si>
    <t xml:space="preserve">cell # (modeled)</t>
  </si>
  <si>
    <t xml:space="preserve">cell # (P&amp;D)</t>
  </si>
  <si>
    <t xml:space="preserve">P&amp;D connectivity</t>
  </si>
  <si>
    <t xml:space="preserve">sources</t>
  </si>
  <si>
    <t xml:space="preserve">2/3e</t>
  </si>
  <si>
    <t xml:space="preserve">2/3i</t>
  </si>
  <si>
    <t xml:space="preserve">targets</t>
  </si>
  <si>
    <t xml:space="preserve">conv syns in mouse 0.5 mm^2</t>
  </si>
  <si>
    <t xml:space="preserve">all syns</t>
  </si>
  <si>
    <t xml:space="preserve">e syns</t>
  </si>
  <si>
    <t xml:space="preserve">i syns</t>
  </si>
  <si>
    <t xml:space="preserve">P&amp;D synapses</t>
  </si>
  <si>
    <t xml:space="preserve">total:</t>
  </si>
  <si>
    <t xml:space="preserve"># of segs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</si>
</sst>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08080"/>
      </patternFill>
    </fill>
    <fill>
      <patternFill patternType="solid">
        <fgColor rgb="FFCCC1DA"/>
        <bgColor rgb="FFC3D69B"/>
      </patternFill>
    </fill>
    <fill>
      <patternFill patternType="solid">
        <fgColor rgb="FFFFFFFF"/>
        <bgColor rgb="FFFFFFCC"/>
      </patternFill>
    </fill>
    <fill>
      <patternFill patternType="solid">
        <fgColor rgb="FF47B8B8"/>
        <bgColor rgb="FF339966"/>
      </patternFill>
    </fill>
    <fill>
      <patternFill patternType="solid">
        <fgColor rgb="FFFCD5B5"/>
        <bgColor rgb="FFC3D69B"/>
      </patternFill>
    </fill>
    <fill>
      <patternFill patternType="solid">
        <fgColor rgb="FFC3D69B"/>
        <bgColor rgb="FFCCC1DA"/>
      </patternFill>
    </fill>
    <fill>
      <patternFill patternType="solid">
        <fgColor rgb="FF93CDDD"/>
        <bgColor rgb="FFCCC1DA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CD5B5"/>
      <rgbColor rgb="FF3366FF"/>
      <rgbColor rgb="FF47B8B8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7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51" activeCellId="0" sqref="F51"/>
    </sheetView>
  </sheetViews>
  <sheetFormatPr defaultRowHeight="12.8"/>
  <cols>
    <col collapsed="false" hidden="false" max="3" min="1" style="0" width="8.36734693877551"/>
    <col collapsed="false" hidden="false" max="4" min="4" style="0" width="11.3418367346939"/>
    <col collapsed="false" hidden="false" max="6" min="5" style="0" width="10.3928571428571"/>
    <col collapsed="false" hidden="false" max="7" min="7" style="0" width="12.1479591836735"/>
    <col collapsed="false" hidden="false" max="8" min="8" style="0" width="10.8010204081633"/>
    <col collapsed="false" hidden="false" max="9" min="9" style="0" width="9.98979591836735"/>
    <col collapsed="false" hidden="false" max="10" min="10" style="0" width="11.8775510204082"/>
    <col collapsed="false" hidden="false" max="1025" min="11" style="0" width="8.36734693877551"/>
  </cols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</row>
    <row r="3" customFormat="false" ht="12.8" hidden="false" customHeight="false" outlineLevel="0" collapsed="false">
      <c r="C3" s="0" t="s">
        <v>3</v>
      </c>
    </row>
    <row r="4" customFormat="false" ht="12.8" hidden="false" customHeight="false" outlineLevel="0" collapsed="false">
      <c r="C4" s="0" t="s">
        <v>4</v>
      </c>
    </row>
    <row r="5" customFormat="false" ht="12.8" hidden="false" customHeight="false" outlineLevel="0" collapsed="false">
      <c r="C5" s="0" t="s">
        <v>5</v>
      </c>
    </row>
    <row r="6" customFormat="false" ht="12.8" hidden="false" customHeight="false" outlineLevel="0" collapsed="false">
      <c r="C6" s="0" t="s">
        <v>6</v>
      </c>
    </row>
    <row r="7" customFormat="false" ht="12.8" hidden="false" customHeight="false" outlineLevel="0" collapsed="false">
      <c r="C7" s="0" t="s">
        <v>7</v>
      </c>
    </row>
    <row r="9" customFormat="false" ht="12.8" hidden="false" customHeight="false" outlineLevel="0" collapsed="false">
      <c r="D9" s="2" t="s">
        <v>8</v>
      </c>
      <c r="E9" s="2" t="s">
        <v>9</v>
      </c>
      <c r="F9" s="2" t="s">
        <v>10</v>
      </c>
      <c r="G9" s="3"/>
    </row>
    <row r="10" customFormat="false" ht="12.8" hidden="false" customHeight="false" outlineLevel="0" collapsed="false">
      <c r="D10" s="2" t="s">
        <v>11</v>
      </c>
      <c r="E10" s="4" t="n">
        <v>0.4</v>
      </c>
      <c r="F10" s="4" t="n">
        <v>0.845</v>
      </c>
      <c r="G10" s="5"/>
    </row>
    <row r="11" customFormat="false" ht="12.8" hidden="false" customHeight="false" outlineLevel="0" collapsed="false">
      <c r="D11" s="2" t="s">
        <v>12</v>
      </c>
      <c r="E11" s="4" t="n">
        <f aca="false">E10^2*PI()</f>
        <v>0.502654824574367</v>
      </c>
      <c r="F11" s="4" t="n">
        <f aca="false">(F10^2-E10^2)*PI()</f>
        <v>1.74052086990508</v>
      </c>
      <c r="G11" s="5"/>
      <c r="K11" s="1" t="s">
        <v>13</v>
      </c>
    </row>
    <row r="13" customFormat="false" ht="15.6" hidden="false" customHeight="true" outlineLevel="0" collapsed="false">
      <c r="B13" s="6" t="s">
        <v>14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I13" s="7" t="s">
        <v>20</v>
      </c>
      <c r="J13" s="8" t="s">
        <v>21</v>
      </c>
      <c r="K13" s="9" t="s">
        <v>22</v>
      </c>
      <c r="L13" s="9" t="s">
        <v>23</v>
      </c>
      <c r="M13" s="9" t="s">
        <v>24</v>
      </c>
      <c r="N13" s="9" t="s">
        <v>25</v>
      </c>
    </row>
    <row r="14" customFormat="false" ht="15.6" hidden="false" customHeight="true" outlineLevel="0" collapsed="false">
      <c r="B14" s="6" t="n">
        <v>1</v>
      </c>
      <c r="C14" s="4" t="n">
        <v>0</v>
      </c>
      <c r="D14" s="4" t="n">
        <v>100</v>
      </c>
      <c r="E14" s="4" t="n">
        <f aca="false">ROUND(C14*D14*$E$11*0.001,0)</f>
        <v>0</v>
      </c>
      <c r="F14" s="4" t="n">
        <f aca="false">ROUND(C14*D14*$F$11*0.001,0)</f>
        <v>0</v>
      </c>
      <c r="G14" s="4" t="n">
        <f aca="false">SUM(E14+F14)</f>
        <v>0</v>
      </c>
      <c r="I14" s="4" t="n">
        <v>0.85</v>
      </c>
      <c r="J14" s="4" t="n">
        <f aca="false">1-I14</f>
        <v>0.15</v>
      </c>
      <c r="K14" s="10"/>
      <c r="L14" s="4"/>
      <c r="M14" s="4"/>
      <c r="N14" s="4"/>
    </row>
    <row r="15" customFormat="false" ht="12.8" hidden="false" customHeight="false" outlineLevel="0" collapsed="false">
      <c r="B15" s="6" t="n">
        <v>23</v>
      </c>
      <c r="C15" s="4" t="n">
        <v>140000</v>
      </c>
      <c r="D15" s="4" t="n">
        <v>210</v>
      </c>
      <c r="E15" s="4" t="n">
        <f aca="false">ROUND(C15*D15*$E$11*0.001,0)</f>
        <v>14778</v>
      </c>
      <c r="F15" s="4" t="n">
        <f aca="false">ROUND(C15*D15*$F$11*0.001,0)</f>
        <v>51171</v>
      </c>
      <c r="G15" s="4" t="n">
        <f aca="false">SUM(E15+F15)</f>
        <v>65949</v>
      </c>
      <c r="I15" s="4" t="n">
        <v>0.85</v>
      </c>
      <c r="J15" s="4" t="n">
        <f aca="false">1-I15</f>
        <v>0.15</v>
      </c>
      <c r="K15" s="10" t="n">
        <f aca="false">29/98</f>
        <v>0.295918367346939</v>
      </c>
      <c r="L15" s="4" t="n">
        <f aca="false">21/98</f>
        <v>0.214285714285714</v>
      </c>
      <c r="M15" s="4" t="n">
        <f aca="false">48/98</f>
        <v>0.489795918367347</v>
      </c>
      <c r="N15" s="4" t="n">
        <f aca="false">SUM(K15:M15)</f>
        <v>1</v>
      </c>
    </row>
    <row r="16" customFormat="false" ht="12.8" hidden="false" customHeight="false" outlineLevel="0" collapsed="false">
      <c r="B16" s="6" t="n">
        <v>4</v>
      </c>
      <c r="C16" s="4" t="n">
        <v>200000</v>
      </c>
      <c r="D16" s="4" t="n">
        <v>120</v>
      </c>
      <c r="E16" s="4" t="n">
        <f aca="false">ROUND(C16*D16*$E$11*0.001,0)</f>
        <v>12064</v>
      </c>
      <c r="F16" s="4" t="n">
        <f aca="false">ROUND(C16*D16*$F$11*0.001,0)</f>
        <v>41773</v>
      </c>
      <c r="G16" s="4" t="n">
        <f aca="false">SUM(E16+F16)</f>
        <v>53837</v>
      </c>
      <c r="I16" s="4" t="n">
        <v>0.85</v>
      </c>
      <c r="J16" s="4" t="n">
        <f aca="false">1-I16</f>
        <v>0.15</v>
      </c>
      <c r="K16" s="10" t="n">
        <f aca="false">58/105</f>
        <v>0.552380952380952</v>
      </c>
      <c r="L16" s="4" t="n">
        <f aca="false">31/105</f>
        <v>0.295238095238095</v>
      </c>
      <c r="M16" s="4" t="n">
        <f aca="false">16/105</f>
        <v>0.152380952380952</v>
      </c>
      <c r="N16" s="4" t="n">
        <f aca="false">SUM(K16:M16)</f>
        <v>0.999999999999999</v>
      </c>
    </row>
    <row r="17" customFormat="false" ht="12.8" hidden="false" customHeight="false" outlineLevel="0" collapsed="false">
      <c r="B17" s="6" t="n">
        <v>5</v>
      </c>
      <c r="C17" s="4" t="n">
        <v>80000</v>
      </c>
      <c r="D17" s="4" t="n">
        <v>220</v>
      </c>
      <c r="E17" s="4" t="n">
        <f aca="false">ROUND(C17*D17*$E$11*0.001,0)</f>
        <v>8847</v>
      </c>
      <c r="F17" s="4" t="n">
        <f aca="false">ROUND(C17*D17*$F$11*0.001,0)</f>
        <v>30633</v>
      </c>
      <c r="G17" s="4" t="n">
        <f aca="false">SUM(E17+F17)</f>
        <v>39480</v>
      </c>
      <c r="I17" s="4" t="n">
        <v>0.85</v>
      </c>
      <c r="J17" s="4" t="n">
        <f aca="false">1-I17</f>
        <v>0.15</v>
      </c>
      <c r="K17" s="10" t="n">
        <f aca="false">51/105</f>
        <v>0.485714285714286</v>
      </c>
      <c r="L17" s="4" t="n">
        <f aca="false">45/105</f>
        <v>0.428571428571429</v>
      </c>
      <c r="M17" s="4" t="n">
        <f aca="false">9/105</f>
        <v>0.0857142857142857</v>
      </c>
      <c r="N17" s="4" t="n">
        <f aca="false">SUM(K17:M17)</f>
        <v>1</v>
      </c>
    </row>
    <row r="18" customFormat="false" ht="12.8" hidden="false" customHeight="false" outlineLevel="0" collapsed="false">
      <c r="B18" s="6" t="n">
        <v>6</v>
      </c>
      <c r="C18" s="4" t="n">
        <v>150000</v>
      </c>
      <c r="D18" s="4" t="n">
        <v>200</v>
      </c>
      <c r="E18" s="4" t="n">
        <f aca="false">ROUND(C18*D18*$E$11*0.001,0)</f>
        <v>15080</v>
      </c>
      <c r="F18" s="4" t="n">
        <f aca="false">ROUND(C18*D18*$F$11*0.001,0)</f>
        <v>52216</v>
      </c>
      <c r="G18" s="4" t="n">
        <f aca="false">SUM(E18+F18)</f>
        <v>67296</v>
      </c>
      <c r="I18" s="4" t="n">
        <v>0.85</v>
      </c>
      <c r="J18" s="4" t="n">
        <f aca="false">1-I18</f>
        <v>0.15</v>
      </c>
      <c r="K18" s="10" t="n">
        <f aca="false">44/96</f>
        <v>0.458333333333333</v>
      </c>
      <c r="L18" s="4" t="n">
        <f aca="false">44/96</f>
        <v>0.458333333333333</v>
      </c>
      <c r="M18" s="4" t="n">
        <f aca="false">8/96</f>
        <v>0.0833333333333333</v>
      </c>
      <c r="N18" s="4" t="n">
        <f aca="false">SUM(K18:M18)</f>
        <v>1</v>
      </c>
    </row>
    <row r="19" customFormat="false" ht="12.8" hidden="false" customHeight="false" outlineLevel="0" collapsed="false">
      <c r="B19" s="6" t="s">
        <v>26</v>
      </c>
      <c r="C19" s="4"/>
      <c r="D19" s="4" t="n">
        <f aca="false">SUM(D14:D18)</f>
        <v>850</v>
      </c>
      <c r="E19" s="4" t="n">
        <f aca="false">SUM(E14:E18)</f>
        <v>50769</v>
      </c>
      <c r="F19" s="4" t="n">
        <f aca="false">SUM(F14:F18)</f>
        <v>175793</v>
      </c>
      <c r="G19" s="4" t="n">
        <f aca="false">SUM(E19+F19)</f>
        <v>226562</v>
      </c>
      <c r="I19" s="5"/>
      <c r="J19" s="5"/>
      <c r="K19" s="5"/>
      <c r="L19" s="5"/>
      <c r="M19" s="5"/>
      <c r="N19" s="5"/>
    </row>
    <row r="22" customFormat="false" ht="12.8" hidden="false" customHeight="false" outlineLevel="0" collapsed="false">
      <c r="G22" s="1" t="s">
        <v>27</v>
      </c>
    </row>
    <row r="23" customFormat="false" ht="12.8" hidden="false" customHeight="false" outlineLevel="0" collapsed="false">
      <c r="G23" s="6" t="s">
        <v>14</v>
      </c>
      <c r="H23" s="2" t="s">
        <v>28</v>
      </c>
      <c r="I23" s="7" t="s">
        <v>29</v>
      </c>
      <c r="J23" s="8" t="s">
        <v>30</v>
      </c>
      <c r="K23" s="9" t="s">
        <v>31</v>
      </c>
      <c r="L23" s="9" t="s">
        <v>23</v>
      </c>
      <c r="M23" s="9" t="s">
        <v>24</v>
      </c>
      <c r="N23" s="9" t="s">
        <v>32</v>
      </c>
    </row>
    <row r="24" customFormat="false" ht="12.8" hidden="false" customHeight="false" outlineLevel="0" collapsed="false">
      <c r="B24" s="11" t="s">
        <v>14</v>
      </c>
      <c r="C24" s="12" t="s">
        <v>33</v>
      </c>
      <c r="G24" s="6" t="n">
        <v>1</v>
      </c>
      <c r="H24" s="4" t="n">
        <f aca="false">E14</f>
        <v>0</v>
      </c>
      <c r="I24" s="4" t="n">
        <f aca="false">ROUND(H24*I14,0)</f>
        <v>0</v>
      </c>
      <c r="J24" s="4" t="n">
        <f aca="false">H24-I24</f>
        <v>0</v>
      </c>
      <c r="K24" s="4" t="n">
        <f aca="false">ROUND($J24*K14,0)</f>
        <v>0</v>
      </c>
      <c r="L24" s="4" t="n">
        <f aca="false">ROUND($J24*L14,0)</f>
        <v>0</v>
      </c>
      <c r="M24" s="4" t="n">
        <f aca="false">ROUND($J24*M14,0)</f>
        <v>0</v>
      </c>
      <c r="N24" s="4"/>
    </row>
    <row r="25" customFormat="false" ht="12.8" hidden="false" customHeight="false" outlineLevel="0" collapsed="false">
      <c r="B25" s="11" t="n">
        <v>23</v>
      </c>
      <c r="C25" s="0" t="s">
        <v>34</v>
      </c>
      <c r="G25" s="6" t="n">
        <v>23</v>
      </c>
      <c r="H25" s="4" t="n">
        <f aca="false">E15</f>
        <v>14778</v>
      </c>
      <c r="I25" s="4" t="n">
        <f aca="false">ROUND(H25*I15,0)</f>
        <v>12561</v>
      </c>
      <c r="J25" s="4" t="n">
        <f aca="false">H25-I25</f>
        <v>2217</v>
      </c>
      <c r="K25" s="4" t="n">
        <f aca="false">ROUND($J25*K15,0)</f>
        <v>656</v>
      </c>
      <c r="L25" s="4" t="n">
        <f aca="false">ROUND($J25*L15,0)</f>
        <v>475</v>
      </c>
      <c r="M25" s="4" t="n">
        <f aca="false">ROUND($J25*M15,0)</f>
        <v>1086</v>
      </c>
      <c r="N25" s="4" t="n">
        <f aca="false">SUM(K25:M25)</f>
        <v>2217</v>
      </c>
    </row>
    <row r="26" customFormat="false" ht="12.8" hidden="false" customHeight="false" outlineLevel="0" collapsed="false">
      <c r="B26" s="11" t="n">
        <v>4</v>
      </c>
      <c r="C26" s="0" t="s">
        <v>35</v>
      </c>
      <c r="G26" s="6" t="n">
        <v>4</v>
      </c>
      <c r="H26" s="4" t="n">
        <f aca="false">E16</f>
        <v>12064</v>
      </c>
      <c r="I26" s="4" t="n">
        <f aca="false">ROUND(H26*I16,0)</f>
        <v>10254</v>
      </c>
      <c r="J26" s="4" t="n">
        <f aca="false">H26-I26</f>
        <v>1810</v>
      </c>
      <c r="K26" s="4" t="n">
        <f aca="false">ROUND($J26*K16,0)</f>
        <v>1000</v>
      </c>
      <c r="L26" s="4" t="n">
        <f aca="false">ROUND($J26*L16,0)</f>
        <v>534</v>
      </c>
      <c r="M26" s="4" t="n">
        <f aca="false">ROUND($J26*M16,0)</f>
        <v>276</v>
      </c>
      <c r="N26" s="4" t="n">
        <f aca="false">SUM(K26:M26)</f>
        <v>1810</v>
      </c>
    </row>
    <row r="27" customFormat="false" ht="12.8" hidden="false" customHeight="false" outlineLevel="0" collapsed="false">
      <c r="B27" s="11" t="n">
        <v>5</v>
      </c>
      <c r="C27" s="0" t="s">
        <v>36</v>
      </c>
      <c r="G27" s="6" t="n">
        <v>5</v>
      </c>
      <c r="H27" s="4" t="n">
        <f aca="false">E17</f>
        <v>8847</v>
      </c>
      <c r="I27" s="4" t="n">
        <f aca="false">ROUND(H27*I17,0)</f>
        <v>7520</v>
      </c>
      <c r="J27" s="4" t="n">
        <f aca="false">H27-I27</f>
        <v>1327</v>
      </c>
      <c r="K27" s="4" t="n">
        <f aca="false">ROUND($J27*K17,0)</f>
        <v>645</v>
      </c>
      <c r="L27" s="4" t="n">
        <f aca="false">ROUND($J27*L17,0)</f>
        <v>569</v>
      </c>
      <c r="M27" s="4" t="n">
        <f aca="false">ROUND($J27*M17,0)</f>
        <v>114</v>
      </c>
      <c r="N27" s="4" t="n">
        <f aca="false">SUM(K27:M27)</f>
        <v>1328</v>
      </c>
    </row>
    <row r="28" customFormat="false" ht="12.8" hidden="false" customHeight="false" outlineLevel="0" collapsed="false">
      <c r="B28" s="11" t="n">
        <v>6</v>
      </c>
      <c r="C28" s="0" t="s">
        <v>37</v>
      </c>
      <c r="G28" s="6" t="n">
        <v>6</v>
      </c>
      <c r="H28" s="4" t="n">
        <f aca="false">E18</f>
        <v>15080</v>
      </c>
      <c r="I28" s="4" t="n">
        <f aca="false">ROUND(H28*I18,0)</f>
        <v>12818</v>
      </c>
      <c r="J28" s="4" t="n">
        <f aca="false">H28-I28</f>
        <v>2262</v>
      </c>
      <c r="K28" s="4" t="n">
        <f aca="false">ROUND($J28*K18,0)</f>
        <v>1037</v>
      </c>
      <c r="L28" s="4" t="n">
        <f aca="false">ROUND($J28*L18,0)</f>
        <v>1037</v>
      </c>
      <c r="M28" s="4" t="n">
        <f aca="false">ROUND($J28*M18,0)</f>
        <v>189</v>
      </c>
      <c r="N28" s="4" t="n">
        <f aca="false">SUM(K28:M28)</f>
        <v>2263</v>
      </c>
    </row>
    <row r="29" customFormat="false" ht="12.8" hidden="false" customHeight="false" outlineLevel="0" collapsed="false">
      <c r="G29" s="6" t="s">
        <v>26</v>
      </c>
      <c r="H29" s="4" t="n">
        <f aca="false">E19</f>
        <v>50769</v>
      </c>
      <c r="I29" s="4" t="n">
        <f aca="false">SUM(I24:I28)</f>
        <v>43153</v>
      </c>
      <c r="J29" s="4" t="n">
        <f aca="false">SUM(J24:J28)</f>
        <v>7616</v>
      </c>
      <c r="K29" s="4" t="n">
        <f aca="false">SUM(K24:K28)</f>
        <v>3338</v>
      </c>
      <c r="L29" s="4" t="n">
        <f aca="false">SUM(L24:L28)</f>
        <v>2615</v>
      </c>
      <c r="M29" s="4" t="n">
        <f aca="false">SUM(M24:M28)</f>
        <v>1665</v>
      </c>
      <c r="N29" s="4" t="n">
        <f aca="false">SUM(K29:M29)</f>
        <v>7618</v>
      </c>
    </row>
    <row r="30" customFormat="false" ht="12.8" hidden="false" customHeight="false" outlineLevel="0" collapsed="false">
      <c r="G30" s="3"/>
      <c r="H30" s="5"/>
      <c r="I30" s="5"/>
      <c r="J30" s="5"/>
      <c r="K30" s="5"/>
      <c r="L30" s="5"/>
      <c r="M30" s="5"/>
    </row>
    <row r="31" customFormat="false" ht="12.8" hidden="false" customHeight="false" outlineLevel="0" collapsed="false">
      <c r="G31" s="1" t="s">
        <v>38</v>
      </c>
    </row>
    <row r="32" customFormat="false" ht="12.8" hidden="false" customHeight="false" outlineLevel="0" collapsed="false">
      <c r="B32" s="11" t="s">
        <v>14</v>
      </c>
      <c r="C32" s="12" t="s">
        <v>39</v>
      </c>
      <c r="G32" s="6" t="s">
        <v>14</v>
      </c>
      <c r="H32" s="2" t="s">
        <v>28</v>
      </c>
      <c r="I32" s="7" t="s">
        <v>29</v>
      </c>
      <c r="J32" s="8" t="s">
        <v>30</v>
      </c>
      <c r="K32" s="9" t="s">
        <v>31</v>
      </c>
      <c r="L32" s="9" t="s">
        <v>23</v>
      </c>
      <c r="M32" s="9" t="s">
        <v>24</v>
      </c>
      <c r="N32" s="9" t="s">
        <v>32</v>
      </c>
    </row>
    <row r="33" customFormat="false" ht="12.8" hidden="false" customHeight="false" outlineLevel="0" collapsed="false">
      <c r="B33" s="11" t="n">
        <v>23</v>
      </c>
      <c r="C33" s="0" t="s">
        <v>40</v>
      </c>
      <c r="G33" s="6" t="n">
        <v>1</v>
      </c>
      <c r="H33" s="4" t="n">
        <f aca="false">F14</f>
        <v>0</v>
      </c>
      <c r="I33" s="4" t="n">
        <f aca="false">ROUND(H33*I14,0)</f>
        <v>0</v>
      </c>
      <c r="J33" s="4" t="n">
        <f aca="false">H33-I33</f>
        <v>0</v>
      </c>
      <c r="K33" s="4" t="n">
        <f aca="false">ROUND($J33*K14,0)</f>
        <v>0</v>
      </c>
      <c r="L33" s="4" t="n">
        <f aca="false">ROUND($J33*L14,0)</f>
        <v>0</v>
      </c>
      <c r="M33" s="4" t="n">
        <f aca="false">ROUND($J33*M14,0)</f>
        <v>0</v>
      </c>
      <c r="N33" s="4"/>
    </row>
    <row r="34" customFormat="false" ht="12.8" hidden="false" customHeight="false" outlineLevel="0" collapsed="false">
      <c r="B34" s="11" t="n">
        <v>4</v>
      </c>
      <c r="C34" s="0" t="s">
        <v>35</v>
      </c>
      <c r="G34" s="6" t="n">
        <v>23</v>
      </c>
      <c r="H34" s="4" t="n">
        <f aca="false">F15</f>
        <v>51171</v>
      </c>
      <c r="I34" s="4" t="n">
        <f aca="false">ROUND(H34*I15,0)</f>
        <v>43495</v>
      </c>
      <c r="J34" s="4" t="n">
        <f aca="false">H34-I34</f>
        <v>7676</v>
      </c>
      <c r="K34" s="4" t="n">
        <f aca="false">ROUND($J34*K15,0)</f>
        <v>2271</v>
      </c>
      <c r="L34" s="4" t="n">
        <f aca="false">ROUND($J34*L15,0)</f>
        <v>1645</v>
      </c>
      <c r="M34" s="4" t="n">
        <f aca="false">ROUND($J34*M15,0)</f>
        <v>3760</v>
      </c>
      <c r="N34" s="4" t="n">
        <f aca="false">SUM(K34:M34)</f>
        <v>7676</v>
      </c>
    </row>
    <row r="35" customFormat="false" ht="12.8" hidden="false" customHeight="false" outlineLevel="0" collapsed="false">
      <c r="B35" s="11" t="n">
        <v>5</v>
      </c>
      <c r="C35" s="0" t="s">
        <v>41</v>
      </c>
      <c r="G35" s="6" t="n">
        <v>4</v>
      </c>
      <c r="H35" s="4" t="n">
        <f aca="false">F16</f>
        <v>41773</v>
      </c>
      <c r="I35" s="4" t="n">
        <f aca="false">ROUND(H35*I16,0)</f>
        <v>35507</v>
      </c>
      <c r="J35" s="4" t="n">
        <f aca="false">H35-I35</f>
        <v>6266</v>
      </c>
      <c r="K35" s="4" t="n">
        <f aca="false">ROUND($J35*K16,0)</f>
        <v>3461</v>
      </c>
      <c r="L35" s="4" t="n">
        <f aca="false">ROUND($J35*L16,0)</f>
        <v>1850</v>
      </c>
      <c r="M35" s="4" t="n">
        <f aca="false">ROUND($J35*M16,0)</f>
        <v>955</v>
      </c>
      <c r="N35" s="4" t="n">
        <f aca="false">SUM(K35:M35)</f>
        <v>6266</v>
      </c>
    </row>
    <row r="36" customFormat="false" ht="12.8" hidden="false" customHeight="false" outlineLevel="0" collapsed="false">
      <c r="B36" s="11" t="n">
        <v>6</v>
      </c>
      <c r="C36" s="0" t="s">
        <v>42</v>
      </c>
      <c r="G36" s="6" t="n">
        <v>5</v>
      </c>
      <c r="H36" s="4" t="n">
        <f aca="false">F17</f>
        <v>30633</v>
      </c>
      <c r="I36" s="4" t="n">
        <f aca="false">ROUND(H36*I17,0)</f>
        <v>26038</v>
      </c>
      <c r="J36" s="4" t="n">
        <f aca="false">H36-I36</f>
        <v>4595</v>
      </c>
      <c r="K36" s="4" t="n">
        <f aca="false">ROUND($J36*K17,0)</f>
        <v>2232</v>
      </c>
      <c r="L36" s="4" t="n">
        <f aca="false">ROUND($J36*L17,0)</f>
        <v>1969</v>
      </c>
      <c r="M36" s="4" t="n">
        <f aca="false">ROUND($J36*M17,0)</f>
        <v>394</v>
      </c>
      <c r="N36" s="4" t="n">
        <f aca="false">SUM(K36:M36)</f>
        <v>4595</v>
      </c>
    </row>
    <row r="37" customFormat="false" ht="12.8" hidden="false" customHeight="false" outlineLevel="0" collapsed="false">
      <c r="G37" s="6" t="n">
        <v>6</v>
      </c>
      <c r="H37" s="4" t="n">
        <f aca="false">F18</f>
        <v>52216</v>
      </c>
      <c r="I37" s="4" t="n">
        <f aca="false">ROUND(H37*I18,0)</f>
        <v>44384</v>
      </c>
      <c r="J37" s="4" t="n">
        <f aca="false">H37-I37</f>
        <v>7832</v>
      </c>
      <c r="K37" s="4" t="n">
        <f aca="false">ROUND($J37*K18,0)</f>
        <v>3590</v>
      </c>
      <c r="L37" s="4" t="n">
        <f aca="false">ROUND($J37*L18,0)</f>
        <v>3590</v>
      </c>
      <c r="M37" s="4" t="n">
        <f aca="false">ROUND($J37*M18,0)</f>
        <v>653</v>
      </c>
      <c r="N37" s="4" t="n">
        <f aca="false">SUM(K37:M37)</f>
        <v>7833</v>
      </c>
    </row>
    <row r="38" customFormat="false" ht="12.8" hidden="false" customHeight="false" outlineLevel="0" collapsed="false">
      <c r="G38" s="6" t="s">
        <v>26</v>
      </c>
      <c r="H38" s="4" t="n">
        <f aca="false">F19</f>
        <v>175793</v>
      </c>
      <c r="I38" s="4" t="n">
        <f aca="false">SUM(I33:I37)</f>
        <v>149424</v>
      </c>
      <c r="J38" s="4" t="n">
        <f aca="false">SUM(J33:J37)</f>
        <v>26369</v>
      </c>
      <c r="K38" s="4" t="n">
        <f aca="false">SUM(K33:K37)</f>
        <v>11554</v>
      </c>
      <c r="L38" s="4" t="n">
        <f aca="false">SUM(L33:L37)</f>
        <v>9054</v>
      </c>
      <c r="M38" s="4" t="n">
        <f aca="false">SUM(M33:M37)</f>
        <v>5762</v>
      </c>
      <c r="N38" s="4" t="n">
        <f aca="false">SUM(K38:M38)</f>
        <v>26370</v>
      </c>
    </row>
    <row r="40" customFormat="false" ht="12.8" hidden="false" customHeight="false" outlineLevel="0" collapsed="false">
      <c r="G40" s="1" t="s">
        <v>43</v>
      </c>
    </row>
    <row r="41" customFormat="false" ht="12.8" hidden="false" customHeight="false" outlineLevel="0" collapsed="false">
      <c r="G41" s="6" t="s">
        <v>14</v>
      </c>
      <c r="H41" s="2" t="s">
        <v>28</v>
      </c>
      <c r="I41" s="7" t="s">
        <v>29</v>
      </c>
      <c r="J41" s="8" t="s">
        <v>30</v>
      </c>
      <c r="K41" s="9" t="s">
        <v>31</v>
      </c>
      <c r="L41" s="9" t="s">
        <v>23</v>
      </c>
      <c r="M41" s="9" t="s">
        <v>24</v>
      </c>
      <c r="N41" s="9" t="s">
        <v>32</v>
      </c>
    </row>
    <row r="42" customFormat="false" ht="12.8" hidden="false" customHeight="false" outlineLevel="0" collapsed="false">
      <c r="G42" s="6" t="n">
        <v>1</v>
      </c>
      <c r="H42" s="4" t="n">
        <f aca="false">G14</f>
        <v>0</v>
      </c>
      <c r="I42" s="4" t="n">
        <f aca="false">ROUND(H42*I14,0)</f>
        <v>0</v>
      </c>
      <c r="J42" s="4" t="n">
        <f aca="false">H42-I42</f>
        <v>0</v>
      </c>
      <c r="K42" s="4" t="n">
        <f aca="false">ROUND($J42*K14,0)</f>
        <v>0</v>
      </c>
      <c r="L42" s="4" t="n">
        <f aca="false">ROUND($J42*L14,0)</f>
        <v>0</v>
      </c>
      <c r="M42" s="4" t="n">
        <f aca="false">ROUND($J42*M14,0)</f>
        <v>0</v>
      </c>
      <c r="N42" s="4" t="n">
        <f aca="false">ROUND($J42*N14,0)</f>
        <v>0</v>
      </c>
    </row>
    <row r="43" customFormat="false" ht="12.8" hidden="false" customHeight="false" outlineLevel="0" collapsed="false">
      <c r="G43" s="6" t="n">
        <v>23</v>
      </c>
      <c r="H43" s="4" t="n">
        <f aca="false">G15</f>
        <v>65949</v>
      </c>
      <c r="I43" s="4" t="n">
        <f aca="false">ROUND(H43*I15,0)</f>
        <v>56057</v>
      </c>
      <c r="J43" s="4" t="n">
        <f aca="false">H43-I43</f>
        <v>9892</v>
      </c>
      <c r="K43" s="4" t="n">
        <f aca="false">ROUND($J43*K15,0)</f>
        <v>2927</v>
      </c>
      <c r="L43" s="4" t="n">
        <f aca="false">ROUND($J43*L15,0)</f>
        <v>2120</v>
      </c>
      <c r="M43" s="4" t="n">
        <f aca="false">ROUND($J43*M15,0)</f>
        <v>4845</v>
      </c>
      <c r="N43" s="4" t="n">
        <f aca="false">SUM(K43:M43)</f>
        <v>9892</v>
      </c>
    </row>
    <row r="44" customFormat="false" ht="12.8" hidden="false" customHeight="false" outlineLevel="0" collapsed="false">
      <c r="G44" s="6" t="n">
        <v>4</v>
      </c>
      <c r="H44" s="4" t="n">
        <f aca="false">G16</f>
        <v>53837</v>
      </c>
      <c r="I44" s="4" t="n">
        <f aca="false">ROUND(H44*I16,0)</f>
        <v>45761</v>
      </c>
      <c r="J44" s="4" t="n">
        <f aca="false">H44-I44</f>
        <v>8076</v>
      </c>
      <c r="K44" s="4" t="n">
        <f aca="false">ROUND($J44*K16,0)</f>
        <v>4461</v>
      </c>
      <c r="L44" s="4" t="n">
        <f aca="false">ROUND($J44*L16,0)</f>
        <v>2384</v>
      </c>
      <c r="M44" s="4" t="n">
        <f aca="false">ROUND($J44*M16,0)</f>
        <v>1231</v>
      </c>
      <c r="N44" s="4" t="n">
        <f aca="false">SUM(K44:M44)</f>
        <v>8076</v>
      </c>
    </row>
    <row r="45" customFormat="false" ht="12.8" hidden="false" customHeight="false" outlineLevel="0" collapsed="false">
      <c r="G45" s="6" t="n">
        <v>5</v>
      </c>
      <c r="H45" s="4" t="n">
        <f aca="false">G17</f>
        <v>39480</v>
      </c>
      <c r="I45" s="4" t="n">
        <f aca="false">ROUND(H45*I17,0)</f>
        <v>33558</v>
      </c>
      <c r="J45" s="4" t="n">
        <f aca="false">H45-I45</f>
        <v>5922</v>
      </c>
      <c r="K45" s="4" t="n">
        <f aca="false">ROUND($J45*K17,0)</f>
        <v>2876</v>
      </c>
      <c r="L45" s="4" t="n">
        <f aca="false">ROUND($J45*L17,0)</f>
        <v>2538</v>
      </c>
      <c r="M45" s="4" t="n">
        <f aca="false">ROUND($J45*M17,0)</f>
        <v>508</v>
      </c>
      <c r="N45" s="4" t="n">
        <f aca="false">SUM(K45:M45)</f>
        <v>5922</v>
      </c>
    </row>
    <row r="46" customFormat="false" ht="12.8" hidden="false" customHeight="false" outlineLevel="0" collapsed="false">
      <c r="G46" s="6" t="n">
        <v>6</v>
      </c>
      <c r="H46" s="4" t="n">
        <f aca="false">G18</f>
        <v>67296</v>
      </c>
      <c r="I46" s="4" t="n">
        <f aca="false">ROUND(H46*I18,0)</f>
        <v>57202</v>
      </c>
      <c r="J46" s="4" t="n">
        <f aca="false">H46-I46</f>
        <v>10094</v>
      </c>
      <c r="K46" s="4" t="n">
        <f aca="false">ROUND($J46*K18,0)</f>
        <v>4626</v>
      </c>
      <c r="L46" s="4" t="n">
        <f aca="false">ROUND($J46*L18,0)</f>
        <v>4626</v>
      </c>
      <c r="M46" s="4" t="n">
        <f aca="false">ROUND($J46*M18,0)</f>
        <v>841</v>
      </c>
      <c r="N46" s="4" t="n">
        <f aca="false">SUM(K46:M46)</f>
        <v>10093</v>
      </c>
    </row>
    <row r="47" customFormat="false" ht="12.8" hidden="false" customHeight="false" outlineLevel="0" collapsed="false">
      <c r="G47" s="6" t="s">
        <v>26</v>
      </c>
      <c r="H47" s="4" t="n">
        <f aca="false">G19</f>
        <v>226562</v>
      </c>
      <c r="I47" s="4" t="n">
        <f aca="false">SUM(I42:I46)</f>
        <v>192578</v>
      </c>
      <c r="J47" s="4" t="n">
        <f aca="false">SUM(J42:J46)</f>
        <v>33984</v>
      </c>
      <c r="K47" s="4" t="n">
        <f aca="false">SUM(K42:K46)</f>
        <v>14890</v>
      </c>
      <c r="L47" s="4" t="n">
        <f aca="false">SUM(L42:L46)</f>
        <v>11668</v>
      </c>
      <c r="M47" s="4" t="n">
        <f aca="false">SUM(M42:M46)</f>
        <v>7425</v>
      </c>
      <c r="N47" s="4" t="n">
        <f aca="false">SUM(N42:N46)</f>
        <v>33983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3.2"/>
  <cols>
    <col collapsed="false" hidden="false" max="11" min="1" style="0" width="8.36734693877551"/>
    <col collapsed="false" hidden="false" max="12" min="12" style="0" width="8.50510204081633"/>
    <col collapsed="false" hidden="false" max="1025" min="13" style="0" width="8.36734693877551"/>
  </cols>
  <sheetData>
    <row r="2" customFormat="false" ht="13.2" hidden="false" customHeight="false" outlineLevel="0" collapsed="false">
      <c r="H2" s="5"/>
      <c r="I2" s="5"/>
    </row>
    <row r="3" customFormat="false" ht="13.8" hidden="false" customHeight="false" outlineLevel="0" collapsed="false">
      <c r="B3" s="0" t="s">
        <v>44</v>
      </c>
      <c r="H3" s="5"/>
      <c r="I3" s="5"/>
    </row>
    <row r="4" customFormat="false" ht="13.8" hidden="false" customHeight="false" outlineLevel="0" collapsed="false">
      <c r="A4" s="1"/>
      <c r="G4" s="13" t="s">
        <v>45</v>
      </c>
      <c r="H4" s="14" t="n">
        <v>1</v>
      </c>
      <c r="I4" s="5"/>
    </row>
    <row r="5" customFormat="false" ht="13.2" hidden="false" customHeight="false" outlineLevel="0" collapsed="false">
      <c r="H5" s="5"/>
      <c r="I5" s="5"/>
    </row>
    <row r="6" customFormat="false" ht="13.2" hidden="false" customHeight="false" outlineLevel="0" collapsed="false">
      <c r="H6" s="5"/>
      <c r="I6" s="5"/>
    </row>
    <row r="7" customFormat="false" ht="13.8" hidden="false" customHeight="false" outlineLevel="0" collapsed="false">
      <c r="B7" s="0" t="s">
        <v>46</v>
      </c>
    </row>
    <row r="8" customFormat="false" ht="13.8" hidden="false" customHeight="false" outlineLevel="0" collapsed="false">
      <c r="B8" s="15"/>
      <c r="C8" s="16" t="s">
        <v>47</v>
      </c>
      <c r="D8" s="16" t="s">
        <v>48</v>
      </c>
      <c r="E8" s="16" t="s">
        <v>49</v>
      </c>
      <c r="F8" s="16" t="s">
        <v>50</v>
      </c>
      <c r="G8" s="16" t="s">
        <v>51</v>
      </c>
      <c r="H8" s="17" t="s">
        <v>52</v>
      </c>
    </row>
    <row r="9" customFormat="false" ht="13.8" hidden="false" customHeight="false" outlineLevel="0" collapsed="false">
      <c r="B9" s="18" t="n">
        <v>23</v>
      </c>
      <c r="C9" s="19" t="n">
        <v>140000</v>
      </c>
      <c r="D9" s="19" t="n">
        <v>246</v>
      </c>
      <c r="E9" s="19" t="n">
        <f aca="false">D9*C9*0.5*0.001</f>
        <v>17220</v>
      </c>
      <c r="F9" s="19" t="n">
        <f aca="false">E9*H4</f>
        <v>17220</v>
      </c>
      <c r="G9" s="19" t="n">
        <f aca="false">F9*0.8</f>
        <v>13776</v>
      </c>
      <c r="H9" s="19" t="n">
        <f aca="false">F9*0.2</f>
        <v>3444</v>
      </c>
      <c r="J9" s="20"/>
      <c r="K9" s="21" t="s">
        <v>26</v>
      </c>
      <c r="L9" s="21" t="s">
        <v>53</v>
      </c>
      <c r="M9" s="14" t="s">
        <v>54</v>
      </c>
    </row>
    <row r="10" customFormat="false" ht="13.2" hidden="false" customHeight="false" outlineLevel="0" collapsed="false">
      <c r="B10" s="18" t="n">
        <v>4</v>
      </c>
      <c r="C10" s="4" t="n">
        <v>190000</v>
      </c>
      <c r="D10" s="4" t="n">
        <v>105</v>
      </c>
      <c r="E10" s="4" t="n">
        <f aca="false">D10*C10*0.5*0.001</f>
        <v>9975</v>
      </c>
      <c r="F10" s="4" t="n">
        <f aca="false">E10*H4</f>
        <v>9975</v>
      </c>
      <c r="G10" s="4" t="n">
        <f aca="false">F10*0.8</f>
        <v>7980</v>
      </c>
      <c r="H10" s="4" t="n">
        <f aca="false">F10*0.2</f>
        <v>1995</v>
      </c>
      <c r="J10" s="22" t="s">
        <v>55</v>
      </c>
      <c r="K10" s="5" t="n">
        <v>7000</v>
      </c>
      <c r="L10" s="5" t="n">
        <f aca="false">L11+L12</f>
        <v>2520</v>
      </c>
      <c r="M10" s="23" t="n">
        <f aca="false">L10*H4</f>
        <v>2520</v>
      </c>
    </row>
    <row r="11" customFormat="false" ht="13.2" hidden="false" customHeight="false" outlineLevel="0" collapsed="false">
      <c r="B11" s="18" t="n">
        <v>5</v>
      </c>
      <c r="C11" s="4" t="n">
        <v>80000</v>
      </c>
      <c r="D11" s="4" t="n">
        <v>190</v>
      </c>
      <c r="E11" s="4" t="n">
        <f aca="false">D11*C11*0.5*0.001</f>
        <v>7600</v>
      </c>
      <c r="F11" s="4" t="n">
        <f aca="false">E11*H4</f>
        <v>7600</v>
      </c>
      <c r="G11" s="4" t="n">
        <f aca="false">F11*0.8</f>
        <v>6080</v>
      </c>
      <c r="H11" s="4" t="n">
        <f aca="false">F11*0.2</f>
        <v>1520</v>
      </c>
      <c r="J11" s="22" t="s">
        <v>56</v>
      </c>
      <c r="K11" s="5" t="n">
        <f aca="false">K10*0.9</f>
        <v>6300</v>
      </c>
      <c r="L11" s="5" t="n">
        <f aca="false">K11*0.3</f>
        <v>1890</v>
      </c>
      <c r="M11" s="23" t="n">
        <f aca="false">L11*H4</f>
        <v>1890</v>
      </c>
    </row>
    <row r="12" customFormat="false" ht="13.8" hidden="false" customHeight="false" outlineLevel="0" collapsed="false">
      <c r="B12" s="18" t="n">
        <v>6</v>
      </c>
      <c r="C12" s="4" t="n">
        <v>140000</v>
      </c>
      <c r="D12" s="4" t="n">
        <v>205</v>
      </c>
      <c r="E12" s="4" t="n">
        <f aca="false">D12*C12*0.5*0.001</f>
        <v>14350</v>
      </c>
      <c r="F12" s="4" t="n">
        <f aca="false">E12</f>
        <v>14350</v>
      </c>
      <c r="G12" s="4" t="n">
        <f aca="false">F12*0.8</f>
        <v>11480</v>
      </c>
      <c r="H12" s="4" t="n">
        <f aca="false">F12*0.2</f>
        <v>2870</v>
      </c>
      <c r="J12" s="24" t="s">
        <v>57</v>
      </c>
      <c r="K12" s="25" t="n">
        <f aca="false">K10*0.1</f>
        <v>700</v>
      </c>
      <c r="L12" s="25" t="n">
        <f aca="false">K12*0.9</f>
        <v>630</v>
      </c>
      <c r="M12" s="26" t="n">
        <f aca="false">L12*H4</f>
        <v>630</v>
      </c>
    </row>
    <row r="13" customFormat="false" ht="13.8" hidden="false" customHeight="false" outlineLevel="0" collapsed="false">
      <c r="B13" s="27" t="s">
        <v>26</v>
      </c>
      <c r="C13" s="4"/>
      <c r="D13" s="4"/>
      <c r="E13" s="4"/>
      <c r="F13" s="4" t="n">
        <f aca="false">SUM(F9:F12)</f>
        <v>49145</v>
      </c>
      <c r="G13" s="4" t="n">
        <f aca="false">F13*0.8</f>
        <v>39316</v>
      </c>
      <c r="H13" s="4" t="n">
        <f aca="false">F13*0.2</f>
        <v>9829</v>
      </c>
    </row>
    <row r="15" customFormat="false" ht="13.2" hidden="false" customHeight="false" outlineLevel="0" collapsed="false">
      <c r="B15" s="28"/>
      <c r="C15" s="29" t="s">
        <v>58</v>
      </c>
      <c r="D15" s="29" t="s">
        <v>59</v>
      </c>
      <c r="E15" s="29" t="s">
        <v>60</v>
      </c>
      <c r="F15" s="29" t="s">
        <v>61</v>
      </c>
      <c r="G15" s="29" t="s">
        <v>62</v>
      </c>
      <c r="H15" s="29" t="s">
        <v>63</v>
      </c>
      <c r="I15" s="29" t="s">
        <v>64</v>
      </c>
      <c r="J15" s="30" t="s">
        <v>65</v>
      </c>
      <c r="K15" s="31" t="s">
        <v>26</v>
      </c>
    </row>
    <row r="16" customFormat="false" ht="13.2" hidden="false" customHeight="false" outlineLevel="0" collapsed="false">
      <c r="A16" s="0" t="s">
        <v>66</v>
      </c>
      <c r="C16" s="4" t="n">
        <f aca="false">13776</f>
        <v>13776</v>
      </c>
      <c r="D16" s="4" t="n">
        <v>3444</v>
      </c>
      <c r="E16" s="4" t="n">
        <v>7980</v>
      </c>
      <c r="F16" s="4" t="n">
        <v>1995</v>
      </c>
      <c r="G16" s="4" t="n">
        <v>6080</v>
      </c>
      <c r="H16" s="4" t="n">
        <v>1520</v>
      </c>
      <c r="I16" s="4" t="n">
        <v>11480</v>
      </c>
      <c r="J16" s="4" t="n">
        <v>2870</v>
      </c>
      <c r="K16" s="0" t="n">
        <f aca="false">SUM(C16:J16)</f>
        <v>49145</v>
      </c>
    </row>
    <row r="17" customFormat="false" ht="13.2" hidden="false" customHeight="false" outlineLevel="0" collapsed="false">
      <c r="A17" s="0" t="s">
        <v>67</v>
      </c>
      <c r="C17" s="4" t="n">
        <v>20683</v>
      </c>
      <c r="D17" s="4" t="n">
        <v>5834</v>
      </c>
      <c r="E17" s="4" t="n">
        <v>21915</v>
      </c>
      <c r="F17" s="4" t="n">
        <v>5479</v>
      </c>
      <c r="G17" s="4" t="n">
        <v>4850</v>
      </c>
      <c r="H17" s="4" t="n">
        <v>1065</v>
      </c>
      <c r="I17" s="4" t="n">
        <v>14395</v>
      </c>
      <c r="J17" s="4" t="n">
        <v>2948</v>
      </c>
    </row>
    <row r="19" customFormat="false" ht="13.8" hidden="false" customHeight="false" outlineLevel="0" collapsed="false">
      <c r="A19" s="0" t="s">
        <v>68</v>
      </c>
      <c r="F19" s="1" t="s">
        <v>69</v>
      </c>
    </row>
    <row r="20" customFormat="false" ht="13.2" hidden="false" customHeight="false" outlineLevel="0" collapsed="false">
      <c r="B20" s="28"/>
      <c r="C20" s="29" t="s">
        <v>58</v>
      </c>
      <c r="D20" s="29" t="s">
        <v>59</v>
      </c>
      <c r="E20" s="29" t="s">
        <v>60</v>
      </c>
      <c r="F20" s="29" t="s">
        <v>61</v>
      </c>
      <c r="G20" s="29" t="s">
        <v>62</v>
      </c>
      <c r="H20" s="29" t="s">
        <v>63</v>
      </c>
      <c r="I20" s="29" t="s">
        <v>64</v>
      </c>
      <c r="J20" s="30" t="s">
        <v>65</v>
      </c>
    </row>
    <row r="21" customFormat="false" ht="13.2" hidden="false" customHeight="false" outlineLevel="0" collapsed="false">
      <c r="B21" s="32" t="s">
        <v>70</v>
      </c>
      <c r="C21" s="4" t="n">
        <v>0.101</v>
      </c>
      <c r="D21" s="4" t="n">
        <v>0.169</v>
      </c>
      <c r="E21" s="4" t="n">
        <v>0.044</v>
      </c>
      <c r="F21" s="4" t="n">
        <v>0.082</v>
      </c>
      <c r="G21" s="4" t="n">
        <v>0.032</v>
      </c>
      <c r="H21" s="4" t="n">
        <v>0</v>
      </c>
      <c r="I21" s="4" t="n">
        <v>0.008</v>
      </c>
      <c r="J21" s="33" t="n">
        <v>0</v>
      </c>
    </row>
    <row r="22" customFormat="false" ht="13.2" hidden="false" customHeight="false" outlineLevel="0" collapsed="false">
      <c r="B22" s="32" t="s">
        <v>71</v>
      </c>
      <c r="C22" s="4" t="n">
        <v>0.135</v>
      </c>
      <c r="D22" s="4" t="n">
        <v>0.137</v>
      </c>
      <c r="E22" s="4" t="n">
        <v>0.032</v>
      </c>
      <c r="F22" s="4" t="n">
        <v>0.052</v>
      </c>
      <c r="G22" s="4" t="n">
        <v>0.075</v>
      </c>
      <c r="H22" s="4" t="n">
        <v>0</v>
      </c>
      <c r="I22" s="4" t="n">
        <v>0.004</v>
      </c>
      <c r="J22" s="33" t="n">
        <v>0</v>
      </c>
    </row>
    <row r="23" customFormat="false" ht="13.2" hidden="false" customHeight="false" outlineLevel="0" collapsed="false">
      <c r="B23" s="32" t="s">
        <v>60</v>
      </c>
      <c r="C23" s="4" t="n">
        <v>0.008</v>
      </c>
      <c r="D23" s="4" t="n">
        <v>0.006</v>
      </c>
      <c r="E23" s="4" t="n">
        <v>0.05</v>
      </c>
      <c r="F23" s="4" t="n">
        <v>0.135</v>
      </c>
      <c r="G23" s="4" t="n">
        <v>0.007</v>
      </c>
      <c r="H23" s="4" t="n">
        <v>0.0003</v>
      </c>
      <c r="I23" s="4" t="n">
        <v>0.045</v>
      </c>
      <c r="J23" s="33" t="n">
        <v>0</v>
      </c>
    </row>
    <row r="24" customFormat="false" ht="13.2" hidden="false" customHeight="false" outlineLevel="0" collapsed="false">
      <c r="A24" s="1" t="s">
        <v>72</v>
      </c>
      <c r="B24" s="32" t="s">
        <v>61</v>
      </c>
      <c r="C24" s="4" t="n">
        <v>0.069</v>
      </c>
      <c r="D24" s="4" t="n">
        <v>0.003</v>
      </c>
      <c r="E24" s="4" t="n">
        <v>0.079</v>
      </c>
      <c r="F24" s="4" t="n">
        <v>0.16</v>
      </c>
      <c r="G24" s="4" t="n">
        <v>0.003</v>
      </c>
      <c r="H24" s="4" t="n">
        <v>0</v>
      </c>
      <c r="I24" s="4" t="n">
        <v>0.106</v>
      </c>
      <c r="J24" s="33" t="n">
        <v>0</v>
      </c>
    </row>
    <row r="25" customFormat="false" ht="13.2" hidden="false" customHeight="false" outlineLevel="0" collapsed="false">
      <c r="B25" s="32" t="s">
        <v>62</v>
      </c>
      <c r="C25" s="4" t="n">
        <v>0.1</v>
      </c>
      <c r="D25" s="4" t="n">
        <v>0.062</v>
      </c>
      <c r="E25" s="4" t="n">
        <v>0.051</v>
      </c>
      <c r="F25" s="4" t="n">
        <v>0.006</v>
      </c>
      <c r="G25" s="4" t="n">
        <v>0.083</v>
      </c>
      <c r="H25" s="4" t="n">
        <v>0.373</v>
      </c>
      <c r="I25" s="4" t="n">
        <v>0.02</v>
      </c>
      <c r="J25" s="33" t="n">
        <v>0</v>
      </c>
    </row>
    <row r="26" customFormat="false" ht="13.2" hidden="false" customHeight="false" outlineLevel="0" collapsed="false">
      <c r="B26" s="32" t="s">
        <v>63</v>
      </c>
      <c r="C26" s="4" t="n">
        <v>0.055</v>
      </c>
      <c r="D26" s="4" t="n">
        <v>0.027</v>
      </c>
      <c r="E26" s="4" t="n">
        <v>0.026</v>
      </c>
      <c r="F26" s="4" t="n">
        <v>0.002</v>
      </c>
      <c r="G26" s="4" t="n">
        <v>0.06</v>
      </c>
      <c r="H26" s="4" t="n">
        <v>0.316</v>
      </c>
      <c r="I26" s="4" t="n">
        <v>0.009</v>
      </c>
      <c r="J26" s="33" t="n">
        <v>0</v>
      </c>
    </row>
    <row r="27" customFormat="false" ht="13.2" hidden="false" customHeight="false" outlineLevel="0" collapsed="false">
      <c r="B27" s="32" t="s">
        <v>64</v>
      </c>
      <c r="C27" s="4" t="n">
        <v>0.016</v>
      </c>
      <c r="D27" s="4" t="n">
        <v>0.007</v>
      </c>
      <c r="E27" s="4" t="n">
        <v>0.021</v>
      </c>
      <c r="F27" s="4" t="n">
        <v>0.017</v>
      </c>
      <c r="G27" s="4" t="n">
        <v>0.057</v>
      </c>
      <c r="H27" s="4" t="n">
        <v>0.02</v>
      </c>
      <c r="I27" s="4" t="n">
        <v>0.04</v>
      </c>
      <c r="J27" s="33" t="n">
        <v>0.225</v>
      </c>
    </row>
    <row r="28" customFormat="false" ht="13.8" hidden="false" customHeight="false" outlineLevel="0" collapsed="false">
      <c r="B28" s="34" t="s">
        <v>65</v>
      </c>
      <c r="C28" s="35" t="n">
        <v>0.036</v>
      </c>
      <c r="D28" s="35" t="n">
        <v>0.001</v>
      </c>
      <c r="E28" s="35" t="n">
        <v>0.003</v>
      </c>
      <c r="F28" s="35" t="n">
        <v>0.001</v>
      </c>
      <c r="G28" s="35" t="n">
        <v>0.028</v>
      </c>
      <c r="H28" s="35" t="n">
        <v>0.008</v>
      </c>
      <c r="I28" s="35" t="n">
        <v>0.066</v>
      </c>
      <c r="J28" s="36" t="n">
        <v>0.144</v>
      </c>
    </row>
    <row r="30" customFormat="false" ht="13.8" hidden="false" customHeight="false" outlineLevel="0" collapsed="false">
      <c r="A30" s="13" t="s">
        <v>73</v>
      </c>
      <c r="B30" s="21"/>
      <c r="C30" s="21"/>
      <c r="D30" s="14"/>
      <c r="E30" s="1" t="s">
        <v>69</v>
      </c>
    </row>
    <row r="31" customFormat="false" ht="13.8" hidden="false" customHeight="false" outlineLevel="0" collapsed="false">
      <c r="B31" s="37"/>
      <c r="C31" s="38" t="s">
        <v>58</v>
      </c>
      <c r="D31" s="38" t="s">
        <v>59</v>
      </c>
      <c r="E31" s="39" t="s">
        <v>60</v>
      </c>
      <c r="F31" s="39" t="s">
        <v>61</v>
      </c>
      <c r="G31" s="39" t="s">
        <v>62</v>
      </c>
      <c r="H31" s="39" t="s">
        <v>63</v>
      </c>
      <c r="I31" s="39" t="s">
        <v>64</v>
      </c>
      <c r="J31" s="40" t="s">
        <v>65</v>
      </c>
      <c r="K31" s="41" t="s">
        <v>74</v>
      </c>
      <c r="L31" s="41" t="s">
        <v>75</v>
      </c>
      <c r="M31" s="41" t="s">
        <v>76</v>
      </c>
    </row>
    <row r="32" customFormat="false" ht="13.2" hidden="false" customHeight="false" outlineLevel="0" collapsed="false">
      <c r="B32" s="42" t="s">
        <v>70</v>
      </c>
      <c r="C32" s="43" t="n">
        <f aca="false">C21*C16</f>
        <v>1391.376</v>
      </c>
      <c r="D32" s="43" t="n">
        <f aca="false">D21*D16</f>
        <v>582.036</v>
      </c>
      <c r="E32" s="43" t="n">
        <f aca="false">E21*E16</f>
        <v>351.12</v>
      </c>
      <c r="F32" s="43" t="n">
        <f aca="false">F21*F16</f>
        <v>163.59</v>
      </c>
      <c r="G32" s="43" t="n">
        <f aca="false">G21*G16</f>
        <v>194.56</v>
      </c>
      <c r="H32" s="44" t="n">
        <f aca="false">H21*H16</f>
        <v>0</v>
      </c>
      <c r="I32" s="43" t="n">
        <f aca="false">I21*I16</f>
        <v>91.84</v>
      </c>
      <c r="J32" s="45" t="n">
        <f aca="false">J21*J16</f>
        <v>0</v>
      </c>
      <c r="K32" s="44" t="n">
        <f aca="false">SUM(C32:J32)</f>
        <v>2774.522</v>
      </c>
      <c r="L32" s="44" t="n">
        <f aca="false">SUM(C32,E32,G32,I32)</f>
        <v>2028.896</v>
      </c>
      <c r="M32" s="44" t="n">
        <f aca="false">SUM(D32,F32,H32,J32)</f>
        <v>745.626</v>
      </c>
    </row>
    <row r="33" customFormat="false" ht="13.2" hidden="false" customHeight="false" outlineLevel="0" collapsed="false">
      <c r="B33" s="46" t="s">
        <v>71</v>
      </c>
      <c r="C33" s="43" t="n">
        <f aca="false">C22*C16</f>
        <v>1859.76</v>
      </c>
      <c r="D33" s="43" t="n">
        <f aca="false">D22*D16</f>
        <v>471.828</v>
      </c>
      <c r="E33" s="43" t="n">
        <f aca="false">E22*E16</f>
        <v>255.36</v>
      </c>
      <c r="F33" s="43" t="n">
        <f aca="false">F22*F16</f>
        <v>103.74</v>
      </c>
      <c r="G33" s="43" t="n">
        <f aca="false">G22*G16</f>
        <v>456</v>
      </c>
      <c r="H33" s="44" t="n">
        <f aca="false">H22*H16</f>
        <v>0</v>
      </c>
      <c r="I33" s="43" t="n">
        <f aca="false">I22*I16</f>
        <v>45.92</v>
      </c>
      <c r="J33" s="45" t="n">
        <f aca="false">J22*J16</f>
        <v>0</v>
      </c>
      <c r="K33" s="44" t="n">
        <f aca="false">SUM(C33:J33)</f>
        <v>3192.608</v>
      </c>
      <c r="L33" s="44" t="n">
        <f aca="false">SUM(C33,E33,G33,I33)</f>
        <v>2617.04</v>
      </c>
      <c r="M33" s="44" t="n">
        <f aca="false">SUM(D33,F33,H33,J33)</f>
        <v>575.568</v>
      </c>
    </row>
    <row r="34" customFormat="false" ht="13.2" hidden="false" customHeight="false" outlineLevel="0" collapsed="false">
      <c r="B34" s="46" t="s">
        <v>60</v>
      </c>
      <c r="C34" s="43" t="n">
        <f aca="false">C23*C16</f>
        <v>110.208</v>
      </c>
      <c r="D34" s="43" t="n">
        <f aca="false">D23*D16</f>
        <v>20.664</v>
      </c>
      <c r="E34" s="43" t="n">
        <f aca="false">E23*E16</f>
        <v>399</v>
      </c>
      <c r="F34" s="43" t="n">
        <f aca="false">F23*F16</f>
        <v>269.325</v>
      </c>
      <c r="G34" s="43" t="n">
        <f aca="false">G23*G16</f>
        <v>42.56</v>
      </c>
      <c r="H34" s="44" t="n">
        <f aca="false">H23*H16</f>
        <v>0.456</v>
      </c>
      <c r="I34" s="43" t="n">
        <f aca="false">I23*I16</f>
        <v>516.6</v>
      </c>
      <c r="J34" s="45" t="n">
        <f aca="false">J23*J16</f>
        <v>0</v>
      </c>
      <c r="K34" s="44" t="n">
        <f aca="false">SUM(C34:J34)</f>
        <v>1358.813</v>
      </c>
      <c r="L34" s="44" t="n">
        <f aca="false">SUM(C34,E34,G34,I34)</f>
        <v>1068.368</v>
      </c>
      <c r="M34" s="44" t="n">
        <f aca="false">SUM(D34,F34,H34,J34)</f>
        <v>290.445</v>
      </c>
    </row>
    <row r="35" customFormat="false" ht="13.2" hidden="false" customHeight="false" outlineLevel="0" collapsed="false">
      <c r="A35" s="1" t="s">
        <v>72</v>
      </c>
      <c r="B35" s="46" t="s">
        <v>61</v>
      </c>
      <c r="C35" s="43" t="n">
        <f aca="false">C24*C16</f>
        <v>950.544</v>
      </c>
      <c r="D35" s="43" t="n">
        <f aca="false">D24*D16</f>
        <v>10.332</v>
      </c>
      <c r="E35" s="43" t="n">
        <f aca="false">E24*E16</f>
        <v>630.42</v>
      </c>
      <c r="F35" s="43" t="n">
        <f aca="false">F24*F16</f>
        <v>319.2</v>
      </c>
      <c r="G35" s="43" t="n">
        <f aca="false">G24*G16</f>
        <v>18.24</v>
      </c>
      <c r="H35" s="44" t="n">
        <f aca="false">H24*H16</f>
        <v>0</v>
      </c>
      <c r="I35" s="43" t="n">
        <f aca="false">I24*I16</f>
        <v>1216.88</v>
      </c>
      <c r="J35" s="45" t="n">
        <f aca="false">J24*J16</f>
        <v>0</v>
      </c>
      <c r="K35" s="44" t="n">
        <f aca="false">SUM(C35:J35)</f>
        <v>3145.616</v>
      </c>
      <c r="L35" s="44" t="n">
        <f aca="false">SUM(C35,E35,G35,I35)</f>
        <v>2816.084</v>
      </c>
      <c r="M35" s="44" t="n">
        <f aca="false">SUM(D35,F35,H35,J35)</f>
        <v>329.532</v>
      </c>
    </row>
    <row r="36" customFormat="false" ht="13.2" hidden="false" customHeight="false" outlineLevel="0" collapsed="false">
      <c r="B36" s="46" t="s">
        <v>62</v>
      </c>
      <c r="C36" s="43" t="n">
        <f aca="false">C25*C16</f>
        <v>1377.6</v>
      </c>
      <c r="D36" s="43" t="n">
        <f aca="false">D25*D16</f>
        <v>213.528</v>
      </c>
      <c r="E36" s="43" t="n">
        <f aca="false">E25*E16</f>
        <v>406.98</v>
      </c>
      <c r="F36" s="43" t="n">
        <f aca="false">F25*F16</f>
        <v>11.97</v>
      </c>
      <c r="G36" s="43" t="n">
        <f aca="false">G25*G16</f>
        <v>504.64</v>
      </c>
      <c r="H36" s="43" t="n">
        <f aca="false">H25*H16</f>
        <v>566.96</v>
      </c>
      <c r="I36" s="43" t="n">
        <f aca="false">I25*I16</f>
        <v>229.6</v>
      </c>
      <c r="J36" s="45" t="n">
        <f aca="false">J25*J16</f>
        <v>0</v>
      </c>
      <c r="K36" s="44" t="n">
        <f aca="false">SUM(C36:J36)</f>
        <v>3311.278</v>
      </c>
      <c r="L36" s="44" t="n">
        <f aca="false">SUM(C36,E36,G36,I36)</f>
        <v>2518.82</v>
      </c>
      <c r="M36" s="44" t="n">
        <f aca="false">SUM(D36,F36,H36,J36)</f>
        <v>792.458</v>
      </c>
    </row>
    <row r="37" customFormat="false" ht="13.2" hidden="false" customHeight="false" outlineLevel="0" collapsed="false">
      <c r="B37" s="46" t="s">
        <v>63</v>
      </c>
      <c r="C37" s="43" t="n">
        <f aca="false">C26*C16</f>
        <v>757.68</v>
      </c>
      <c r="D37" s="43" t="n">
        <f aca="false">D26*D16</f>
        <v>92.988</v>
      </c>
      <c r="E37" s="43" t="n">
        <f aca="false">E26*E16</f>
        <v>207.48</v>
      </c>
      <c r="F37" s="44" t="n">
        <f aca="false">F26*F16</f>
        <v>3.99</v>
      </c>
      <c r="G37" s="43" t="n">
        <f aca="false">G26*G16</f>
        <v>364.8</v>
      </c>
      <c r="H37" s="43" t="n">
        <f aca="false">H26*H16</f>
        <v>480.32</v>
      </c>
      <c r="I37" s="43" t="n">
        <f aca="false">I26*I16</f>
        <v>103.32</v>
      </c>
      <c r="J37" s="45" t="n">
        <f aca="false">J26*J16</f>
        <v>0</v>
      </c>
      <c r="K37" s="44" t="n">
        <f aca="false">SUM(C37:J37)</f>
        <v>2010.578</v>
      </c>
      <c r="L37" s="44" t="n">
        <f aca="false">SUM(C37,E37,G37,I37)</f>
        <v>1433.28</v>
      </c>
      <c r="M37" s="44" t="n">
        <f aca="false">SUM(D37,F37,H37,J37)</f>
        <v>577.298</v>
      </c>
    </row>
    <row r="38" customFormat="false" ht="13.2" hidden="false" customHeight="false" outlineLevel="0" collapsed="false">
      <c r="B38" s="46" t="s">
        <v>64</v>
      </c>
      <c r="C38" s="43" t="n">
        <f aca="false">C27*C16</f>
        <v>220.416</v>
      </c>
      <c r="D38" s="43" t="n">
        <f aca="false">D27*D16</f>
        <v>24.108</v>
      </c>
      <c r="E38" s="43" t="n">
        <f aca="false">E27*E16</f>
        <v>167.58</v>
      </c>
      <c r="F38" s="43" t="n">
        <f aca="false">F27*F16</f>
        <v>33.915</v>
      </c>
      <c r="G38" s="43" t="n">
        <f aca="false">G27*G16</f>
        <v>346.56</v>
      </c>
      <c r="H38" s="43" t="n">
        <f aca="false">H27*H16</f>
        <v>30.4</v>
      </c>
      <c r="I38" s="43" t="n">
        <f aca="false">I27*I16</f>
        <v>459.2</v>
      </c>
      <c r="J38" s="47" t="n">
        <f aca="false">J27*J16</f>
        <v>645.75</v>
      </c>
      <c r="K38" s="44" t="n">
        <f aca="false">SUM(C38:J38)</f>
        <v>1927.929</v>
      </c>
      <c r="L38" s="44" t="n">
        <f aca="false">SUM(C38,E38,G38,I38)</f>
        <v>1193.756</v>
      </c>
      <c r="M38" s="44" t="n">
        <f aca="false">SUM(D38,F38,H38,J38)</f>
        <v>734.173</v>
      </c>
    </row>
    <row r="39" customFormat="false" ht="13.8" hidden="false" customHeight="false" outlineLevel="0" collapsed="false">
      <c r="B39" s="48" t="s">
        <v>65</v>
      </c>
      <c r="C39" s="43" t="n">
        <f aca="false">C28*C16</f>
        <v>495.936</v>
      </c>
      <c r="D39" s="44" t="n">
        <f aca="false">D28*D16</f>
        <v>3.444</v>
      </c>
      <c r="E39" s="43" t="n">
        <f aca="false">E28*E16</f>
        <v>23.94</v>
      </c>
      <c r="F39" s="44" t="n">
        <f aca="false">F28*F16</f>
        <v>1.995</v>
      </c>
      <c r="G39" s="43" t="n">
        <f aca="false">G28*G16</f>
        <v>170.24</v>
      </c>
      <c r="H39" s="43" t="n">
        <f aca="false">H28*H16</f>
        <v>12.16</v>
      </c>
      <c r="I39" s="43" t="n">
        <f aca="false">I28*I16</f>
        <v>757.68</v>
      </c>
      <c r="J39" s="47" t="n">
        <f aca="false">J28*J16</f>
        <v>413.28</v>
      </c>
      <c r="K39" s="44" t="n">
        <f aca="false">SUM(C39:J39)</f>
        <v>1878.675</v>
      </c>
      <c r="L39" s="44" t="n">
        <f aca="false">SUM(C39,E39,G39,I39)</f>
        <v>1447.796</v>
      </c>
      <c r="M39" s="44" t="n">
        <f aca="false">SUM(D39,F39,H39,J39)</f>
        <v>430.879</v>
      </c>
    </row>
    <row r="40" customFormat="false" ht="13.2" hidden="false" customHeight="false" outlineLevel="0" collapsed="false">
      <c r="K40" s="49"/>
      <c r="L40" s="5"/>
      <c r="M40" s="23"/>
    </row>
    <row r="41" customFormat="false" ht="13.8" hidden="false" customHeight="false" outlineLevel="0" collapsed="false">
      <c r="A41" s="0" t="s">
        <v>77</v>
      </c>
      <c r="K41" s="49"/>
      <c r="L41" s="5"/>
      <c r="M41" s="23"/>
    </row>
    <row r="42" customFormat="false" ht="13.2" hidden="false" customHeight="false" outlineLevel="0" collapsed="false">
      <c r="B42" s="50" t="s">
        <v>70</v>
      </c>
      <c r="C42" s="51" t="n">
        <f aca="false">C21*C17</f>
        <v>2088.983</v>
      </c>
      <c r="D42" s="51" t="n">
        <f aca="false">D21*D17</f>
        <v>985.946</v>
      </c>
      <c r="E42" s="51" t="n">
        <f aca="false">E21*E17</f>
        <v>964.26</v>
      </c>
      <c r="F42" s="51" t="n">
        <f aca="false">F21*F17</f>
        <v>449.278</v>
      </c>
      <c r="G42" s="51" t="n">
        <f aca="false">G21*G17</f>
        <v>155.2</v>
      </c>
      <c r="H42" s="51" t="n">
        <f aca="false">H21*H17</f>
        <v>0</v>
      </c>
      <c r="I42" s="51" t="n">
        <f aca="false">I21*I17</f>
        <v>115.16</v>
      </c>
      <c r="J42" s="51" t="n">
        <f aca="false">J21*J17</f>
        <v>0</v>
      </c>
      <c r="K42" s="52" t="n">
        <f aca="false">SUM(C42:J42)</f>
        <v>4758.827</v>
      </c>
      <c r="L42" s="52" t="n">
        <f aca="false">SUM(C42,E42,G42,I42)</f>
        <v>3323.603</v>
      </c>
      <c r="M42" s="53" t="n">
        <f aca="false">SUM(D42,F42,H42,J42)</f>
        <v>1435.224</v>
      </c>
    </row>
    <row r="43" customFormat="false" ht="13.2" hidden="false" customHeight="false" outlineLevel="0" collapsed="false">
      <c r="B43" s="32" t="s">
        <v>71</v>
      </c>
      <c r="C43" s="44" t="n">
        <f aca="false">C22*C17</f>
        <v>2792.205</v>
      </c>
      <c r="D43" s="44" t="n">
        <f aca="false">D22*D17</f>
        <v>799.258</v>
      </c>
      <c r="E43" s="44" t="n">
        <f aca="false">E22*E17</f>
        <v>701.28</v>
      </c>
      <c r="F43" s="44" t="n">
        <f aca="false">F22*F17</f>
        <v>284.908</v>
      </c>
      <c r="G43" s="44" t="n">
        <f aca="false">G22*G17</f>
        <v>363.75</v>
      </c>
      <c r="H43" s="44" t="n">
        <f aca="false">H22*H17</f>
        <v>0</v>
      </c>
      <c r="I43" s="44" t="n">
        <f aca="false">I22*I17</f>
        <v>57.58</v>
      </c>
      <c r="J43" s="44" t="n">
        <f aca="false">J22*J17</f>
        <v>0</v>
      </c>
      <c r="K43" s="54" t="n">
        <f aca="false">SUM(C43:J43)</f>
        <v>4998.981</v>
      </c>
      <c r="L43" s="54" t="n">
        <f aca="false">SUM(C43,E43,G43,I43)</f>
        <v>3914.815</v>
      </c>
      <c r="M43" s="55" t="n">
        <f aca="false">SUM(D43,F43,H43,J43)</f>
        <v>1084.166</v>
      </c>
    </row>
    <row r="44" customFormat="false" ht="13.2" hidden="false" customHeight="false" outlineLevel="0" collapsed="false">
      <c r="B44" s="32" t="s">
        <v>60</v>
      </c>
      <c r="C44" s="44" t="n">
        <f aca="false">C23*C17</f>
        <v>165.464</v>
      </c>
      <c r="D44" s="44" t="n">
        <f aca="false">D23*D17</f>
        <v>35.004</v>
      </c>
      <c r="E44" s="44" t="n">
        <f aca="false">E23*E17</f>
        <v>1095.75</v>
      </c>
      <c r="F44" s="44" t="n">
        <f aca="false">F23*F17</f>
        <v>739.665</v>
      </c>
      <c r="G44" s="44" t="n">
        <f aca="false">G23*G17</f>
        <v>33.95</v>
      </c>
      <c r="H44" s="44" t="n">
        <f aca="false">H23*H17</f>
        <v>0.3195</v>
      </c>
      <c r="I44" s="44" t="n">
        <f aca="false">I23*I17</f>
        <v>647.775</v>
      </c>
      <c r="J44" s="44" t="n">
        <f aca="false">J23*J17</f>
        <v>0</v>
      </c>
      <c r="K44" s="54" t="n">
        <f aca="false">SUM(C44:J44)</f>
        <v>2717.9275</v>
      </c>
      <c r="L44" s="54" t="n">
        <f aca="false">SUM(C44,E44,G44,I44)</f>
        <v>1942.939</v>
      </c>
      <c r="M44" s="55" t="n">
        <f aca="false">SUM(D44,F44,H44,J44)</f>
        <v>774.9885</v>
      </c>
    </row>
    <row r="45" customFormat="false" ht="13.2" hidden="false" customHeight="false" outlineLevel="0" collapsed="false">
      <c r="B45" s="32" t="s">
        <v>61</v>
      </c>
      <c r="C45" s="44" t="n">
        <f aca="false">C24*C17</f>
        <v>1427.127</v>
      </c>
      <c r="D45" s="44" t="n">
        <f aca="false">D24*D17</f>
        <v>17.502</v>
      </c>
      <c r="E45" s="44" t="n">
        <f aca="false">E24*E17</f>
        <v>1731.285</v>
      </c>
      <c r="F45" s="44" t="n">
        <f aca="false">F24*F17</f>
        <v>876.64</v>
      </c>
      <c r="G45" s="44" t="n">
        <f aca="false">G24*G17</f>
        <v>14.55</v>
      </c>
      <c r="H45" s="44" t="n">
        <f aca="false">H24*H17</f>
        <v>0</v>
      </c>
      <c r="I45" s="44" t="n">
        <f aca="false">I24*I17</f>
        <v>1525.87</v>
      </c>
      <c r="J45" s="44" t="n">
        <f aca="false">J24*J17</f>
        <v>0</v>
      </c>
      <c r="K45" s="54" t="n">
        <f aca="false">SUM(C45:J45)</f>
        <v>5592.974</v>
      </c>
      <c r="L45" s="54" t="n">
        <f aca="false">SUM(C45,E45,G45,I45)</f>
        <v>4698.832</v>
      </c>
      <c r="M45" s="55" t="n">
        <f aca="false">SUM(D45,F45,H45,J45)</f>
        <v>894.142</v>
      </c>
    </row>
    <row r="46" customFormat="false" ht="13.2" hidden="false" customHeight="false" outlineLevel="0" collapsed="false">
      <c r="B46" s="32" t="s">
        <v>62</v>
      </c>
      <c r="C46" s="44" t="n">
        <f aca="false">C25*C17</f>
        <v>2068.3</v>
      </c>
      <c r="D46" s="44" t="n">
        <f aca="false">D25*D17</f>
        <v>361.708</v>
      </c>
      <c r="E46" s="44" t="n">
        <f aca="false">E25*E17</f>
        <v>1117.665</v>
      </c>
      <c r="F46" s="44" t="n">
        <f aca="false">F25*F17</f>
        <v>32.874</v>
      </c>
      <c r="G46" s="44" t="n">
        <f aca="false">G25*G17</f>
        <v>402.55</v>
      </c>
      <c r="H46" s="44" t="n">
        <f aca="false">H25*H17</f>
        <v>397.245</v>
      </c>
      <c r="I46" s="44" t="n">
        <f aca="false">I25*I17</f>
        <v>287.9</v>
      </c>
      <c r="J46" s="44" t="n">
        <f aca="false">J25*J17</f>
        <v>0</v>
      </c>
      <c r="K46" s="54" t="n">
        <f aca="false">SUM(C46:J46)</f>
        <v>4668.242</v>
      </c>
      <c r="L46" s="54" t="n">
        <f aca="false">SUM(C46,E46,G46,I46)</f>
        <v>3876.415</v>
      </c>
      <c r="M46" s="55" t="n">
        <f aca="false">SUM(D46,F46,H46,J46)</f>
        <v>791.827</v>
      </c>
    </row>
    <row r="47" customFormat="false" ht="13.2" hidden="false" customHeight="false" outlineLevel="0" collapsed="false">
      <c r="B47" s="32" t="s">
        <v>63</v>
      </c>
      <c r="C47" s="44" t="n">
        <f aca="false">C26*C17</f>
        <v>1137.565</v>
      </c>
      <c r="D47" s="44" t="n">
        <f aca="false">D26*D17</f>
        <v>157.518</v>
      </c>
      <c r="E47" s="44" t="n">
        <f aca="false">E26*E17</f>
        <v>569.79</v>
      </c>
      <c r="F47" s="44" t="n">
        <f aca="false">F26*F17</f>
        <v>10.958</v>
      </c>
      <c r="G47" s="44" t="n">
        <f aca="false">G26*G17</f>
        <v>291</v>
      </c>
      <c r="H47" s="44" t="n">
        <f aca="false">H26*H17</f>
        <v>336.54</v>
      </c>
      <c r="I47" s="44" t="n">
        <f aca="false">I26*I17</f>
        <v>129.555</v>
      </c>
      <c r="J47" s="44" t="n">
        <f aca="false">J26*J17</f>
        <v>0</v>
      </c>
      <c r="K47" s="54" t="n">
        <f aca="false">SUM(C47:J47)</f>
        <v>2632.926</v>
      </c>
      <c r="L47" s="54" t="n">
        <f aca="false">SUM(C47,E47,G47,I47)</f>
        <v>2127.91</v>
      </c>
      <c r="M47" s="55" t="n">
        <f aca="false">SUM(D47,F47,H47,J47)</f>
        <v>505.016</v>
      </c>
    </row>
    <row r="48" customFormat="false" ht="13.2" hidden="false" customHeight="false" outlineLevel="0" collapsed="false">
      <c r="B48" s="32" t="s">
        <v>64</v>
      </c>
      <c r="C48" s="44" t="n">
        <f aca="false">C27*C17</f>
        <v>330.928</v>
      </c>
      <c r="D48" s="44" t="n">
        <f aca="false">D27*D17</f>
        <v>40.838</v>
      </c>
      <c r="E48" s="44" t="n">
        <f aca="false">E27*E17</f>
        <v>460.215</v>
      </c>
      <c r="F48" s="44" t="n">
        <f aca="false">F27*F17</f>
        <v>93.143</v>
      </c>
      <c r="G48" s="44" t="n">
        <f aca="false">G27*G17</f>
        <v>276.45</v>
      </c>
      <c r="H48" s="44" t="n">
        <f aca="false">H27*H17</f>
        <v>21.3</v>
      </c>
      <c r="I48" s="44" t="n">
        <f aca="false">I27*I17</f>
        <v>575.8</v>
      </c>
      <c r="J48" s="44" t="n">
        <f aca="false">J27*J17</f>
        <v>663.3</v>
      </c>
      <c r="K48" s="54" t="n">
        <f aca="false">SUM(C48:J48)</f>
        <v>2461.974</v>
      </c>
      <c r="L48" s="54" t="n">
        <f aca="false">SUM(C48,E48,G48,I48)</f>
        <v>1643.393</v>
      </c>
      <c r="M48" s="55" t="n">
        <f aca="false">SUM(D48,F48,H48,J48)</f>
        <v>818.581</v>
      </c>
    </row>
    <row r="49" customFormat="false" ht="13.8" hidden="false" customHeight="false" outlineLevel="0" collapsed="false">
      <c r="B49" s="34" t="s">
        <v>65</v>
      </c>
      <c r="C49" s="56" t="n">
        <f aca="false">C28*C17</f>
        <v>744.588</v>
      </c>
      <c r="D49" s="56" t="n">
        <f aca="false">D28*D17</f>
        <v>5.834</v>
      </c>
      <c r="E49" s="56" t="n">
        <f aca="false">E28*E17</f>
        <v>65.745</v>
      </c>
      <c r="F49" s="56" t="n">
        <f aca="false">F28*F17</f>
        <v>5.479</v>
      </c>
      <c r="G49" s="56" t="n">
        <f aca="false">G28*G17</f>
        <v>135.8</v>
      </c>
      <c r="H49" s="56" t="n">
        <f aca="false">H28*H17</f>
        <v>8.52</v>
      </c>
      <c r="I49" s="56" t="n">
        <f aca="false">I28*I17</f>
        <v>950.07</v>
      </c>
      <c r="J49" s="56" t="n">
        <f aca="false">J28*J17</f>
        <v>424.512</v>
      </c>
      <c r="K49" s="57" t="n">
        <f aca="false">SUM(C49:J49)</f>
        <v>2340.548</v>
      </c>
      <c r="L49" s="57" t="n">
        <f aca="false">SUM(C49,E49,G49,I49)</f>
        <v>1896.203</v>
      </c>
      <c r="M49" s="58" t="n">
        <f aca="false">SUM(D49,F49,H49,J49)</f>
        <v>444.345</v>
      </c>
    </row>
    <row r="52" customFormat="false" ht="13.8" hidden="false" customHeight="false" outlineLevel="0" collapsed="false"/>
    <row r="53" customFormat="false" ht="13.2" hidden="false" customHeight="false" outlineLevel="0" collapsed="false">
      <c r="B53" s="28"/>
      <c r="C53" s="29" t="s">
        <v>58</v>
      </c>
      <c r="D53" s="29" t="s">
        <v>59</v>
      </c>
      <c r="E53" s="29" t="s">
        <v>60</v>
      </c>
      <c r="F53" s="29" t="s">
        <v>61</v>
      </c>
      <c r="G53" s="29" t="s">
        <v>62</v>
      </c>
      <c r="H53" s="29" t="s">
        <v>63</v>
      </c>
      <c r="I53" s="29" t="s">
        <v>64</v>
      </c>
      <c r="J53" s="30" t="s">
        <v>65</v>
      </c>
      <c r="K53" s="31" t="s">
        <v>78</v>
      </c>
    </row>
    <row r="54" customFormat="false" ht="13.2" hidden="false" customHeight="false" outlineLevel="0" collapsed="false">
      <c r="A54" s="0" t="s">
        <v>66</v>
      </c>
      <c r="C54" s="4" t="n">
        <f aca="false">13776</f>
        <v>13776</v>
      </c>
      <c r="D54" s="4" t="n">
        <v>3444</v>
      </c>
      <c r="E54" s="4" t="n">
        <v>7980</v>
      </c>
      <c r="F54" s="4" t="n">
        <v>1995</v>
      </c>
      <c r="G54" s="4" t="n">
        <v>6080</v>
      </c>
      <c r="H54" s="4" t="n">
        <v>1520</v>
      </c>
      <c r="I54" s="4" t="n">
        <v>11480</v>
      </c>
      <c r="J54" s="4" t="n">
        <v>2870</v>
      </c>
    </row>
    <row r="55" customFormat="false" ht="13.2" hidden="false" customHeight="false" outlineLevel="0" collapsed="false">
      <c r="A55" s="0" t="s">
        <v>79</v>
      </c>
      <c r="C55" s="0" t="n">
        <v>61</v>
      </c>
      <c r="D55" s="0" t="n">
        <v>91</v>
      </c>
      <c r="E55" s="0" t="n">
        <v>93</v>
      </c>
      <c r="F55" s="0" t="n">
        <v>97</v>
      </c>
      <c r="G55" s="0" t="n">
        <v>179</v>
      </c>
      <c r="H55" s="0" t="n">
        <v>152</v>
      </c>
      <c r="I55" s="0" t="n">
        <v>88</v>
      </c>
      <c r="J55" s="0" t="n">
        <v>109</v>
      </c>
    </row>
    <row r="56" customFormat="false" ht="13.2" hidden="false" customHeight="false" outlineLevel="0" collapsed="false">
      <c r="C56" s="0" t="n">
        <f aca="false">C54*C55</f>
        <v>840336</v>
      </c>
      <c r="D56" s="0" t="n">
        <f aca="false">D54*D55</f>
        <v>313404</v>
      </c>
      <c r="E56" s="0" t="n">
        <f aca="false">E54*E55</f>
        <v>742140</v>
      </c>
      <c r="F56" s="0" t="n">
        <f aca="false">F54*F55</f>
        <v>193515</v>
      </c>
      <c r="G56" s="0" t="n">
        <f aca="false">G54*G55</f>
        <v>1088320</v>
      </c>
      <c r="H56" s="0" t="n">
        <f aca="false">H54*H55</f>
        <v>231040</v>
      </c>
      <c r="I56" s="0" t="n">
        <f aca="false">I54*I55</f>
        <v>1010240</v>
      </c>
      <c r="J56" s="0" t="n">
        <f aca="false">J54*J55</f>
        <v>312830</v>
      </c>
      <c r="K56" s="0" t="n">
        <f aca="false">SUM(C56:J56)</f>
        <v>4731825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2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2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LibreOffice/5.1.2.2$Linux_X86_64 LibreOffice_project/d3bf12ecb743fc0d20e0be0c58ca359301eb705f</Application>
  <Company>Allen Institute for Brain Science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2015-04-30T06:01:46Z</dcterms:created>
  <dc:creator>Sergey Gratiy</dc:creator>
  <dc:description/>
  <dc:language>en-US</dc:language>
  <cp:lastModifiedBy/>
  <dcterms:modified xsi:type="dcterms:W3CDTF">2016-08-02T15:20:41Z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Allen Institute for Brain Science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