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Kaischulze\Google Drive\1. PhD\1. Projects\1. First project - Scope review UPF\June_2018\Submission Process\Github Upload\"/>
    </mc:Choice>
  </mc:AlternateContent>
  <xr:revisionPtr revIDLastSave="0" documentId="13_ncr:1_{F74BE803-0D5B-4483-B8D7-09E6A0AFFDF5}" xr6:coauthVersionLast="36" xr6:coauthVersionMax="36" xr10:uidLastSave="{00000000-0000-0000-0000-000000000000}"/>
  <bookViews>
    <workbookView xWindow="0" yWindow="0" windowWidth="18345" windowHeight="8130" tabRatio="898" xr2:uid="{00000000-000D-0000-FFFF-FFFF00000000}"/>
  </bookViews>
  <sheets>
    <sheet name="1. Info For Extraction" sheetId="1" r:id="rId1"/>
    <sheet name="2. Study info" sheetId="4" r:id="rId2"/>
    <sheet name="3. Quality Assessment" sheetId="2" r:id="rId3"/>
    <sheet name="4. Risk Estimate Extraction" sheetId="13" r:id="rId4"/>
    <sheet name="5. Dietary patterns Overview" sheetId="10" r:id="rId5"/>
    <sheet name="6. Dietary patterns Averages" sheetId="11" r:id="rId6"/>
  </sheets>
  <definedNames>
    <definedName name="_xlnm._FilterDatabase" localSheetId="1" hidden="1">'2. Study info'!$A$2:$W$44</definedName>
    <definedName name="_xlnm._FilterDatabase" localSheetId="2" hidden="1">'3. Quality Assessment'!$A$1:$M$1</definedName>
    <definedName name="_xlnm._FilterDatabase" localSheetId="3" hidden="1">'4. Risk Estimate Extraction'!$A$1:$O$168</definedName>
    <definedName name="_xlnm._FilterDatabase" localSheetId="4" hidden="1">'5. Dietary patterns Overview'!$A$1:$G$50</definedName>
    <definedName name="_xlnm._FilterDatabase" localSheetId="5" hidden="1">'6. Dietary patterns Averages'!$A$1:$C$53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3" i="2" l="1"/>
  <c r="D43" i="2"/>
  <c r="E43" i="2"/>
  <c r="F43" i="2"/>
  <c r="G43" i="2"/>
  <c r="H43" i="2"/>
  <c r="I43" i="2"/>
  <c r="J43" i="2"/>
  <c r="B43" i="2"/>
  <c r="E2" i="11"/>
  <c r="E3" i="11"/>
  <c r="E7" i="11"/>
  <c r="E8" i="11"/>
  <c r="E12" i="11"/>
  <c r="E13" i="11"/>
  <c r="E14" i="11"/>
  <c r="E15" i="11"/>
  <c r="E17" i="11"/>
  <c r="E18" i="11"/>
  <c r="E19" i="11"/>
  <c r="E20" i="11"/>
  <c r="E23" i="11"/>
  <c r="E24" i="11"/>
  <c r="E25" i="11"/>
  <c r="E26" i="11"/>
  <c r="E27" i="11"/>
  <c r="E31" i="11"/>
  <c r="E32" i="11"/>
  <c r="E33" i="11"/>
  <c r="E36" i="11"/>
  <c r="E37" i="11"/>
  <c r="E38" i="11"/>
  <c r="E39" i="11"/>
  <c r="E40" i="11"/>
  <c r="E41" i="11"/>
  <c r="E42" i="11"/>
  <c r="E43" i="11"/>
  <c r="E44" i="11"/>
  <c r="E46" i="11"/>
  <c r="K40" i="2"/>
  <c r="K34" i="2"/>
  <c r="K42" i="2"/>
  <c r="K5" i="2"/>
  <c r="K7" i="2"/>
  <c r="K23" i="2"/>
  <c r="K25" i="2"/>
  <c r="K29" i="2"/>
  <c r="K30" i="2"/>
  <c r="K6" i="2"/>
  <c r="K8" i="2"/>
  <c r="K9" i="2"/>
  <c r="K12" i="2"/>
  <c r="K13" i="2"/>
  <c r="K15" i="2"/>
  <c r="K18" i="2"/>
  <c r="K19" i="2"/>
  <c r="K20" i="2"/>
  <c r="K21" i="2"/>
  <c r="K22" i="2"/>
  <c r="K31" i="2"/>
  <c r="K32" i="2"/>
  <c r="K36" i="2"/>
  <c r="K38" i="2"/>
  <c r="K39" i="2"/>
  <c r="K10" i="2"/>
  <c r="K11" i="2"/>
  <c r="K14" i="2"/>
  <c r="K16" i="2"/>
  <c r="K17" i="2"/>
  <c r="K24" i="2"/>
  <c r="K26" i="2"/>
  <c r="K27" i="2"/>
  <c r="K28" i="2"/>
  <c r="K33" i="2"/>
  <c r="K35" i="2"/>
  <c r="K37" i="2"/>
  <c r="K41" i="2"/>
  <c r="K43" i="2"/>
  <c r="K4" i="2"/>
  <c r="K3" i="2"/>
  <c r="K2" i="2"/>
  <c r="H3" i="11"/>
  <c r="H6" i="11"/>
  <c r="H7" i="11"/>
  <c r="H8" i="11"/>
  <c r="H12" i="11"/>
  <c r="H13" i="11"/>
  <c r="H14" i="11"/>
  <c r="H15" i="11"/>
  <c r="H17" i="11"/>
  <c r="H18" i="11"/>
  <c r="H19" i="11"/>
  <c r="H20" i="11"/>
  <c r="H23" i="11"/>
  <c r="H24" i="11"/>
  <c r="H25" i="11"/>
  <c r="H26" i="11"/>
  <c r="H27" i="11"/>
  <c r="H29" i="11"/>
  <c r="H31" i="11"/>
  <c r="H32" i="11"/>
  <c r="H33" i="11"/>
  <c r="H37" i="11"/>
  <c r="H38" i="11"/>
  <c r="H39" i="11"/>
  <c r="H40" i="11"/>
  <c r="H41" i="11"/>
  <c r="H42" i="11"/>
  <c r="H44" i="11"/>
  <c r="H46" i="11"/>
  <c r="E34" i="11"/>
  <c r="E35" i="11"/>
  <c r="D46" i="11"/>
  <c r="G89" i="13"/>
  <c r="G88" i="13"/>
  <c r="G87" i="13"/>
  <c r="G75" i="13"/>
  <c r="G74" i="13"/>
  <c r="G73" i="13"/>
  <c r="G72" i="13"/>
  <c r="G51" i="13"/>
  <c r="F15" i="13"/>
  <c r="F14" i="13"/>
  <c r="F13" i="13"/>
  <c r="F12" i="13"/>
  <c r="F11" i="13"/>
  <c r="G6" i="13"/>
  <c r="G5" i="13"/>
  <c r="G4" i="13"/>
  <c r="G3" i="13"/>
  <c r="H8" i="4"/>
  <c r="H35" i="4"/>
  <c r="H41" i="4"/>
  <c r="H44" i="4"/>
  <c r="G44" i="4"/>
  <c r="H2" i="11"/>
</calcChain>
</file>

<file path=xl/sharedStrings.xml><?xml version="1.0" encoding="utf-8"?>
<sst xmlns="http://schemas.openxmlformats.org/spreadsheetml/2006/main" count="3012" uniqueCount="660">
  <si>
    <t>ambrosini 2012</t>
  </si>
  <si>
    <t>ambrosini2012</t>
  </si>
  <si>
    <t>atkins2016</t>
  </si>
  <si>
    <t>barrington2016</t>
  </si>
  <si>
    <t>besrastrollo2006</t>
  </si>
  <si>
    <t>chan2013</t>
  </si>
  <si>
    <t>cutler2013</t>
  </si>
  <si>
    <t>denovagutierrez2016</t>
  </si>
  <si>
    <t>diethelm2014</t>
  </si>
  <si>
    <t>dominguez2014</t>
  </si>
  <si>
    <t>durao2017</t>
  </si>
  <si>
    <t>guallarcastillion2012</t>
  </si>
  <si>
    <t>heidemann2008</t>
  </si>
  <si>
    <t>hlebowicz2011</t>
  </si>
  <si>
    <t>hu2000</t>
  </si>
  <si>
    <t>martinezgonzales2015</t>
  </si>
  <si>
    <t>mcnaughton2009</t>
  </si>
  <si>
    <t>mcnaughton2008</t>
  </si>
  <si>
    <t>mendonca2016</t>
  </si>
  <si>
    <t>mertens2017</t>
  </si>
  <si>
    <t>mohammadifard2017</t>
  </si>
  <si>
    <t>nanri2013</t>
  </si>
  <si>
    <t>nettleton2009</t>
  </si>
  <si>
    <t>odegaard2012</t>
  </si>
  <si>
    <t>oellingrath2011</t>
  </si>
  <si>
    <t>osler2002</t>
  </si>
  <si>
    <t>pala2013</t>
  </si>
  <si>
    <t>reeds2016</t>
  </si>
  <si>
    <t>ritchie2007</t>
  </si>
  <si>
    <t>schulze2006</t>
  </si>
  <si>
    <t>shikany2015</t>
  </si>
  <si>
    <t>stricker2013</t>
  </si>
  <si>
    <t>togo2004</t>
  </si>
  <si>
    <t>vandam2002</t>
  </si>
  <si>
    <t>varraso2012</t>
  </si>
  <si>
    <t>voortman2016</t>
  </si>
  <si>
    <t>zhang2006</t>
  </si>
  <si>
    <t>schulze2005</t>
  </si>
  <si>
    <t>odegaard2014</t>
  </si>
  <si>
    <t>Author, publication year, country / region</t>
  </si>
  <si>
    <t>Study cohort name</t>
  </si>
  <si>
    <t>Study Information</t>
  </si>
  <si>
    <t>Name of Dietary pattern</t>
  </si>
  <si>
    <t>Exposure information</t>
  </si>
  <si>
    <t>Type of outcome</t>
  </si>
  <si>
    <t>n</t>
  </si>
  <si>
    <t xml:space="preserve">author </t>
  </si>
  <si>
    <t>study</t>
  </si>
  <si>
    <t xml:space="preserve">outcome </t>
  </si>
  <si>
    <t xml:space="preserve">percentile </t>
  </si>
  <si>
    <t xml:space="preserve">dose </t>
  </si>
  <si>
    <t xml:space="preserve">cases </t>
  </si>
  <si>
    <t>unit n</t>
  </si>
  <si>
    <t>rr</t>
  </si>
  <si>
    <t>lb</t>
  </si>
  <si>
    <t>ub</t>
  </si>
  <si>
    <t>risk measure</t>
  </si>
  <si>
    <t>Full data for GL-Method? 1= yes, 2= no</t>
  </si>
  <si>
    <t>notes</t>
  </si>
  <si>
    <t>adiposity</t>
  </si>
  <si>
    <t>na</t>
  </si>
  <si>
    <t>0-25</t>
  </si>
  <si>
    <t>nr</t>
  </si>
  <si>
    <t>&gt;25-50</t>
  </si>
  <si>
    <t>&gt;50-75</t>
  </si>
  <si>
    <t>&gt;75-100</t>
  </si>
  <si>
    <t xml:space="preserve">atkins2016 </t>
  </si>
  <si>
    <t>cvdinc</t>
  </si>
  <si>
    <t>High sugar DP</t>
  </si>
  <si>
    <t>Model 2: age + energy intake, smoking status, alcohol intake, physical activity, social class and BMI;</t>
  </si>
  <si>
    <t>cvdmort</t>
  </si>
  <si>
    <t>hr</t>
  </si>
  <si>
    <t>Model with NO cvd history</t>
  </si>
  <si>
    <t>0-20</t>
  </si>
  <si>
    <t>or</t>
  </si>
  <si>
    <t xml:space="preserve">Model 3: Age (y), sex, total energy intake from non-fast-food sources (kcal/d), fiber intake (g/d), alcohol intake (g/d), leisure-time physical activity (metabolic equivalent-h/wk), smoking status (never smoker, smoker, or former smoker), snacking (yes or no), television watching (h/wk), baseline weight (kg), and weight gain?3 kg in the past 5 y (yes or no). An interaction term (age?sex, P?0.001) was also added.
</t>
  </si>
  <si>
    <t>&gt;20-40</t>
  </si>
  <si>
    <t>&gt;40-60</t>
  </si>
  <si>
    <t>&gt;60-80</t>
  </si>
  <si>
    <t>&gt;80-100</t>
  </si>
  <si>
    <t>chan2013m</t>
  </si>
  <si>
    <t>strokeinc</t>
  </si>
  <si>
    <t>Model 2: adjusted for age, PaSE, energy intake, education level, hong Kong ladder, community ladder, smoking status and alcohol use, BMI and hypertension history;</t>
  </si>
  <si>
    <t>chan2013f</t>
  </si>
  <si>
    <t>cutler2012oldgirls</t>
  </si>
  <si>
    <t>Model 3: race/ethnicity, SES, physical activity, and Time 1 weight status</t>
  </si>
  <si>
    <t>cutler2012oldboys</t>
  </si>
  <si>
    <t>OR for being overweight/obese v. normal weight for a one quintile increase in dietary pattern factor score.</t>
  </si>
  <si>
    <t>cutler2012yougirls</t>
  </si>
  <si>
    <t>cutler2012youboys</t>
  </si>
  <si>
    <t>denovagutierrez2015</t>
  </si>
  <si>
    <t>cvdrisk</t>
  </si>
  <si>
    <t xml:space="preserve">Model 1: Age, sex, time (four 2-y periods), energy intake (quintiles), smoking (never, past, and current), multivitamin use (yes or no), parental history of myocardial infarction (yes or no), history of hypertension (yes or no), physical activity (min/d), BMI (kg/m2; ,25 or $25), and postmenopausal hormone use (yes or no). CVD, cardiovascular disease; Q, quintile. </t>
  </si>
  <si>
    <t>RRs (95% CIs) of developing a Framingham CVD risk score of &gt; 10%</t>
  </si>
  <si>
    <t>0-33.3</t>
  </si>
  <si>
    <t>b, mean change</t>
  </si>
  <si>
    <t>Model 2: baseline BMI, sex, maternal overweight, high paternal education, gestational age, birth weight category and ever fully breast-fed</t>
  </si>
  <si>
    <t>&gt;33.3-66.6</t>
  </si>
  <si>
    <t>PCA change pattern 1 Change in BMI (kg/m2) during the primary school period</t>
  </si>
  <si>
    <t>&gt;66.6-100</t>
  </si>
  <si>
    <t>Mean change in BMI, based on multiple linear regression models with dietary pattern scores as continuous variables.</t>
  </si>
  <si>
    <t>durao2017girls</t>
  </si>
  <si>
    <t>b</t>
  </si>
  <si>
    <t>Model 2: maternal (education, BMI) and child (any breast-feeding, physical exercise, screen time, exact age and each adiposity measure at 4 years) characteristics.</t>
  </si>
  <si>
    <t>All adiposity measures are in Z-score units.</t>
  </si>
  <si>
    <t>fung2004a</t>
  </si>
  <si>
    <t>t2dminc</t>
  </si>
  <si>
    <t>Model 3 (multivariate): Adjusted for age ( 49 y, 50-54 y, 55-59 y, 60-64 y, and  65 y), family history of diabetes (yes vs no), history of hypercholesterolemia (yes vs no), smoking (never, past, current with 1-14 cigarettes per day, current with 15-24 cigarettes per day, current with  25 cigarettes per day, and missing), menopausal status (premenopause, postmenopause but does not use HT, postmenopause and uses HT, and postmenopause and previously used HT), calories, history of
hypertension (yes vs no), physical activity ( 1 h/wk, 1-1.9 h/wk, 2-3.9 h/wk, 4-6.9 h/wk, and  7 h/wk), alcohol intake (abstainer, 0.1-5.0 g/d, 5.1-15.0 g/d,
15.1-30.0 g/d, and  30 g/d), BMI (continuous and quadratic), and missing food frequency questionnaire.</t>
  </si>
  <si>
    <t>fung2004b</t>
  </si>
  <si>
    <t>Model 2: age, smoking status, BMI, menopausal status, aspirin use, energy intake, alcohol
intake, and hours of moderate and vigorous physical activity.</t>
  </si>
  <si>
    <t>chdinc</t>
  </si>
  <si>
    <t>hlebowicz2011f</t>
  </si>
  <si>
    <t>total n: women and men in dietary pattern "sweets and cakes" --&gt; 1034</t>
  </si>
  <si>
    <t>hlebowicz2011m</t>
  </si>
  <si>
    <t>Model 2: Age, time period, smoking, parental history of myocardial infarction before age 60 y, multivitamin and vitamin E supplement use, alcohol consumption, history of hypertension, physical activity (quintiles of metabolic equivalents), total energy intake (quintiles), and profession.</t>
  </si>
  <si>
    <t>Relative risks (95% CIs) of coronary heart disease according to quintiles of Western pattern score</t>
  </si>
  <si>
    <t>t2dgestinc</t>
  </si>
  <si>
    <t>0-3 s/month</t>
  </si>
  <si>
    <t>Model 3 without obese: Age, energy intake, smoking, physical activity, family history of diabetes, cardiovascular disease/hypertension at baseline, parity, adherence to Mediterranean dietary pattern score, alcohol intake, fiber intake, and sugar-sweetened soft drinks consumption, baseline BMI</t>
  </si>
  <si>
    <t>&gt; 3 s/month - 2 s/week</t>
  </si>
  <si>
    <t>&gt; 2 s/week</t>
  </si>
  <si>
    <t>Model 2: sex, age, recruitment center, interventional group, smoking status (never smoker, former smoker and current smoker), baseline body mass index, physical activity during leisure time, self-reported hypertension, self-reported
depression, self-reported diabetes, self-reported hypercholesterolemia and education level (three categories).</t>
  </si>
  <si>
    <t>Model 5: Age, sex, energy misreporting, ethnicity, employment grade, smoking, alcohol, physical activity, BMI (without blood pressure)</t>
  </si>
  <si>
    <t>Model 7: age, sex, energy misreporting, ethnicity, employment  grade, smoking, alcohol, physical activity, BMI (without blood pressure).</t>
  </si>
  <si>
    <t>not entirely sure about the study type due to non-reporting of person-time</t>
  </si>
  <si>
    <t xml:space="preserve">Here: Also without BMI adjustementavailable </t>
  </si>
  <si>
    <t>mendonca2017</t>
  </si>
  <si>
    <t>hypertinc</t>
  </si>
  <si>
    <t>Model 3: sex, age, physical activity, hours of TV watching, baseline body mass index, smoking status, use of analgesics, following a special diet at baseline, family history of hypertension, hypercholesterolemia, alcohol consumption, total energy intake, olive oil intake, and consumption of fruits and vegetables</t>
  </si>
  <si>
    <t>Total cases: 1702, Total person-years: 134,784</t>
  </si>
  <si>
    <t>Model 2: sex, age, marital status, educational status, physical activity, television watching, siesta sleep, smoking
status, snacking between meals, following a special diet at baseline, baseline BMI, and consumption of fruit and vegetables</t>
  </si>
  <si>
    <t>Model 2: age, smoking habits, social class, leisure time physical activity, total energy intake and usual
alcohol consumption</t>
  </si>
  <si>
    <t xml:space="preserve">DP 1 </t>
  </si>
  <si>
    <t>Model 4: age (years) and sex (men/women), education (illiterate/primary school/more than primary school), residency (urban/rural), smoking status (never/past/current smoker), daily physical acivity (METs-min/day), family history of cardiovascular disease (yes/no),  diabetes mellitus (yes/no), hypertension (yes/no), hypercholesterolemia (yes/no), aspirin use and postmenopause in women (yes/no), BMI</t>
  </si>
  <si>
    <t>DP: Fast food</t>
  </si>
  <si>
    <t>nanri2013f</t>
  </si>
  <si>
    <t>available without BMI but is not sustantially different</t>
  </si>
  <si>
    <t>nanri2013m</t>
  </si>
  <si>
    <t xml:space="preserve">Model 2: Study center, age, sex, race-ethnicity, and energy intake (kcal/d), education, physical activity, smoking status, pack-years, and weekly dietary supplement use. </t>
  </si>
  <si>
    <t>no intake</t>
  </si>
  <si>
    <t>1-3 s/month</t>
  </si>
  <si>
    <t>&gt; 3 s/month - &lt; 2 s/week</t>
  </si>
  <si>
    <t>&gt;= 2 s/week</t>
  </si>
  <si>
    <t>Model 2: age, sex, dialect, education, and year of interview, smoking, moderate and vigorous activity, sleep, BMI, history of hypertension (except for cancer), and energy intake</t>
  </si>
  <si>
    <t>x</t>
  </si>
  <si>
    <t>beta</t>
  </si>
  <si>
    <t>chdmort</t>
  </si>
  <si>
    <t>Model 2: I don’t even know! Probably smoking, exercise, education, BMI and alcohol intake.</t>
  </si>
  <si>
    <t xml:space="preserve">Model 2: Adjusted by age (continuous), sex and baseline body mass index (BMI; continuous). Effect of country is accounted for by mixed logistic regression model with country as the grouping variable, baseline BMI (continuous), physical activity (hours of physical activity per week, continuous) and income (low, low/medium, medium, medium/ high and high, based on country-specific distributions). </t>
  </si>
  <si>
    <t>Model 2: age, sex, WC, IL-6 and adiponectin</t>
  </si>
  <si>
    <t>ritchie07white</t>
  </si>
  <si>
    <t>mean</t>
  </si>
  <si>
    <t>DP fast food, Change in BMI between study year 1 (age 9-10)  and year 10 (18-19), Measure at baseline, age of menarche, pregnancy, parental education, physical activity, and TV/video watching (ANOVA).</t>
  </si>
  <si>
    <t>ritchie07black</t>
  </si>
  <si>
    <t>DP sweets and cheese</t>
  </si>
  <si>
    <t xml:space="preserve">mean </t>
  </si>
  <si>
    <t>schulze2005nhsII</t>
  </si>
  <si>
    <t>Model 5: age, sex, race, and age-race interaction, education, household income, and region, total energy intake, smoking, physical activity, body mass index, waist circumference, and history of hypertension, dyslipidemia, and diabetes</t>
  </si>
  <si>
    <t xml:space="preserve">Indidence rate per 10000 also given in table. </t>
  </si>
  <si>
    <t>stricker2012</t>
  </si>
  <si>
    <t>Model 2: age, gender, physical activity, smoking status, education, systolic- and diastolic blood pressure and energy intake</t>
  </si>
  <si>
    <t>Multiple outcomes: CHD and Stroke --&gt; Stroke looks a bit better</t>
  </si>
  <si>
    <t>togo2004f</t>
  </si>
  <si>
    <t>cont</t>
  </si>
  <si>
    <t>DP: Sweet traditional, table 5: OR of being obese (&gt;30), per one unit change of change of food factor scores. Model 2: age, education, smoking, BMI, parity (all M-82), physical activity in leisure time (M-82 and M-87), smoking cessation (after M-87), childbirths from M-87 to M-93 (y/n).</t>
  </si>
  <si>
    <t>togo2004m</t>
  </si>
  <si>
    <t xml:space="preserve">DP: Sweet. Model 2: age, education, smoking, BMI, physical activity in leisure time (M-82 and M-87), smoking cessation (after M-87) </t>
  </si>
  <si>
    <t>Model 2: Age, BMI, PA, total energy, smoking, alcohok, ancestry, hypercholesterolemia (yes or no), ypertension (yes or no), and family history of type 2 diabetes mellitus (yes or no)</t>
  </si>
  <si>
    <t>vteinc</t>
  </si>
  <si>
    <t>Model 1: age, total physical activity level, physical inactivity level, body mass index (weight (kg)/height (m)2), otal caloric intake, smoking, pack-years of smoking, race/ethnicity, spouse’s educational attainment (in women only), parity (in women only), menopausal status (in women only), nonaspirin nonsteroidal antiinflammatory drug use, warfarin use, multivitamin supplement use, hypertension, coronary heart disease, and rheumatologic disease</t>
  </si>
  <si>
    <t>voortmann2016</t>
  </si>
  <si>
    <t>Outcome Fat-mass-index</t>
  </si>
  <si>
    <t xml:space="preserve">Model : age, BMI at enrollment, parity, folic acid supplement use, smoking and alcohol use during pregnancy; paternal smoking and education; household income; and child sex, breastfeeding in the first 4 months of life, timing of introduction of complementary feeding, age at dietary measurement, total energy, intake at 1 year, and television watching at age 2 years
</t>
  </si>
  <si>
    <t>Model 3: age (5-year category), parity (0, 1, 2, 3+), BMI (nine categories), race/ethnicity, cigarette smoking status (never, past, current),
family history of diabetes in a first-degree relative (yes, no), alcohol intake (0, 0.1–5.0, 5.1–15.0 or &gt;15 g/day), physical activity (quintile) and
total energy (quintile)</t>
  </si>
  <si>
    <t>First Author, Year</t>
  </si>
  <si>
    <t>Representativeness of the Exposed Cohort</t>
  </si>
  <si>
    <t>Selection of the Non-exposed cohort</t>
  </si>
  <si>
    <t>Ascertainment of Exposure</t>
  </si>
  <si>
    <t>Demonstration that Outcome was not present at start of study</t>
  </si>
  <si>
    <t>Total Score</t>
  </si>
  <si>
    <t>Ascertainment of outcome</t>
  </si>
  <si>
    <t>Follow-Up long enough for outcomes to occur</t>
  </si>
  <si>
    <t>Adequacy of of follow-up of cohorts</t>
  </si>
  <si>
    <t xml:space="preserve">Outcome information </t>
  </si>
  <si>
    <t>Gender (% female)</t>
  </si>
  <si>
    <t>Age (mean, range) of baseline pop.</t>
  </si>
  <si>
    <t>Ethnicity (% of each if multiple)</t>
  </si>
  <si>
    <t>Cohort definition (inclusion / exclusion)</t>
  </si>
  <si>
    <t>guallarcast2012</t>
  </si>
  <si>
    <t>durao2017boys</t>
  </si>
  <si>
    <t>SD increase in DP z-score</t>
  </si>
  <si>
    <t>Cases calculated from: % of weight gain in quintile (from paper) x n of quartile</t>
  </si>
  <si>
    <t>Person-years approximated: 40757 individuals included, 11 years of follow-up. --&gt; 40757 * 11 / 5 per quartile</t>
  </si>
  <si>
    <t>Person-time approximated: n * 11.6 mean years of follow up</t>
  </si>
  <si>
    <t>Person-time approximated: 134784/3= 44928 person-years per tertile. (fairly similar to calculating n * mean follow-up time 9.1 years)</t>
  </si>
  <si>
    <t>Person-time approximated: n * 12 years mean follow up</t>
  </si>
  <si>
    <t>List of UPF items including loadings (&gt; .2) / Range of UPF intake</t>
  </si>
  <si>
    <t xml:space="preserve">Total # of food items / groups with loadings of &gt; .2 </t>
  </si>
  <si>
    <t>Outcome ascertainment methods</t>
  </si>
  <si>
    <t>Total # number of cases / events</t>
  </si>
  <si>
    <t xml:space="preserve">country </t>
  </si>
  <si>
    <t>region</t>
  </si>
  <si>
    <t>Middle East</t>
  </si>
  <si>
    <t>UK</t>
  </si>
  <si>
    <t>Europe</t>
  </si>
  <si>
    <t>Iran</t>
  </si>
  <si>
    <t>US</t>
  </si>
  <si>
    <t>North America</t>
  </si>
  <si>
    <t>Spain</t>
  </si>
  <si>
    <t xml:space="preserve">China </t>
  </si>
  <si>
    <t>Asia</t>
  </si>
  <si>
    <t xml:space="preserve">US </t>
  </si>
  <si>
    <t>Mexico</t>
  </si>
  <si>
    <t>Germany</t>
  </si>
  <si>
    <t xml:space="preserve">Portugal </t>
  </si>
  <si>
    <t>Sweden</t>
  </si>
  <si>
    <t>Japan</t>
  </si>
  <si>
    <t>Singpore</t>
  </si>
  <si>
    <t>Norway</t>
  </si>
  <si>
    <t>Denmark</t>
  </si>
  <si>
    <t>Multiple</t>
  </si>
  <si>
    <t>HPFS</t>
  </si>
  <si>
    <t>PREDIMED</t>
  </si>
  <si>
    <t>WHII</t>
  </si>
  <si>
    <t>SUN</t>
  </si>
  <si>
    <t>CapS</t>
  </si>
  <si>
    <t>SCHS</t>
  </si>
  <si>
    <t>Canada</t>
  </si>
  <si>
    <t>NGHS</t>
  </si>
  <si>
    <t>NHS II</t>
  </si>
  <si>
    <t>schulze2005b</t>
  </si>
  <si>
    <t>NHS I</t>
  </si>
  <si>
    <t>REGARDS</t>
  </si>
  <si>
    <t>EPIC-NL</t>
  </si>
  <si>
    <t>Netherlands</t>
  </si>
  <si>
    <t>MONICA</t>
  </si>
  <si>
    <t>GenR</t>
  </si>
  <si>
    <t>BRHS</t>
  </si>
  <si>
    <t>HWCS</t>
  </si>
  <si>
    <t>BCGXXI</t>
  </si>
  <si>
    <t>MamDC</t>
  </si>
  <si>
    <t>IDEFICS</t>
  </si>
  <si>
    <t>SLHDP</t>
  </si>
  <si>
    <t>MESA</t>
  </si>
  <si>
    <t>ISFAHAN</t>
  </si>
  <si>
    <t>VITAL</t>
  </si>
  <si>
    <t>HK</t>
  </si>
  <si>
    <t>EAT</t>
  </si>
  <si>
    <t>DONALD</t>
  </si>
  <si>
    <t>EPIC-SPAIN</t>
  </si>
  <si>
    <t>JPHC</t>
  </si>
  <si>
    <t>NORW</t>
  </si>
  <si>
    <t>MONICA I-III</t>
  </si>
  <si>
    <t>UKALS</t>
  </si>
  <si>
    <t>Outcome</t>
  </si>
  <si>
    <t>NHS I / HPFS</t>
  </si>
  <si>
    <t>South America</t>
  </si>
  <si>
    <t>3-day unweighed food diary</t>
  </si>
  <si>
    <t>Chocolate/confectionery (.22),cakes/biscuits (.2), crisps(.2)</t>
  </si>
  <si>
    <t>A priori</t>
  </si>
  <si>
    <t>FFQ (86 items); self-administered postal</t>
  </si>
  <si>
    <t>High-sugar</t>
  </si>
  <si>
    <t xml:space="preserve">FFQ (120 items); semi-quantitative </t>
  </si>
  <si>
    <t>FFI</t>
  </si>
  <si>
    <t>FFQ (136 items)</t>
  </si>
  <si>
    <t>Hamburgers, Pizza, Sausages</t>
  </si>
  <si>
    <t>HPS</t>
  </si>
  <si>
    <t>&lt;3.3 - &gt;34.5 g/day</t>
  </si>
  <si>
    <t>FFQ (280 items)</t>
  </si>
  <si>
    <t>Snack-drinks-milk products</t>
  </si>
  <si>
    <t>A posteriori</t>
  </si>
  <si>
    <t>A posteriori / PCA</t>
  </si>
  <si>
    <t>A posteriori / RRR model</t>
  </si>
  <si>
    <t xml:space="preserve">Condiments (0.52); Fast food (0.36); sweets and desserts (0.33); french fries and potato chips (0.29); cakes, cookies, pies and biscuits (0.24); </t>
  </si>
  <si>
    <t>Sweet/salty snack food pattern</t>
  </si>
  <si>
    <t>FFQ (152 items)</t>
  </si>
  <si>
    <t>FFQ (116 items)</t>
  </si>
  <si>
    <t>A posteriori / FA</t>
  </si>
  <si>
    <t>Refined foods</t>
  </si>
  <si>
    <t>Corn Tortilla (0.6), pastries (0.19), Soft drinks (0.22)</t>
  </si>
  <si>
    <t>3-d weighed dietary records</t>
  </si>
  <si>
    <t>Changes (!) Pancakes / Convenience foods</t>
  </si>
  <si>
    <t>Changes in CF / pancakes</t>
  </si>
  <si>
    <t>0-300g/month - &gt; 200g week</t>
  </si>
  <si>
    <t>FFQ (35 items)</t>
  </si>
  <si>
    <t>Energy Dense Foods</t>
  </si>
  <si>
    <t>processed meats, crisps, pizza/burger, sweets, soft drinks, salty patries</t>
  </si>
  <si>
    <t>FFQ (116 item)</t>
  </si>
  <si>
    <t>Processed meat(0.59), refined grains(0.49),sweets/desserts(0.47),french fries(0.46);high fat dairy products(0.45);high-sugar drinks(0.38);snacks(0.37);condiments(0.36);margarine(0.34);butter(0.31); loadings from Hu 2000, may differ from this study!</t>
  </si>
  <si>
    <t>18 (&lt;.15 omitted)</t>
  </si>
  <si>
    <t>Western</t>
  </si>
  <si>
    <t>Dietary History</t>
  </si>
  <si>
    <t>Total # of food items with a loading on the DP</t>
  </si>
  <si>
    <t xml:space="preserve">Westernized </t>
  </si>
  <si>
    <t xml:space="preserve">Processed meats (0.56); French fries (0.47); Condiments (0.44); Desserts and Sweets (0.43); Pizza (0.35); SSBs (0.33); Margarine (0.33); Mayonaise (0.32); Snacks (0.28); </t>
  </si>
  <si>
    <t xml:space="preserve">Fried potatoes (0.66); processed red meat (0.48); Sauces and Mayonaise (0.4); Sugar, chocolate, and ice-cream (0.19); </t>
  </si>
  <si>
    <t xml:space="preserve">Western </t>
  </si>
  <si>
    <t>1984 DP: Processed meat (0.57); French Fries (0.47); Condiments (0.45); Sweets and Desserts (0.43); Pizza (0.35); Mayonaise (0.34); SSBs (0.32)</t>
  </si>
  <si>
    <t>7-day menu book + diet history questionnaire</t>
  </si>
  <si>
    <t>NA</t>
  </si>
  <si>
    <t>FFQ (127 items)</t>
  </si>
  <si>
    <t>Ultra processed foods</t>
  </si>
  <si>
    <t>A posteriori / Cluster Analyses</t>
  </si>
  <si>
    <t>Sweets and Cakes</t>
  </si>
  <si>
    <t xml:space="preserve">Sweets, Cakes, Pastry, </t>
  </si>
  <si>
    <t>43/no loadings</t>
  </si>
  <si>
    <t xml:space="preserve">no loadings </t>
  </si>
  <si>
    <t>no loadings</t>
  </si>
  <si>
    <t>FFQ (131 items)</t>
  </si>
  <si>
    <t>Processed meat(0.59); Sweets/desserts(0.47); French fries(0.46); SSBs (0.38); Snacks(0.37); Condiments(0.36); Margarine(0.34):</t>
  </si>
  <si>
    <t>FFQ (137 items)</t>
  </si>
  <si>
    <t>High-fat processed meats (0.55); Processed meals (0.32); Commercial bakery (0.29); Chocolates 0.29)</t>
  </si>
  <si>
    <t>A posteriori / RRR</t>
  </si>
  <si>
    <t xml:space="preserve"> SSB(0.23); Burgers and sausages (0.22); Crisps/packaged snacks(0.22); </t>
  </si>
  <si>
    <t xml:space="preserve">FFQ (136 items) </t>
  </si>
  <si>
    <t>FFQ (127 item)</t>
  </si>
  <si>
    <t>Dietary pattern (could be called SSBs and Fast Food)</t>
  </si>
  <si>
    <t xml:space="preserve">White bread (0.274); Fried potatoes (0.258); Burgers &amp; sausages(0.222); SSBs (0.217) </t>
  </si>
  <si>
    <t>A priori / NOVA classification</t>
  </si>
  <si>
    <t>FFQ (48 items)</t>
  </si>
  <si>
    <t>FFQ (147 items)</t>
  </si>
  <si>
    <t>Westernized</t>
  </si>
  <si>
    <t>FFQ (120 items)</t>
  </si>
  <si>
    <t xml:space="preserve">Fats and Processed Meat </t>
  </si>
  <si>
    <t>Western-style fast food</t>
  </si>
  <si>
    <t>Dim sum and meat rich</t>
  </si>
  <si>
    <t>FFQ (26 items)</t>
  </si>
  <si>
    <t>Childrens Eating Habits Questionnaire (CEHQ) (43 items)</t>
  </si>
  <si>
    <t>FFQ (34 items)</t>
  </si>
  <si>
    <t>Beef and processed food pattern</t>
  </si>
  <si>
    <t>3-day food records</t>
  </si>
  <si>
    <t>Several are highly processed but see note for study</t>
  </si>
  <si>
    <t>FFQ (50 items)</t>
  </si>
  <si>
    <t>White bread (0.37); Chips (0.30); SSBs (0.26); Processed meat(0.20)</t>
  </si>
  <si>
    <t xml:space="preserve">DP1 </t>
  </si>
  <si>
    <t>Fast food</t>
  </si>
  <si>
    <t>Hamburger (0.67); Pizza (0.47); Sweets (0.46); SSBs (0.42)</t>
  </si>
  <si>
    <t>M: 33; F: 29</t>
  </si>
  <si>
    <t>M: 25 F: 23</t>
  </si>
  <si>
    <t>Men: Processed meats (0.51); Confectionaries(0.35), SSBs (0.43); Sauce(0.47); Mayonnaise(0.43); Dressing(0.52). Women: Processed meats(0.45); Confectionaries (0.30); Mayonnaise (0.38);  SSBs (0.35); Dressing(0.53)</t>
  </si>
  <si>
    <t>FFQ (165 item)</t>
  </si>
  <si>
    <t>Processed meats (0.64); Fried potatoes (0.60); Salty snacks (0.50); Desserts (0.48); Pizza (0.42); Sweet breads (0.41), Ice cream (0.40), SSB's (0.36); Sweets (0.36)</t>
  </si>
  <si>
    <t>FFQ (165 items)</t>
  </si>
  <si>
    <t>Hamburgers/cheeseburgers; french fries; pizza; other sandwiches; deep-fried chicken; and hot dogs</t>
  </si>
  <si>
    <t xml:space="preserve">Junk/convenience </t>
  </si>
  <si>
    <t xml:space="preserve">(4th grade only): French fries restaurant (0.6), hamburger/kebab(0.56), french fries dinner (0.49), biscuits etc(0.51), sausages/hot dogs(0.44), processed pizza(0.41), waffles(0.47), sweets(0.32), salty snacks(0.32). White bread(0.34), ice cream(0.44), processed meat for dinner (0.26), pancakes(0.45), biscuits etc. between meals (0.34), icecream between meals(0.25), SSB(0.34), sugar cereals(0.33), chocolate spread(0.28).        </t>
  </si>
  <si>
    <t>FFQ (64 items)</t>
  </si>
  <si>
    <t xml:space="preserve">White bread(0.51); Cakes and biscuits(0.43); Candy/chocolate(0.44); Icecream(0.43); Margarine(0.24). </t>
  </si>
  <si>
    <t>Sweet and fat</t>
  </si>
  <si>
    <t xml:space="preserve">Chocolate spreads on bread(0.38);  Cakes, pudding, cookies (0.35); Candy/sweets (0.33); Fried meat (0.28);  SSBs (0.24); Mayonnaise (0.24); Cured meat and sausages (0.21). </t>
  </si>
  <si>
    <t>Ultra-processed foods</t>
  </si>
  <si>
    <t>(Approx. loadings) SSB's (0.43), Klik (0.44), Cookies/Cakes/Pastries (0.42), Chocolate/candy(0.4), Fries(0.33); Margarine (0.22)</t>
  </si>
  <si>
    <t>Not named</t>
  </si>
  <si>
    <t>FFQ (55 items)</t>
  </si>
  <si>
    <t>SSBs (0.47), refined grains(0.46), diet soft drinks(0.26), processed meats(0.39)</t>
  </si>
  <si>
    <t>Western pattern</t>
  </si>
  <si>
    <t>FFQ (110 items)</t>
  </si>
  <si>
    <t>FFQ (26 items, no portions sizes, relative frequency of intake used)</t>
  </si>
  <si>
    <t xml:space="preserve">Men: Sweet and traditional; Female: Sweet-traditional </t>
  </si>
  <si>
    <t xml:space="preserve">Western-like (PCA); </t>
  </si>
  <si>
    <t>FFQ (133 items)</t>
  </si>
  <si>
    <t xml:space="preserve">(1991-values) Processed meats (0.58); French fries(0.50); Sweets and desserts (0.42); Snacks (0.39); Margarine (0.36); Pizza(0.34); Mayonnaise(0.34); SSBs (0.30);  </t>
  </si>
  <si>
    <t>Sweets</t>
  </si>
  <si>
    <t xml:space="preserve">Candy (0.40); Chocolate (0.46); Desserts (0.53); Margarine (0.37); Pizza (0.20); Fried potatoes (0.28); Salty Snacks (0.30); Sweet breakfast foods (0.39) . </t>
  </si>
  <si>
    <t>FFQ (79 items)</t>
  </si>
  <si>
    <t xml:space="preserve">Processed meat(0.25); SSBs (0.52); Cereals(0.43); French fries (0.70);  Fast food (0.65). </t>
  </si>
  <si>
    <t>A posteriori, FA</t>
  </si>
  <si>
    <t>(M-82 only) Men, Sweet: Cake, biscuits, other baked goods (0.70); Candy/chocolate (0.66);  SSB's or ice-cread (0.42); Jam or honey(0.48). Female, Sweet-traditional: Candy/chocolate (0.61);  Cake, biscuits, other baked goods (0.58);  White bread(0.40), SSBs or ice-cream(0.41)</t>
  </si>
  <si>
    <t xml:space="preserve">Men (sweet): 7; Women: (12) </t>
  </si>
  <si>
    <t>FFQ (131-items)</t>
  </si>
  <si>
    <t xml:space="preserve">Processed meat (0.61); French fries (0.48); Sweets and desserts(0.42); Condiments(0.41); SSBs (0.36); Snacks (0.36); Mayonnaise (0.34); Pizza (0.29); Margarine (0.29).  </t>
  </si>
  <si>
    <t>FFQ (126 &amp; 131 items)</t>
  </si>
  <si>
    <t>Desserts, sweets, french fries (&gt;.3)</t>
  </si>
  <si>
    <t>FFQ (211 items)</t>
  </si>
  <si>
    <t>A priori, PCA and RRR</t>
  </si>
  <si>
    <t>Savory Snacks (0.59); Confections (0.72); SSBs (0.59)</t>
  </si>
  <si>
    <t>Not clear. Processed meat, sweets and  deserts, French fries and pizza</t>
  </si>
  <si>
    <t>FFQ (86 items)</t>
  </si>
  <si>
    <t>3-day Food diary (unweighed)</t>
  </si>
  <si>
    <t>A posteriori / LCA</t>
  </si>
  <si>
    <t>Counts</t>
  </si>
  <si>
    <t>Dietary ass. method ( incl. # of items)</t>
  </si>
  <si>
    <t>FFQ: 37 (avg. items 116)</t>
  </si>
  <si>
    <t>3-day food diary: 3</t>
  </si>
  <si>
    <t>7-DD: 1</t>
  </si>
  <si>
    <t>24-hr dietary recall: 1</t>
  </si>
  <si>
    <t>Dietary history: 1</t>
  </si>
  <si>
    <t>Childrens Eating Habits Questionnaire (CEHQ): 1</t>
  </si>
  <si>
    <t>A priori: 8</t>
  </si>
  <si>
    <t>A posteriori: 36</t>
  </si>
  <si>
    <t xml:space="preserve">Western-like </t>
  </si>
  <si>
    <t>Energy-dense, high-fat, low-fibre</t>
  </si>
  <si>
    <t>Dietary pattern method (a priori, a posteriori, reduced-rank-regression)</t>
  </si>
  <si>
    <t>Ultra-processed foods: 3</t>
  </si>
  <si>
    <t>Fats and Processed Meats / Meats and processed foods: 2</t>
  </si>
  <si>
    <t>Sweet (and fat, -traditional, etc.): 7</t>
  </si>
  <si>
    <t>Energy Dense: 2</t>
  </si>
  <si>
    <t>Junk/convenience: 1</t>
  </si>
  <si>
    <t>Chocolate/confectionery (.22); Cakes/biscuits (.2)  Crisps (.2)</t>
  </si>
  <si>
    <t># of UPFs</t>
  </si>
  <si>
    <t>Processed meat(0.59); Sweets/desserts(0.47); French fries(0.46); SSBs (0.38); Snacks(0.37); Condiments(0.36); Margarine(0.34); loadings from Hu 2000, may differ from this study!</t>
  </si>
  <si>
    <t>F:</t>
  </si>
  <si>
    <t>tbd</t>
  </si>
  <si>
    <t>% of UPF of total &gt;.2 loadings</t>
  </si>
  <si>
    <t>Biscuits and pudding (.46); chocolate and sweets (.41); sweet spreads (0.36); breakfast cereal (0.28)</t>
  </si>
  <si>
    <t>Only used loadings for young boys: Chocolate bars (0.46); Other candy bars (0.53); Candy with chocolate (0.45); Brownies (0.55); Cake(0.50); Pie(0.41); Sweet rolls(0.47); Snack cakes(0.43); Donuts(0.42); Ice cream(0.42); Chocolate chip cookies(0.34); Popsicles(0.37); Pudding(0.37); Jello(0.37); Potato chips(0.43);  Nachos(0.42); Graham crackers(0.30); Pop-tarts(0.3); Popcorn(0.3); Corn chips(0.42)</t>
  </si>
  <si>
    <t>Corn Tortilla (0.6); Pastries (0.19); Soft drinks (0.22)</t>
  </si>
  <si>
    <t>Many, i.e.: Siew mai (0.44); Otar Otar (.4); Steamed meat bao (.38); Bakes buns with meat(0.2), flavored rice porridge(0.2)m balachan(0.2), hot dogs(0.21), hamburgers(0.21), western cakes(0.22), ice cream(0.23), French fries(0.25), salted fish(0.25), Pork liver(0.27), soft drinks(0.29), deep-fried snacks(0.32),pork belly(0.32), dry noodle dish(0.33), deep fried chicken(0.34), [...]</t>
  </si>
  <si>
    <t>Black girls: Sweet and cheese; White Girls: Fast Food</t>
  </si>
  <si>
    <t xml:space="preserve">White Girls: SSBs (396g); Flavoured Milk (90g); Cereal (80g); Ice Cream (57g); Processed Meats and Sandwiches (40g); Fried potatoes (32g); Baked Dessert (26g); </t>
  </si>
  <si>
    <t>Avg loading / Average intake / Max intake</t>
  </si>
  <si>
    <t xml:space="preserve">Black girls: SSBs (469g); Flavoured Milk (82g); Cereals (77g); Processed meat and Sandwiches (54g); Ice cream (53g); Pizza (23g); Fried Potatoes (27g); Baked desserts (30g); other desserts (29g); White Girls: SSBs (396g); Flavoured Milk (90g); Cereal (80g); Ice Cream (57g); Processed Meats and Sandwiches (40g); Fried potatoes (32g); Baked Dessert (26g); </t>
  </si>
  <si>
    <t xml:space="preserve">Black girls: SSBs (469g); Flavoured Milk (82g); Cereals (77g); Processed meat and Sandwiches (54g); Ice cream (53g); Pizza (23g); Fried Potatoes (27g); Baked desserts (30g); other desserts (29g); </t>
  </si>
  <si>
    <t>White Girls: Fast Food</t>
  </si>
  <si>
    <t>Black girls: Sweet and cheese</t>
  </si>
  <si>
    <t>Number of participants under study / study size</t>
  </si>
  <si>
    <t xml:space="preserve">Please consider the following points for extraction: </t>
  </si>
  <si>
    <t>​If multiple dietary patterns are presented, select the one with that has the highest representation of ultra-processed foods.</t>
  </si>
  <si>
    <t>To extract the information for the ultra-processed foods loadings it is sometimes necessary to look at supplementary material, or previous papers.</t>
  </si>
  <si>
    <t xml:space="preserve">As specified in the analysis plan, if the option is between a model only adjusted for age and sex but no other important confounders and a model adjusted for the majority of important confounders including intermediate outcomes, select the one with the full adjustment (conservative strategy, that is). </t>
  </si>
  <si>
    <t xml:space="preserve">Total # of cases / person-times / participants is identical with the last columns on sheet 2. It's just handy to have the info in both places. </t>
  </si>
  <si>
    <t xml:space="preserve">Finally: </t>
  </si>
  <si>
    <t xml:space="preserve">Copy and paste as much as you can directly from the study. Don't bother typing too much, especially in columns like outcome ascertainment method </t>
  </si>
  <si>
    <t xml:space="preserve">If you are unsure about something, don't spend too much time - mark it, skip it and we'll discuss together later. </t>
  </si>
  <si>
    <t>A posteriori / Cluster Analysis</t>
  </si>
  <si>
    <t>1. UPF Exposure: </t>
  </si>
  <si>
    <t>2. Selection of risk estimates: </t>
  </si>
  <si>
    <t xml:space="preserve">If something is not reported, put "nr" into the cell. If something is not applicable, put "na" in. </t>
  </si>
  <si>
    <t>Hotdogs, Hamburgers, Fried Chicken, Fried Fish, Fish Sandwiches, Pizza, French Fries</t>
  </si>
  <si>
    <t>Other (snacks/drinks; refined foods; dim-sum&amp; meat rich; changes in convenience): 4</t>
  </si>
  <si>
    <t>Female, Sweet-traditional: Candy/chocolate (0.61);  Cake, biscuits, other baked goods (0.58);  White bread(0.40), SSBs or ice-cream(0.41)</t>
  </si>
  <si>
    <t xml:space="preserve">(M-82 only) Men, Sweet: Cake, biscuits, other baked goods (0.70); Candy/chocolate (0.66);  SSB's or ice-cread (0.42); Jam or honey(0.48). </t>
  </si>
  <si>
    <t xml:space="preserve">Model selection: Simply put, we are interested in the models that control most for counfounding from non-dietary factors but adjust for intermediate outcomes as little as possible. The reason for the latter is that we are not interested in the associations of the exposure with the outcome independent of intermediate outcomes. The ideal model therefore adjusts for age, sex, physical activity, smoking (for T2DM / CVD), alcohol and other lifestyle variables if available, and also ideally for some measure of socioeconomic status or class (income, etc.), family history of diseases, and potentially relevant medication. So the model to chose will not always be the most completely adjusted model. </t>
  </si>
  <si>
    <t>3. Risk estimate data extraction</t>
  </si>
  <si>
    <t xml:space="preserve">Sheet 4 is organized in a way such that the data can be read into Stata and used for analysis. If have added two columns that a) show the percentile ranges for tertiles, quartiles and quintiles, and the corresponding mid-points that represent the dose. I have done this for all the studies already so you don't need to do it. For reference, the conversion table is at the bottom. </t>
  </si>
  <si>
    <t xml:space="preserve">To apply the Greenland and Longnecker method it is required to specify the study type risk estimate: 1 for case-control, 2 for incidence-rate (i.e. Hazard Ratio's), and 3 for cumulative incidence data (odds ratios). I have done this already for all the studies and left it in as this is not crucial info for the publication, but please do check whether you agree.  </t>
  </si>
  <si>
    <t xml:space="preserve">In the "cases" and "n" column we need different values depending on the study type. For each the different percentile groups, in case-control data cases and non-cases are needed, for incidence rate data cases and person-years are needed, and for cumulative incidence data cases and number of participants at risk are needed. Sometimes the info is not available but it can approximated sometimes from other numbers (more on that later). </t>
  </si>
  <si>
    <t>Mulitple Outcomes: ​If risk estimates for multiple outcomes are presented, select the one that has the highest number of cases / events of cardiometabolic health. For example, if there are risk estimates for four cardiovascular disease outcomes presented, chose the one with the with the maximum of total cases.</t>
  </si>
  <si>
    <t xml:space="preserve">Average: </t>
  </si>
  <si>
    <t>Participants disease free at baseline?</t>
  </si>
  <si>
    <t xml:space="preserve">Inclusion / exclusion criteria (details / n / loss to follow-up) of study pop. </t>
  </si>
  <si>
    <t>Not spelt out - assume just reporting of appropriate variables at ages 7 and 15.</t>
  </si>
  <si>
    <t>N/r.  It looks like the analysis does not control for baseline adiposity</t>
  </si>
  <si>
    <t>49% at baseline</t>
  </si>
  <si>
    <t>7.5, 6.8-9.4</t>
  </si>
  <si>
    <t>n/r</t>
  </si>
  <si>
    <t>The BRHS is a prospective study of CVD, in a socio- economically and geographically representative sample of 7735 British men, selected from twenty-four towns across Great Britain(18,19). The cohort was initially examined in 1978–1980 and is predominantly comprised of white European ethnic origin (&gt;99 %).</t>
  </si>
  <si>
    <t>This study used data from the 20-year re-examination of BRHS participants in 1998–2000, aged 60–79 years(20). In total, 4252 men (77 % of survivors) completed a questionnaire answering questions on their life-style and medical history, completed a FFQ, attended a physical examination and provided a fasting blood sample. Of the 4252 men attending the physical examination, 723 men with prevalent heart failure, myocardial infarction (MI) or stroke at baseline were excluded (on the basis of previous diagnosis, according to self-report), leaving 3529 participants for inclusion in this study.</t>
  </si>
  <si>
    <t>Yes</t>
  </si>
  <si>
    <t>Mean not reported for the whole population.  Around 68.
Range 60-79</t>
  </si>
  <si>
    <t>&gt;99% white european at baseline</t>
  </si>
  <si>
    <t>Men and women between the ages of 50 and 76 years residing in Western Washington State were eligible to participate and names were acquired through purchased mailing lists. Baseline surveys querying supplement use, health history, cancer risk factors, diet and demographic information were completed by 77 718 individuals who were enrolled in the study between 2000 and 2002.</t>
  </si>
  <si>
    <t>No</t>
  </si>
  <si>
    <t>Range 50-76. Mean not reported</t>
  </si>
  <si>
    <t>93.1% white, 0.8% hispanic, 1.1 % African-American, 1.5% American Indican/Alaska Native, 2.2% Asian-American or Pacific Islander, 1.3% Other</t>
  </si>
  <si>
    <t>For the present analyses, we included the participants who had already been followed-up for 2 y. The participants who reported extremely low or high values for total energy intake (800 or 4200 kcal/d for men and 600 or 3500 kcal/d for women), those with missing values for the variables of interest, and those with biologically implausible values for weight or height were excluded from the analysis, which left data from 7194 participants.</t>
  </si>
  <si>
    <t>No, but looking at weight change from baseline</t>
  </si>
  <si>
    <t>Not reported across the whole population</t>
  </si>
  <si>
    <t>41years, but exact mean and SD not reported across the population.</t>
  </si>
  <si>
    <t>We excluded participants with a history of heart diseases, stroke or diabetes at baseline (n=1,223), those without dietary data (n=5), and those with extreme daily energy intake at the first- and last-half percentiles of the sex-specific range (n=37). The analyses were performed on 2,735 participants.</t>
  </si>
  <si>
    <t>51.0</t>
  </si>
  <si>
    <t>Reported separately for men and women, but estimate mean 72.3, SD 5.2 across both groups</t>
  </si>
  <si>
    <t>In Project EAT-I (Time 1), 4746 middle school and high school students in thirty-one Minnesota schools in Minneapolis, St Paul and Osseo school districts completed in-class surveys and anthropometric measures during the 1998–9 academic year. Schools were selected to ensure an ethnically and socioeconomically diverse cohort, with the goal of improving the ability to generalise findings from this cohort to other adolescents.</t>
  </si>
  <si>
    <t>No additional inclusion criteria
At Time 2, 2516 participants completed mailed surveys, representing 69 % of those who could be contacted and 53 % of the original cohort.</t>
  </si>
  <si>
    <t>Not reported (study looking at weight)</t>
  </si>
  <si>
    <t>Not reported across the whole population - split into older and younger age groups, and boys and girls.  Could probably calculate it, if needed.</t>
  </si>
  <si>
    <t>41.1y (SD 13.0)</t>
  </si>
  <si>
    <t>N/r.  Study looks at change in body composition</t>
  </si>
  <si>
    <t>Ages 6 and 7 years, but exact mean and SD not reported</t>
  </si>
  <si>
    <t>Mean age was not given for the whole cohort.  Could be calculated from subgroup descriptive stats. Around 29y (SD around 5y).</t>
  </si>
  <si>
    <t>The present study was based on the population-based birth cohort Generation XXI (Porto, Portugal, 2005–2006), described elsewhere(24).</t>
  </si>
  <si>
    <t>Age 4, but exact age and range not reported</t>
  </si>
  <si>
    <t>For the present analysis, women were included if they completed the 1984 FFQ with fewer than 70 missing items and a total caloric range (as calculated from the FFQ) between 500 and 3500 kcal/d. We excluded women with a history of cancer, cardiovascular disease, and diabetes. We thus included in this analysis 69554 women with follow-up for up to 14 years, from 1984 to 1998.</t>
  </si>
  <si>
    <t>range: 38 to 63 years</t>
  </si>
  <si>
    <t>The Nurses’ Health Study (NHS) began in 1976, when 121700 female nurses aged 30 to 55 in 11 states responded to a questionnaire regarding medical history and lifestyle. Since 1976, questionnaires have been sent biennially to update this information. Follow-up was completed for 95% of the potential person time. In 1984, a food frequency questionnaire (FFQ) with 116 items was sent to participants. FFQs were sent subsequently every 2 to 4 years.</t>
  </si>
  <si>
    <t>For the present analysis, women were included if they had 70 missing items in the 1984 FFQ and a total energy intake range between 2060 and 14 420 kJ per day (500 and 3500 kcal per day). We excluded women with a history of stroke, diabetes, or coronary heart disease. Thus, 71 768 women were included with follow-up for up to 14 years, from 1984 to 1998.</t>
  </si>
  <si>
    <t>EPIC is a cohort study with 520,000 European men and women that assesses the role of diet and other lifestyles, as well as environmental and genetic factors, on the risk of cancer and other chronic diseases. For this analysis we used only the data from the Spanish cohort of the EPIC study, made up of 41,438 participants (15,632 men and 25,806 women) aged 29-69 years. Recruitment was carried out between 1992 and 1996 in 5 regions: Asturias, Gipuzkoa and Navarra in the north of Spain, and Granada and Murcia in the south. The study primarily included blood donors, as well as civil servants and the general population. Information on the exposures of interest was obtained at baseline, and individuals were followed-up until December 31, 2004.</t>
  </si>
  <si>
    <t>Of the 41,438 participants in the cohort, the following were excluded from the analyses: 193 for having CHD at baseline; 167 for an implausibly high or low dietary consumption, defined as 3 standard deviations from the mean of the cohort (&lt;788 kcal/day or &gt;5710 kcal/day); and 321 for lack of information on important variables such as date of CHD event (12), hypercholesterolemia (197), diabetes (71), hypertension (60) and smoking (22). Thus, the analyses were conducted with 40,757 individuals.</t>
  </si>
  <si>
    <t>range: 29 to 69 years. Mean age only given for dietary pattern subgroups.</t>
  </si>
  <si>
    <t>The Nurses’ Health Study (NHS) was established in 1976 when 121 700 female US nurses 30 to 55 years of age reflecting the racial composition of women trained as registered nurses at that time (97% were white) responded to a questionnaire on health-related factors.</t>
  </si>
  <si>
    <t>For the present analysis, we included women who had completed a food frequency questionnaire (FFQ) in 1984 with 70 missing items and a range of total energy intake between 500 and 3500 kcal/d (n81 757). From this sample, we excluded all women with missing information on age (n34) or body mass index at baseline (n98) and who had reported a history of cancer (n4451), myocardial infarction (n824), angina (n1747), coronary artery bypass surgery (n63), stroke (n275), or diabetes mellitus (n2152) before 1984. The final analytical cohort comprised 72 113 women with a follow-up from 1984 to 2002.</t>
  </si>
  <si>
    <t>Around 50, but exactly mean age and age range of the whole population not reported.</t>
  </si>
  <si>
    <t>Cohort 97% white at recruitment; ethncity of the study population not reported</t>
  </si>
  <si>
    <t>2008. Information on deaths was gathered from Washington State death records (n 4161), the Social Security Death Index (n 22) and the Western Washington Surveillance Epidemiology and End Results cancer registry
(n 4) through linkage based on participant identifiers. Cause of death was obtained through the Washington State death records using codes of the International Classification of Diseases, Tenth Revision, but was not available via other reporting sources. Causes of death were categorized as due to CVD (I00–I99) or cancer (C00–D48).</t>
  </si>
  <si>
    <t>Information on weight was collected at baseline and in the follow-up questionnaire which was completed by the participants 2 y from baseline (median follow-up time: 28.5 mo). The reproducibility and validity of self-reported weights were assessed in a representative subsample of the cohort. The mean relative error in self-reported weight was 1.45%, and the correlation coefficient between measured and self-reported weight was 0.99 (95% CI: 0.98, 0.99). The outcomes were the following: 1) any increase in body weight during follow-up categorized as a dichotomous variable (cutoff 1 kg) and 2) change in body weight during follow-up as a continuous variable [weight at follow-up assessment  weight at baseline].</t>
  </si>
  <si>
    <t>Data on incident stroke including ischemic and hemorrhagic stroke (ICD-9-CM codes 430-436, 438, 992.0, 997.02, V17.1) were retrieved from the Clinical Management System (CMS) database of the hong Kong hospital authority (ha), which covers over 95% of all hospital admissions in hong Kong. The CMS is an official computerized system for all aspects of clinical management implemented by the ha in 1995; and by 1999, it has been adopted by all hospitals run by the ha. Admission diagnoses were coded by the ICD-9-CM and verified by experts in the ha. Patients with severe stroke who died before arrival at ha hospitals were also included. Although the hospitals run by the ha capture over 90% of all hospital admissions for stroke (29); a small percentage of admissions for stroke to private hospitals may not have been included in the follow up.</t>
  </si>
  <si>
    <t>BMI was based on self-reported height and weight measures and was calculated using the formula kg/m2.</t>
  </si>
  <si>
    <t>CVD risk was calculated using a recalibration of the Framingham ischemic heart disease prediction score (33, 35). We first estimated the predicted risk of total CVD, applying the b-coefficients fromthe Cox proportional hazards model obtained from the Framingham population by Wilson et al. (33), which included age, current smoking, type 2 diabetes, BP regardless of hypertension treatment (predefined BP categories), serum LDL cholesterol (predefined categories), and HDL cholesterol (predefined categories). We used this equation to calculate each participants 10-y predicted probability of CVD.</t>
  </si>
  <si>
    <t>The weight and height of children dressed in only underwear and barefoot were measured at each visit according to standard procedures. From the age of 2 years onwards, standing height was measured to the nearest 0·1 cm using a digital stadiometer. Weight was measured to the nearest 0·1 kg with an electronic scale (753 E; Seca). Skinfold thicknesses were measured on the right side of the body at the bicipital, tricipital, subscapular and suprailiac sites to the nearest 0·1 mm with a Holtain calliper. Sex- and age-independent BMI (kg/m2 ) standard deviation scores were calculated using the German sex- and age-specific BMI percentile curves of the German Health Interview and Examination Survey for Children and Adolescents (KiGGS)(24). Overweight was defined according to the International Obesity Task Force BMI cut-offs for children, which correspond to an adult BMI of 25 kg/m2(25). Body fat percentage was calculated using the Deurenberg equations(26), and excess body fat was defined according to McCarthy et al.(27) with the use of the 85th sex- and age-specific percentile of body fat percentage. Body fat percentage has recently been criticised as inadequately reflecting body size-adjusted adiposity(28); thus, FMI (fat mass/m2; fat mass= weight x body fat percentage) and fat-free mass index (fat-free mass/m2; fat-free mass =weight - fat mass)(29) were used as measures of body composition in the present study. To better describe the children’s body composition at the beginning and at the end of the primary school period, all calculations are based on the mean of the anthropometric measurements at ages 6 and 7 and at ages 10 and 11 years, respectively. The change in body composition during primary school years was calculated as the difference between BMI and FMI at ages 10 and 11 years and ages 6 and 7 years.</t>
  </si>
  <si>
    <t>The outcome of interest was the incidence of gestational diabetes. Pregnant women identified in the SUN project who reported a diagnosis of GDM made by a physician in the biennial questionnaire and did not have diabetes at baseline were considered as incident cases of new-onset GDM.</t>
  </si>
  <si>
    <t>Child’s weight and height were measured at both ages as previously described(26). Age- and sex-specific BMI standard deviation scores (BMI Z-scores) were computed according to the WHO(7,29). Fat mass was assessed by tetrapolar bioelectric impedance (BIA 101 Anniversary®; Akern, Florence, Italy) according to standard procedures(30) and equipment outputs were converted into fat-free mass(31) from which fat mass percentage (FM%) and fat mass index (FMI; kg/m2 ) were derived. Waist circumference was measured at the umbilicus level(32) and waist-to-height ratio (WHtR) was calculated. To improve comparability, FMI, FM% and WHtR were converted into Z-score units using the sex-specific means and standard deviations observed in the sample.</t>
  </si>
  <si>
    <t>Nonfatal strokes for which confirmatory information was obtained by telephone or letter but for which no medical records were available were regarded as probable. Deaths were ascertained by reports of relatives or postal authorities and a search of the National Death Index. For fatal strokes, confirmatory information was obtained by telephone interview, letter, medical records, or death certificate. When only death certificate information was available, fatal strokes were regarded as probable. Approximately 17% of all strokes were classified as probable. Confirmed and probable strokes were combined in our analyses. Strokes were confirmed by medical records according to the criteria of the National Survey of Stroke and classified as subarachnoid hemorrhages, intraparenchymal hemorrhages, ischemic strokes (thrombotic or embolic), or stroke of undetermined type.11 For each
subtype of stroke, a definite diagnosis was made when computed tomography (CT) scan, MRI, angiography, surgery, or autopsy confirmed the lesion, and if such confirmation was lacking, a probable diagnosis was made.</t>
  </si>
  <si>
    <t>Deaths were reported by family members or postal authorities, or, for persistent nonresponders, were ascertained through searches of the National Death Index. The cause of death was assigned by physician-reviewers primarily on the basis of medical records if both medical records and death certificates were available. For the present analysis, all deaths resulting from CVD (International Classification of Diseases, eighth revision [ICD-8] codes 390 through 458), cancer (ICD-8 codes 140 through 207), or other causes (deaths excluding cardiovascular and cancer deaths) that occurred between the return date of the 1984 questionnaire and June 2002 were included in the analysis.</t>
  </si>
  <si>
    <t>30-60y in MONICA I</t>
  </si>
  <si>
    <t>not reported</t>
  </si>
  <si>
    <t>Mean 6y, sd 1.8</t>
  </si>
  <si>
    <t xml:space="preserve">not reported </t>
  </si>
  <si>
    <t>10-79y</t>
  </si>
  <si>
    <t>Indigenous Canadian population</t>
  </si>
  <si>
    <t>9–10y</t>
  </si>
  <si>
    <t>51% black, 49% at baseline and in final sample</t>
  </si>
  <si>
    <t>NHS: 30-55y; NHS-II: 24-44y</t>
  </si>
  <si>
    <t>NHS: 97% white at baseline; NHS-II: not reported</t>
  </si>
  <si>
    <t>24-44y</t>
  </si>
  <si>
    <t>45y or older</t>
  </si>
  <si>
    <t>42% Black</t>
  </si>
  <si>
    <t>unclear</t>
  </si>
  <si>
    <t>Prospect-EPIC: 50-69y; MORGEN-EPIC:  20-64y</t>
  </si>
  <si>
    <t>30-60y</t>
  </si>
  <si>
    <t>40-75y</t>
  </si>
  <si>
    <t>"Predominantly white"</t>
  </si>
  <si>
    <t>NHS: 30-55y; HPFS: 40-75y</t>
  </si>
  <si>
    <t>Ethnicity reported for specific dietary patterns</t>
  </si>
  <si>
    <t>Unclear</t>
  </si>
  <si>
    <t>Dutch ethnicity</t>
  </si>
  <si>
    <t>45–68</t>
  </si>
  <si>
    <t>40–75</t>
  </si>
  <si>
    <t>67.0 (6.2)</t>
  </si>
  <si>
    <t>Men and women aged
35–55 years from 20 civil service departments
in London were invited by letter in
1985–1988 to participate in the Whitehall
II study (phase 1, n   10308).</t>
  </si>
  <si>
    <t>49.5 (0.1)</t>
  </si>
  <si>
    <t>90.4 white</t>
  </si>
  <si>
    <t>Men and women aged 35-55 years were recruited to the Whitehall II study in 1985-1988 (phase
1) from 20 civil service departments in London with a 73% response rate (n=10,308). Full
details of the study are reported elsewhere</t>
  </si>
  <si>
    <t>37.6 (11.0)</t>
  </si>
  <si>
    <t>40.0 (11.3) 35.9 (10.5) 32.9 (9.1) (for each tertile of UPF consumption)</t>
  </si>
  <si>
    <t>56.7  (4.5)</t>
  </si>
  <si>
    <t>⩾35</t>
  </si>
  <si>
    <t>45–74</t>
  </si>
  <si>
    <t>45–84</t>
  </si>
  <si>
    <t>not clear</t>
  </si>
  <si>
    <t>45-74</t>
  </si>
  <si>
    <t>53.66 (Hokkien)</t>
  </si>
  <si>
    <t>In brief, ALSPAC recruited 14 541 pregnant women residing in Avon, England with an expected delivery date between 1 April 1991 and 31 December 1992. A known birth utcome was available for 14 472 pregnancies resulting in 14 062 live births of which, 13 988 were alive at 1 year. At the 7 year follow-up an additional 548 children were recruited who were initially invited to the study but declined. Thus, the total baseline cohort is 14 536 children alive at 1 year.</t>
  </si>
  <si>
    <t>2,000 men and 2,000 women aged 65 years and over living in the community were recruited between 2001 and 2003. Participants were volunteers and were able to walk or take public transport to the study site. They were recruited using a stratified sample so that approximately 33% would be in each of these age groups: 65-69, 70-74, 75+. Compared with the general population in this age group, participants had higher educational level (12–18% v. 3–9% with tertiary education in the age groups 80+, 75–79, 70–74, and 65–69 years).</t>
  </si>
  <si>
    <t xml:space="preserve">The DONALD Study is an ongoing, open cohort study conducted in Dortmund, Germany. Briefly, since 1985, detailed information concerning diet, development, growth and metabolism between infancy and adulthood has been collected. Every year, thirty-five to forty infants of Caucasian descent are newly recruited from the city of Dortmund and surrounding communities and first examined at the age of 3 months. Each child returns for three more visits in the first year, two in the second year and then annually until early adulthood. The non-invasive examinations include the completion of a 3 d weighed dietary record, anthropometric measurements, interviews on lifestyle and a medical examination. </t>
  </si>
  <si>
    <t>The SUN project is a prospective dynamic cohort study entirely composed of university graduates. The recruitment started in 1999 and it is permanently open. The design and methods utilized in the SUN study have been previously described in detail [14,15]. In brief, graduates from the University of Navarra and other Spanish universities, registered nurses and other health professionals from different Spanish provinces were invited to participate by a mailed questionnaire.</t>
  </si>
  <si>
    <t>Very vague information: The SUN cohort was designed in collaboration with the Harvard School of Public Health to use similar methodologies to those of large American cohorts, such as the Nurses’ Health Study and the Health Professionals Follow-up Study (25). Participant recruitment started in December 1999 and is permanently ongoing, because this is a dynamic cohort study. All participants are university graduates. The data set of the SUN Project had incorporated 17 170 participants as of December 2004.</t>
  </si>
  <si>
    <t>The Health Workers Cohort Study is a longitudinal study investigating relations between lifestyle and health. It was established in 2004 when 10,769 Mexican employees and their relatives from 3 health and academic institutions in Morelos and Mexico states responded to a questionnaire on health-related factors. Seven years after the initiation of the study,~2500 of those original Health Workers Cohort Study participants were invited to participate in a follow-up data collection phase, which took place from 2012 to 2013.</t>
  </si>
  <si>
    <t>The NHS began in 1976, when 121700 female nurses aged 30 to 55 years living in 11 US states responded to a questionnaire regarding medical, lifestyle, and other health-related information.7 Since 1976, question-naires have been sent biennially to update this information. Follow-up was complete for greater than 95% of the potential person time up to 1994.</t>
  </si>
  <si>
    <t>The Malmo¨ Diet and Cancer (MDC) study is a prospective population-based cohort study designed to explore the effects of diet on cancer risk [24]. Allmen (aged 46–73 years) and women (aged 45–73 years) living in the Swedish city of Malmo¨ were eligible for inclusion; 11 063 men and 17 035 women took part in the study, with baseline examinations between March 1991 and October 1996. Approximately 40% of the total population participated, either spontaneously or after receiving an invitation by post.</t>
  </si>
  <si>
    <t xml:space="preserve">The HPFS began in 1986 when 51 529 US health professionals (dentists, optometrists, pharmacists, podiatrists, and veterinarians) aged 40–75 y answered a detailed uestionnaire that included a comprehensive diet survey and items on lifestyle practice and medical history. Follow-up questionnaires were sent in 1988, 1990, 1992, and 1994 to update information on potential risk factors and to identify new cases of cardiovascular and other diseases. </t>
  </si>
  <si>
    <t>Participants were excluded from the analysis if they reported gastrointestinal malabsorption disorders or gastric bypass surgery (n 45) or if they failed more specific FFQ quality control checks (i.e. did not complete at least five items per page of the FFQ, had an estimated daily energy intake below 3347 kJ (800 kcal) for men or 2510 kJ (600 kcal) for women or above 20 920 kJ (5000 kcal) for men or 16 736 kJ (4000 kcal) for women; n 7178). Finally, participants were also excluded if they died (or were lost to follow-up) within the first year of follow-up (n 913) as the diet of these individuals reported in the last year of their life may have been influenced by their health conditions (i.e. reverse causation) and be less representative of their long-term diet. The final sample included 69 582 individuals.</t>
  </si>
  <si>
    <t xml:space="preserve">Participants attending the second examination (n = 1855) (2012-2013) were eligible for the current investigation. Both participants who attended the second, follow-up examination and those who did not were similar in age, percentage of women and men, and other important characteristics. For the present analysis, we excluded participants with missing information on blood pressure (BP), with &gt;10% blank items on their dietary intake information, or with missing serum lipid, lipoprotein, and glucose concentrations. Participants with outlier energy intake values (outside the range of 600–7000 kcal/d) were eliminated by using the SD method (27). We also excluded participants who reported a history of myocardial infarction or stroke, because these diseases could have led them to alter their diet and lifestyle. We excluded those who were taking medications that would affect serum lipid, lipoprotein, or glucose concentrations or blood pressure. In addition, we eliminated those whose follow-up duration was equal to zero or missing. Finally, we also excluded individuals who had elevated predicted CVD risk ($10% risk in 10 y) at baseline (Figure 1). Consequently, our final analysis included 1196 participants (299 men and 897 women). </t>
  </si>
  <si>
    <t xml:space="preserve">The inclusion criteria of the present study were as follows: (1) complete 3 d weighed dietary records at four time points, i.e. at ages 6, 7, 10 and 11 years (n 405 of n 560 who had provided only one of two possible 3 d dietary records at ages 6 or 7 and 10 or 11 years); (2) term (37–42 week) singletons with a birth weight &gt;2500 g and anthropometric measurements (weight, height and skinfold thicknesses) at ages 6, 7, 10 and 11 years (n 378); (3) information on parental education and breast-feeding (n 371). Hence, the subcohort analysed in the present study included 371 children (48·5 % females) with a total of 1484 anthropometric measurements and 3 d weighed dietary records collected between 1985 and 2012. </t>
  </si>
  <si>
    <t>For the present analyses we examined the last available database as of the 1st of December 2013. From a total 13,231 women, we included 12,456 women who had answered the baseline questionnaire before the 1st of March 2011, to have enough time to answer the first follow-up questionnaire. Up to that date, 3,137 pregnant women were identified among them. Women were excluded from the analyses if they reported extremely low (below percentile 1) or high (above percentile 99) values for total energy intake (n = 67), had prevalent or previous gestational diabetes (n = 10), or had a previous diagnosis of diabetes (n = 17). Women who reported gestational diabetes in a previous pregnancy were not included in the analyses because they were thought to be more likely to have changed their diet and lifestyle during the next pregnancy to prevent recurrent gestational diabetes. The final analytic population included 3,048 pregnant women.</t>
  </si>
  <si>
    <t xml:space="preserve">The present study considered a sub-sample of singleton children with information on body composition measured at both ages (n 3854). After exclusion of children with diseases that might influence dietary intake (e.g. cerebral palsy or food allergy, n 17), with missing information on dietary intake (n 46 and n 81 at 4 and 7 years, respectively) and those with incomplete information on potential confounders (exercise, n 12; maternal weigh/height, n 225), 3473 children were included in final analyses. </t>
  </si>
  <si>
    <t>Between October 1991 and February 1994, every other participant was invited to take part in a study of the epidemiology of carotid artery disease. This group underwent additional examinations to assess carotid arteriosclerosis by ultrasound (n = 6103) and donated blood after an overnight fast (n = 5533) [7, 8]. Both dietary data and blood samples were obtained from a total of 5135 individuals. Of these, 136 were excluded because they were either using medication for or had previously been diagnosed with diabetes mellitus. At baseline, 126 subjects had a history of CVD(hospitalization for stroke or MI). The remaining 4999 individuals (2040 men and 2959 women; including those with a fastingwhole blood sugar level of ‡5.6 mmol L)1 (corresponding to plasma-glucose ‡6.1 mmol L)1)but withoutdiabetesmellitus) constitute the present study population.</t>
  </si>
  <si>
    <t xml:space="preserve">We excluded from the analysis men who did not satisfy the a priori criteria of a reported daily energy intake between 3.3 and 17.6 MJ (800 and 4200 kcal) or who left blank &gt;70 of a total of 131 food items on the diet questionnaire (n = 1595). We also excluded men with a prior diagnosis of myocardial infarction (MI), angina, coronary artery surgery, stroke, transient ischemic attack, or peripheral arterial disease at baseline (n = 5059). Thus, we followed 44 875 men to determine the incidence of CHD over the subsequent 8 y.  </t>
  </si>
  <si>
    <t xml:space="preserve">For the present study we excluded 231 participants, 79 of them because their baseline food-frequency questionnaires (FFQ) were missing and 152 who displayed out-ofrange
total energy intake (&lt;500 or &gt;3500 kcal/d in women or &lt;800 or &gt;4000 kcal/d in men) [14]. Consequently, the final sample size included 7216 participants. </t>
  </si>
  <si>
    <t xml:space="preserve">The PREDIMED (PREvenci on con DIeta MEDiterr anea) trial (ISRCTN35739639) is a multicenter, randomized, controlled, parallel group, primary prevention trial conducted in Spain to assess the effects of MeDiet on major cardiovascular events. The study protocol has been published elsewhere [12,13] and full details are available at www.predimed.es. Between October 2003 and June  2009 we recruited 7447 high-risk participants and randomly assigned them to one of three dietary interventions. Eligible participants were community-dwelling men aged 55e80 years and women aged 60e80 years without previous CVD who fulfilled at least one of the following criteria: type-2 diabetes or 3 or more cardiovascular risk factors, namely smoking, hypertension, dyslipidemia, overweight (BMI   25 kg/m2) or a family history of premature CVD. </t>
  </si>
  <si>
    <t>Analysis is based on data from 7,339 participants aged 39 – 63 years who completed a food frequency questionnaire (FFQ) in 1991–1993 (phase 3), fasted (duration  5 h), and
had no history of diabetes. Individuals with self-reported or OGTT-diagnosed diabetes at phase 3 were excluded from the analysis. The participation rate (response to questionnaire and/or screening) was 85.0% (n   8,637; 143 deaths) at phase 3 and 71.5% (n   6,914; 499 further deaths) at phase 7 (2003–2004). Of those eligible for analysis of dietary patterns at phase 3, follow-up was available for 94.1% (n   6,904). The sample analyzed with no missing covariates consisted of 92.8% of those eligible (n=6,699).</t>
  </si>
  <si>
    <t xml:space="preserve">This analysis is based on data from 7314 participants that completed an FFQ at phase 3, who were fasted (duration of fasting &gt; 5 hours) at the time of blood sample collection, had no history of coronary heart disease at the phase 3 screening and had complete data for all covariates. </t>
  </si>
  <si>
    <t xml:space="preserve">In this study, we excluded those classified as overweight or obese [BMI (in kg/m2) $25] at baseline (n = 6340), individuals who reported total energy intake values outside of predefined limits [low: ,3347 kJ/d or ,800 kcal/d in men and ,2092 kJ/d or ,500 kcal/d in women; high: .16,736 kJ/d or .4000 kcal/d in men and .14,644 kJ/d or .3500 kcal/d in women (n = 1713)] (13), women who were pregnant at baseline or became pregnant during the follow-up period (n = 2739), and individuals who reported a previously diagnosed chronic disease at baseline (e.g., diabetes, cancer, cardiovascular disease) (n = 618). In addition, we excluded participants with a weight change .10 kg in the 5 y preceding entry into the study to reduce potential sources of confounding by other causes of weight changes (n = 260). Among the remaining participants, 1106 subjects were lost to follow-up, and 64 participants had missing values in $1 variable of interest. After these exclusions, a total of 8451 participants were included in the final analysis. </t>
  </si>
  <si>
    <t xml:space="preserve">The SUN (University of Navarra Follow-Up) Project is a dynamic and multipurpose prospective cohort study with permanently open recruitment conducted in Spain among university graduates since December 1999. The participants are followed up biennially with the use of questionnaires distributed by post or electronic mail. Details of its  design have been published elsewhere (11, 12). Up to March 2012, the SUN data set included 21,291 participants who had answered the baseline questionnaire. </t>
  </si>
  <si>
    <t xml:space="preserve">The Seguimiento Universidad de Navarra (SUN) project is a dynamic and multipurpose prospective cohort study that has been conducted in Spain among university graduates
since December 1999 to assess the associations between diet and the occurrence of several diseases and chronic conditions, including hypertension. The recruitment of  articipants is permanently open, and participants are followed-up biennially using questionnaires distributed by post or electronic mail. As of March 2013, the dataset of the SUN project included 21,678 participants who had answered the baseline questionnaire. </t>
  </si>
  <si>
    <t>In the present study, we excluded participants with prevalent hypertension (self-reported medical diagnosis of hypertension, antihypertensive medication use, or  self-reported systolic blood pressure ≥140 mm Hg and/or diastolic blood pressure ≥90 mm Hg)21 at baseline (n = 2,378), who reported total energy intake values outside of predefined limits (low: &lt;3,347 kJ/d or &lt;800 kcal/d in men and &lt;2,092 kJ/d or &lt;500 kcal/d in women; high: &gt;16,736 kJ/d or &gt;4,000 kcal/d in men and &gt;14,644 kJ/d or &gt;3,500 kcal/d in women; n = 1,826),22 who reported a previously diagnosed chronic disease at baseline (diabetes, cancer, or cardiovascular disease; n = 1,310), or who were lost to follow-up (n = 1,374); 90.7% of the participants were retained in the study. Finally, 14,790 participants were included in the final analyses.</t>
  </si>
  <si>
    <t xml:space="preserve">The CaPS was set up to study the influence of CVD risk factors in the development of coronary heart disease (CHD) [12], and recruited an initial 2512 men, aged 45 to 59 years living in the town of Caerphilly and five adjacent villages, South Wales, UK (response rate 89%). Data-collection phases were at 5-year intervals: 1979–1983 (phase 1), 1984–1988 (phase 2), 1989–1993 (phase 3), 1993–1997 (phase 4), and 2002–2005 (phase 5). At phase 2, an additional 447 men, aged 50 to 64 years, were included as a result of 561 men being lost to follow-up, which gave a new total of 2398 men for the entire cohort. As a result of this change to the cohort, it was deemed necessary to consider phase as baseline in the present study. </t>
  </si>
  <si>
    <t>Before phase 3 measurements, 244 men who died, 159 men who had history of myocardial infarction or stroke and 116 men who had diabetes were excluded from the
analyses. After excluding 41 men with incomplete dietary intake data at phase 2 or phase 3, 1838 men were included in the analyses.</t>
  </si>
  <si>
    <t xml:space="preserve">We recruited 6504 adults (men: 3168 and women: 3336) aged ⩾ 35 years living in three districts of central Iran (Isfahan (n = 2153), Najaf-Abad (n = 1028) and Arak (n = 3323)) in 2001.33 The study population was first stratified by their living area (urban vs rural) according to the distribution of the regional population derived from a National Population Census conducted in 1999. Censuses were then randomly selected from each county with the probability of selection proportional to the expected number of households and divided into clusters of ~ 1000 households. Within each cluster, ~ 5–10% of households were randomly selected for enumeration. From each household one eligible individual was randomly selected, provided that he/she was Iranian, mentally competent and not pregnant. All subjects who agreed and signed the consent form were allocated. The response rate in home interviews was 98%, but 95% attended the examination clinic. </t>
  </si>
  <si>
    <t>The response rate in home interviews was 98%, but 95% attended the examination clinic. For the current analysis, we excluded those with a previous history of CVD (n = 181)   as well as those who had missing data on the relevant variables and dietary information (n = 892). We also excluded an additional 597 individuals with no follow-up   information after the baseline survey. Finally, data from 4834 (74%) participants remained for the current analysis. At baseline, data about lifestyle factors including dietary intake were collected through face-to-face interviews. Every 2-year follow-up surveys were conducted by telephone interviews or home interviews in case of unsuccessful  attempts.</t>
  </si>
  <si>
    <t xml:space="preserve">Among the study population at baseline (n¼140 420), 102 695 responded to the second survey including the diet-related portion. After exclusion of 1065 participants who reported extreme total energy intake, 101 630 participants (47 408 men and 54 222 women) were included for identification of dietary patterns. Of these, we excluded 25 399 participants who did not respond to baseline or third surveys. A further 11 526 participants who reported history of type 2 diabetes or severe disease at baseline or second surveys were excluded, leaving a total of 64 705 participants (27 816 men and 36 889 women) ultimately enrolled. </t>
  </si>
  <si>
    <t>The current longitudinal investigation includes data from 5316 (2501 men and 2815) women MESA participants (2271 whites, 1291 blacks, 1091 Hispanics, and 663 Chinese), excluding individuals with prevalent diabetes (n = 764), those whose followup time was equal to zero or missing (n = 25), and those who provided insufficient or implausible dietary information (,600 or  6000 kcal/d or unusual skip/repeat patterns; n = 630). (For details, see reference 4.)</t>
  </si>
  <si>
    <t xml:space="preserve">The Japan Public Health Center-based Prospective (JPHC) Study was launched in 1990 for cohort I and in 1993 for cohort II.26 The participants were residents of 11 Japanese Public Health Center areas aged 40–69 years at each baseline survey. Study participants were informed about the objectives of the study and those who responded to the survey questionnaire were regarded as consenting to participate in the study. A questionnaire survey was conducted at baseline and at the 5-year (second survey) and 10-year (third survey) follow-ups. </t>
  </si>
  <si>
    <t xml:space="preserve">MESA is a population-based study of 6814 white, African American, Hispanic, and Chinese adults aged 45–84 y and free of clinical CVD. The participants’ demographic, lifestyle, and clinical characteristics were collected in 6 field centers: Baltimore City and County, MD; Chicago, IL; Forsyth County, NC; New York, NY; Los Angeles County, CA; and St Paul, MN (6). Each examination cycle spanned ’2 y, with baseline (2000– 2002) and 3 follow-up exams conducted from 2002 to 20003, 2004 to 2005, and 2005 to 2007. Institutional review board approval was obtained, and participants gave informed consent. </t>
  </si>
  <si>
    <t xml:space="preserve">The design of the Singapore Chinese Health Study has previously been described.17 Briefly, the cohort was drawn from men and women 45 to 74 years of age who belonged to one of the major dialect groups (Hokkien or Cantonese) of Chinese in Singapore. Between April 1993 and December 1998, 63 257 individuals completed an in-person interview that included questions on usual diet, demographics, height and weight, use of tobacco, usual physical activity, menstrual and reproductive history (women only), medical history, and family history of cancer. A follow-up telephone interview took place between 1999 and 2004 for 52 322 cohort members (83% of recruited cohort). </t>
  </si>
  <si>
    <t xml:space="preserve">The design of the Singapore Chinese Health Study has been previously described (17). Briefly, the cohort was drawn from men and women, aged 45–74 y, who belonged to one of the major dialect groups (Hokkien or Cantonese) of Chinese in Singapore. Between April 1993 and December 1998, 63,257 individuals completed an in-person interview that included questions on usual diet, demographics, height and weight, use of tobacco, usual physical activity, menstrual and reproductive history (women only), medical history, and family history of cancer. </t>
  </si>
  <si>
    <t>For the analysis, we excluded 1936 subjects with a history of invasive cancer (except nonmelanoma skin cancer) or superficial, papillary bladder cancer at recruitment because they did not meet study inclusion criteria.We further excluded subjects with a selfreported history of physician-diagnosed diabetes (n = 5469) or CVD (n = 2399) at baseline, plus 869 subjects who reported extreme sex-specific energy intakes (,600 or .3000 kcal for women; ,700 or .3700 kcal for men). The analysis included 52,584 participants.</t>
  </si>
  <si>
    <t xml:space="preserve">The study is based on data from three Danish WHO MONICA surveys, described in detail previously. Random equal-sized samples of 30-, 40- 50- and 60-y-old men and women living in the south- western part of Copenhagen County, were drawn from the National Central Person Registry and invited to participate in surveys conducted in 1982 – 1984 (DAN-MONICA I), 1987 (DAN MONICA II), and 1991 – 1992 (DAN-MONICA III). The MONICA III survey also included men and women aged 70 y. The response rates were 79, 75 and 73%, respectively. </t>
  </si>
  <si>
    <t xml:space="preserve"> Data on the biological variables, smoking, drinking and physical activity, were missing from less than 1% of the participants, whereas 19% of the participants had missing data for one or more of the variables in the FFQ on dietary habits. Subjects with incomplete data were more often women, lower educated and from the MONICA II survey.  Subjects were followed until 31 December 1996 for fatal and non-fatal CHD (ICD-8 diagnosis codes 410-4, ICD-10 diagnosis codes I20 – I25). The information was obtained from the National Board of Health (Cause of death register) and the National Hospital Discharge Register. Subjects with CHD the preceeding 5 y before enrollment (n 1⁄4 40) were excluded; analyses therefore are assumed to concern first events only. After excluding subjects with incomplete data or with CHD the preceeding 5 y before enrollment, the study population comprised 2964 men and 2870 women. </t>
  </si>
  <si>
    <t xml:space="preserve">A total of 9427 participants (4659 girls and 4768 boys; 63% of baseline cohort) were recontacted after 2 years (mean) and a second set of anthropometric measurements were obtained. Questionnaires with o50% of missing replies were included in the analysis and the missing items were imputed as zero consumption except water as a drink. Prevalent overweight and obese children who remained overweight and obese during the follow-up (746 stable overweight and 468 stable obese) were excluded from this
analysis. </t>
  </si>
  <si>
    <t xml:space="preserve">Identification and Prevention of Dietary and Lifestyle Induced Health Effects in Children and Infants (IDEFICS) is a multicenter study designed to investigate and prevent diet- and lifestyle-related health problems (particularly overweight and obesity) in European children between the ages of 2 and 9 years. Detailed information on IDEFICS is available elsewhere.15 The data for this publication were released by the steering committee of the IDEFICS Consortium (http://www.idefics.eu). All authors had access to the full IDEFICS data set. At baseline, 16 220 children were recruited from schools in Belgium, Cyprus, Estonia, Germany, Hungary, Italy, Spain and Sweden after obtaining written informed consent from the parents. Anthropometric measurements were obtained and 15 197 children completed dietary and lifestyle questionnaires. After  excluding 208 children with incomplete questionnaires (450% missing replies), 14 989 children (7622 boys and 7367 girls) were included in the DP and SDP analyses. </t>
  </si>
  <si>
    <t xml:space="preserve">The Sandy Lake Health and Diabetes Project (SLHDP) is a population-based prospective study designed to determine the incidence of diabetes and its associated risk factors in an Indigenous Canadian population. The methodology has been described in detail in a previous publication (20).  Briefly, at baseline (1993 to 1995), data were obtained from 728 (71.5%) of 1018 eligible residents aged 10 to 79 years (21).  </t>
  </si>
  <si>
    <t xml:space="preserve">At follow up (2003 to 2005), 540 (89.1%) of 606 participants who were free of diabetes at baseline participated in follow-up assessments (20). Of the 540 participants contacted, data from 492 participants were used in this analysis as a result of exclusions due to death from cancer (n=6), pneumonia (n=5), liver cirrrhosis (n=3), cardiovascular disease (n=2), brain tumour or aneurysm (n=2), suicide (n=2) and other causes, including accidents (n=7). Further, 9 subjects with diabetes were excluded at baseline as deter-
mined by 1999 World Health Organization diagnostic criteria for diabetes (22). In addition, participants who had missing baseline fasting and 2-hour postload glucose values (n=12) were excluded. </t>
  </si>
  <si>
    <t xml:space="preserve"> For the purposes of this analysis, only girls who had dietary information collected during each of 3 stages of adolescence (ages 9–11 y, 12–14 y, and 15–19 y) were included. This resulted in the exclusion of 2 black girls and 6 white girls for a total sample of 2371. </t>
  </si>
  <si>
    <t>The NGHS has been described in detail elsewhere (7). Briefly, this multi-center longitudinal study began in 1987 with a cohort of 2379 girls (1213 black and 1166 white), 9 and 10 y of age, and continued through 10 y of annual data collection. Girls were recruited by 1 of 3 clinical centers: the University of California at Berkeley; Cincinnati Children’s Hospital Medical Center, Ohio; and Westat in Rockville, Maryland. Written informed consent was obtained from all participants and from their parents or guardians.  Inclusion criteria at enrollment consisted of the following: within 2 wk of age 9 or 10 y at the time of the first clinic visit, black or white (by self-report), living with parents/guardians  with racial concordance, and parent/guardian providing information on the demographics of the household as well as consent for the girl’s participation. Detailed information was collected from participants on medical history, eating behaviors, dietary intake, physical activity, sedentary behaviors, anthropometric measurements, blood pressure, blood lipids, health beliefs and attitudes, and a range of psychosocial variables. Participants’ parents or guardians also provided information on household demographics.</t>
  </si>
  <si>
    <t xml:space="preserve">The Nurses’ Health Study (NHS) cohort was established in 1976 when 121 700 female registered nurses aged 30 –55 y and residing in 11 US states responded to mailed questionnaires regarding their medical history and health practices. The respondents reflect the racial composition of women trained as registered nurses at that time; 97% were white (11). Since 1976, questionnaires have been administered biennially to update health information and to identify new cases of disease. During 1989 through 1990, 32 826 women free of diagnosed diabetes, ischemic heart disease, stroke, or cancer provided blood samples. By 2000, 737 of these women had developed definite diabetes. Control women providing baseline blood samples were matched to diabetes cases by year of birth, date of blood draw, race, and fasting status (at least 8 h overnight) at the time of the blood draw. In addition, to improve statistical control for obesity at the upper extreme of the distribution, control subjects were also matched by body mass index (BMI) for case subjects in the top 10% of the BMI distribution, giving a sample of 785 control women. A total of 656 cases and 694 controls completed a dietary questionnaire in 1986, 1990, or both and had complete information on body weight, height, physical activity, smoking, and biomarkers. Among those NHS participants who did not provide blood, 51 895 women completed a dietary questionnaire in 1984.  The Nurses’ Health Study II (NHS-II) is a prospective cohort study of 116 671 female US nurses. Participants were aged 24 – 44 y at the study start in 1989. As with the NHS cohort, the NHS-II cohort is followed up through the use of biennial mailed questionnaires. The follow-up rate exceeds 90% for every 2-y period, and we estimate nearly complete (98%) ascertainment of mortality. </t>
  </si>
  <si>
    <t>NHS: After the exclusion of women with a history of diabetes, cancer (except nonmelanoma skin cancer), or cardiovascular disease; with implausible energy intakes (eg, 500 or 3500 kcal/d); or without information on physical activity or body weight, 35 340 women remained for cohort analyses separate from the nested case-control analysis. NHS-II: for the analyses presented here, women were excluded from the baseline population if they did not complete a dietary questionnaire in 1991; if the reported dietary intake was implausible with regard to total energy intake; if they had a history of diabetes, cancer (except nonmelanoma skin cancer), or cardiovascular disease reported on either the 1989 or 1991 questionnaire; or if they had not provided data on body weight and physical activity in 1991. These exclusions left a total of 89 311 women for the analyses.</t>
  </si>
  <si>
    <t xml:space="preserve">The Nurses’ Health Study II is a prospective cohort study of 116,671 female U.S. nurses. Participants were 24 to 44 years of age at study initiation in 1989. This cohort is followed using biennial mailed questionnaires with a follow-up rate exceeding 90% for every 2-year period, and we estimate that there is almost complete (98%) ascertainment of  ortality. Participants completed self-administered food frequency questionnaires (FFQs)1 in 1991, 1995, and 1999. </t>
  </si>
  <si>
    <t xml:space="preserve">For the analyses presented here, women were excluded from the baseline population if they did not complete dietary questionnaires, if more than nine food items were left blank on it, if the reported dietary intake was implausible with regard to total energy intake (i.e., 500 or 3500 kcal/d), if they had a history of diabetes or cardiovascular diseasebefore 1995 or reported the diagnosis of cancer (except non-melanoma skin cancer) on any questionnaire, if they did not report body weight on any questionnaire, if they had no data on physical activity assessed in 1991 or 1997, or if they were pregnant at the time of the 1991, 1995, or 1999 questionnaire administration. These exclusions left a total of 51,670 women for the analyses.  </t>
  </si>
  <si>
    <t xml:space="preserve">Details on the design and methods of REGARDS have been published17. Briefly,  REGARDS is a national, population-based, longitudinal cohort of 30,239 community-
dwelling black and white women and men aged 45 years or older, recruited from 2003-2007 via mail and telephone using commercially available lists of US residents. REGARDS used the same lists to contact potential participants as the Behavioral Risk Factor Surveillance System (BRFSS), and the demographics of REGARDS mirror those of BRFSS. The
telephone response (those answering the phone) was 33% and cooperation (those answering the phone who agreed to participate) was 49%, similar to that of other cohort studies20,21.  </t>
  </si>
  <si>
    <t>For this analysis, we included only those without a history of CHD (n=24,297). The sampling scheme included 30% of participants from the stroke belt (North Carolina, South Carolina, Georgia, Tennessee, Alabama, Mississippi, Arkansas, and Louisiana), 20% from the stroke buckle (the coastal plain of North Carolina, South Carolina, and Georgia), and 50% from elsewhere in the continental US. The baseline cohort was 42% black and 55% women. Criteria for inclusion in the sample included having a name, telephone number, and address in the commercially available nationwide database from which the sample was selected, and age ≥45 years. Exclusion criteria included race other than white or black, active treatment for cancer, chronic medical conditions precluding long-term participation, cognitive impairment, current or impending residence in a nursing home, or inability to communicate in English. An initial telephone interview was used to survey participants and establish eligibility. Following verbal consent, demographic information and medical history (including risk factor evaluation) was collected by computer assisted telephone interviewing. Race was self-classified by participants using the following options defined by the investigators: white, black or African American, Asian, Native Hawaiian or other Pacific Islander, and American Indian or Alaska Native. Race was assessed in REGARDS because blacks have the highest disparity in stroke mortality compared to other race/ethnic groups.</t>
  </si>
  <si>
    <t xml:space="preserve">EPIC-NL is the Dutch contribution to the European Prospective Investigation into Cancer and Nutrition and consists of Prospect-EPIC (17,357 women aged 50-69) and the MORGEN-EPIC (22,654 men and women aged 20-64). All participants were recruited 1993-1997 through random population sampling in Amsterdam, Maastricht and Doetinchem (MORGEN) or after breast cancer screening program participation in Utrecht (Prospect) and gave informed consent prior to study inclusion [11]. 
</t>
  </si>
  <si>
    <t xml:space="preserve">The Health Professionals Follow-up Study started in 1986, when 51 529 male health professionals (den-tists, veterinarians, pharmacists, optometrists, osteopathic physicians, and podiatrists) completed a detailed mailed questionnaire on medical history, diet, and other potential risk factors for major diseases. The participants lived in all 50 U.S. states, were predominantly white, and were 40 to 75 years of age in 1986. We excluded from the current analysis 1595 men who did not satisfy the a priori criteria of reporting daily energy intake of 3.3 to 17.6 MJ (800 to 4200 kcal/24 h) and leaving fewer than 70 responses blank of the 131 food items on the diet questionnaire (5% had 11 blanks). We also excluded men who reported having diabetes, cardiovascular disease (myocardial infarction, angina pectoris, coronary artery surgery, or stroke), or cancer (except nonmelanoma skin cancer) at baseline because having these diagnoses may affect diet or reporting of diet.  </t>
  </si>
  <si>
    <t>After exclusions, the study sample comprised 42 504 men, who were followed for incidence of type 2 diabetes and other diseases for 12 years (1986 to 1998). Every 2 years, the participants received questionnaires by mail that asked for updated information on exposures and newly diagnosed diseases. The follow-up rate for potential person-years  as about 97% for nonfatal events. We identified deaths by reports from family members, co-workers, or postal authorities or through systematic searches of the National Death Index.</t>
  </si>
  <si>
    <t xml:space="preserve">Of the initial 40,011 people enrolled, 4101 participants were excluded because of presence of myocardial infarction (n =724) or stroke (n = 448) at baseline, missing dietary  information (n =204), extreme energy intake (&lt;600; &gt;5000 kcal/d; n = 112) or loss to follow-up (n = 2613). The remaining 35,910 people were included in the study. </t>
  </si>
  <si>
    <t xml:space="preserve">The data were collected as part of the MONICA study (Monitoring of Trends and Determinants in Cardiovascular Diseases).10 In 1982–1983, 4807 Danish citizens, aged 30, 40,50, or 60 y were invited for the baseline examination (M-82) at Copenhagen County Centre for Preventive Medicine (nownamed Research Centre for Prevention and Health) at Glostrup University Hospital. The group was a random sample of the Danish population, selected from the Central Person Register among citizens who all lived in the Western part of the Copenhagen County. Of the invited, 3785, 1845 women and 1940 men (79%) attended M-82. A subgroup of the remaining 21% who did not attend the examination agreed to participate in a short telephone interview. It showed that lower social classes were over-represented and the prevalence of overweight (self-reported) was lower among the telephone interviewed (ie nonparticipants in this study). This has been described elsewhere.11 This study population was re-examined in 1987–1988 (M-87) and again in 1993–1994 (M-93), where 2987 (79% of the 3785) and 2656 (70% of the 3785) subjects participated, respectively.  </t>
  </si>
  <si>
    <t xml:space="preserve">In total, 2436 (1200 women (65%) and 1236 men (64%)) participated in all three surveys. The nonparticipants included 324 subjects who died in the follow-up period between 1982 and 1994 and 177 men and women, who were considered of non-Danish origin. The latter were not invited for the follow-up examinations, in order to enhance the genetic homogeneity of the study population. The number of subjects included in each analysis was smaller due to the lack of information in some covariates (exact numbers are given in the tables). </t>
  </si>
  <si>
    <t xml:space="preserve">The final baseline population (in 1984 for women from the NHS and in 1986 for men from the HPFS) included 80,192 women and 49,238 men. In the NHS, the active follow-up rate (the number of person-years in the cohort when participants are censored after their last questionnaire response) from 1984 to 2008 was 92.2%, and in the HPFS, the follow-up rate from 1986 to 2008 was 88.0%. </t>
  </si>
  <si>
    <t xml:space="preserve">The Nurses_ Health Study II (NHSII), established in 1989, is a prospective cohort study of 116,671 female nurses in the US. This cohort has been, and continues to be, followed
with the use of biennially mailed questionnaires to update information on health-related behaviours and characteristics and to determine incident disease outcomes. The follow-up rate has consistently exceeded 90% in every 2-year period. </t>
  </si>
  <si>
    <t xml:space="preserve">To avoid the influence of cultural differences in dietary patterns, our analyses were restricted to children with a Dutch ethnicity [17]. Of the 7893 children available for preschool follow-up, 4215 had a Dutch ethnic background. Data on dietary patterns were available for 2413 of them [18]. At the age of 6 years, 2026 (84 %) of these children visited the research center and had anthropometrics measured, and body fat measures were available in 1980 of them </t>
  </si>
  <si>
    <t xml:space="preserve">This study was embedded in the Generation R Study, a population-based prospective cohort study among mothers and their children from fetal life onward in Ro terdam, the Netherlands [16]. All pregnant women with an expected delivery date between April 2002 and January 2006 living in the area of Rotterdam were eligible and a total of 9778 women were enrolled. The response rate based on the number of children at birth was 61 %. In total, 7893 children were available for follow-up after birth and 6690 children participated in the follow-up measurements at the age of 6 years [16].  Further details of the cohort are described elsewhere [16]. </t>
  </si>
  <si>
    <t xml:space="preserve">For the analyses presented here, women were excluded if they did not complete a food frequency questionnaire (FFQ) in 1991, or if more than nine items on it were left blank; if their reported dietary intake was implausible with regard to total energy intake (i.e. &lt;2.09 MJ [500 kcal]/day or &gt;14.64 MJ [3,500 kcal]/day); or if they reported a multiple gestation (i.e. twins or higher order multiple gestations). Women were also excluded if they reported a history of diabetes, cancer, cardiovascular disease or GDM on the 1989 or 1991 questionnaire. The final sample for the current analyses consisted of 13,110 women who reported having at least one singleton pregnancy lasting 6 months or more between 1992 and 1998. The study was approved by the Human Research Committees at the Brigham and Women_s Hospital; completion of the self-administered questionnaire was considered to imply informed consent. </t>
  </si>
  <si>
    <t xml:space="preserve">FM was measured by dual-energy X-ray absorptiometry (DXA) at the 11-, 13- and 15-year follow-ups using the Lunar Prodigy DXA fan bean scanner (GE Medical Systems Lunar, Madison, WI, USA). FM index (FMI) was calculated as FM (kg) divided by height (m) raised to an optimum power (x) to remove the relation between FMI and height, that is, FM/height^x. The optimum power (x) was calculated by regressing log (FM) on log (height). As the optimum power (x) varied significantly by gender and age (boys: 5.3 at 11 years, 1.8 at 13 years, 2.4 at 15 years; girls: 4.2 at 11 years, 3.1 at 13 years and 2.4 at 15 years), FMI was calculated separately for boys and girls and at each follow-up. To allow same scale comparisons across all ages, FMI was log-transformed to obtain normal distributions and standardised to a z-score. Individuals in the top quintile (above 80th  percentile) of FMI z-scores were classified as having excess adiposity. </t>
  </si>
  <si>
    <t xml:space="preserve">Participants were prospectively followed-up for cardiovascular mortality and morbidity from re-examination in 1998–2000 to June 2010, and follow-up was achieved for 98 % of the cohort(36). Information on deaths was collected through the National Health Service Central Register (death certificates coded using International Classification of  diseases, ninth revision (ICD-9)). Evidence regarding non-fatal events was obtained using ongoing reports from general practitioners and using biennial reviews of the  patients’ medical records(20). The four outcomes examined in this study were as follows: CHD events (diagnosis of fatal or non-fatal MI (ICD-9 codes 410-414)); CVD events (diagnosis of non-fatal MI (ICD-9 codes 410-414), non-fatal stroke (ICD-9 codes 430-438) or fatal CVD (ICD-9 codes 390-459)); CVD mortality (ICD-9 codes 390-459); and all-cause mortality. Participants were censored at date of death or at the end of the study period (June 2010). </t>
  </si>
  <si>
    <t>Our end points included incident type 2 diabetes mellitus that occurred between the return of the 1984 questionnaire and June 1, 1998. When a participant reported a diagnosis of diabetes in the biennial questionnaires, we mailed them a supplementary questionnaire that assessed symptoms, diagnostic tests, and treatment to confirm the diagnosis. Diabetes was confirmed when the participant fulfilled 1 or more of the following criteria: (1) manifestation of classic symptoms (eg, excessive thirst, polyuria, weight loss, and hunger) plus an elevated fasting glucose level (140 mg/dL [7.8 mmol/L]), or elevated nonfasting level (200 mg/dL [11.1 mmol/L]); (2) symptomatic but plasma glucose level was elevated on at least 2 different occasions (as defined herein) or abnormal oral glucose tolerance test result (200 mg/dL 2 hours after glucose load); and (3) receiving any hypoglycemic treatment for diabetes. These criteria for diabetes classification were consistent with those of the National Diabetes Data Group during our follow-up period.</t>
  </si>
  <si>
    <t>At baseline, prevalent CHD was identified using a self-reported questionnaire. Incident CHD during follow-up was ascertained with a telephone questionnaire (at 3-year post-recruitment) as well as by record linkage with three sources of information: i) hospital discharge databases, ii) population-based myocardial infarction registries (available in Murcia, Navarra and Gipuzkoa) and iii) national and regional mortality registry (managed by the National Statistical Institute), which provided information on date and cause of death. Morbidity and mortality data were classified according to the following codes for CHD in the International Classification of Diseases (ICD): ICD-9: 410e414; ICD-10: I20eI25. A team of trained physicians and nurses validated the identified CHD events against information from hospital records for each individual and autopsy reports. CHD events were classified on the basis of symptoms, signs, biomarkers, and electrocardiogram (ECG) and/or autopsy findings, according to standard criteria [21]. A definite CHD event was defined as one meeting all relevant criteria for a fatal or non-fatal acute myocardial infarction, or angina requiring revascularization (coronary artery bypass graft or percutaneous transluminal coronary angioplasty). Probable and possible acute CHD events were defined as cases where ECG findings were non-specific or the biomarkers were equivocal or missing [14].</t>
  </si>
  <si>
    <t xml:space="preserve">The endpoints were incident CHD (including nonfatal MI and fatal CHD) occurring between the return of the baseline questionnaire and 31 January 1994. We inquired about the occurrence of cardiovascular endpoints on each biennial questionnaire. Participants reporting an incident MI were asked for their permission for us to review their medical records. Nonfatal MI was confirmed by using World Health Organization (WHO) criteria: symptoms plus either typical electrocardiographic changes or increased activities of cardiac enzymes (17). MIs that required hospital admission and for which confirmatory information was obtained by interview or letter, but for which no medical records were available, were designated as probable. We included all confirmed and probable cases in the analyses because results were the same after exclusion of
probable cases. The follow-up rate for nonfatal events was 97% of the total potential person-years of follow-up. </t>
  </si>
  <si>
    <t>Record linkage with the Swedish Hospital Discharge  Register, theNationalMyocardial InfarctionRegister, the Stroke Register of Malmo¨ (STROMA) and the Cause of Deh  register provided information on morbidity and mortality from CHD and stroke in the MDC study, including subjects that moved out of the city during follow-up.</t>
  </si>
  <si>
    <t xml:space="preserve">During follow-up dietitians delivered the nutritional intervention with quarterly individual visits and quarterly group sessions [13]. The questionnaires and examinations carried out at baseline were repeatedly administered every year to all participants. Besides, once a year a team of medical doctors reviewed medical records to collect information on the main outcomes, both in primary care centers and hospitals. Also, yearly inquiries were made of the National Death Index. </t>
  </si>
  <si>
    <t xml:space="preserve">Incident cases of diabetes were identified by self-report (doctor’s diagnosis or diabetic medication) and a 2-h 75-g OGTT at phases 5 and 7 according to the 1999 World Health Organization classification (13). Incident diabetes was dated at the day of clinic visit for those first identified through an OGTT. For those identified by self-report, the midpoint between the first instance of self-reported diabetes and the previous phase was used. Person-time of exposure was censored at the midpoint between the last known visit and the first missing visit for those lost to follow-up. Participants with an intermediate missing phase were assumed to have continuous follow-up time. For those who had not developed diabetes up to phase 7, follow- up (mean duration 11.6 years) was censored on 30 September 2004 (phase 7 closing date). Of 264 cases of diabetes
first diagnosed at phase 7, 172 (65%) were detected through screening (OGTT or fasting glucose) only. New diabetes was self-reported by 92 participants, and of these 21 had confirmation by fasting glucose. Of the 71 remaining selfreported cases, 40 reported diabetic medication at phases 7 or 8 (2006), and 31 (11.7% of total) were unsupported by other evidence. </t>
  </si>
  <si>
    <t xml:space="preserve">Participants were flagged by the National Health Service Central Registry, who notified us of the date and cause of all deaths up to July 31st 2006. Deaths were classified as coronary if ICD9 codes 410–414 or ICD10 codes I20–I25 were present on the death certificate. Cases of non-fatal myocardial infarction were identified from 12-lead electrocardiograms obtained at study phases 3, 5 and 7 and questionnaire items on chest pain and doctor's diagnosis. Details of physician investigations, diagnoses and interventions were sought from medical records for all potential cases for final ascertainment. Classification, following WHO Monitoring of trends and determinants in cardiovascular disease (MONICA) methods, was carried out independently by two trained coders, with adjudication in the event of disagreement. Self-report in the absence of verification was not classified as myocardial infarction. Prevalent cases of myocardial infarction were excluded from the analysis. Participants’ date of censoring depended on the last attended phase: September 30th 2004 for those who attended phase 7. </t>
  </si>
  <si>
    <t xml:space="preserve">Self-reported weight and height were validated with a previous study (16). The outcome used the inidence of overweight and obesity (BMI $25) during follow-up and was defined as the first time participants reached a BMI of 25 during follow-up. </t>
  </si>
  <si>
    <t>In both the baseline and follow-up questionnaires, participants were asked whether they had received a medical diagnosis of hypertension. Additionally, the baseline questionnaire inquired about the most recent systolic and diastolic blood pressures. The follow-up questionnaire also requested the date of hypertension diagnosis. A participant was considered to have hypertension at baseline if he/she reported a medical diagnosis of hypertension, was taking an antihypertensive medication, or reported systolic and/or diastolic blood pressures ≥140 mm Hg and/or ≥90 mm Hg, respectively.23 New cases of hypertension were defined as individuals reporting a physician-based diagnosis of hypertension in the follow-up questionnaire who did not have hypertension at baseline. Adequate validation of the self-reported hypertension diagnosis was observed in a specific study within a subsample of the cohort.24 Hypertension was confirmed using conventional measurements of blood pressure for 82.3% (95% confidence interval [CI], 72.8–92.8) of participants. Furthermore, we validated each component of metabolic syndrome (including high blood pressure) and found adequate intraclass correlation coefficients for high systolic (0.47 [95% CI, 0.36–0.57]) and diastolic (0.46 [95% CI, 0.34–0.56]) blood pressures using direct assessments.25</t>
  </si>
  <si>
    <t xml:space="preserve">Incidence of cardiovascular events was confirmed through primary care records, hospital records and the National Health Service Central Registry that also kept death certificates coded by the 9th revision of the International Classification of Diseases (ICD). Clinical endpoints for the present analyses were CHD, including ischaemic heart diseases, cardiac arrest and sudden death (ICD-9 codes: 410–414, 427.5, 798.1, 798.2, 798.9), stroke (ICD-9 codes: 430–434, 436) and CVD incidence, including both fatal and non-fatal CHD, stroke and congestive heart failure events (ICD-9 codes: 428). </t>
  </si>
  <si>
    <t>Participants were followed up until the occurrence of mortality from any cause or their last successful interview, mostly before August 2010, whichever came first. Median duration of follow-up was 108 (interquartile range: 105–109) months. Subjects or their families had four biannual telephone interviews during the 9 years of follow-up. Related documents about reported events were obtained by trained nurses from medical records, hospital records, death certificates and verbal autopsies. Four cardiologists and two neurologists evaluated the documents related to each event as the specialists’ outcome adjudication panel. Detailed information about the ascertainment of cases has been reported previously.34 In the current study, cardiovascular mortality was defined as fatal myocardial infarction, fatal stroke (which was defined as death from cerebrovascular disease) and sudden cardiac death. Using the modified criteria of the World Health Organization Expert Committee,37 myocardial infarction was defined on the basis of the presence of at least two of the following criteria: (1) typical chest pain lasting more than 30 min; (2) ST elevation 40.1 mV in at least two adjacent electrocardiograph leads; and (3) an increase in serum level of cardiac biomarkers. Sudden cardiac death was defined as death within 1 h of onset, a witnessed cardiac arrest or abrupt collapse not preceded by 41 h of symptoms. Moreover, the World Health Organization stroke definition was used, that is, stroke was defined as a rapid-onset focal neurological disorder persisting for at least 24 h that had probable vascular origin.</t>
  </si>
  <si>
    <t>Type 2 diabetes newly diagnosed during the 5-year period after the second survey was determined by a self-administered questionnaire at the third survey. At the third urvey, study participants were asked if they had ever been diagnosed as diabetes, and if so, when the initial diagnosis had been made. Only participants who were diagnosed after the second survey, baseline of the present analysis, were regarded as incident cases. To assess the validity of self-reported diabetes, we examined a series of medical records of some study participants in three districts of the study areas, finding that 94% of self-reported diabetes cases of diabetes were confirmed by medical records.</t>
  </si>
  <si>
    <t>Participants were followed for incident CVD events from baseline until the participant’s follow-up 6 telephone interview. At intervals of 9 to 12 mo, an interviewer contacted the participants to inquire about all hospital admissions, cardiovascular outpatient diagnoses and procedures, and deaths. In addition, MESA occasionally identified medical encounters through cohort clinic visits, participant call-ins, medical record abstractions, or obituaries. To verify self-reported diagnoses, death certificates and medical records or hospitalizations and selected outpatient cardiovascular diagnoses and procedures were reviewed and adjudicated by a medical endpoints committee. Hospital records were obtained for an estimated 98% of hospitalized cardiovascular events and some information on 95% of outpatient diagnostic encounters. CVD events used in these analyses were centrally adjudicated by a physician panel with use of standard diagnostic information abstracted from the medical records for hospitalized events and additionally with use of informant interview data collected for fatal events.</t>
  </si>
  <si>
    <t xml:space="preserve">Self-reported diabetes mellitus diagnosed by a physician was evaluated at baseline, and participants with a history of diagnosed diabetes mellitus were excluded from analysis. Diabetes status was assessed again by the following question asked during the follow-up interview: “Have you been told by a doctor that you have diabetes (high blood sugar)?” If yes, “Please also tell me the age at which you were first diagnosed.” Participants were classified as having incident diabetes mellitus if they reported developing diabetes mellitus anytime between the initial enrollment interview and the follow-up interview, which occurred between July 1999 and October 2004. A validation study of the incident diabetes mellitus cases used 2 different methods and was reported in detail previously.20,21 On the basis of linkage with hospital-based discharge summary database and subsequent interviews using a supplementary questionnaire on symptoms, diagnostic tests, and hypoglycemic therapy, we observed a positive predictive value of 99% with our interview question about the diagnosis of diabetes mellitus. Alternatively, 2625 randomly selected participants who answered “no” to the question of diabetes diagnosis at baseline and follow-up and provided blood samples at their follow-up interview were analyzed for hemoglobin A1c percent (glycohemoglobin). A total of 148 subjects (5.6% of the sample) had a hemoglobin A1c ≥6.5%, meeting the most recent diagnostic guidelines for the presence of diabetes mellitus.22 Thus, an estimated 94.4% of this sample who reported being free of diabetes mellitus at baseline and follow-up were below the hemoglobin A1c threshold for diabetes mellitus.21 </t>
  </si>
  <si>
    <t xml:space="preserve">Information on the date and cause of death was obtained through linkage with the nation-wide registry of birth and death in Singapore. Up to 6 different International Classification of Diseases version 9 codes were recorded in the registry. The primary cause of death was used for analysis. The vital status of cohort participants was updated through 31 December 2011. Follow-up for mortality was considered virtually complete because of the linkage analysis and negligible emigration; only 47 subjects from this cohort were known to be lost to follow-up because of migration out of Singapore or for other reasons. Endpoints in our cause-specific analyses were deaths from CVD (codes 394.0–459.0), all cancers (140.0–195.8 and 199–208.9), and respiratory causes [such as pneumonia and influenza (480–488) and chronic obstructive pulmonary disease (490–496)]. </t>
  </si>
  <si>
    <t>Subjects were followed until 31 December 1996 for fatal and non-fatal CHD (ICD-8 diagnosis codes 410-4, ICD-10 diagnosis codes I20 – I25). The information was obtained from
the National Board of Health (Cause of death register) and the National Hospital Discharge Register.</t>
  </si>
  <si>
    <t xml:space="preserve">Height was measured to the nearest 0.1 cm with a calibrated stadiometer (SECA 225, Telescopic Height Measuring Instruments, (Seca GmbH &amp; Co.KG, Hamburg, Germany)). Body weight was measured in light underwear, using scales (Tanita BC 420 SMA Digital Weighing Scale, Tanita Europe, GmbH; Sindelfingen, Germany) accurate to 0.1 kg. BMI was calculated as weight (kg) divided by height squared (m2). Weight status was assessed as BMI z-scores. The BMI z-score accounts for developmental differences between boys and girls of different ages by measuring each child’s BMI relative to the sex and age-specific standard reference population.20 BMI z-scores were used to classify
children as underweight, normal weight, overweight or obese, according to the International Obesity Task Force criteria.21 Prevalent overweight and obese children were those with overweight and obese BMI z-scores at baseline. </t>
  </si>
  <si>
    <t>A fasting blood sample was taken prior to ingestion of a 75-gram oral glucose load (Glucodex Rougier Chambly, Quebec, Canada) (21). A second blood sample was collected 120 minutes following the glucose load (21). All blood samples were centrifuged, aliquoted and frozen on site, then shipped off site for analysis (21). Plasma for glucose was sent to the Sioux Lookout Zone Hospital laboratory for analysis using the glucose oxidase method (20,21). Serum samples were sent to the Banting and Best Diabetes Centre Core Lab (Toronto, Canada) for measurement of fasting serum insulin using radioimmunoassay techniques (21). Plasma samples for lipid and lipoprotein analyses were sent to the St. Michael’s Hospital Lipid Research Laboratory in Toronto (21). Plasma levels of high-density lipoprotein-cholesterol were measured using standard methods described by
the Lipid Research Clinic’s manual of operations (21,23). A radioimmunoassay technique (Linco Research, St. Louis, Missouri, USA) was used to measure serum adiponectin (interassay CV 9.3% at 7.5 μg/L). An enzyme-linked immunosorbent assay (BioSource International, Camarillo, California, USA) was used to determine levels of interleukin-6 (IL-6) (interassay CV 10% at 2 ng/L). Serum C-reactive protein concentration (interassay CV 5% at 12.8 mg/L) was determined using the Behring BN 100 and N high-sensitivity C-reactive protein reagent (Dade-Behring, Mississauga, Ontario, Canada) (24).</t>
  </si>
  <si>
    <t>Anthropometric measures were made annually using standardized protocols, as described previously (7). These included height and weight (from which BMI was derived), percent body fat using sum of skinfolds, and waist circumference measured at the umbilicus. Light clothing was provided for girls to wear during anthropometric measurements.</t>
  </si>
  <si>
    <t>Women reporting a new diagnosis of diabetes on any of the biennial questionnaires were sent supplementary questionnaires asking about diagnostic tests and treatment of their diabetes and history of ketoacidosis or ketosis to distinguish between type 1 and type 2 diabetes. In accordance with the criteria of the National Diabetes Data Group (17), confirmation of diabetes re-quired atleast one ofthe following: 1) an elevated plasma glucose concentration [fasting plasma glucose  7.8 mmol/L (140 mg/dL), random plasma glucose  11.1 mmol/L (200 mg/dL), or plasma glucose  11.1 mmol/L (200 mg/dL) after  2 h during an oral-glucose-tolerance test] plus at least one classic symptom
(excessive thirst, polyuria, weight loss, or hunger); 2) no symptoms, but at least 2 elevated plasma glucose concentrations (by the above criteria) on different occasions; or 3) treatment with hypoglycemic medication (insulin or oral hypoglycemic agent). The diagnostic criteria for type 2 diabetes were changed in 1997 (18) such that lower fasting glucose levels (7 mmol/L, or 126 mg/dL) would now be considered diagnostic. Thus, we used the American Diabetes Association criteria for diagnosis of diabetes
after 1998. In a substudy of the NHS, 98% of the self-reported diabetes cases documented by the same supplementary questionnaire were confirmed by medical record review (19, 20).</t>
  </si>
  <si>
    <t>Information on age, weight, smoking status, contraceptive use, postmenopausal hormone replacement therapy, and pregnancies was collected by biennial questionnaires. We calculated BMI as the ratio of weight (in kilograms) to squared height (in meters squared), height being assessed at baseline only. Self-reports of body weight were highly correlated with technician-measured weights (r  0.96) in the Nurses’ Health Study I (14).</t>
  </si>
  <si>
    <t xml:space="preserve">We defined incident acute CHD as nonfatal MI or acute CHD death in participants free of CHD at baseline. Incident cases of CHD were captured by participant report and adjudicated by physician adjudicators with appropriate expertise. Participants were contacted by telephone every six months to assess vital status. If a suspected heart event was reported, medical records were pursued. MIs were adjudicated based on the presence of signs or symptoms suggestive of ischemia; diagnostic cardiac enzyms (rising  and/or falling pattern in cardiac troponin or creatine phosphokinase-MB isoenzyme concentrations over six or more hours with a peak concentration greater than twice the upper limit of normal); and electrocardiogram changes consistent with ischemia or MI, guided by the Minnesota Code and classified as evolving diagnostic, positive, nonspecific, or not consistent with ischemia27. In the case where a participant died outside of the hospital, interviews with family members or other proxies, proximal hospitalizations, baseline medical history, death certificates, and the National Death Index were used to identify CHD as the underlying cause of death. </t>
  </si>
  <si>
    <t>Information on morbidity during follow-up was obtained through linkage with the hospital discharge diagnoses database from the Dutch National Medical Registry using a validated probabilistic procedure [12]. Mortality information was obtained through linkage with the Cause of Death Registry from Statistics Netherlands. The entire cohort was followed-up for the diagnosis of CHD and stroke (CHD: ICD-9:410-414, 427.5, 798.1, 798.2, 798.9, ICD-10:I20-I25, I46, R96 and stroke: ICD-9:430-434, 436, ICD-10:I60-I66), either fatal or non-fatal [11]. When multiple events of CHD or stroke occurred, morbidity or mortality of the first diagnosis was taken as endpoint. Follow-up was complete until January 1st 2008. By that time, 1843 CHD and 588 stroke cases occurred. Follow-up ended on the day of diagnosis, day of death, at the end of the study or on the date of loss to follow-up.</t>
  </si>
  <si>
    <t xml:space="preserve">Height was measured to the nearest 0.5 cm with subjects standing without shoes, heels together, and head in horizontal Frankfurt plane. Body weight was measured to the nearest 0.1 kg using a SECA scale, and subjects wearing only light indoor clothes. BMI was calculated as weight/ height2 (kg/m2) and obesity defined as BMI Z30 kg/m2. For analyses with BMI differences or obesity at M-93 as dependent variable, height at baseline was used for all BMI computations to overcome change in BMI due to age-related changes in height (BMI82 1⁄4 weight82/height822 ; BMI87 1⁄4 -weight87/height822 ; BMI93 1⁄4 weight93/height822 ). The difference in height would have a considerable influence on the change in BMI had a standardised baseline height not been used as the height in all BMI calculations shown above. For example, for the 11-y period between M-82 and M-93, from 12% of the 30-y-old to 53% of the 60-y-old women had a higher BMI ‘change’ due to height alone (weight82/height932 weight82/height822 ) rather than a similar change due to weight alone (weight93/height822 weight82/height822 ;data not shown). </t>
  </si>
  <si>
    <t>We mailed a supplementary questionnaire on symptoms, diagnostic tests, and medication use to participants who indicated on any biennial follow-up questionnaire that he had received a diagnosis of diabetes mellitus. Confirmation of diabetes required at least one of the following: 1) an elevated plasma glucose level (fasting plasma glucose level  7.8 mmol/L [140 mg/ dL]; random plasma glucose level  11.1 mmol/L [200 mg/dL]; or plasma glucose level after 2 hours or more during an oral glucose tolerance test  11.1 mmol/L [200 mg/dL]) plus at least one classic symptom (excessive thirst, polyuria, weight loss, or hunger); 2) at least two elevated plasma glucose levels measured on different occasions; or 3) treatment with insulin or oral hypoglycemic medication. We excluded men who reported having type 1 diabetes on the supplementary questionnaire. These criteria for diabetes are consistent with those from the World Health Organization in 1985 (20). We did not use the current diabetes classification of the American Diabetes Association (21) because among the men in our study, most cases of diabetes were diagnosed before these criteria were published. The validity of our assessment of type 2 diabetes was verified with medical records in a subsample of 71 participants. A physician blinded to the information on the supplementary questionnaire reviewed the records according to the diagnostic criteria. Of the 71 participants classified as having type 2 diabetes, 12 had incomplete medical records—for example, absent laboratory data (n  2) or only one set of laboratory data (n  9). We confirmed the classification of type 2 diabetes in 57 (97%) of the other 59 other men in the subsample. One
participant denied having diabetes, and another participant lacked evidence of diabetes in his submitted records.</t>
  </si>
  <si>
    <t xml:space="preserve">The Nurses’ Health Study (NHS) began in 1976, when 121,701 female nurses who were 30–55 years old and living in 11 US states (California, Connecticut, Florida, Maryland, Massachusetts, Michigan, New Jersey, New York, Ohio, Pennsylvania, and Texas) responded to a mailed health questionnaire (20). The Health Professionals Follow-up Study (HPFS) began in 1986, when 51,529 male US health professionals who were 40–75 years old responded to a de-tailed mailed questionnaire that included a diet survey and questions about lifestyle practices and medical history. In both cohorts, follow-up questionnaires were sent every 2 years thereafter to acquire updated information on lifestyle factors and to query participants about newly diagnosed medical conditions. Women in the NHS also completed a 126-item food frequency questionnaire (FFQ) in 1984, and men in the HPFS completed a 131-item FFQ at baseline (i.e., in 1986). Similar FFQs were sent every 2–4 years thereafter. The Partners Institutional Review Board (Partners HealthCare, Boston, Massachusetts) approved the NHS and the HPFS protocols. The studies are being conducted according to the ethical guidelines of Partners HealthCare. We excluded participants who did not complete an FFQ at baseline from the analysis. Likewise, we excluded participants with extremely high energy intakes &gt;3,500 kcal/day for women and &gt;4,200 kcal/day for men) or extremely low energy intakes (&lt;500 kcal/day for women and &lt;800 kcal/day for men), as well as those who left more than 70 questions blank. Subjects who reported a history of VTE at baseline also were excluded from the present analysis. </t>
  </si>
  <si>
    <t xml:space="preserve">The diagnosis of GDM was based on self-reported information in the biennial questionnaire. A previous validation study of GDM based on medical record review in this cohort demonstrated a high validity of self-reported diagnosis of GDM [10, 26]. In brief, we reviewed the medical records of a sample of 114 women in the cohort who corroborated on a supplementary questionnaire that they had a first diagnosis of GDM in a singleton pregnancy between 1989 and 1991. Of these women, 94% were confirmed to have been diagnosed with GDM by a physician on record review. All women reporting this diagnosis had evidence of abnormal glucose homeostasis. Formal National Diabetes Data Group criteria were used by most physicians for the diagnosis of GDM [26]. We also sent supplementary questionnaires to 100 women reporting a pregnancy uncomplicated by GDM during the same interval. Eighty-three per cent reported a glucose loading test, and all reported frequent urine screening in pregnancy, consistent with a high degree of surveillance in this cohort.  </t>
  </si>
  <si>
    <t>Participants who reported a physician-diagnosed PE on a biennial questionnaire but did not have a prior history of malignancy received a follow-up letter requesting medical records from the facility in which they were diagnosed with a PE. A detailed review of these records was undertaken, and cases were coded. Incident cases for which the medical record included imaging that was diagnostic of a PE were considered confirmed. Imaging was considered diagnostic if the radiologist reading the study noted a ventilation/perfusion lung scan that indicated a high probability of a PE, a filling defect on a contrast-enhanced computed tomographic scan of the pulmonary vasculature, or a filling defect on a catheter-based pulmonary angiograph. Over the follow-up period, we identified 956 women and 353 men with an incident PE. Participants also reported physician-diagnosed DVT on the biennial questionnaire. Men were considered to have incident DVT if they reported a physician-diagnosed DVT between 2 consecutive uestionnaires, and women were if they reported ‘‘phlebitis and thrombophlebitis’’ as another major illness (code 451 according to the International Classification of
Diseases, Eighth Revision). A total of 584 women and 999 men were classified as having DVT under these definitions. Overall, 1,540 women and 1,352 men reported VTE.</t>
  </si>
  <si>
    <t xml:space="preserve">Children’s anthropometrics and body composition were measured by well-trained staff at a median age of 5.9 years (95 % range 5.7–6.5) in a dedicated research center in the Sophia Children’s Hospital in Rotterdam. Height was determined in standing position to the nearest millimeter without shoes with a Harpenden stadiometer (Holtain Limited, Dyfed, U.K.). Weight was measured using a mechanical personal scale (SECA, Almere, the Netherlands) and body mass index (BMI) was calculated (body weight  kg)/height m)2). Total body, android, and gynoid fat mass were measured using a Dual-energy X-ray absorptiometry (DXA) scanner (iDXA, GE-Lunar, 2008, Madison, WI, USA), which analyzed fat, lean and bone mass of the total body and specific regions using enCORE software v.13.6. We calculated fat mass index (FMI) [fat mass (kg)/height (m)2] and fat-free mass index (FFMI) [fat-free mass (kg)/height (m)2] [21]. As secondary outcome measures we also examined android/gynoid ratio (android fat mass divided by gynoid fat mass); and body fat percentage (BF %) (fat mass as percentage of total body weight). We calculated age- and sex-specific SD scores for all outcomes based on the total Generation R Study sample with body composition measurements available the age of 6 years (n = 6491). </t>
  </si>
  <si>
    <t>Comparability of cohorts on the basis of the design or analysis (for age, sex, marker of socioeconomic position (education/income/occupation/area-based marker) (all of these)</t>
  </si>
  <si>
    <t xml:space="preserve">* </t>
  </si>
  <si>
    <r>
      <t>To get a point in column G, study</t>
    </r>
    <r>
      <rPr>
        <b/>
        <sz val="11"/>
        <color theme="1"/>
        <rFont val="Calibri"/>
        <family val="2"/>
        <scheme val="minor"/>
      </rPr>
      <t xml:space="preserve"> must </t>
    </r>
    <r>
      <rPr>
        <sz val="11"/>
        <color theme="1"/>
        <rFont val="Calibri"/>
        <family val="2"/>
        <scheme val="minor"/>
      </rPr>
      <t xml:space="preserve">include: </t>
    </r>
  </si>
  <si>
    <r>
      <t>Comparability of cohorts on the basis of the design or analysis  (other health-related behaviours, race/ethnicity, family history of disease)</t>
    </r>
    <r>
      <rPr>
        <b/>
        <sz val="12"/>
        <color theme="1"/>
        <rFont val="Calibri"/>
        <family val="2"/>
        <scheme val="minor"/>
      </rPr>
      <t>*</t>
    </r>
  </si>
  <si>
    <t>Follow-up period (years, mean)</t>
  </si>
  <si>
    <t># of ind</t>
  </si>
  <si>
    <t>person-years calculated from paper</t>
  </si>
  <si>
    <t>person-years</t>
  </si>
  <si>
    <t>person-years, mean</t>
  </si>
  <si>
    <t>(SE)</t>
  </si>
  <si>
    <t>low-high</t>
  </si>
  <si>
    <t>Multiple estimates available --&gt; CVD mort, CVD events, CHD events --&gt; CVDinc used</t>
  </si>
  <si>
    <t>Total person time was calculated by: cases x 1000 / incidence rate</t>
  </si>
  <si>
    <t xml:space="preserve">Model: age, sex, race/ethnicity, marital status (married/living together, never married, separated/divorced, widowed), education (≤high-school graduate, some college, college/advanced degree), annual income ( &lt;$US 40 000, $US 40 000–59 999, $US 60 000–79 999, ≥$US 80 000, missing), BMI at age 45 years (&lt;18·5kg/m2, 18·5–24·9kg/m2, 25·0–29·9kg/m2, ≥30·0kg/m2, missing), average yearly change in BMI from age 45 years, self-rated health (excellent, very good, good, fair, poor), current use of cholesterol-lowering medication (yes/no), aspirin use in last 10 years (none, low, high, missing), nonaspirin, history of CVD (yes/no, defined as history of heart attack, coronary bypass surgery, angioplasty, stroke, congestive heart failure, or diagnosis of angina), family history of heart attack (number of relatives, 0, 1, ≥2), current use of blood pressure medication (yes/no), years of oestrogen therapy (none, &lt;5, 5–9, ≥10) and years of oestrogen plus progestin therapy (none, &lt;5, 5–9, ≥10), non-steroidal anti-inflammatory drug use in last 10 years (none, low, high, missing), average physical activity in 10 years before baseline (tertiles of MET × h/week, where MET is metabolic equivalents of task), smoking status (never, former, current), average alcohol intake (tertiles of g/d), mammogram in past 2 years (yes/no), prostrate-specific antigen test in the last 2 years (yes/no), sigmoidoscopy in the last 10 years (yes/no), number of servings/d of fruits (quartiles), number of servings/d of vegetables (quartiles) and total daily energy intake (continuous).
</t>
  </si>
  <si>
    <t>total cases 192</t>
  </si>
  <si>
    <t>Approximation n: 14 x 71768 / 5</t>
  </si>
  <si>
    <t>Western (western-like, western-style, westernized): 15</t>
  </si>
  <si>
    <t>Fast-foods: 5</t>
  </si>
  <si>
    <t>Pancakes / Convenience foods</t>
  </si>
  <si>
    <t>Hamburgers, Pizzas, Sausages</t>
  </si>
  <si>
    <t>Unnamed: 4</t>
  </si>
  <si>
    <t xml:space="preserve">AVERAGES: </t>
  </si>
  <si>
    <t>odegaard2011</t>
  </si>
  <si>
    <t>Participants were excluded fromthe analysis if they died before the follow-up interview (n = 7,722), reported baseline diabetes (n = 5,469), cancer, heart disease, or stroke (n = 5,975), reported extreme sex-specific energy intakes (,600 or .3,000 kcal women; ,700 or .3,700 kcal men), or migrated out of Singapore (n = 17). Also excluded were 20 participants whose diabetes status was not clear after the validation effort, which left 43,176 participants in the present analysis.</t>
  </si>
  <si>
    <t>-&gt; Smoking (if adult population), alcohol (if adult population), PA as health-related behaviours, and family history of disease (all of these)</t>
  </si>
  <si>
    <t>Model 2: Adjusted body mass index (&lt;25, 25e30, 30e35, &gt;35 kg/m2), waist circumference (cm in quintiles), education (no formal education, primary, secondary, university), smoking (never smoker, former smoker, &lt;10, 10e20, 21e30, &gt;30 cigarettes/day), physical activity at work (sedentary occupation, standing occupation, manual work, heavy manual work), physical activity at home (METS h/wk in quintiles), physical activity during leisure time (METS h/wk in quintiles), diabetes, hypertension, hypercholesterolemia, cancer, oral contraceptives, menopausal status, hormone replacement therapy, total energy intake (kcal/d in quintiles), and stratified by age at recruitment (5-year groups), sex, and center (Asturias, Gipuzkoa, Navarra, Granada and Murcia).</t>
  </si>
  <si>
    <t>Models adjusted for: age, total energy, season of data collection, body fat percentage, waist : hip ratio, smoking andhistory of CVD</t>
  </si>
  <si>
    <t>Model 2: Age (year), study area (11 areas), smoking status (never, past, current with a consumption ofo20 orX20 cigarettes/day), family history of diabetes mellitus (yes or no), total physical activity (quartile of MET-h/day), history of hypertension (yes or no) and total energy intake (kcal/day), BMI</t>
  </si>
  <si>
    <t xml:space="preserve">Estimate expressed: change in DP score relative to change in BMI from normal weight to overweight and obese; Model: other pattern scores and significantly associated background variables. </t>
  </si>
  <si>
    <t>Change in Energy-adjusted DP, low to high, Model 3: age, baseline alcohol intake (0, 0.1 to 4.9, 5.0 to 9.9, 10  g/d), physical activity (quintiles metabolic equivalent score), smoking (never, past, current, missing), postmenopausal hormone use (no, current or past, missing), oral contraceptive use (no, current, missing), cereal fiber intake (quintiles), total fat intake (quintiles), and BMI (continuous), changes in confounders between time periods (except BMI and except physical activity for 1995 to 1999).</t>
  </si>
  <si>
    <t xml:space="preserve">DP at year 7 with fat mas index at year 15, Model 3: Age, dietary misreporting, sex, physical activity, maternal education, prepregnancy </t>
  </si>
  <si>
    <t>Model 2: Adjusted for age (months), follow-up period (2-year intervals), body mass index (?23, 23 to 24.9, 25 to 26.9, 27 to 29.9, 30 to 34.9,?35 kg/m2), physical activity
(?0.5, 0.6 to 2, 2.1 to 3.5, 3.6 to 5, ?5 h/wk), smoking (never, past, 1 to 14, ?15 cigarettes a day, missing information), hormone replacement therapy (premenopause, never, current, past, missing information), history of hypertension (yes/no), use of multivitamin supplements (yes/no), missing FFQ during follow-up (yes/no), and total energy intake (quintiles).
including</t>
  </si>
  <si>
    <t>Model 2: Age, sex, year of interview, dialect, education, smoking, alcohol, sleep, and physical activity, nutritional factors (intake of soft drinks, juice, Eastern snacks and dim sum, vegetables, fruit, soy, rice, noodles, other pork and red meat, and total energy)</t>
  </si>
  <si>
    <t>Model 3 (for NHS II): Age, BMI (9 categories), physical activity (quintiles), family history of diabetes, smoking (never, past, current, or missing), postmenopausal hormone use (never, ever, or missing), and energy intake (quintiles). Stratified analyses were not adjusted for stratifying variable, except BMI strata (adjusted for continuous BMI within each stratum)</t>
  </si>
  <si>
    <t>varraso2012f</t>
  </si>
  <si>
    <t>varraso2012m</t>
  </si>
  <si>
    <t>varraso2012fm</t>
  </si>
  <si>
    <t>total n: 7314; total cases 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</si>
</sst>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1"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1"/>
      <color theme="1"/>
      <name val="Helvetica"/>
    </font>
    <font>
      <sz val="11"/>
      <color theme="1"/>
      <name val="Helvetica"/>
    </font>
    <font>
      <b/>
      <sz val="14"/>
      <color theme="1"/>
      <name val="Helvetica"/>
    </font>
    <font>
      <b/>
      <sz val="8"/>
      <color rgb="FFFF0000"/>
      <name val="Calibri"/>
      <family val="2"/>
      <scheme val="minor"/>
    </font>
    <font>
      <b/>
      <sz val="16"/>
      <color theme="1"/>
      <name val="Calibri"/>
      <family val="2"/>
      <scheme val="minor"/>
    </font>
    <font>
      <u/>
      <sz val="12"/>
      <color theme="10"/>
      <name val="Calibri"/>
      <family val="2"/>
      <scheme val="minor"/>
    </font>
    <font>
      <sz val="11"/>
      <color theme="1"/>
      <name val="Calibri"/>
      <family val="2"/>
      <scheme val="minor"/>
    </font>
    <font>
      <i/>
      <sz val="11"/>
      <color rgb="FFFF0000"/>
      <name val="Calibri"/>
      <family val="2"/>
      <scheme val="minor"/>
    </font>
    <font>
      <sz val="16"/>
      <color theme="1"/>
      <name val="Calibri"/>
      <family val="2"/>
      <scheme val="minor"/>
    </font>
    <font>
      <sz val="12"/>
      <name val="Calibri"/>
      <family val="2"/>
      <scheme val="minor"/>
    </font>
    <font>
      <sz val="11"/>
      <name val="Calibri"/>
      <family val="2"/>
      <scheme val="minor"/>
    </font>
    <font>
      <b/>
      <sz val="11"/>
      <name val="Calibri"/>
      <family val="2"/>
      <scheme val="minor"/>
    </font>
    <font>
      <b/>
      <sz val="12"/>
      <color theme="1"/>
      <name val="Helvetica"/>
    </font>
    <font>
      <b/>
      <sz val="12"/>
      <name val="Calibri"/>
      <family val="2"/>
      <scheme val="minor"/>
    </font>
    <font>
      <b/>
      <sz val="20"/>
      <color theme="1"/>
      <name val="Calibri"/>
      <family val="2"/>
      <scheme val="minor"/>
    </font>
    <font>
      <b/>
      <sz val="14"/>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FFE48F"/>
        <bgColor indexed="64"/>
      </patternFill>
    </fill>
    <fill>
      <patternFill patternType="solid">
        <fgColor rgb="FFE9EDF7"/>
        <bgColor indexed="64"/>
      </patternFill>
    </fill>
    <fill>
      <patternFill patternType="solid">
        <fgColor rgb="FFFF8F8F"/>
        <bgColor indexed="64"/>
      </patternFill>
    </fill>
    <fill>
      <patternFill patternType="solid">
        <fgColor rgb="FFFF9F9F"/>
        <bgColor indexed="64"/>
      </patternFill>
    </fill>
    <fill>
      <patternFill patternType="solid">
        <fgColor theme="9" tint="0.79998168889431442"/>
        <bgColor indexed="64"/>
      </patternFill>
    </fill>
    <fill>
      <patternFill patternType="solid">
        <fgColor theme="5" tint="0.79998168889431442"/>
        <bgColor rgb="FFFBE4D5"/>
      </patternFill>
    </fill>
    <fill>
      <patternFill patternType="solid">
        <fgColor theme="0"/>
        <bgColor rgb="FFFBE4D5"/>
      </patternFill>
    </fill>
    <fill>
      <patternFill patternType="solid">
        <fgColor rgb="FFF2F2F2"/>
        <bgColor indexed="64"/>
      </patternFill>
    </fill>
  </fills>
  <borders count="49">
    <border>
      <left/>
      <right/>
      <top/>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auto="1"/>
      </right>
      <top/>
      <bottom style="medium">
        <color indexed="64"/>
      </bottom>
      <diagonal/>
    </border>
    <border>
      <left/>
      <right style="thin">
        <color auto="1"/>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auto="1"/>
      </right>
      <top style="hair">
        <color indexed="64"/>
      </top>
      <bottom style="medium">
        <color indexed="64"/>
      </bottom>
      <diagonal/>
    </border>
    <border>
      <left style="thin">
        <color auto="1"/>
      </left>
      <right style="thin">
        <color indexed="64"/>
      </right>
      <top/>
      <bottom/>
      <diagonal/>
    </border>
    <border>
      <left style="thin">
        <color auto="1"/>
      </left>
      <right style="thin">
        <color indexed="64"/>
      </right>
      <top style="medium">
        <color indexed="64"/>
      </top>
      <bottom style="hair">
        <color indexed="64"/>
      </bottom>
      <diagonal/>
    </border>
    <border>
      <left style="thin">
        <color auto="1"/>
      </left>
      <right style="thin">
        <color indexed="64"/>
      </right>
      <top style="hair">
        <color indexed="64"/>
      </top>
      <bottom style="hair">
        <color indexed="64"/>
      </bottom>
      <diagonal/>
    </border>
    <border>
      <left style="thin">
        <color auto="1"/>
      </left>
      <right style="thin">
        <color indexed="64"/>
      </right>
      <top style="hair">
        <color indexed="64"/>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right style="thin">
        <color indexed="64"/>
      </right>
      <top style="medium">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medium">
        <color indexed="64"/>
      </bottom>
      <diagonal/>
    </border>
    <border>
      <left style="thin">
        <color auto="1"/>
      </left>
      <right style="thin">
        <color auto="1"/>
      </right>
      <top style="medium">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style="thin">
        <color auto="1"/>
      </right>
      <top style="dotted">
        <color indexed="64"/>
      </top>
      <bottom style="medium">
        <color indexed="64"/>
      </bottom>
      <diagonal/>
    </border>
    <border>
      <left/>
      <right/>
      <top style="thin">
        <color indexed="64"/>
      </top>
      <bottom style="medium">
        <color indexed="64"/>
      </bottom>
      <diagonal/>
    </border>
    <border>
      <left/>
      <right style="medium">
        <color indexed="64"/>
      </right>
      <top/>
      <bottom/>
      <diagonal/>
    </border>
    <border>
      <left/>
      <right style="medium">
        <color indexed="64"/>
      </right>
      <top style="thin">
        <color auto="1"/>
      </top>
      <bottom style="medium">
        <color auto="1"/>
      </bottom>
      <diagonal/>
    </border>
    <border>
      <left/>
      <right style="medium">
        <color indexed="64"/>
      </right>
      <top style="medium">
        <color indexed="64"/>
      </top>
      <bottom style="dotted">
        <color indexed="64"/>
      </bottom>
      <diagonal/>
    </border>
    <border>
      <left/>
      <right style="medium">
        <color indexed="64"/>
      </right>
      <top style="dotted">
        <color indexed="64"/>
      </top>
      <bottom style="dotted">
        <color indexed="64"/>
      </bottom>
      <diagonal/>
    </border>
    <border>
      <left/>
      <right style="medium">
        <color indexed="64"/>
      </right>
      <top style="dotted">
        <color indexed="64"/>
      </top>
      <bottom style="medium">
        <color indexed="64"/>
      </bottom>
      <diagonal/>
    </border>
    <border>
      <left style="thin">
        <color indexed="64"/>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indexed="64"/>
      </left>
      <right style="thin">
        <color auto="1"/>
      </right>
      <top style="medium">
        <color auto="1"/>
      </top>
      <bottom style="medium">
        <color indexed="64"/>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indexed="64"/>
      </left>
      <right/>
      <top style="thin">
        <color indexed="64"/>
      </top>
      <bottom style="medium">
        <color indexed="64"/>
      </bottom>
      <diagonal/>
    </border>
    <border>
      <left style="thin">
        <color indexed="64"/>
      </left>
      <right/>
      <top style="medium">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medium">
        <color indexed="64"/>
      </bottom>
      <diagonal/>
    </border>
    <border>
      <left style="thin">
        <color indexed="64"/>
      </left>
      <right style="thin">
        <color indexed="64"/>
      </right>
      <top style="dotted">
        <color indexed="64"/>
      </top>
      <bottom/>
      <diagonal/>
    </border>
    <border>
      <left style="thin">
        <color auto="1"/>
      </left>
      <right style="thin">
        <color auto="1"/>
      </right>
      <top/>
      <bottom style="dotted">
        <color indexed="64"/>
      </bottom>
      <diagonal/>
    </border>
    <border>
      <left/>
      <right style="thin">
        <color rgb="FF000000"/>
      </right>
      <top style="hair">
        <color rgb="FF000000"/>
      </top>
      <bottom style="hair">
        <color rgb="FF000000"/>
      </bottom>
      <diagonal/>
    </border>
    <border>
      <left style="thin">
        <color indexed="64"/>
      </left>
      <right style="thin">
        <color rgb="FF000000"/>
      </right>
      <top style="hair">
        <color rgb="FF000000"/>
      </top>
      <bottom style="hair">
        <color rgb="FF000000"/>
      </bottom>
      <diagonal/>
    </border>
  </borders>
  <cellStyleXfs count="4">
    <xf numFmtId="0" fontId="0" fillId="0" borderId="0"/>
    <xf numFmtId="0" fontId="2" fillId="0" borderId="0"/>
    <xf numFmtId="0" fontId="10" fillId="0" borderId="0" applyNumberFormat="0" applyFill="0" applyBorder="0" applyAlignment="0" applyProtection="0"/>
    <xf numFmtId="43" fontId="11" fillId="0" borderId="0" applyFont="0" applyFill="0" applyBorder="0" applyAlignment="0" applyProtection="0"/>
  </cellStyleXfs>
  <cellXfs count="299">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2" xfId="0" applyBorder="1"/>
    <xf numFmtId="0" fontId="0" fillId="3" borderId="0" xfId="0" applyFill="1" applyBorder="1"/>
    <xf numFmtId="0" fontId="1" fillId="0" borderId="2" xfId="0" applyFont="1" applyBorder="1"/>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0" fillId="3" borderId="0" xfId="0" applyFill="1" applyBorder="1" applyAlignment="1">
      <alignment wrapText="1"/>
    </xf>
    <xf numFmtId="0" fontId="0" fillId="0" borderId="16" xfId="0" applyBorder="1"/>
    <xf numFmtId="0" fontId="4" fillId="0" borderId="9" xfId="0" applyFont="1" applyBorder="1" applyAlignment="1">
      <alignment horizontal="center" wrapText="1"/>
    </xf>
    <xf numFmtId="0" fontId="0" fillId="2" borderId="0" xfId="0" applyFill="1"/>
    <xf numFmtId="0" fontId="1" fillId="2" borderId="33" xfId="0" applyFont="1" applyFill="1" applyBorder="1" applyAlignment="1">
      <alignment horizontal="center" vertical="center"/>
    </xf>
    <xf numFmtId="0" fontId="6" fillId="2" borderId="20" xfId="0" applyFont="1" applyFill="1" applyBorder="1"/>
    <xf numFmtId="0" fontId="6" fillId="2" borderId="21" xfId="0" applyFont="1" applyFill="1" applyBorder="1"/>
    <xf numFmtId="0" fontId="7" fillId="0" borderId="0" xfId="0" applyFont="1"/>
    <xf numFmtId="0" fontId="8" fillId="0" borderId="30" xfId="0" applyFont="1" applyBorder="1"/>
    <xf numFmtId="0" fontId="0" fillId="3" borderId="0" xfId="0" applyFill="1"/>
    <xf numFmtId="0" fontId="1" fillId="0" borderId="0" xfId="0" applyFont="1"/>
    <xf numFmtId="0" fontId="1" fillId="2" borderId="34" xfId="0" applyFont="1" applyFill="1" applyBorder="1" applyAlignment="1">
      <alignment horizontal="center" vertical="center"/>
    </xf>
    <xf numFmtId="0" fontId="6" fillId="2" borderId="22" xfId="0" applyFont="1" applyFill="1" applyBorder="1"/>
    <xf numFmtId="0" fontId="0" fillId="2" borderId="27" xfId="0" applyFont="1" applyFill="1" applyBorder="1" applyAlignment="1">
      <alignment horizontal="center"/>
    </xf>
    <xf numFmtId="0" fontId="0" fillId="2" borderId="28" xfId="0" applyFont="1" applyFill="1" applyBorder="1" applyAlignment="1">
      <alignment horizontal="center"/>
    </xf>
    <xf numFmtId="0" fontId="0" fillId="2" borderId="24" xfId="0" applyFont="1" applyFill="1" applyBorder="1" applyAlignment="1">
      <alignment horizontal="center" vertical="center"/>
    </xf>
    <xf numFmtId="0" fontId="0" fillId="2" borderId="26" xfId="0" applyFont="1" applyFill="1" applyBorder="1" applyAlignment="1">
      <alignment horizontal="center" vertical="center"/>
    </xf>
    <xf numFmtId="0" fontId="0" fillId="2" borderId="23" xfId="0" applyFont="1" applyFill="1" applyBorder="1" applyAlignment="1">
      <alignment horizontal="center" vertical="center"/>
    </xf>
    <xf numFmtId="0" fontId="0" fillId="2" borderId="27" xfId="0" applyFont="1" applyFill="1" applyBorder="1" applyAlignment="1">
      <alignment horizontal="center" vertical="center"/>
    </xf>
    <xf numFmtId="0" fontId="0" fillId="2" borderId="11" xfId="0" applyFill="1" applyBorder="1"/>
    <xf numFmtId="0" fontId="0" fillId="2" borderId="10" xfId="0" applyFill="1" applyBorder="1"/>
    <xf numFmtId="0" fontId="0" fillId="2" borderId="12" xfId="0" applyFill="1" applyBorder="1"/>
    <xf numFmtId="0" fontId="0" fillId="2" borderId="0" xfId="0" applyFill="1" applyBorder="1"/>
    <xf numFmtId="0" fontId="0" fillId="2" borderId="4" xfId="0" applyFill="1" applyBorder="1"/>
    <xf numFmtId="0" fontId="0" fillId="2" borderId="27" xfId="0" applyFont="1" applyFill="1" applyBorder="1" applyAlignment="1">
      <alignment horizontal="center" wrapText="1"/>
    </xf>
    <xf numFmtId="0" fontId="1" fillId="3" borderId="32" xfId="0" applyFont="1" applyFill="1" applyBorder="1" applyAlignment="1">
      <alignment horizontal="center" vertical="center"/>
    </xf>
    <xf numFmtId="0" fontId="0" fillId="3" borderId="26" xfId="0" applyFont="1" applyFill="1" applyBorder="1" applyAlignment="1">
      <alignment horizontal="center"/>
    </xf>
    <xf numFmtId="0" fontId="0" fillId="3" borderId="26" xfId="0" applyFont="1" applyFill="1" applyBorder="1" applyAlignment="1">
      <alignment horizontal="left"/>
    </xf>
    <xf numFmtId="0" fontId="1" fillId="3" borderId="33" xfId="0" applyFont="1" applyFill="1" applyBorder="1" applyAlignment="1">
      <alignment horizontal="center" vertical="center"/>
    </xf>
    <xf numFmtId="0" fontId="0" fillId="3" borderId="27" xfId="0" applyFont="1" applyFill="1" applyBorder="1" applyAlignment="1">
      <alignment horizontal="center"/>
    </xf>
    <xf numFmtId="0" fontId="0" fillId="3" borderId="27" xfId="0" applyFont="1" applyFill="1" applyBorder="1" applyAlignment="1">
      <alignment horizontal="center" wrapText="1"/>
    </xf>
    <xf numFmtId="0" fontId="6" fillId="3" borderId="30" xfId="0" applyFont="1" applyFill="1" applyBorder="1" applyAlignment="1">
      <alignment horizontal="right"/>
    </xf>
    <xf numFmtId="0" fontId="6" fillId="3" borderId="0" xfId="0" applyFont="1" applyFill="1" applyBorder="1"/>
    <xf numFmtId="0" fontId="6" fillId="3" borderId="20" xfId="0" applyFont="1" applyFill="1" applyBorder="1"/>
    <xf numFmtId="0" fontId="6" fillId="3" borderId="21" xfId="0" applyFont="1" applyFill="1" applyBorder="1"/>
    <xf numFmtId="0" fontId="6" fillId="3" borderId="22" xfId="0" applyFont="1" applyFill="1" applyBorder="1"/>
    <xf numFmtId="0" fontId="6" fillId="3" borderId="0" xfId="0" applyFont="1" applyFill="1"/>
    <xf numFmtId="0" fontId="6" fillId="3" borderId="30" xfId="0" applyFont="1" applyFill="1" applyBorder="1"/>
    <xf numFmtId="0" fontId="6" fillId="3" borderId="1" xfId="0" applyFont="1" applyFill="1" applyBorder="1"/>
    <xf numFmtId="0" fontId="6" fillId="3" borderId="2" xfId="0" applyFont="1" applyFill="1" applyBorder="1"/>
    <xf numFmtId="0" fontId="1" fillId="3" borderId="30" xfId="0" applyFont="1" applyFill="1" applyBorder="1" applyAlignment="1">
      <alignment horizontal="right"/>
    </xf>
    <xf numFmtId="0" fontId="4" fillId="3" borderId="0" xfId="0" applyFont="1" applyFill="1" applyBorder="1"/>
    <xf numFmtId="0" fontId="4" fillId="3" borderId="1" xfId="0" applyFont="1" applyFill="1" applyBorder="1"/>
    <xf numFmtId="0" fontId="4" fillId="3" borderId="0" xfId="0" applyFont="1" applyFill="1"/>
    <xf numFmtId="0" fontId="4" fillId="3" borderId="2" xfId="0" applyFont="1" applyFill="1" applyBorder="1"/>
    <xf numFmtId="0" fontId="3" fillId="3" borderId="0" xfId="0" applyFont="1" applyFill="1" applyBorder="1"/>
    <xf numFmtId="0" fontId="3" fillId="3" borderId="1" xfId="0" applyFont="1" applyFill="1" applyBorder="1"/>
    <xf numFmtId="0" fontId="3" fillId="3" borderId="0" xfId="0" applyFont="1" applyFill="1"/>
    <xf numFmtId="0" fontId="4" fillId="3" borderId="0" xfId="0" applyFont="1" applyFill="1" applyAlignment="1">
      <alignment horizontal="center"/>
    </xf>
    <xf numFmtId="0" fontId="6" fillId="3" borderId="0" xfId="0" applyFont="1" applyFill="1" applyAlignment="1">
      <alignment horizontal="center"/>
    </xf>
    <xf numFmtId="0" fontId="0" fillId="3" borderId="0" xfId="0" applyFont="1" applyFill="1" applyAlignment="1">
      <alignment horizontal="left"/>
    </xf>
    <xf numFmtId="0" fontId="0" fillId="3" borderId="27" xfId="0" applyFont="1" applyFill="1" applyBorder="1" applyAlignment="1">
      <alignment horizontal="left"/>
    </xf>
    <xf numFmtId="0" fontId="4" fillId="3" borderId="16" xfId="0" applyFont="1" applyFill="1" applyBorder="1" applyAlignment="1">
      <alignment wrapText="1"/>
    </xf>
    <xf numFmtId="0" fontId="6" fillId="3" borderId="16" xfId="0" applyFont="1" applyFill="1" applyBorder="1" applyAlignment="1">
      <alignment wrapText="1"/>
    </xf>
    <xf numFmtId="0" fontId="0" fillId="3" borderId="0" xfId="0" applyFill="1" applyAlignment="1">
      <alignment horizontal="center"/>
    </xf>
    <xf numFmtId="0" fontId="0" fillId="3" borderId="27" xfId="0" applyFont="1" applyFill="1" applyBorder="1" applyAlignment="1">
      <alignment horizontal="center" vertical="center"/>
    </xf>
    <xf numFmtId="0" fontId="6" fillId="3" borderId="0" xfId="0" applyFont="1" applyFill="1" applyAlignment="1">
      <alignment horizontal="center" vertical="center"/>
    </xf>
    <xf numFmtId="0" fontId="0" fillId="2" borderId="27" xfId="0" applyFont="1" applyFill="1" applyBorder="1" applyAlignment="1">
      <alignment horizontal="left"/>
    </xf>
    <xf numFmtId="0" fontId="0" fillId="2" borderId="28" xfId="0" applyFont="1" applyFill="1" applyBorder="1" applyAlignment="1">
      <alignment horizontal="left"/>
    </xf>
    <xf numFmtId="0" fontId="4" fillId="0" borderId="1" xfId="0" applyFont="1" applyBorder="1"/>
    <xf numFmtId="0" fontId="0" fillId="0" borderId="1" xfId="0" applyBorder="1"/>
    <xf numFmtId="0" fontId="0" fillId="0" borderId="1" xfId="0" applyBorder="1" applyAlignment="1">
      <alignment horizontal="left" wrapText="1"/>
    </xf>
    <xf numFmtId="0" fontId="0" fillId="0" borderId="0" xfId="0" applyAlignment="1">
      <alignment horizontal="center" vertical="center" wrapText="1"/>
    </xf>
    <xf numFmtId="0" fontId="0" fillId="0" borderId="0" xfId="0" applyAlignment="1">
      <alignment wrapText="1"/>
    </xf>
    <xf numFmtId="0" fontId="1" fillId="3" borderId="0" xfId="0" applyFont="1" applyFill="1" applyBorder="1" applyAlignment="1">
      <alignment horizontal="left"/>
    </xf>
    <xf numFmtId="0" fontId="1" fillId="3" borderId="0" xfId="0" applyFont="1" applyFill="1" applyAlignment="1">
      <alignment horizontal="left"/>
    </xf>
    <xf numFmtId="0" fontId="1" fillId="3" borderId="0" xfId="0" quotePrefix="1" applyFont="1" applyFill="1" applyAlignment="1">
      <alignment horizontal="left"/>
    </xf>
    <xf numFmtId="0" fontId="3" fillId="9" borderId="31"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7" fillId="9" borderId="29" xfId="0" applyFont="1" applyFill="1" applyBorder="1" applyAlignment="1">
      <alignment horizontal="center" vertical="center"/>
    </xf>
    <xf numFmtId="0" fontId="0" fillId="2" borderId="26" xfId="0" applyFont="1" applyFill="1" applyBorder="1" applyAlignment="1">
      <alignment vertical="center"/>
    </xf>
    <xf numFmtId="0" fontId="0" fillId="3" borderId="27" xfId="0" applyFont="1" applyFill="1" applyBorder="1" applyAlignment="1">
      <alignment vertical="center"/>
    </xf>
    <xf numFmtId="0" fontId="0" fillId="2" borderId="27" xfId="0" applyFont="1" applyFill="1" applyBorder="1" applyAlignment="1">
      <alignment vertical="center"/>
    </xf>
    <xf numFmtId="0" fontId="0" fillId="3" borderId="0" xfId="0" applyFill="1" applyAlignment="1">
      <alignment horizontal="center" vertical="center"/>
    </xf>
    <xf numFmtId="0" fontId="6" fillId="3" borderId="2" xfId="0" applyFont="1" applyFill="1" applyBorder="1" applyAlignment="1">
      <alignment horizontal="center" vertical="center"/>
    </xf>
    <xf numFmtId="0" fontId="3" fillId="9" borderId="4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3" fillId="9" borderId="4" xfId="0" applyNumberFormat="1" applyFont="1" applyFill="1" applyBorder="1" applyAlignment="1">
      <alignment horizontal="center" vertical="center" wrapText="1"/>
    </xf>
    <xf numFmtId="0" fontId="0" fillId="3" borderId="16" xfId="0" applyNumberFormat="1" applyFill="1" applyBorder="1" applyAlignment="1">
      <alignment horizontal="center" vertical="center"/>
    </xf>
    <xf numFmtId="0" fontId="13" fillId="3" borderId="0" xfId="0" applyFont="1" applyFill="1" applyAlignment="1">
      <alignment horizontal="center" vertical="center"/>
    </xf>
    <xf numFmtId="0" fontId="1" fillId="3" borderId="0" xfId="0" applyFont="1" applyFill="1" applyAlignment="1">
      <alignment horizontal="left" wrapText="1"/>
    </xf>
    <xf numFmtId="0" fontId="0" fillId="3" borderId="0" xfId="0" applyFill="1" applyAlignment="1">
      <alignment wrapText="1"/>
    </xf>
    <xf numFmtId="0" fontId="0" fillId="3" borderId="24" xfId="0" applyFont="1" applyFill="1" applyBorder="1" applyAlignment="1">
      <alignment horizontal="center" vertical="center"/>
    </xf>
    <xf numFmtId="0" fontId="0" fillId="3" borderId="25" xfId="0" applyFont="1" applyFill="1" applyBorder="1" applyAlignment="1">
      <alignment horizontal="center" vertical="center"/>
    </xf>
    <xf numFmtId="0" fontId="0" fillId="3" borderId="28" xfId="0" applyFont="1" applyFill="1" applyBorder="1" applyAlignment="1">
      <alignment horizontal="center" vertical="center"/>
    </xf>
    <xf numFmtId="0" fontId="0" fillId="3" borderId="0" xfId="0" applyFont="1" applyFill="1" applyBorder="1" applyAlignment="1">
      <alignment horizontal="center" vertical="center"/>
    </xf>
    <xf numFmtId="0" fontId="0" fillId="0" borderId="1" xfId="0" applyBorder="1" applyAlignment="1">
      <alignment horizontal="left"/>
    </xf>
    <xf numFmtId="0" fontId="4" fillId="0" borderId="1" xfId="0" applyFont="1" applyBorder="1" applyAlignment="1">
      <alignment horizontal="left"/>
    </xf>
    <xf numFmtId="0" fontId="0" fillId="0" borderId="35" xfId="0" applyBorder="1" applyAlignment="1">
      <alignment horizontal="left"/>
    </xf>
    <xf numFmtId="0" fontId="0" fillId="0" borderId="35" xfId="0" applyBorder="1"/>
    <xf numFmtId="0" fontId="12" fillId="0" borderId="35" xfId="0" applyFont="1" applyBorder="1"/>
    <xf numFmtId="0" fontId="0" fillId="0" borderId="35" xfId="0" applyBorder="1" applyAlignment="1">
      <alignment horizontal="center"/>
    </xf>
    <xf numFmtId="0" fontId="0" fillId="2" borderId="26" xfId="0" applyFont="1" applyFill="1" applyBorder="1" applyAlignment="1">
      <alignment horizontal="left" vertical="center"/>
    </xf>
    <xf numFmtId="0" fontId="0" fillId="3" borderId="27" xfId="0" applyFont="1" applyFill="1" applyBorder="1" applyAlignment="1">
      <alignment horizontal="left" vertical="center"/>
    </xf>
    <xf numFmtId="0" fontId="0" fillId="2" borderId="27" xfId="0" applyFont="1" applyFill="1" applyBorder="1" applyAlignment="1">
      <alignment horizontal="left" vertical="center"/>
    </xf>
    <xf numFmtId="0" fontId="0" fillId="3" borderId="28" xfId="0" applyFont="1" applyFill="1" applyBorder="1" applyAlignment="1">
      <alignment horizontal="left" vertical="center"/>
    </xf>
    <xf numFmtId="0" fontId="0" fillId="3" borderId="28" xfId="0" applyFont="1" applyFill="1" applyBorder="1" applyAlignment="1">
      <alignment vertical="center"/>
    </xf>
    <xf numFmtId="0" fontId="0" fillId="0" borderId="27" xfId="0" applyFont="1" applyFill="1" applyBorder="1" applyAlignment="1">
      <alignment horizontal="center" vertical="center"/>
    </xf>
    <xf numFmtId="2" fontId="5" fillId="3" borderId="0" xfId="0" applyNumberFormat="1" applyFont="1" applyFill="1" applyBorder="1" applyAlignment="1">
      <alignment horizontal="center"/>
    </xf>
    <xf numFmtId="0" fontId="1" fillId="3" borderId="0" xfId="0" applyFont="1" applyFill="1" applyBorder="1" applyAlignment="1">
      <alignment horizontal="center" vertical="center"/>
    </xf>
    <xf numFmtId="0" fontId="6" fillId="3" borderId="0" xfId="0" applyFont="1" applyFill="1" applyBorder="1" applyAlignment="1">
      <alignment horizontal="right"/>
    </xf>
    <xf numFmtId="0" fontId="5" fillId="3" borderId="0" xfId="0" applyFont="1" applyFill="1" applyBorder="1" applyAlignment="1">
      <alignment horizontal="right"/>
    </xf>
    <xf numFmtId="0" fontId="0" fillId="2" borderId="26" xfId="0" applyFont="1" applyFill="1" applyBorder="1" applyAlignment="1">
      <alignment horizontal="center" vertical="center" wrapText="1"/>
    </xf>
    <xf numFmtId="0" fontId="0" fillId="3" borderId="27" xfId="0" applyFont="1" applyFill="1" applyBorder="1" applyAlignment="1">
      <alignment horizontal="center" vertical="center" wrapText="1"/>
    </xf>
    <xf numFmtId="0" fontId="0" fillId="2" borderId="27" xfId="0" applyFont="1" applyFill="1" applyBorder="1" applyAlignment="1">
      <alignment horizontal="center" vertical="center" wrapText="1"/>
    </xf>
    <xf numFmtId="9" fontId="0" fillId="3" borderId="27" xfId="0" applyNumberFormat="1" applyFont="1" applyFill="1" applyBorder="1" applyAlignment="1">
      <alignment horizontal="center" vertical="center" wrapText="1"/>
    </xf>
    <xf numFmtId="0" fontId="0" fillId="3" borderId="28" xfId="0" applyFont="1" applyFill="1" applyBorder="1" applyAlignment="1">
      <alignment horizontal="center" vertical="center" wrapText="1"/>
    </xf>
    <xf numFmtId="0" fontId="0" fillId="2" borderId="46" xfId="0" applyFont="1" applyFill="1" applyBorder="1" applyAlignment="1">
      <alignment horizontal="center" vertical="center" wrapText="1"/>
    </xf>
    <xf numFmtId="0" fontId="0" fillId="3" borderId="46" xfId="0" applyFont="1" applyFill="1" applyBorder="1" applyAlignment="1">
      <alignment horizontal="center" vertical="center" wrapText="1"/>
    </xf>
    <xf numFmtId="9" fontId="0" fillId="2" borderId="46" xfId="0" applyNumberFormat="1" applyFont="1" applyFill="1" applyBorder="1" applyAlignment="1">
      <alignment horizontal="center" vertical="center" wrapText="1"/>
    </xf>
    <xf numFmtId="0" fontId="15" fillId="3" borderId="27" xfId="0" applyFont="1" applyFill="1" applyBorder="1" applyAlignment="1">
      <alignment horizontal="center" vertical="center" wrapText="1"/>
    </xf>
    <xf numFmtId="0" fontId="0" fillId="3" borderId="46" xfId="0" applyFont="1" applyFill="1" applyBorder="1" applyAlignment="1">
      <alignment horizontal="center" vertical="top" wrapText="1"/>
    </xf>
    <xf numFmtId="0" fontId="0" fillId="3" borderId="27" xfId="0" applyFont="1" applyFill="1" applyBorder="1" applyAlignment="1">
      <alignment horizontal="center" vertical="top" wrapText="1"/>
    </xf>
    <xf numFmtId="0" fontId="0" fillId="2" borderId="26" xfId="0" applyFont="1" applyFill="1" applyBorder="1" applyAlignment="1">
      <alignment vertical="center" wrapText="1"/>
    </xf>
    <xf numFmtId="0" fontId="15" fillId="2" borderId="26"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5" fillId="2" borderId="46" xfId="0" applyFont="1" applyFill="1" applyBorder="1" applyAlignment="1">
      <alignment horizontal="center" vertical="center" wrapText="1"/>
    </xf>
    <xf numFmtId="10" fontId="0" fillId="2" borderId="27" xfId="0" applyNumberFormat="1" applyFont="1" applyFill="1" applyBorder="1" applyAlignment="1">
      <alignment horizontal="center" vertical="center" wrapText="1"/>
    </xf>
    <xf numFmtId="9" fontId="0" fillId="2" borderId="27" xfId="0" applyNumberFormat="1" applyFont="1" applyFill="1" applyBorder="1" applyAlignment="1">
      <alignment horizontal="center" vertical="center" wrapText="1"/>
    </xf>
    <xf numFmtId="9" fontId="0" fillId="3" borderId="28" xfId="0" applyNumberFormat="1" applyFont="1" applyFill="1" applyBorder="1" applyAlignment="1">
      <alignment horizontal="center" vertical="center" wrapText="1"/>
    </xf>
    <xf numFmtId="0" fontId="15" fillId="3" borderId="28"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7" fillId="0" borderId="29" xfId="0" applyFont="1" applyBorder="1" applyAlignment="1">
      <alignment horizontal="center" vertical="center"/>
    </xf>
    <xf numFmtId="0" fontId="4" fillId="2" borderId="32" xfId="0" applyFont="1" applyFill="1" applyBorder="1" applyAlignment="1">
      <alignment horizontal="center" vertical="center"/>
    </xf>
    <xf numFmtId="0" fontId="4" fillId="3" borderId="33" xfId="0" applyFont="1" applyFill="1" applyBorder="1" applyAlignment="1">
      <alignment horizontal="center" vertical="center"/>
    </xf>
    <xf numFmtId="0" fontId="4" fillId="2" borderId="33" xfId="0" applyFont="1" applyFill="1" applyBorder="1" applyAlignment="1">
      <alignment horizontal="center" vertical="center"/>
    </xf>
    <xf numFmtId="0" fontId="4" fillId="3" borderId="34" xfId="0" applyFont="1" applyFill="1" applyBorder="1" applyAlignment="1">
      <alignment horizontal="center" vertical="center"/>
    </xf>
    <xf numFmtId="0" fontId="2" fillId="3" borderId="0" xfId="0" applyFont="1" applyFill="1" applyBorder="1"/>
    <xf numFmtId="0" fontId="0" fillId="3" borderId="0" xfId="0" quotePrefix="1" applyFill="1" applyBorder="1" applyAlignment="1">
      <alignment wrapText="1"/>
    </xf>
    <xf numFmtId="0" fontId="18" fillId="3" borderId="33" xfId="0" applyFont="1" applyFill="1" applyBorder="1" applyAlignment="1">
      <alignment horizontal="center" vertical="center"/>
    </xf>
    <xf numFmtId="0" fontId="18" fillId="2" borderId="33" xfId="0" applyFont="1" applyFill="1" applyBorder="1" applyAlignment="1">
      <alignment horizontal="center" vertical="center"/>
    </xf>
    <xf numFmtId="0" fontId="0" fillId="6" borderId="11" xfId="0" applyFill="1" applyBorder="1"/>
    <xf numFmtId="0" fontId="0" fillId="6" borderId="12" xfId="0" applyFill="1" applyBorder="1"/>
    <xf numFmtId="0" fontId="0" fillId="6" borderId="0" xfId="0" applyFill="1" applyBorder="1"/>
    <xf numFmtId="0" fontId="0" fillId="6" borderId="10" xfId="0" applyFill="1" applyBorder="1"/>
    <xf numFmtId="0" fontId="0" fillId="6" borderId="0" xfId="0" applyFill="1"/>
    <xf numFmtId="0" fontId="0" fillId="6" borderId="7" xfId="0" applyFill="1" applyBorder="1"/>
    <xf numFmtId="0" fontId="0" fillId="6" borderId="6" xfId="0" applyFill="1" applyBorder="1"/>
    <xf numFmtId="0" fontId="0" fillId="6" borderId="5" xfId="0" applyFill="1" applyBorder="1"/>
    <xf numFmtId="0" fontId="0" fillId="6" borderId="4" xfId="0" applyFill="1" applyBorder="1"/>
    <xf numFmtId="0" fontId="14" fillId="6" borderId="3" xfId="1" applyFont="1" applyFill="1" applyBorder="1" applyAlignment="1">
      <alignment horizontal="center"/>
    </xf>
    <xf numFmtId="0" fontId="0" fillId="2" borderId="39" xfId="0" applyFill="1" applyBorder="1"/>
    <xf numFmtId="2" fontId="0" fillId="2" borderId="26" xfId="0" applyNumberFormat="1" applyFont="1" applyFill="1" applyBorder="1" applyAlignment="1">
      <alignment horizontal="center" vertical="center"/>
    </xf>
    <xf numFmtId="2" fontId="0" fillId="3" borderId="27" xfId="0" applyNumberFormat="1" applyFont="1" applyFill="1" applyBorder="1" applyAlignment="1">
      <alignment horizontal="center" vertical="center"/>
    </xf>
    <xf numFmtId="2" fontId="0" fillId="2" borderId="27" xfId="0" applyNumberFormat="1" applyFont="1" applyFill="1" applyBorder="1" applyAlignment="1">
      <alignment horizontal="center" vertical="center"/>
    </xf>
    <xf numFmtId="2" fontId="0" fillId="3" borderId="28" xfId="0" applyNumberFormat="1" applyFont="1" applyFill="1" applyBorder="1" applyAlignment="1">
      <alignment horizontal="center" vertical="center"/>
    </xf>
    <xf numFmtId="0" fontId="15" fillId="3" borderId="27" xfId="0" applyFont="1" applyFill="1" applyBorder="1" applyAlignment="1">
      <alignment horizontal="left"/>
    </xf>
    <xf numFmtId="2" fontId="9" fillId="3" borderId="0" xfId="0" applyNumberFormat="1" applyFont="1" applyFill="1" applyAlignment="1">
      <alignment horizontal="center" vertical="center"/>
    </xf>
    <xf numFmtId="0" fontId="9" fillId="3" borderId="16" xfId="0" applyFont="1" applyFill="1" applyBorder="1" applyAlignment="1">
      <alignment horizontal="right" vertical="center" wrapText="1"/>
    </xf>
    <xf numFmtId="2" fontId="9" fillId="3" borderId="16" xfId="0"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Alignment="1">
      <alignment horizontal="left" vertical="center"/>
    </xf>
    <xf numFmtId="0" fontId="0" fillId="3" borderId="0" xfId="0" quotePrefix="1" applyFont="1" applyFill="1" applyAlignment="1">
      <alignment horizontal="left" vertical="center"/>
    </xf>
    <xf numFmtId="0" fontId="0" fillId="3" borderId="0" xfId="0" applyFont="1" applyFill="1" applyAlignment="1">
      <alignment horizontal="left" vertical="center"/>
    </xf>
    <xf numFmtId="0" fontId="4" fillId="3" borderId="0" xfId="0" applyFont="1" applyFill="1" applyAlignment="1">
      <alignment horizontal="center" vertical="center"/>
    </xf>
    <xf numFmtId="0" fontId="6" fillId="3" borderId="30" xfId="0" applyFont="1" applyFill="1" applyBorder="1" applyAlignment="1">
      <alignment vertical="center"/>
    </xf>
    <xf numFmtId="0" fontId="4" fillId="3" borderId="30" xfId="0" applyFont="1" applyFill="1" applyBorder="1" applyAlignment="1">
      <alignment horizontal="right" vertical="center"/>
    </xf>
    <xf numFmtId="164" fontId="9" fillId="3" borderId="2" xfId="0" applyNumberFormat="1" applyFont="1" applyFill="1" applyBorder="1" applyAlignment="1">
      <alignment horizontal="center" vertical="center"/>
    </xf>
    <xf numFmtId="3" fontId="0" fillId="2" borderId="27" xfId="0" applyNumberFormat="1" applyFont="1" applyFill="1" applyBorder="1" applyAlignment="1">
      <alignment horizontal="center" vertical="center"/>
    </xf>
    <xf numFmtId="0" fontId="1" fillId="2" borderId="15" xfId="0" applyFont="1" applyFill="1" applyBorder="1" applyAlignment="1">
      <alignment horizontal="center" vertical="center"/>
    </xf>
    <xf numFmtId="0" fontId="0" fillId="2" borderId="14" xfId="0" applyFill="1" applyBorder="1" applyAlignment="1">
      <alignment horizontal="center"/>
    </xf>
    <xf numFmtId="0" fontId="0" fillId="2" borderId="18" xfId="0" applyFill="1" applyBorder="1" applyAlignment="1">
      <alignment horizontal="center"/>
    </xf>
    <xf numFmtId="0" fontId="0" fillId="10" borderId="47" xfId="0" applyFont="1" applyFill="1" applyBorder="1" applyAlignment="1">
      <alignment horizontal="center"/>
    </xf>
    <xf numFmtId="0" fontId="0" fillId="2" borderId="47" xfId="0" applyFont="1" applyFill="1" applyBorder="1" applyAlignment="1">
      <alignment horizontal="center"/>
    </xf>
    <xf numFmtId="0" fontId="0" fillId="2" borderId="15" xfId="0" applyFill="1" applyBorder="1" applyAlignment="1">
      <alignment horizontal="center"/>
    </xf>
    <xf numFmtId="0" fontId="0" fillId="2" borderId="19" xfId="0" applyFill="1" applyBorder="1" applyAlignment="1">
      <alignment horizontal="center"/>
    </xf>
    <xf numFmtId="0" fontId="0" fillId="0" borderId="2" xfId="0" applyBorder="1" applyAlignment="1">
      <alignment horizontal="center"/>
    </xf>
    <xf numFmtId="0" fontId="0" fillId="0" borderId="16" xfId="0" applyBorder="1" applyAlignment="1">
      <alignment horizont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3" borderId="14" xfId="0" applyFont="1" applyFill="1" applyBorder="1" applyAlignment="1">
      <alignment horizontal="center" vertical="center"/>
    </xf>
    <xf numFmtId="0" fontId="0" fillId="3" borderId="14" xfId="0" applyFill="1" applyBorder="1" applyAlignment="1">
      <alignment horizontal="center"/>
    </xf>
    <xf numFmtId="0" fontId="0" fillId="3" borderId="18" xfId="0" applyFill="1" applyBorder="1" applyAlignment="1">
      <alignment horizontal="center"/>
    </xf>
    <xf numFmtId="0" fontId="0" fillId="3" borderId="47" xfId="0" applyFont="1" applyFill="1" applyBorder="1" applyAlignment="1">
      <alignment horizontal="center"/>
    </xf>
    <xf numFmtId="0" fontId="0" fillId="11" borderId="47" xfId="0" applyFont="1" applyFill="1" applyBorder="1" applyAlignment="1">
      <alignment horizontal="center"/>
    </xf>
    <xf numFmtId="0" fontId="0" fillId="2" borderId="13" xfId="0" applyFill="1" applyBorder="1" applyAlignment="1">
      <alignment horizontal="center" vertical="center"/>
    </xf>
    <xf numFmtId="0" fontId="0" fillId="2" borderId="17" xfId="0" applyFill="1" applyBorder="1" applyAlignment="1">
      <alignment horizontal="center" vertical="center"/>
    </xf>
    <xf numFmtId="0" fontId="0" fillId="3" borderId="0" xfId="0" quotePrefix="1" applyFill="1" applyBorder="1" applyAlignment="1"/>
    <xf numFmtId="0" fontId="0" fillId="10" borderId="48" xfId="0" applyFont="1" applyFill="1" applyBorder="1" applyAlignment="1">
      <alignment horizontal="center"/>
    </xf>
    <xf numFmtId="0" fontId="0" fillId="3" borderId="48" xfId="0" applyFont="1" applyFill="1" applyBorder="1" applyAlignment="1">
      <alignment horizontal="center"/>
    </xf>
    <xf numFmtId="0" fontId="0" fillId="11" borderId="48" xfId="0" applyFont="1" applyFill="1" applyBorder="1" applyAlignment="1">
      <alignment horizontal="center"/>
    </xf>
    <xf numFmtId="0" fontId="0" fillId="2" borderId="48" xfId="0" applyFont="1" applyFill="1" applyBorder="1" applyAlignment="1">
      <alignment horizontal="center"/>
    </xf>
    <xf numFmtId="0" fontId="14" fillId="6" borderId="39" xfId="1" applyFont="1" applyFill="1" applyBorder="1" applyAlignment="1">
      <alignment horizontal="left"/>
    </xf>
    <xf numFmtId="0" fontId="0" fillId="0" borderId="1" xfId="0" applyBorder="1" applyAlignment="1">
      <alignment horizontal="left" vertical="top" wrapText="1"/>
    </xf>
    <xf numFmtId="0" fontId="14" fillId="2" borderId="6" xfId="1" applyFont="1" applyFill="1" applyBorder="1" applyAlignment="1">
      <alignment horizontal="center"/>
    </xf>
    <xf numFmtId="0" fontId="14" fillId="2" borderId="3" xfId="1" applyFont="1" applyFill="1" applyBorder="1" applyAlignment="1">
      <alignment horizontal="center"/>
    </xf>
    <xf numFmtId="0" fontId="14" fillId="2" borderId="4" xfId="1" applyFont="1" applyFill="1" applyBorder="1" applyAlignment="1">
      <alignment horizontal="center"/>
    </xf>
    <xf numFmtId="0" fontId="14" fillId="2" borderId="37" xfId="1" applyFont="1" applyFill="1" applyBorder="1" applyAlignment="1">
      <alignment horizontal="center"/>
    </xf>
    <xf numFmtId="0" fontId="19" fillId="6" borderId="0" xfId="0" applyFont="1" applyFill="1" applyAlignment="1">
      <alignment horizontal="center"/>
    </xf>
    <xf numFmtId="0" fontId="19" fillId="5" borderId="1" xfId="0" applyFont="1" applyFill="1" applyBorder="1" applyAlignment="1">
      <alignment horizontal="center"/>
    </xf>
    <xf numFmtId="0" fontId="19" fillId="5" borderId="0" xfId="0" applyFont="1" applyFill="1" applyBorder="1" applyAlignment="1">
      <alignment horizontal="center"/>
    </xf>
    <xf numFmtId="0" fontId="19" fillId="5" borderId="2" xfId="0" applyFont="1" applyFill="1" applyBorder="1" applyAlignment="1">
      <alignment horizontal="center"/>
    </xf>
    <xf numFmtId="0" fontId="19" fillId="7" borderId="35" xfId="0" applyFont="1" applyFill="1" applyBorder="1" applyAlignment="1">
      <alignment horizontal="center"/>
    </xf>
    <xf numFmtId="0" fontId="19" fillId="7" borderId="36" xfId="0" applyFont="1" applyFill="1" applyBorder="1" applyAlignment="1">
      <alignment horizontal="center"/>
    </xf>
    <xf numFmtId="0" fontId="20" fillId="3" borderId="37" xfId="1" applyFont="1" applyFill="1" applyBorder="1" applyAlignment="1">
      <alignment horizontal="center" vertical="center"/>
    </xf>
    <xf numFmtId="0" fontId="20" fillId="3" borderId="37" xfId="1" applyFont="1" applyFill="1" applyBorder="1" applyAlignment="1">
      <alignment horizontal="left" vertical="center"/>
    </xf>
    <xf numFmtId="0" fontId="14" fillId="2" borderId="39" xfId="1" applyFont="1" applyFill="1" applyBorder="1" applyAlignment="1">
      <alignment horizontal="center"/>
    </xf>
    <xf numFmtId="0" fontId="14" fillId="2" borderId="39" xfId="1" applyFont="1" applyFill="1" applyBorder="1" applyAlignment="1">
      <alignment horizontal="left"/>
    </xf>
    <xf numFmtId="0" fontId="14" fillId="2" borderId="3" xfId="1" applyFont="1" applyFill="1" applyBorder="1" applyAlignment="1">
      <alignment horizontal="left"/>
    </xf>
    <xf numFmtId="0" fontId="14" fillId="2" borderId="4" xfId="1" applyFont="1" applyFill="1" applyBorder="1" applyAlignment="1">
      <alignment horizontal="left"/>
    </xf>
    <xf numFmtId="0" fontId="14" fillId="2" borderId="6" xfId="1" applyFont="1" applyFill="1" applyBorder="1" applyAlignment="1">
      <alignment horizontal="left"/>
    </xf>
    <xf numFmtId="0" fontId="14" fillId="2" borderId="37" xfId="1" applyFont="1" applyFill="1" applyBorder="1" applyAlignment="1">
      <alignment horizontal="left"/>
    </xf>
    <xf numFmtId="0" fontId="14" fillId="6" borderId="39" xfId="1" applyFont="1" applyFill="1" applyBorder="1" applyAlignment="1">
      <alignment horizontal="center"/>
    </xf>
    <xf numFmtId="0" fontId="14" fillId="6" borderId="6" xfId="1" applyFont="1" applyFill="1" applyBorder="1" applyAlignment="1">
      <alignment horizontal="left"/>
    </xf>
    <xf numFmtId="0" fontId="14" fillId="6" borderId="3" xfId="1" applyFont="1" applyFill="1" applyBorder="1" applyAlignment="1">
      <alignment horizontal="left"/>
    </xf>
    <xf numFmtId="0" fontId="14" fillId="6" borderId="4" xfId="1" applyFont="1" applyFill="1" applyBorder="1" applyAlignment="1">
      <alignment horizontal="center"/>
    </xf>
    <xf numFmtId="0" fontId="14" fillId="6" borderId="4" xfId="1" applyFont="1" applyFill="1" applyBorder="1" applyAlignment="1">
      <alignment horizontal="left"/>
    </xf>
    <xf numFmtId="0" fontId="14" fillId="6" borderId="6" xfId="1" applyFont="1" applyFill="1" applyBorder="1" applyAlignment="1">
      <alignment horizontal="center"/>
    </xf>
    <xf numFmtId="0" fontId="14" fillId="6" borderId="6" xfId="1" applyFont="1" applyFill="1" applyBorder="1" applyAlignment="1">
      <alignment horizontal="left" wrapText="1"/>
    </xf>
    <xf numFmtId="0" fontId="14" fillId="6" borderId="37" xfId="1" applyFont="1" applyFill="1" applyBorder="1" applyAlignment="1">
      <alignment horizontal="center"/>
    </xf>
    <xf numFmtId="0" fontId="14" fillId="6" borderId="37" xfId="1" applyFont="1" applyFill="1" applyBorder="1" applyAlignment="1">
      <alignment horizontal="left"/>
    </xf>
    <xf numFmtId="0" fontId="18" fillId="6" borderId="4" xfId="1" applyFont="1" applyFill="1" applyBorder="1" applyAlignment="1">
      <alignment horizontal="left"/>
    </xf>
    <xf numFmtId="0" fontId="14" fillId="6" borderId="16" xfId="1" applyFont="1" applyFill="1" applyBorder="1" applyAlignment="1">
      <alignment horizontal="center"/>
    </xf>
    <xf numFmtId="0" fontId="14" fillId="6" borderId="16" xfId="1" applyFont="1" applyFill="1" applyBorder="1" applyAlignment="1">
      <alignment horizontal="left"/>
    </xf>
    <xf numFmtId="0" fontId="14" fillId="2" borderId="6" xfId="1" applyFont="1" applyFill="1" applyBorder="1" applyAlignment="1">
      <alignment horizontal="left" wrapText="1"/>
    </xf>
    <xf numFmtId="0" fontId="14" fillId="6" borderId="39" xfId="1" applyFont="1" applyFill="1" applyBorder="1" applyAlignment="1">
      <alignment horizontal="left" wrapText="1"/>
    </xf>
    <xf numFmtId="0" fontId="14" fillId="2" borderId="38" xfId="1" applyFont="1" applyFill="1" applyBorder="1" applyAlignment="1">
      <alignment horizontal="center"/>
    </xf>
    <xf numFmtId="0" fontId="14" fillId="2" borderId="38" xfId="1" applyFont="1" applyFill="1" applyBorder="1" applyAlignment="1">
      <alignment horizontal="left"/>
    </xf>
    <xf numFmtId="0" fontId="14" fillId="6" borderId="40" xfId="1" applyFont="1" applyFill="1" applyBorder="1" applyAlignment="1">
      <alignment horizontal="left"/>
    </xf>
    <xf numFmtId="0" fontId="14" fillId="2" borderId="39" xfId="1" applyFont="1" applyFill="1" applyBorder="1" applyAlignment="1">
      <alignment wrapText="1"/>
    </xf>
    <xf numFmtId="0" fontId="15" fillId="6" borderId="0" xfId="0" applyFont="1" applyFill="1" applyBorder="1"/>
    <xf numFmtId="0" fontId="14" fillId="2" borderId="40" xfId="1" applyFont="1" applyFill="1" applyBorder="1" applyAlignment="1">
      <alignment horizontal="left"/>
    </xf>
    <xf numFmtId="0" fontId="14" fillId="2" borderId="8" xfId="1" applyFont="1" applyFill="1" applyBorder="1" applyAlignment="1">
      <alignment horizontal="left"/>
    </xf>
    <xf numFmtId="0" fontId="14" fillId="6" borderId="6" xfId="1" applyFont="1" applyFill="1" applyBorder="1" applyAlignment="1">
      <alignment vertical="top" wrapText="1"/>
    </xf>
    <xf numFmtId="0" fontId="14" fillId="2" borderId="4" xfId="1" quotePrefix="1" applyFont="1" applyFill="1" applyBorder="1" applyAlignment="1">
      <alignment horizontal="left"/>
    </xf>
    <xf numFmtId="0" fontId="14" fillId="2" borderId="3" xfId="1" applyFont="1" applyFill="1" applyBorder="1" applyAlignment="1">
      <alignment horizontal="left" wrapText="1"/>
    </xf>
    <xf numFmtId="0" fontId="14" fillId="6" borderId="38" xfId="1" applyFont="1" applyFill="1" applyBorder="1" applyAlignment="1">
      <alignment horizontal="center"/>
    </xf>
    <xf numFmtId="0" fontId="14" fillId="6" borderId="38" xfId="1" applyFont="1" applyFill="1" applyBorder="1" applyAlignment="1">
      <alignment horizontal="left"/>
    </xf>
    <xf numFmtId="0" fontId="14" fillId="6" borderId="38" xfId="1" applyFont="1" applyFill="1" applyBorder="1" applyAlignment="1">
      <alignment horizontal="left" wrapText="1"/>
    </xf>
    <xf numFmtId="0" fontId="14" fillId="2" borderId="16" xfId="1" applyFont="1" applyFill="1" applyBorder="1" applyAlignment="1">
      <alignment horizontal="center"/>
    </xf>
    <xf numFmtId="0" fontId="14" fillId="2" borderId="16" xfId="1" applyFont="1" applyFill="1" applyBorder="1" applyAlignment="1">
      <alignment horizontal="left"/>
    </xf>
    <xf numFmtId="0" fontId="18" fillId="2" borderId="4" xfId="1" applyFont="1" applyFill="1" applyBorder="1" applyAlignment="1">
      <alignment horizontal="left"/>
    </xf>
    <xf numFmtId="0" fontId="14" fillId="2" borderId="4" xfId="1" applyFont="1" applyFill="1" applyBorder="1" applyAlignment="1">
      <alignment horizontal="left" wrapText="1"/>
    </xf>
    <xf numFmtId="0" fontId="1" fillId="0" borderId="33" xfId="0" applyFont="1" applyFill="1" applyBorder="1" applyAlignment="1">
      <alignment horizontal="center" vertical="center"/>
    </xf>
    <xf numFmtId="0" fontId="0" fillId="0" borderId="43" xfId="0" applyFont="1" applyFill="1" applyBorder="1" applyAlignment="1">
      <alignment horizontal="center" vertical="center"/>
    </xf>
    <xf numFmtId="0" fontId="0" fillId="0" borderId="27" xfId="0" applyFont="1" applyFill="1" applyBorder="1" applyAlignment="1">
      <alignment horizontal="center" wrapText="1"/>
    </xf>
    <xf numFmtId="0" fontId="6" fillId="0" borderId="21" xfId="0" applyFont="1" applyFill="1" applyBorder="1" applyAlignment="1">
      <alignment horizontal="center" vertical="center"/>
    </xf>
    <xf numFmtId="2" fontId="6" fillId="0" borderId="27" xfId="3" applyNumberFormat="1" applyFont="1" applyFill="1" applyBorder="1" applyAlignment="1">
      <alignment horizontal="center" vertical="center"/>
    </xf>
    <xf numFmtId="164" fontId="6" fillId="0" borderId="24" xfId="0" applyNumberFormat="1" applyFont="1" applyFill="1" applyBorder="1" applyAlignment="1">
      <alignment horizontal="center" vertical="center"/>
    </xf>
    <xf numFmtId="0" fontId="6" fillId="0" borderId="21" xfId="0" applyFont="1" applyFill="1" applyBorder="1"/>
    <xf numFmtId="2" fontId="6" fillId="0" borderId="27" xfId="0" applyNumberFormat="1" applyFont="1" applyFill="1" applyBorder="1" applyAlignment="1">
      <alignment horizontal="center" vertical="center"/>
    </xf>
    <xf numFmtId="0" fontId="6" fillId="0" borderId="30" xfId="0" applyFont="1" applyFill="1" applyBorder="1" applyAlignment="1">
      <alignment vertical="center"/>
    </xf>
    <xf numFmtId="0" fontId="6" fillId="0" borderId="0" xfId="0" applyFont="1" applyFill="1" applyAlignment="1">
      <alignment horizontal="center" vertical="center"/>
    </xf>
    <xf numFmtId="0" fontId="6" fillId="0" borderId="16" xfId="0" applyFont="1" applyFill="1" applyBorder="1" applyAlignment="1">
      <alignment horizontal="center" wrapText="1"/>
    </xf>
    <xf numFmtId="0" fontId="0" fillId="0" borderId="0" xfId="0" applyFill="1" applyAlignment="1">
      <alignment horizontal="center" vertical="center"/>
    </xf>
    <xf numFmtId="2" fontId="0" fillId="0" borderId="16" xfId="0" applyNumberFormat="1" applyFill="1" applyBorder="1" applyAlignment="1">
      <alignment horizontal="center" vertical="center"/>
    </xf>
    <xf numFmtId="0" fontId="6" fillId="0" borderId="0" xfId="0" applyFont="1" applyFill="1"/>
    <xf numFmtId="0" fontId="0" fillId="0" borderId="27" xfId="0" applyFont="1" applyFill="1" applyBorder="1" applyAlignment="1">
      <alignment horizontal="center"/>
    </xf>
    <xf numFmtId="0" fontId="6" fillId="0" borderId="27" xfId="0" applyFont="1" applyFill="1" applyBorder="1" applyAlignment="1">
      <alignment horizontal="center" vertical="center"/>
    </xf>
    <xf numFmtId="0" fontId="1" fillId="12" borderId="32" xfId="0" applyFont="1" applyFill="1" applyBorder="1" applyAlignment="1">
      <alignment horizontal="center" vertical="center"/>
    </xf>
    <xf numFmtId="0" fontId="0" fillId="12" borderId="42" xfId="0" applyFont="1" applyFill="1" applyBorder="1" applyAlignment="1">
      <alignment horizontal="center" vertical="center"/>
    </xf>
    <xf numFmtId="0" fontId="0" fillId="12" borderId="26" xfId="0" applyFont="1" applyFill="1" applyBorder="1" applyAlignment="1">
      <alignment horizontal="center" wrapText="1"/>
    </xf>
    <xf numFmtId="0" fontId="6" fillId="12" borderId="20" xfId="0" applyFont="1" applyFill="1" applyBorder="1" applyAlignment="1">
      <alignment horizontal="center" vertical="center"/>
    </xf>
    <xf numFmtId="2" fontId="6" fillId="12" borderId="26" xfId="3" applyNumberFormat="1" applyFont="1" applyFill="1" applyBorder="1" applyAlignment="1">
      <alignment horizontal="center" vertical="center"/>
    </xf>
    <xf numFmtId="0" fontId="0" fillId="12" borderId="26" xfId="0" applyFont="1" applyFill="1" applyBorder="1" applyAlignment="1">
      <alignment horizontal="center" vertical="center"/>
    </xf>
    <xf numFmtId="164" fontId="6" fillId="12" borderId="23" xfId="0" applyNumberFormat="1" applyFont="1" applyFill="1" applyBorder="1" applyAlignment="1">
      <alignment horizontal="center" vertical="center"/>
    </xf>
    <xf numFmtId="0" fontId="6" fillId="12" borderId="20" xfId="0" applyFont="1" applyFill="1" applyBorder="1"/>
    <xf numFmtId="0" fontId="1" fillId="12" borderId="33"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27" xfId="0" applyFont="1" applyFill="1" applyBorder="1" applyAlignment="1">
      <alignment horizontal="center" wrapText="1"/>
    </xf>
    <xf numFmtId="0" fontId="6" fillId="12" borderId="21" xfId="0" applyFont="1" applyFill="1" applyBorder="1" applyAlignment="1">
      <alignment horizontal="center" vertical="center"/>
    </xf>
    <xf numFmtId="2" fontId="6" fillId="12" borderId="27" xfId="0" applyNumberFormat="1" applyFont="1" applyFill="1" applyBorder="1" applyAlignment="1">
      <alignment horizontal="center" vertical="center"/>
    </xf>
    <xf numFmtId="0" fontId="0" fillId="12" borderId="27" xfId="0" applyFont="1" applyFill="1" applyBorder="1" applyAlignment="1">
      <alignment horizontal="center" vertical="center"/>
    </xf>
    <xf numFmtId="164" fontId="6" fillId="12" borderId="24" xfId="0" applyNumberFormat="1" applyFont="1" applyFill="1" applyBorder="1" applyAlignment="1">
      <alignment horizontal="center" vertical="center"/>
    </xf>
    <xf numFmtId="0" fontId="6" fillId="12" borderId="21" xfId="0" applyFont="1" applyFill="1" applyBorder="1"/>
    <xf numFmtId="0" fontId="6" fillId="12" borderId="30" xfId="0" applyFont="1" applyFill="1" applyBorder="1" applyAlignment="1">
      <alignment vertical="center"/>
    </xf>
    <xf numFmtId="0" fontId="6" fillId="12" borderId="0" xfId="0" applyFont="1" applyFill="1" applyAlignment="1">
      <alignment horizontal="center" vertical="center"/>
    </xf>
    <xf numFmtId="0" fontId="6" fillId="12" borderId="16" xfId="0" applyFont="1" applyFill="1" applyBorder="1" applyAlignment="1">
      <alignment horizontal="center" wrapText="1"/>
    </xf>
    <xf numFmtId="0" fontId="0" fillId="12" borderId="0" xfId="0" applyFill="1" applyAlignment="1">
      <alignment horizontal="center" vertical="center"/>
    </xf>
    <xf numFmtId="2" fontId="0" fillId="12" borderId="16" xfId="0" applyNumberFormat="1" applyFill="1" applyBorder="1" applyAlignment="1">
      <alignment horizontal="center" vertical="center"/>
    </xf>
    <xf numFmtId="0" fontId="6" fillId="12" borderId="45" xfId="0" applyFont="1" applyFill="1" applyBorder="1" applyAlignment="1">
      <alignment horizontal="center" vertical="center"/>
    </xf>
    <xf numFmtId="0" fontId="6" fillId="12" borderId="0" xfId="0" applyFont="1" applyFill="1"/>
    <xf numFmtId="0" fontId="6" fillId="12" borderId="27" xfId="0" applyFont="1" applyFill="1" applyBorder="1" applyAlignment="1">
      <alignment horizontal="center" vertical="center"/>
    </xf>
    <xf numFmtId="0" fontId="1" fillId="12" borderId="34" xfId="0" applyFont="1" applyFill="1" applyBorder="1" applyAlignment="1">
      <alignment horizontal="center" vertical="center"/>
    </xf>
    <xf numFmtId="0" fontId="0" fillId="12" borderId="44" xfId="0" applyFont="1" applyFill="1" applyBorder="1" applyAlignment="1">
      <alignment horizontal="center" vertical="center"/>
    </xf>
    <xf numFmtId="0" fontId="0" fillId="12" borderId="28" xfId="0" applyFont="1" applyFill="1" applyBorder="1" applyAlignment="1">
      <alignment horizontal="left" wrapText="1"/>
    </xf>
    <xf numFmtId="0" fontId="6" fillId="12" borderId="22" xfId="0" applyFont="1" applyFill="1" applyBorder="1" applyAlignment="1">
      <alignment horizontal="center" vertical="center"/>
    </xf>
    <xf numFmtId="2" fontId="6" fillId="12" borderId="28" xfId="0" applyNumberFormat="1" applyFont="1" applyFill="1" applyBorder="1" applyAlignment="1">
      <alignment horizontal="center" vertical="center"/>
    </xf>
    <xf numFmtId="0" fontId="6" fillId="12" borderId="28" xfId="0" applyFont="1" applyFill="1" applyBorder="1" applyAlignment="1">
      <alignment horizontal="center" vertical="center"/>
    </xf>
    <xf numFmtId="164" fontId="6" fillId="12" borderId="25" xfId="0" applyNumberFormat="1" applyFont="1" applyFill="1" applyBorder="1" applyAlignment="1">
      <alignment horizontal="center" vertical="center"/>
    </xf>
    <xf numFmtId="0" fontId="6" fillId="12" borderId="22" xfId="0" applyFont="1" applyFill="1" applyBorder="1"/>
  </cellXfs>
  <cellStyles count="4">
    <cellStyle name="Comma" xfId="3" builtinId="3"/>
    <cellStyle name="Hyperlink 2" xfId="2" xr:uid="{00000000-0005-0000-0000-000000000000}"/>
    <cellStyle name="Normal" xfId="0" builtinId="0"/>
    <cellStyle name="Normal 2 2" xfId="1" xr:uid="{00000000-0005-0000-0000-000002000000}"/>
  </cellStyles>
  <dxfs count="0"/>
  <tableStyles count="0" defaultTableStyle="TableStyleMedium2" defaultPivotStyle="PivotStyleLight16"/>
  <colors>
    <mruColors>
      <color rgb="FFF2F2F2"/>
      <color rgb="FFE9EDF7"/>
      <color rgb="FFFF6565"/>
      <color rgb="FFFF8F8F"/>
      <color rgb="FFFFE48F"/>
      <color rgb="FFFFD85D"/>
      <color rgb="FFF1FCB2"/>
      <color rgb="FFFCC5C4"/>
      <color rgb="FFDAFEE6"/>
      <color rgb="FFB9FD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tabSelected="1" zoomScale="85" zoomScaleNormal="85" workbookViewId="0"/>
  </sheetViews>
  <sheetFormatPr defaultColWidth="9.140625" defaultRowHeight="15" x14ac:dyDescent="0.25"/>
  <cols>
    <col min="1" max="1" width="5.5703125" style="19" customWidth="1"/>
    <col min="2" max="2" width="136.140625" style="3" customWidth="1"/>
    <col min="3" max="3" width="27.28515625" style="2" bestFit="1" customWidth="1"/>
    <col min="5" max="5" width="4.140625" bestFit="1" customWidth="1"/>
    <col min="6" max="6" width="27.28515625" bestFit="1" customWidth="1"/>
  </cols>
  <sheetData>
    <row r="1" spans="1:6" s="19" customFormat="1" x14ac:dyDescent="0.25">
      <c r="B1" s="64"/>
      <c r="C1" s="83"/>
    </row>
    <row r="2" spans="1:6" ht="15.75" x14ac:dyDescent="0.25">
      <c r="B2" s="69" t="s">
        <v>416</v>
      </c>
    </row>
    <row r="3" spans="1:6" x14ac:dyDescent="0.25">
      <c r="B3" s="101"/>
    </row>
    <row r="4" spans="1:6" ht="15.75" x14ac:dyDescent="0.25">
      <c r="B4" s="69" t="s">
        <v>425</v>
      </c>
    </row>
    <row r="5" spans="1:6" x14ac:dyDescent="0.25">
      <c r="B5" s="70"/>
    </row>
    <row r="6" spans="1:6" x14ac:dyDescent="0.25">
      <c r="B6" s="70" t="s">
        <v>417</v>
      </c>
    </row>
    <row r="7" spans="1:6" x14ac:dyDescent="0.25">
      <c r="B7" s="70" t="s">
        <v>418</v>
      </c>
    </row>
    <row r="8" spans="1:6" x14ac:dyDescent="0.25">
      <c r="B8" s="100"/>
    </row>
    <row r="9" spans="1:6" ht="15.75" x14ac:dyDescent="0.25">
      <c r="B9" s="69" t="s">
        <v>426</v>
      </c>
    </row>
    <row r="10" spans="1:6" x14ac:dyDescent="0.25">
      <c r="B10" s="70"/>
    </row>
    <row r="11" spans="1:6" ht="45" x14ac:dyDescent="0.25">
      <c r="B11" s="71" t="s">
        <v>437</v>
      </c>
    </row>
    <row r="12" spans="1:6" ht="86.25" customHeight="1" x14ac:dyDescent="0.25">
      <c r="B12" s="71" t="s">
        <v>432</v>
      </c>
      <c r="C12" s="71"/>
      <c r="F12" s="20"/>
    </row>
    <row r="13" spans="1:6" ht="56.25" customHeight="1" x14ac:dyDescent="0.25">
      <c r="B13" s="71" t="s">
        <v>419</v>
      </c>
    </row>
    <row r="14" spans="1:6" x14ac:dyDescent="0.25">
      <c r="B14" s="99"/>
    </row>
    <row r="15" spans="1:6" ht="15.75" x14ac:dyDescent="0.25">
      <c r="B15" s="98" t="s">
        <v>433</v>
      </c>
    </row>
    <row r="16" spans="1:6" s="73" customFormat="1" ht="54.75" customHeight="1" x14ac:dyDescent="0.25">
      <c r="A16" s="92"/>
      <c r="B16" s="71" t="s">
        <v>434</v>
      </c>
      <c r="C16" s="72"/>
    </row>
    <row r="17" spans="2:6" ht="51" customHeight="1" x14ac:dyDescent="0.25">
      <c r="B17" s="71" t="s">
        <v>435</v>
      </c>
    </row>
    <row r="18" spans="2:6" ht="61.5" customHeight="1" x14ac:dyDescent="0.25">
      <c r="B18" s="201" t="s">
        <v>436</v>
      </c>
    </row>
    <row r="19" spans="2:6" x14ac:dyDescent="0.25">
      <c r="B19" s="97" t="s">
        <v>420</v>
      </c>
    </row>
    <row r="20" spans="2:6" x14ac:dyDescent="0.25">
      <c r="B20" s="102"/>
    </row>
    <row r="21" spans="2:6" ht="15.75" x14ac:dyDescent="0.25">
      <c r="B21" s="98" t="s">
        <v>421</v>
      </c>
    </row>
    <row r="22" spans="2:6" ht="18" customHeight="1" x14ac:dyDescent="0.25">
      <c r="B22" s="97" t="s">
        <v>422</v>
      </c>
      <c r="E22" s="4"/>
      <c r="F22" s="1"/>
    </row>
    <row r="23" spans="2:6" ht="20.25" customHeight="1" x14ac:dyDescent="0.25">
      <c r="B23" s="97" t="s">
        <v>427</v>
      </c>
      <c r="E23" s="3"/>
      <c r="F23" s="2"/>
    </row>
    <row r="24" spans="2:6" ht="18.75" customHeight="1" x14ac:dyDescent="0.25">
      <c r="B24" s="97" t="s">
        <v>423</v>
      </c>
      <c r="E24" s="3"/>
      <c r="F24" s="2"/>
    </row>
    <row r="25" spans="2:6" x14ac:dyDescent="0.25">
      <c r="E25" s="3"/>
      <c r="F25" s="2"/>
    </row>
    <row r="26" spans="2:6" x14ac:dyDescent="0.25">
      <c r="E26" s="3"/>
      <c r="F26" s="2"/>
    </row>
    <row r="27" spans="2:6" x14ac:dyDescent="0.25">
      <c r="E27" s="3"/>
      <c r="F27" s="2"/>
    </row>
    <row r="28" spans="2:6" x14ac:dyDescent="0.25">
      <c r="E28" s="3"/>
      <c r="F28" s="2"/>
    </row>
    <row r="29" spans="2:6" x14ac:dyDescent="0.25">
      <c r="E29" s="3"/>
      <c r="F29" s="2"/>
    </row>
    <row r="30" spans="2:6" x14ac:dyDescent="0.25">
      <c r="E30" s="3"/>
      <c r="F30" s="2"/>
    </row>
    <row r="31" spans="2:6" x14ac:dyDescent="0.25">
      <c r="E31" s="3"/>
      <c r="F31" s="2"/>
    </row>
    <row r="32" spans="2:6" x14ac:dyDescent="0.25">
      <c r="E32" s="3"/>
      <c r="F32" s="2"/>
    </row>
    <row r="33" spans="5:6" x14ac:dyDescent="0.25">
      <c r="E33" s="3"/>
      <c r="F33" s="2"/>
    </row>
    <row r="34" spans="5:6" x14ac:dyDescent="0.25">
      <c r="E34" s="3"/>
      <c r="F34" s="2"/>
    </row>
    <row r="35" spans="5:6" x14ac:dyDescent="0.25">
      <c r="E35" s="3"/>
      <c r="F35" s="2"/>
    </row>
    <row r="36" spans="5:6" x14ac:dyDescent="0.25">
      <c r="E36" s="3"/>
      <c r="F36" s="2"/>
    </row>
    <row r="37" spans="5:6" x14ac:dyDescent="0.25">
      <c r="E37" s="3"/>
      <c r="F37" s="2"/>
    </row>
    <row r="38" spans="5:6" x14ac:dyDescent="0.25">
      <c r="E38" s="3"/>
      <c r="F38" s="2"/>
    </row>
    <row r="39" spans="5:6" x14ac:dyDescent="0.25">
      <c r="E39" s="3"/>
      <c r="F39" s="2"/>
    </row>
    <row r="40" spans="5:6" x14ac:dyDescent="0.25">
      <c r="E40" s="3"/>
      <c r="F40" s="2"/>
    </row>
    <row r="41" spans="5:6" x14ac:dyDescent="0.25">
      <c r="E41" s="3"/>
      <c r="F41" s="2"/>
    </row>
    <row r="42" spans="5:6" x14ac:dyDescent="0.25">
      <c r="E42" s="3"/>
      <c r="F42" s="2"/>
    </row>
    <row r="43" spans="5:6" x14ac:dyDescent="0.25">
      <c r="E43" s="3"/>
      <c r="F43" s="2"/>
    </row>
    <row r="44" spans="5:6" x14ac:dyDescent="0.25">
      <c r="E44" s="3"/>
      <c r="F44" s="2"/>
    </row>
    <row r="45" spans="5:6" x14ac:dyDescent="0.25">
      <c r="E45" s="3"/>
      <c r="F45" s="2"/>
    </row>
    <row r="46" spans="5:6" x14ac:dyDescent="0.25">
      <c r="E46" s="3"/>
      <c r="F46" s="2"/>
    </row>
    <row r="47" spans="5:6" x14ac:dyDescent="0.25">
      <c r="E47" s="3"/>
      <c r="F47" s="2"/>
    </row>
    <row r="48" spans="5:6" x14ac:dyDescent="0.25">
      <c r="E48" s="3"/>
      <c r="F48" s="2"/>
    </row>
    <row r="49" spans="5:6" x14ac:dyDescent="0.25">
      <c r="E49" s="3"/>
      <c r="F49" s="2"/>
    </row>
    <row r="50" spans="5:6" x14ac:dyDescent="0.25">
      <c r="E50" s="3"/>
      <c r="F50" s="2"/>
    </row>
    <row r="51" spans="5:6" x14ac:dyDescent="0.25">
      <c r="E51" s="3"/>
      <c r="F51" s="2"/>
    </row>
    <row r="52" spans="5:6" x14ac:dyDescent="0.25">
      <c r="E52" s="3"/>
      <c r="F52" s="2"/>
    </row>
    <row r="53" spans="5:6" x14ac:dyDescent="0.25">
      <c r="E53" s="3"/>
      <c r="F53" s="2"/>
    </row>
    <row r="54" spans="5:6" x14ac:dyDescent="0.25">
      <c r="E54" s="3"/>
      <c r="F54" s="2"/>
    </row>
    <row r="55" spans="5:6" x14ac:dyDescent="0.25">
      <c r="E55" s="3"/>
      <c r="F55" s="2"/>
    </row>
    <row r="56" spans="5:6" x14ac:dyDescent="0.25">
      <c r="E56" s="3"/>
      <c r="F56" s="2"/>
    </row>
    <row r="57" spans="5:6" x14ac:dyDescent="0.25">
      <c r="E57" s="3"/>
      <c r="F57" s="2"/>
    </row>
    <row r="58" spans="5:6" x14ac:dyDescent="0.25">
      <c r="E58" s="3"/>
      <c r="F58" s="2"/>
    </row>
    <row r="59" spans="5:6" x14ac:dyDescent="0.25">
      <c r="E59" s="3"/>
      <c r="F59" s="2"/>
    </row>
    <row r="60" spans="5:6" x14ac:dyDescent="0.25">
      <c r="E60" s="3"/>
      <c r="F60" s="2"/>
    </row>
    <row r="61" spans="5:6" x14ac:dyDescent="0.25">
      <c r="E61" s="3"/>
      <c r="F61" s="2"/>
    </row>
    <row r="62" spans="5:6" x14ac:dyDescent="0.25">
      <c r="E62" s="3"/>
      <c r="F62" s="2"/>
    </row>
    <row r="63" spans="5:6" x14ac:dyDescent="0.25">
      <c r="E63" s="3"/>
      <c r="F63" s="2"/>
    </row>
    <row r="64" spans="5:6" x14ac:dyDescent="0.25">
      <c r="E64" s="3"/>
      <c r="F64" s="2"/>
    </row>
    <row r="65" spans="5:6" x14ac:dyDescent="0.25">
      <c r="E65" s="3"/>
      <c r="F65" s="2"/>
    </row>
    <row r="66" spans="5:6" x14ac:dyDescent="0.25">
      <c r="E66" s="3"/>
      <c r="F66" s="2"/>
    </row>
    <row r="67" spans="5:6" x14ac:dyDescent="0.25">
      <c r="E67" s="3"/>
      <c r="F67" s="2"/>
    </row>
    <row r="68" spans="5:6" x14ac:dyDescent="0.25">
      <c r="E68" s="3"/>
      <c r="F68" s="2"/>
    </row>
    <row r="69" spans="5:6" x14ac:dyDescent="0.25">
      <c r="E69" s="3"/>
      <c r="F69" s="2"/>
    </row>
    <row r="70" spans="5:6" x14ac:dyDescent="0.25">
      <c r="E70" s="3"/>
      <c r="F70" s="2"/>
    </row>
    <row r="71" spans="5:6" x14ac:dyDescent="0.25">
      <c r="E71" s="3"/>
      <c r="F71" s="2"/>
    </row>
    <row r="72" spans="5:6" x14ac:dyDescent="0.25">
      <c r="E72" s="3"/>
      <c r="F72" s="2"/>
    </row>
    <row r="73" spans="5:6" x14ac:dyDescent="0.25">
      <c r="E73" s="3"/>
      <c r="F73" s="2"/>
    </row>
    <row r="74" spans="5:6" x14ac:dyDescent="0.25">
      <c r="E74" s="3"/>
      <c r="F74" s="2"/>
    </row>
    <row r="75" spans="5:6" x14ac:dyDescent="0.25">
      <c r="E75" s="3"/>
      <c r="F75" s="2"/>
    </row>
    <row r="76" spans="5:6" x14ac:dyDescent="0.25">
      <c r="E76" s="3"/>
      <c r="F76"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4"/>
  <sheetViews>
    <sheetView zoomScale="40" zoomScaleNormal="40" zoomScaleSheetLayoutView="25" workbookViewId="0">
      <selection activeCell="L13" sqref="L13"/>
    </sheetView>
  </sheetViews>
  <sheetFormatPr defaultColWidth="9.140625" defaultRowHeight="14.25" x14ac:dyDescent="0.2"/>
  <cols>
    <col min="1" max="1" width="3.140625" style="46" customWidth="1"/>
    <col min="2" max="2" width="32.5703125" style="47" bestFit="1" customWidth="1"/>
    <col min="3" max="3" width="17" style="46" bestFit="1" customWidth="1"/>
    <col min="4" max="4" width="14.140625" style="46" bestFit="1" customWidth="1"/>
    <col min="5" max="5" width="12.7109375" style="46" bestFit="1" customWidth="1"/>
    <col min="6" max="6" width="14.42578125" style="46" bestFit="1" customWidth="1"/>
    <col min="7" max="7" width="18" style="46" bestFit="1" customWidth="1"/>
    <col min="8" max="8" width="18" style="46" customWidth="1"/>
    <col min="9" max="9" width="91.140625" style="46" customWidth="1"/>
    <col min="10" max="10" width="100.28515625" style="46" customWidth="1"/>
    <col min="11" max="11" width="24" style="46" customWidth="1"/>
    <col min="12" max="12" width="15.28515625" style="46" bestFit="1" customWidth="1"/>
    <col min="13" max="13" width="17.7109375" style="46" bestFit="1" customWidth="1"/>
    <col min="14" max="14" width="24.7109375" style="46" customWidth="1"/>
    <col min="15" max="15" width="20" style="48" customWidth="1"/>
    <col min="16" max="16" width="23.140625" style="46" bestFit="1" customWidth="1"/>
    <col min="17" max="17" width="13.7109375" style="46" bestFit="1" customWidth="1"/>
    <col min="18" max="18" width="26.85546875" style="46" bestFit="1" customWidth="1"/>
    <col min="19" max="19" width="26.85546875" style="46" customWidth="1"/>
    <col min="20" max="20" width="23.5703125" style="49" customWidth="1"/>
    <col min="21" max="21" width="13.7109375" style="46" bestFit="1" customWidth="1"/>
    <col min="22" max="22" width="128.140625" style="46" customWidth="1"/>
    <col min="23" max="23" width="18.42578125" style="46" bestFit="1" customWidth="1"/>
    <col min="24" max="16384" width="9.140625" style="46"/>
  </cols>
  <sheetData>
    <row r="1" spans="2:23" s="17" customFormat="1" ht="26.25" x14ac:dyDescent="0.4">
      <c r="B1" s="18"/>
      <c r="C1" s="206" t="s">
        <v>41</v>
      </c>
      <c r="D1" s="206"/>
      <c r="E1" s="206"/>
      <c r="F1" s="206"/>
      <c r="G1" s="206"/>
      <c r="H1" s="206"/>
      <c r="I1" s="206"/>
      <c r="J1" s="206"/>
      <c r="K1" s="206"/>
      <c r="L1" s="206"/>
      <c r="M1" s="206"/>
      <c r="N1" s="206"/>
      <c r="O1" s="207" t="s">
        <v>43</v>
      </c>
      <c r="P1" s="208"/>
      <c r="Q1" s="208"/>
      <c r="R1" s="208"/>
      <c r="S1" s="208"/>
      <c r="T1" s="209"/>
      <c r="U1" s="210" t="s">
        <v>183</v>
      </c>
      <c r="V1" s="211"/>
      <c r="W1" s="211"/>
    </row>
    <row r="2" spans="2:23" s="140" customFormat="1" ht="123" customHeight="1" thickBot="1" x14ac:dyDescent="0.3">
      <c r="B2" s="135" t="s">
        <v>39</v>
      </c>
      <c r="C2" s="136" t="s">
        <v>40</v>
      </c>
      <c r="D2" s="136" t="s">
        <v>254</v>
      </c>
      <c r="E2" s="136" t="s">
        <v>200</v>
      </c>
      <c r="F2" s="136" t="s">
        <v>201</v>
      </c>
      <c r="G2" s="137" t="s">
        <v>626</v>
      </c>
      <c r="H2" s="137" t="s">
        <v>415</v>
      </c>
      <c r="I2" s="137" t="s">
        <v>187</v>
      </c>
      <c r="J2" s="137" t="s">
        <v>440</v>
      </c>
      <c r="K2" s="137" t="s">
        <v>439</v>
      </c>
      <c r="L2" s="137" t="s">
        <v>184</v>
      </c>
      <c r="M2" s="137" t="s">
        <v>185</v>
      </c>
      <c r="N2" s="137" t="s">
        <v>186</v>
      </c>
      <c r="O2" s="138" t="s">
        <v>381</v>
      </c>
      <c r="P2" s="138" t="s">
        <v>392</v>
      </c>
      <c r="Q2" s="138" t="s">
        <v>42</v>
      </c>
      <c r="R2" s="138" t="s">
        <v>196</v>
      </c>
      <c r="S2" s="138" t="s">
        <v>197</v>
      </c>
      <c r="T2" s="138" t="s">
        <v>292</v>
      </c>
      <c r="U2" s="139" t="s">
        <v>44</v>
      </c>
      <c r="V2" s="139" t="s">
        <v>198</v>
      </c>
      <c r="W2" s="139" t="s">
        <v>199</v>
      </c>
    </row>
    <row r="3" spans="2:23" s="15" customFormat="1" ht="105" customHeight="1" x14ac:dyDescent="0.2">
      <c r="B3" s="141" t="s">
        <v>1</v>
      </c>
      <c r="C3" s="27" t="s">
        <v>253</v>
      </c>
      <c r="D3" s="27" t="s">
        <v>59</v>
      </c>
      <c r="E3" s="27" t="s">
        <v>203</v>
      </c>
      <c r="F3" s="27" t="s">
        <v>204</v>
      </c>
      <c r="G3" s="26">
        <v>8</v>
      </c>
      <c r="H3" s="26">
        <v>2626</v>
      </c>
      <c r="I3" s="113" t="s">
        <v>531</v>
      </c>
      <c r="J3" s="113" t="s">
        <v>441</v>
      </c>
      <c r="K3" s="113" t="s">
        <v>442</v>
      </c>
      <c r="L3" s="113" t="s">
        <v>443</v>
      </c>
      <c r="M3" s="113" t="s">
        <v>444</v>
      </c>
      <c r="N3" s="125" t="s">
        <v>445</v>
      </c>
      <c r="O3" s="103" t="s">
        <v>257</v>
      </c>
      <c r="P3" s="26" t="s">
        <v>272</v>
      </c>
      <c r="Q3" s="80" t="s">
        <v>391</v>
      </c>
      <c r="R3" s="103" t="s">
        <v>258</v>
      </c>
      <c r="S3" s="26">
        <v>4</v>
      </c>
      <c r="T3" s="26">
        <v>46</v>
      </c>
      <c r="U3" s="26" t="s">
        <v>59</v>
      </c>
      <c r="V3" s="124" t="s">
        <v>591</v>
      </c>
      <c r="W3" s="160" t="s">
        <v>60</v>
      </c>
    </row>
    <row r="4" spans="2:23" s="44" customFormat="1" ht="105" x14ac:dyDescent="0.2">
      <c r="B4" s="142" t="s">
        <v>2</v>
      </c>
      <c r="C4" s="93" t="s">
        <v>237</v>
      </c>
      <c r="D4" s="93" t="s">
        <v>67</v>
      </c>
      <c r="E4" s="93" t="s">
        <v>203</v>
      </c>
      <c r="F4" s="93" t="s">
        <v>204</v>
      </c>
      <c r="G4" s="65">
        <v>11.3</v>
      </c>
      <c r="H4" s="65">
        <v>3226</v>
      </c>
      <c r="I4" s="114" t="s">
        <v>446</v>
      </c>
      <c r="J4" s="114" t="s">
        <v>447</v>
      </c>
      <c r="K4" s="114" t="s">
        <v>448</v>
      </c>
      <c r="L4" s="114">
        <v>0</v>
      </c>
      <c r="M4" s="114" t="s">
        <v>449</v>
      </c>
      <c r="N4" s="121" t="s">
        <v>450</v>
      </c>
      <c r="O4" s="104" t="s">
        <v>260</v>
      </c>
      <c r="P4" s="65" t="s">
        <v>271</v>
      </c>
      <c r="Q4" s="81" t="s">
        <v>261</v>
      </c>
      <c r="R4" s="104" t="s">
        <v>404</v>
      </c>
      <c r="S4" s="65">
        <v>5</v>
      </c>
      <c r="T4" s="65">
        <v>34</v>
      </c>
      <c r="U4" s="65" t="s">
        <v>67</v>
      </c>
      <c r="V4" s="114" t="s">
        <v>592</v>
      </c>
      <c r="W4" s="161">
        <v>569</v>
      </c>
    </row>
    <row r="5" spans="2:23" s="44" customFormat="1" ht="120" x14ac:dyDescent="0.2">
      <c r="B5" s="142" t="s">
        <v>3</v>
      </c>
      <c r="C5" s="93" t="s">
        <v>245</v>
      </c>
      <c r="D5" s="93" t="s">
        <v>70</v>
      </c>
      <c r="E5" s="93" t="s">
        <v>206</v>
      </c>
      <c r="F5" s="93" t="s">
        <v>207</v>
      </c>
      <c r="G5" s="65">
        <v>6.9</v>
      </c>
      <c r="H5" s="65">
        <v>69582</v>
      </c>
      <c r="I5" s="114" t="s">
        <v>451</v>
      </c>
      <c r="J5" s="114" t="s">
        <v>540</v>
      </c>
      <c r="K5" s="114" t="s">
        <v>452</v>
      </c>
      <c r="L5" s="114">
        <v>51.2</v>
      </c>
      <c r="M5" s="114" t="s">
        <v>453</v>
      </c>
      <c r="N5" s="121" t="s">
        <v>454</v>
      </c>
      <c r="O5" s="104" t="s">
        <v>262</v>
      </c>
      <c r="P5" s="65" t="s">
        <v>259</v>
      </c>
      <c r="Q5" s="81" t="s">
        <v>263</v>
      </c>
      <c r="R5" s="104" t="s">
        <v>428</v>
      </c>
      <c r="S5" s="65" t="s">
        <v>60</v>
      </c>
      <c r="T5" s="65" t="s">
        <v>307</v>
      </c>
      <c r="U5" s="65" t="s">
        <v>70</v>
      </c>
      <c r="V5" s="114" t="s">
        <v>483</v>
      </c>
      <c r="W5" s="161">
        <v>192</v>
      </c>
    </row>
    <row r="6" spans="2:23" s="16" customFormat="1" ht="90" x14ac:dyDescent="0.2">
      <c r="B6" s="143" t="s">
        <v>4</v>
      </c>
      <c r="C6" s="25" t="s">
        <v>224</v>
      </c>
      <c r="D6" s="25" t="s">
        <v>59</v>
      </c>
      <c r="E6" s="25" t="s">
        <v>208</v>
      </c>
      <c r="F6" s="25" t="s">
        <v>204</v>
      </c>
      <c r="G6" s="28">
        <v>28.5</v>
      </c>
      <c r="H6" s="28">
        <v>7194</v>
      </c>
      <c r="I6" s="115" t="s">
        <v>535</v>
      </c>
      <c r="J6" s="115" t="s">
        <v>455</v>
      </c>
      <c r="K6" s="115" t="s">
        <v>456</v>
      </c>
      <c r="L6" s="115" t="s">
        <v>457</v>
      </c>
      <c r="M6" s="115" t="s">
        <v>458</v>
      </c>
      <c r="N6" s="126" t="s">
        <v>445</v>
      </c>
      <c r="O6" s="28" t="s">
        <v>264</v>
      </c>
      <c r="P6" s="28" t="s">
        <v>259</v>
      </c>
      <c r="Q6" s="82" t="s">
        <v>266</v>
      </c>
      <c r="R6" s="105" t="s">
        <v>265</v>
      </c>
      <c r="S6" s="28" t="s">
        <v>267</v>
      </c>
      <c r="T6" s="28" t="s">
        <v>307</v>
      </c>
      <c r="U6" s="28" t="s">
        <v>59</v>
      </c>
      <c r="V6" s="115" t="s">
        <v>484</v>
      </c>
      <c r="W6" s="162">
        <v>3583</v>
      </c>
    </row>
    <row r="7" spans="2:23" s="44" customFormat="1" ht="105" x14ac:dyDescent="0.2">
      <c r="B7" s="142" t="s">
        <v>5</v>
      </c>
      <c r="C7" s="93" t="s">
        <v>246</v>
      </c>
      <c r="D7" s="93" t="s">
        <v>81</v>
      </c>
      <c r="E7" s="93" t="s">
        <v>209</v>
      </c>
      <c r="F7" s="93" t="s">
        <v>210</v>
      </c>
      <c r="G7" s="65">
        <v>5.7</v>
      </c>
      <c r="H7" s="65">
        <v>2735</v>
      </c>
      <c r="I7" s="114" t="s">
        <v>532</v>
      </c>
      <c r="J7" s="114" t="s">
        <v>459</v>
      </c>
      <c r="K7" s="114" t="s">
        <v>448</v>
      </c>
      <c r="L7" s="114" t="s">
        <v>460</v>
      </c>
      <c r="M7" s="114" t="s">
        <v>461</v>
      </c>
      <c r="N7" s="121" t="s">
        <v>445</v>
      </c>
      <c r="O7" s="65" t="s">
        <v>268</v>
      </c>
      <c r="P7" s="65" t="s">
        <v>270</v>
      </c>
      <c r="Q7" s="81" t="s">
        <v>269</v>
      </c>
      <c r="R7" s="104" t="s">
        <v>273</v>
      </c>
      <c r="S7" s="65">
        <v>11</v>
      </c>
      <c r="T7" s="65">
        <v>32</v>
      </c>
      <c r="U7" s="65" t="s">
        <v>81</v>
      </c>
      <c r="V7" s="114" t="s">
        <v>485</v>
      </c>
      <c r="W7" s="161">
        <v>156</v>
      </c>
    </row>
    <row r="8" spans="2:23" s="16" customFormat="1" ht="135" x14ac:dyDescent="0.2">
      <c r="B8" s="143" t="s">
        <v>6</v>
      </c>
      <c r="C8" s="25" t="s">
        <v>247</v>
      </c>
      <c r="D8" s="25" t="s">
        <v>59</v>
      </c>
      <c r="E8" s="25" t="s">
        <v>211</v>
      </c>
      <c r="F8" s="25" t="s">
        <v>207</v>
      </c>
      <c r="G8" s="28">
        <v>5</v>
      </c>
      <c r="H8" s="28">
        <f>1253+1257+534+528</f>
        <v>3572</v>
      </c>
      <c r="I8" s="115" t="s">
        <v>462</v>
      </c>
      <c r="J8" s="115" t="s">
        <v>463</v>
      </c>
      <c r="K8" s="115" t="s">
        <v>464</v>
      </c>
      <c r="L8" s="115">
        <v>0.5</v>
      </c>
      <c r="M8" s="115" t="s">
        <v>465</v>
      </c>
      <c r="N8" s="126" t="s">
        <v>465</v>
      </c>
      <c r="O8" s="28" t="s">
        <v>275</v>
      </c>
      <c r="P8" s="28" t="s">
        <v>271</v>
      </c>
      <c r="Q8" s="82" t="s">
        <v>274</v>
      </c>
      <c r="R8" s="105" t="s">
        <v>405</v>
      </c>
      <c r="S8" s="28">
        <v>24</v>
      </c>
      <c r="T8" s="28">
        <v>24</v>
      </c>
      <c r="U8" s="28" t="s">
        <v>59</v>
      </c>
      <c r="V8" s="115" t="s">
        <v>486</v>
      </c>
      <c r="W8" s="162" t="s">
        <v>62</v>
      </c>
    </row>
    <row r="9" spans="2:23" s="44" customFormat="1" ht="180" x14ac:dyDescent="0.2">
      <c r="B9" s="142" t="s">
        <v>7</v>
      </c>
      <c r="C9" s="93" t="s">
        <v>238</v>
      </c>
      <c r="D9" s="93" t="s">
        <v>91</v>
      </c>
      <c r="E9" s="93" t="s">
        <v>212</v>
      </c>
      <c r="F9" s="93" t="s">
        <v>256</v>
      </c>
      <c r="G9" s="65">
        <v>7</v>
      </c>
      <c r="H9" s="65">
        <v>1196</v>
      </c>
      <c r="I9" s="114" t="s">
        <v>536</v>
      </c>
      <c r="J9" s="114" t="s">
        <v>541</v>
      </c>
      <c r="K9" s="114" t="s">
        <v>448</v>
      </c>
      <c r="L9" s="114">
        <v>75</v>
      </c>
      <c r="M9" s="114" t="s">
        <v>466</v>
      </c>
      <c r="N9" s="127" t="s">
        <v>445</v>
      </c>
      <c r="O9" s="65" t="s">
        <v>276</v>
      </c>
      <c r="P9" s="65" t="s">
        <v>277</v>
      </c>
      <c r="Q9" s="81" t="s">
        <v>278</v>
      </c>
      <c r="R9" s="104" t="s">
        <v>279</v>
      </c>
      <c r="S9" s="65">
        <v>7</v>
      </c>
      <c r="T9" s="65">
        <v>28</v>
      </c>
      <c r="U9" s="65" t="s">
        <v>91</v>
      </c>
      <c r="V9" s="114" t="s">
        <v>487</v>
      </c>
      <c r="W9" s="161">
        <v>197</v>
      </c>
    </row>
    <row r="10" spans="2:23" s="16" customFormat="1" ht="210" x14ac:dyDescent="0.2">
      <c r="B10" s="143" t="s">
        <v>8</v>
      </c>
      <c r="C10" s="25" t="s">
        <v>248</v>
      </c>
      <c r="D10" s="25" t="s">
        <v>59</v>
      </c>
      <c r="E10" s="25" t="s">
        <v>213</v>
      </c>
      <c r="F10" s="25" t="s">
        <v>204</v>
      </c>
      <c r="G10" s="28">
        <v>5</v>
      </c>
      <c r="H10" s="28">
        <v>371</v>
      </c>
      <c r="I10" s="115" t="s">
        <v>533</v>
      </c>
      <c r="J10" s="115" t="s">
        <v>542</v>
      </c>
      <c r="K10" s="115" t="s">
        <v>467</v>
      </c>
      <c r="L10" s="115">
        <v>48.5</v>
      </c>
      <c r="M10" s="115" t="s">
        <v>468</v>
      </c>
      <c r="N10" s="126" t="s">
        <v>445</v>
      </c>
      <c r="O10" s="105" t="s">
        <v>280</v>
      </c>
      <c r="P10" s="28" t="s">
        <v>271</v>
      </c>
      <c r="Q10" s="82" t="s">
        <v>282</v>
      </c>
      <c r="R10" s="105" t="s">
        <v>281</v>
      </c>
      <c r="S10" s="28" t="s">
        <v>60</v>
      </c>
      <c r="T10" s="28">
        <v>43</v>
      </c>
      <c r="U10" s="28" t="s">
        <v>59</v>
      </c>
      <c r="V10" s="115" t="s">
        <v>488</v>
      </c>
      <c r="W10" s="162" t="s">
        <v>62</v>
      </c>
    </row>
    <row r="11" spans="2:23" s="44" customFormat="1" ht="135" x14ac:dyDescent="0.2">
      <c r="B11" s="142" t="s">
        <v>9</v>
      </c>
      <c r="C11" s="93" t="s">
        <v>224</v>
      </c>
      <c r="D11" s="93" t="s">
        <v>116</v>
      </c>
      <c r="E11" s="93" t="s">
        <v>208</v>
      </c>
      <c r="F11" s="93" t="s">
        <v>204</v>
      </c>
      <c r="G11" s="65">
        <v>10.199999999999999</v>
      </c>
      <c r="H11" s="65">
        <v>3048</v>
      </c>
      <c r="I11" s="114" t="s">
        <v>534</v>
      </c>
      <c r="J11" s="114" t="s">
        <v>543</v>
      </c>
      <c r="K11" s="114" t="s">
        <v>448</v>
      </c>
      <c r="L11" s="114">
        <v>100</v>
      </c>
      <c r="M11" s="114" t="s">
        <v>469</v>
      </c>
      <c r="N11" s="121" t="s">
        <v>445</v>
      </c>
      <c r="O11" s="65" t="s">
        <v>264</v>
      </c>
      <c r="P11" s="65" t="s">
        <v>259</v>
      </c>
      <c r="Q11" s="81" t="s">
        <v>266</v>
      </c>
      <c r="R11" s="104" t="s">
        <v>265</v>
      </c>
      <c r="S11" s="65" t="s">
        <v>283</v>
      </c>
      <c r="T11" s="65" t="s">
        <v>307</v>
      </c>
      <c r="U11" s="65" t="s">
        <v>116</v>
      </c>
      <c r="V11" s="114" t="s">
        <v>489</v>
      </c>
      <c r="W11" s="161">
        <v>159</v>
      </c>
    </row>
    <row r="12" spans="2:23" s="16" customFormat="1" ht="90" x14ac:dyDescent="0.2">
      <c r="B12" s="143" t="s">
        <v>10</v>
      </c>
      <c r="C12" s="25" t="s">
        <v>239</v>
      </c>
      <c r="D12" s="25" t="s">
        <v>59</v>
      </c>
      <c r="E12" s="25" t="s">
        <v>214</v>
      </c>
      <c r="F12" s="25" t="s">
        <v>204</v>
      </c>
      <c r="G12" s="28">
        <v>3</v>
      </c>
      <c r="H12" s="28">
        <v>1533</v>
      </c>
      <c r="I12" s="115" t="s">
        <v>470</v>
      </c>
      <c r="J12" s="115" t="s">
        <v>544</v>
      </c>
      <c r="K12" s="115" t="s">
        <v>448</v>
      </c>
      <c r="L12" s="115" t="s">
        <v>445</v>
      </c>
      <c r="M12" s="115" t="s">
        <v>471</v>
      </c>
      <c r="N12" s="126" t="s">
        <v>445</v>
      </c>
      <c r="O12" s="28" t="s">
        <v>284</v>
      </c>
      <c r="P12" s="28" t="s">
        <v>379</v>
      </c>
      <c r="Q12" s="82" t="s">
        <v>285</v>
      </c>
      <c r="R12" s="105" t="s">
        <v>286</v>
      </c>
      <c r="S12" s="28" t="s">
        <v>60</v>
      </c>
      <c r="T12" s="28">
        <v>16</v>
      </c>
      <c r="U12" s="28" t="s">
        <v>59</v>
      </c>
      <c r="V12" s="115" t="s">
        <v>490</v>
      </c>
      <c r="W12" s="162" t="s">
        <v>60</v>
      </c>
    </row>
    <row r="13" spans="2:23" s="44" customFormat="1" ht="120" x14ac:dyDescent="0.2">
      <c r="B13" s="142" t="s">
        <v>105</v>
      </c>
      <c r="C13" s="93" t="s">
        <v>231</v>
      </c>
      <c r="D13" s="93" t="s">
        <v>106</v>
      </c>
      <c r="E13" s="93" t="s">
        <v>206</v>
      </c>
      <c r="F13" s="93" t="s">
        <v>207</v>
      </c>
      <c r="G13" s="65">
        <v>14</v>
      </c>
      <c r="H13" s="65">
        <v>69554</v>
      </c>
      <c r="I13" s="114" t="s">
        <v>537</v>
      </c>
      <c r="J13" s="114" t="s">
        <v>472</v>
      </c>
      <c r="K13" s="114" t="s">
        <v>448</v>
      </c>
      <c r="L13" s="114">
        <v>100</v>
      </c>
      <c r="M13" s="114" t="s">
        <v>473</v>
      </c>
      <c r="N13" s="121" t="s">
        <v>445</v>
      </c>
      <c r="O13" s="65" t="s">
        <v>287</v>
      </c>
      <c r="P13" s="65" t="s">
        <v>271</v>
      </c>
      <c r="Q13" s="81" t="s">
        <v>290</v>
      </c>
      <c r="R13" s="104" t="s">
        <v>288</v>
      </c>
      <c r="S13" s="65">
        <v>13</v>
      </c>
      <c r="T13" s="65">
        <v>13</v>
      </c>
      <c r="U13" s="65" t="s">
        <v>106</v>
      </c>
      <c r="V13" s="114" t="s">
        <v>593</v>
      </c>
      <c r="W13" s="161">
        <v>2699</v>
      </c>
    </row>
    <row r="14" spans="2:23" s="16" customFormat="1" ht="135" x14ac:dyDescent="0.2">
      <c r="B14" s="143" t="s">
        <v>108</v>
      </c>
      <c r="C14" s="25" t="s">
        <v>229</v>
      </c>
      <c r="D14" s="25" t="s">
        <v>81</v>
      </c>
      <c r="E14" s="25" t="s">
        <v>206</v>
      </c>
      <c r="F14" s="25" t="s">
        <v>207</v>
      </c>
      <c r="G14" s="28">
        <v>14</v>
      </c>
      <c r="H14" s="28">
        <v>71768</v>
      </c>
      <c r="I14" s="115" t="s">
        <v>474</v>
      </c>
      <c r="J14" s="115" t="s">
        <v>475</v>
      </c>
      <c r="K14" s="115" t="s">
        <v>448</v>
      </c>
      <c r="L14" s="115">
        <v>100</v>
      </c>
      <c r="M14" s="115" t="s">
        <v>473</v>
      </c>
      <c r="N14" s="126" t="s">
        <v>445</v>
      </c>
      <c r="O14" s="28" t="s">
        <v>287</v>
      </c>
      <c r="P14" s="28" t="s">
        <v>271</v>
      </c>
      <c r="Q14" s="82" t="s">
        <v>290</v>
      </c>
      <c r="R14" s="105" t="s">
        <v>294</v>
      </c>
      <c r="S14" s="28">
        <v>15</v>
      </c>
      <c r="T14" s="28" t="s">
        <v>289</v>
      </c>
      <c r="U14" s="28" t="s">
        <v>81</v>
      </c>
      <c r="V14" s="115" t="s">
        <v>491</v>
      </c>
      <c r="W14" s="162">
        <v>791</v>
      </c>
    </row>
    <row r="15" spans="2:23" s="44" customFormat="1" ht="165" x14ac:dyDescent="0.2">
      <c r="B15" s="142" t="s">
        <v>11</v>
      </c>
      <c r="C15" s="93" t="s">
        <v>249</v>
      </c>
      <c r="D15" s="93" t="s">
        <v>110</v>
      </c>
      <c r="E15" s="93" t="s">
        <v>208</v>
      </c>
      <c r="F15" s="93" t="s">
        <v>204</v>
      </c>
      <c r="G15" s="65">
        <v>11</v>
      </c>
      <c r="H15" s="65">
        <v>40757</v>
      </c>
      <c r="I15" s="114" t="s">
        <v>476</v>
      </c>
      <c r="J15" s="114" t="s">
        <v>477</v>
      </c>
      <c r="K15" s="114" t="s">
        <v>448</v>
      </c>
      <c r="L15" s="114"/>
      <c r="M15" s="114" t="s">
        <v>478</v>
      </c>
      <c r="N15" s="121" t="s">
        <v>445</v>
      </c>
      <c r="O15" s="65" t="s">
        <v>291</v>
      </c>
      <c r="P15" s="65" t="s">
        <v>271</v>
      </c>
      <c r="Q15" s="81" t="s">
        <v>293</v>
      </c>
      <c r="R15" s="104" t="s">
        <v>295</v>
      </c>
      <c r="S15" s="65">
        <v>14</v>
      </c>
      <c r="T15" s="65">
        <v>22</v>
      </c>
      <c r="U15" s="65" t="s">
        <v>110</v>
      </c>
      <c r="V15" s="114" t="s">
        <v>594</v>
      </c>
      <c r="W15" s="161">
        <v>606</v>
      </c>
    </row>
    <row r="16" spans="2:23" s="16" customFormat="1" ht="90" x14ac:dyDescent="0.2">
      <c r="B16" s="148" t="s">
        <v>12</v>
      </c>
      <c r="C16" s="25" t="s">
        <v>231</v>
      </c>
      <c r="D16" s="25" t="s">
        <v>70</v>
      </c>
      <c r="E16" s="25" t="s">
        <v>211</v>
      </c>
      <c r="F16" s="25" t="s">
        <v>207</v>
      </c>
      <c r="G16" s="28">
        <v>18</v>
      </c>
      <c r="H16" s="28">
        <v>72113</v>
      </c>
      <c r="I16" s="115" t="s">
        <v>479</v>
      </c>
      <c r="J16" s="115" t="s">
        <v>480</v>
      </c>
      <c r="K16" s="115" t="s">
        <v>448</v>
      </c>
      <c r="L16" s="115">
        <v>100</v>
      </c>
      <c r="M16" s="115" t="s">
        <v>481</v>
      </c>
      <c r="N16" s="126" t="s">
        <v>482</v>
      </c>
      <c r="O16" s="28" t="s">
        <v>276</v>
      </c>
      <c r="P16" s="28" t="s">
        <v>271</v>
      </c>
      <c r="Q16" s="82" t="s">
        <v>296</v>
      </c>
      <c r="R16" s="105" t="s">
        <v>297</v>
      </c>
      <c r="S16" s="28">
        <v>16</v>
      </c>
      <c r="T16" s="28">
        <v>17</v>
      </c>
      <c r="U16" s="28" t="s">
        <v>70</v>
      </c>
      <c r="V16" s="115" t="s">
        <v>492</v>
      </c>
      <c r="W16" s="162">
        <v>1154</v>
      </c>
    </row>
    <row r="17" spans="2:23" s="44" customFormat="1" ht="135" x14ac:dyDescent="0.2">
      <c r="B17" s="147" t="s">
        <v>13</v>
      </c>
      <c r="C17" s="93" t="s">
        <v>240</v>
      </c>
      <c r="D17" s="93" t="s">
        <v>67</v>
      </c>
      <c r="E17" s="93" t="s">
        <v>215</v>
      </c>
      <c r="F17" s="93" t="s">
        <v>204</v>
      </c>
      <c r="G17" s="65">
        <v>13</v>
      </c>
      <c r="H17" s="65">
        <v>4999</v>
      </c>
      <c r="I17" s="119" t="s">
        <v>538</v>
      </c>
      <c r="J17" s="122" t="s">
        <v>545</v>
      </c>
      <c r="K17" s="119" t="s">
        <v>448</v>
      </c>
      <c r="L17" s="119">
        <v>59.1</v>
      </c>
      <c r="M17" s="119" t="s">
        <v>515</v>
      </c>
      <c r="N17" s="128" t="s">
        <v>494</v>
      </c>
      <c r="O17" s="104" t="s">
        <v>298</v>
      </c>
      <c r="P17" s="65" t="s">
        <v>302</v>
      </c>
      <c r="Q17" s="81" t="s">
        <v>303</v>
      </c>
      <c r="R17" s="104" t="s">
        <v>304</v>
      </c>
      <c r="S17" s="65" t="s">
        <v>305</v>
      </c>
      <c r="T17" s="65" t="s">
        <v>306</v>
      </c>
      <c r="U17" s="65" t="s">
        <v>67</v>
      </c>
      <c r="V17" s="114" t="s">
        <v>596</v>
      </c>
      <c r="W17" s="161">
        <v>102</v>
      </c>
    </row>
    <row r="18" spans="2:23" s="16" customFormat="1" ht="120" x14ac:dyDescent="0.2">
      <c r="B18" s="143" t="s">
        <v>14</v>
      </c>
      <c r="C18" s="25" t="s">
        <v>221</v>
      </c>
      <c r="D18" s="25" t="s">
        <v>110</v>
      </c>
      <c r="E18" s="25" t="s">
        <v>211</v>
      </c>
      <c r="F18" s="25" t="s">
        <v>207</v>
      </c>
      <c r="G18" s="28">
        <v>8</v>
      </c>
      <c r="H18" s="28">
        <v>44875</v>
      </c>
      <c r="I18" s="115" t="s">
        <v>539</v>
      </c>
      <c r="J18" s="115" t="s">
        <v>546</v>
      </c>
      <c r="K18" s="115" t="s">
        <v>448</v>
      </c>
      <c r="L18" s="115">
        <v>0</v>
      </c>
      <c r="M18" s="115" t="s">
        <v>516</v>
      </c>
      <c r="N18" s="126" t="s">
        <v>494</v>
      </c>
      <c r="O18" s="28" t="s">
        <v>308</v>
      </c>
      <c r="P18" s="28" t="s">
        <v>271</v>
      </c>
      <c r="Q18" s="82" t="s">
        <v>290</v>
      </c>
      <c r="R18" s="105" t="s">
        <v>309</v>
      </c>
      <c r="S18" s="28">
        <v>13</v>
      </c>
      <c r="T18" s="28">
        <v>13</v>
      </c>
      <c r="U18" s="28" t="s">
        <v>110</v>
      </c>
      <c r="V18" s="115" t="s">
        <v>595</v>
      </c>
      <c r="W18" s="162">
        <v>1089</v>
      </c>
    </row>
    <row r="19" spans="2:23" s="16" customFormat="1" ht="135" x14ac:dyDescent="0.2">
      <c r="B19" s="143" t="s">
        <v>15</v>
      </c>
      <c r="C19" s="25" t="s">
        <v>222</v>
      </c>
      <c r="D19" s="25" t="s">
        <v>67</v>
      </c>
      <c r="E19" s="25" t="s">
        <v>208</v>
      </c>
      <c r="F19" s="25" t="s">
        <v>204</v>
      </c>
      <c r="G19" s="28">
        <v>4.3</v>
      </c>
      <c r="H19" s="28">
        <v>7216</v>
      </c>
      <c r="I19" s="115" t="s">
        <v>548</v>
      </c>
      <c r="J19" s="115" t="s">
        <v>547</v>
      </c>
      <c r="K19" s="115" t="s">
        <v>452</v>
      </c>
      <c r="L19" s="115">
        <v>57.4</v>
      </c>
      <c r="M19" s="115" t="s">
        <v>517</v>
      </c>
      <c r="N19" s="126" t="s">
        <v>494</v>
      </c>
      <c r="O19" s="28" t="s">
        <v>310</v>
      </c>
      <c r="P19" s="28" t="s">
        <v>271</v>
      </c>
      <c r="Q19" s="82" t="s">
        <v>296</v>
      </c>
      <c r="R19" s="105" t="s">
        <v>311</v>
      </c>
      <c r="S19" s="28">
        <v>11</v>
      </c>
      <c r="T19" s="28">
        <v>12</v>
      </c>
      <c r="U19" s="28" t="s">
        <v>67</v>
      </c>
      <c r="V19" s="115" t="s">
        <v>597</v>
      </c>
      <c r="W19" s="162">
        <v>277</v>
      </c>
    </row>
    <row r="20" spans="2:23" s="44" customFormat="1" ht="150" x14ac:dyDescent="0.2">
      <c r="B20" s="142" t="s">
        <v>17</v>
      </c>
      <c r="C20" s="93" t="s">
        <v>223</v>
      </c>
      <c r="D20" s="93" t="s">
        <v>106</v>
      </c>
      <c r="E20" s="93" t="s">
        <v>203</v>
      </c>
      <c r="F20" s="93" t="s">
        <v>204</v>
      </c>
      <c r="G20" s="65">
        <v>11.6</v>
      </c>
      <c r="H20" s="65">
        <v>7339</v>
      </c>
      <c r="I20" s="114" t="s">
        <v>518</v>
      </c>
      <c r="J20" s="114" t="s">
        <v>549</v>
      </c>
      <c r="K20" s="114" t="s">
        <v>448</v>
      </c>
      <c r="L20" s="114">
        <v>30.4</v>
      </c>
      <c r="M20" s="114" t="s">
        <v>519</v>
      </c>
      <c r="N20" s="121" t="s">
        <v>520</v>
      </c>
      <c r="O20" s="65" t="s">
        <v>300</v>
      </c>
      <c r="P20" s="65" t="s">
        <v>312</v>
      </c>
      <c r="Q20" s="81" t="s">
        <v>316</v>
      </c>
      <c r="R20" s="104" t="s">
        <v>313</v>
      </c>
      <c r="S20" s="65">
        <v>10</v>
      </c>
      <c r="T20" s="65">
        <v>10</v>
      </c>
      <c r="U20" s="65" t="s">
        <v>106</v>
      </c>
      <c r="V20" s="114" t="s">
        <v>598</v>
      </c>
      <c r="W20" s="161">
        <v>427</v>
      </c>
    </row>
    <row r="21" spans="2:23" s="16" customFormat="1" ht="120" customHeight="1" x14ac:dyDescent="0.2">
      <c r="B21" s="148" t="s">
        <v>16</v>
      </c>
      <c r="C21" s="25" t="s">
        <v>223</v>
      </c>
      <c r="D21" s="25" t="s">
        <v>110</v>
      </c>
      <c r="E21" s="25" t="s">
        <v>203</v>
      </c>
      <c r="F21" s="25" t="s">
        <v>204</v>
      </c>
      <c r="G21" s="28">
        <v>15</v>
      </c>
      <c r="H21" s="28">
        <v>7314</v>
      </c>
      <c r="I21" s="115" t="s">
        <v>521</v>
      </c>
      <c r="J21" s="115" t="s">
        <v>550</v>
      </c>
      <c r="K21" s="115" t="s">
        <v>448</v>
      </c>
      <c r="L21" s="115" t="s">
        <v>494</v>
      </c>
      <c r="M21" s="115" t="s">
        <v>494</v>
      </c>
      <c r="N21" s="126" t="s">
        <v>494</v>
      </c>
      <c r="O21" s="28" t="s">
        <v>315</v>
      </c>
      <c r="P21" s="28" t="s">
        <v>312</v>
      </c>
      <c r="Q21" s="82" t="s">
        <v>316</v>
      </c>
      <c r="R21" s="105" t="s">
        <v>317</v>
      </c>
      <c r="S21" s="28">
        <v>5</v>
      </c>
      <c r="T21" s="28">
        <v>7</v>
      </c>
      <c r="U21" s="28" t="s">
        <v>110</v>
      </c>
      <c r="V21" s="115" t="s">
        <v>599</v>
      </c>
      <c r="W21" s="162">
        <v>243</v>
      </c>
    </row>
    <row r="22" spans="2:23" s="44" customFormat="1" ht="150" x14ac:dyDescent="0.2">
      <c r="B22" s="142" t="s">
        <v>18</v>
      </c>
      <c r="C22" s="93" t="s">
        <v>224</v>
      </c>
      <c r="D22" s="93" t="s">
        <v>59</v>
      </c>
      <c r="E22" s="93" t="s">
        <v>208</v>
      </c>
      <c r="F22" s="93" t="s">
        <v>204</v>
      </c>
      <c r="G22" s="65">
        <v>8.9</v>
      </c>
      <c r="H22" s="65">
        <v>8451</v>
      </c>
      <c r="I22" s="114" t="s">
        <v>552</v>
      </c>
      <c r="J22" s="114" t="s">
        <v>551</v>
      </c>
      <c r="K22" s="114" t="s">
        <v>448</v>
      </c>
      <c r="L22" s="114">
        <v>64.900000000000006</v>
      </c>
      <c r="M22" s="114" t="s">
        <v>522</v>
      </c>
      <c r="N22" s="121" t="s">
        <v>494</v>
      </c>
      <c r="O22" s="65" t="s">
        <v>314</v>
      </c>
      <c r="P22" s="65" t="s">
        <v>318</v>
      </c>
      <c r="Q22" s="81" t="s">
        <v>301</v>
      </c>
      <c r="R22" s="104" t="s">
        <v>299</v>
      </c>
      <c r="S22" s="65">
        <v>33</v>
      </c>
      <c r="T22" s="65">
        <v>136</v>
      </c>
      <c r="U22" s="65" t="s">
        <v>59</v>
      </c>
      <c r="V22" s="114" t="s">
        <v>600</v>
      </c>
      <c r="W22" s="161">
        <v>1939</v>
      </c>
    </row>
    <row r="23" spans="2:23" s="16" customFormat="1" ht="150" x14ac:dyDescent="0.2">
      <c r="B23" s="143" t="s">
        <v>126</v>
      </c>
      <c r="C23" s="25" t="s">
        <v>224</v>
      </c>
      <c r="D23" s="25" t="s">
        <v>127</v>
      </c>
      <c r="E23" s="25" t="s">
        <v>208</v>
      </c>
      <c r="F23" s="25" t="s">
        <v>204</v>
      </c>
      <c r="G23" s="28">
        <v>3.9</v>
      </c>
      <c r="H23" s="28">
        <v>14790</v>
      </c>
      <c r="I23" s="115" t="s">
        <v>553</v>
      </c>
      <c r="J23" s="115" t="s">
        <v>554</v>
      </c>
      <c r="K23" s="115" t="s">
        <v>448</v>
      </c>
      <c r="L23" s="115">
        <v>63.6</v>
      </c>
      <c r="M23" s="115" t="s">
        <v>523</v>
      </c>
      <c r="N23" s="126" t="s">
        <v>494</v>
      </c>
      <c r="O23" s="28" t="s">
        <v>264</v>
      </c>
      <c r="P23" s="28" t="s">
        <v>318</v>
      </c>
      <c r="Q23" s="82" t="s">
        <v>301</v>
      </c>
      <c r="R23" s="105" t="s">
        <v>299</v>
      </c>
      <c r="S23" s="28">
        <v>33</v>
      </c>
      <c r="T23" s="28">
        <v>136</v>
      </c>
      <c r="U23" s="28" t="s">
        <v>127</v>
      </c>
      <c r="V23" s="115" t="s">
        <v>601</v>
      </c>
      <c r="W23" s="162">
        <v>1702</v>
      </c>
    </row>
    <row r="24" spans="2:23" s="44" customFormat="1" ht="120" x14ac:dyDescent="0.2">
      <c r="B24" s="142" t="s">
        <v>19</v>
      </c>
      <c r="C24" s="93" t="s">
        <v>225</v>
      </c>
      <c r="D24" s="93" t="s">
        <v>67</v>
      </c>
      <c r="E24" s="93" t="s">
        <v>203</v>
      </c>
      <c r="F24" s="93" t="s">
        <v>204</v>
      </c>
      <c r="G24" s="65">
        <v>12</v>
      </c>
      <c r="H24" s="65">
        <v>1838</v>
      </c>
      <c r="I24" s="114" t="s">
        <v>555</v>
      </c>
      <c r="J24" s="114" t="s">
        <v>556</v>
      </c>
      <c r="K24" s="114" t="s">
        <v>506</v>
      </c>
      <c r="L24" s="114">
        <v>0</v>
      </c>
      <c r="M24" s="114" t="s">
        <v>524</v>
      </c>
      <c r="N24" s="121" t="s">
        <v>494</v>
      </c>
      <c r="O24" s="65" t="s">
        <v>332</v>
      </c>
      <c r="P24" s="65" t="s">
        <v>271</v>
      </c>
      <c r="Q24" s="81" t="s">
        <v>334</v>
      </c>
      <c r="R24" s="104" t="s">
        <v>333</v>
      </c>
      <c r="S24" s="65">
        <v>8</v>
      </c>
      <c r="T24" s="65">
        <v>28</v>
      </c>
      <c r="U24" s="65" t="s">
        <v>67</v>
      </c>
      <c r="V24" s="114" t="s">
        <v>602</v>
      </c>
      <c r="W24" s="161">
        <v>714</v>
      </c>
    </row>
    <row r="25" spans="2:23" s="16" customFormat="1" ht="180" x14ac:dyDescent="0.2">
      <c r="B25" s="143" t="s">
        <v>20</v>
      </c>
      <c r="C25" s="25" t="s">
        <v>244</v>
      </c>
      <c r="D25" s="25" t="s">
        <v>70</v>
      </c>
      <c r="E25" s="25" t="s">
        <v>205</v>
      </c>
      <c r="F25" s="25" t="s">
        <v>202</v>
      </c>
      <c r="G25" s="28">
        <v>9</v>
      </c>
      <c r="H25" s="28">
        <v>4834</v>
      </c>
      <c r="I25" s="115" t="s">
        <v>557</v>
      </c>
      <c r="J25" s="115" t="s">
        <v>558</v>
      </c>
      <c r="K25" s="115" t="s">
        <v>448</v>
      </c>
      <c r="L25" s="115">
        <v>51.2</v>
      </c>
      <c r="M25" s="115" t="s">
        <v>525</v>
      </c>
      <c r="N25" s="126" t="s">
        <v>494</v>
      </c>
      <c r="O25" s="28" t="s">
        <v>319</v>
      </c>
      <c r="P25" s="28" t="s">
        <v>271</v>
      </c>
      <c r="Q25" s="82" t="s">
        <v>335</v>
      </c>
      <c r="R25" s="105" t="s">
        <v>336</v>
      </c>
      <c r="S25" s="28">
        <v>10</v>
      </c>
      <c r="T25" s="28">
        <v>10</v>
      </c>
      <c r="U25" s="28" t="s">
        <v>70</v>
      </c>
      <c r="V25" s="115" t="s">
        <v>603</v>
      </c>
      <c r="W25" s="162">
        <v>116</v>
      </c>
    </row>
    <row r="26" spans="2:23" s="44" customFormat="1" ht="90" x14ac:dyDescent="0.2">
      <c r="B26" s="142" t="s">
        <v>21</v>
      </c>
      <c r="C26" s="93" t="s">
        <v>250</v>
      </c>
      <c r="D26" s="93" t="s">
        <v>106</v>
      </c>
      <c r="E26" s="93" t="s">
        <v>216</v>
      </c>
      <c r="F26" s="93" t="s">
        <v>210</v>
      </c>
      <c r="G26" s="65">
        <v>5</v>
      </c>
      <c r="H26" s="65">
        <v>64705</v>
      </c>
      <c r="I26" s="114" t="s">
        <v>561</v>
      </c>
      <c r="J26" s="114" t="s">
        <v>559</v>
      </c>
      <c r="K26" s="114" t="s">
        <v>448</v>
      </c>
      <c r="L26" s="114">
        <v>57</v>
      </c>
      <c r="M26" s="114" t="s">
        <v>526</v>
      </c>
      <c r="N26" s="121" t="s">
        <v>494</v>
      </c>
      <c r="O26" s="65" t="s">
        <v>320</v>
      </c>
      <c r="P26" s="65" t="s">
        <v>271</v>
      </c>
      <c r="Q26" s="81" t="s">
        <v>321</v>
      </c>
      <c r="R26" s="104" t="s">
        <v>339</v>
      </c>
      <c r="S26" s="65" t="s">
        <v>338</v>
      </c>
      <c r="T26" s="65" t="s">
        <v>337</v>
      </c>
      <c r="U26" s="65" t="s">
        <v>106</v>
      </c>
      <c r="V26" s="114" t="s">
        <v>604</v>
      </c>
      <c r="W26" s="161">
        <v>1194</v>
      </c>
    </row>
    <row r="27" spans="2:23" s="16" customFormat="1" ht="120" x14ac:dyDescent="0.2">
      <c r="B27" s="143" t="s">
        <v>22</v>
      </c>
      <c r="C27" s="25" t="s">
        <v>243</v>
      </c>
      <c r="D27" s="25" t="s">
        <v>67</v>
      </c>
      <c r="E27" s="25" t="s">
        <v>211</v>
      </c>
      <c r="F27" s="25" t="s">
        <v>207</v>
      </c>
      <c r="G27" s="28">
        <v>4.5999999999999996</v>
      </c>
      <c r="H27" s="28">
        <v>5316</v>
      </c>
      <c r="I27" s="115" t="s">
        <v>562</v>
      </c>
      <c r="J27" s="115" t="s">
        <v>560</v>
      </c>
      <c r="K27" s="115" t="s">
        <v>448</v>
      </c>
      <c r="L27" s="115">
        <v>52.9</v>
      </c>
      <c r="M27" s="115" t="s">
        <v>527</v>
      </c>
      <c r="N27" s="126" t="s">
        <v>494</v>
      </c>
      <c r="O27" s="28" t="s">
        <v>322</v>
      </c>
      <c r="P27" s="28" t="s">
        <v>271</v>
      </c>
      <c r="Q27" s="82" t="s">
        <v>323</v>
      </c>
      <c r="R27" s="105" t="s">
        <v>341</v>
      </c>
      <c r="S27" s="28">
        <v>21</v>
      </c>
      <c r="T27" s="28">
        <v>47</v>
      </c>
      <c r="U27" s="28" t="s">
        <v>67</v>
      </c>
      <c r="V27" s="115" t="s">
        <v>605</v>
      </c>
      <c r="W27" s="162">
        <v>207</v>
      </c>
    </row>
    <row r="28" spans="2:23" s="44" customFormat="1" ht="195" x14ac:dyDescent="0.2">
      <c r="B28" s="142" t="s">
        <v>644</v>
      </c>
      <c r="C28" s="93" t="s">
        <v>226</v>
      </c>
      <c r="D28" s="93" t="s">
        <v>106</v>
      </c>
      <c r="E28" s="93" t="s">
        <v>217</v>
      </c>
      <c r="F28" s="93" t="s">
        <v>210</v>
      </c>
      <c r="G28" s="65">
        <v>4.7</v>
      </c>
      <c r="H28" s="65">
        <v>43176</v>
      </c>
      <c r="I28" s="114" t="s">
        <v>563</v>
      </c>
      <c r="J28" s="114" t="s">
        <v>645</v>
      </c>
      <c r="K28" s="114" t="s">
        <v>448</v>
      </c>
      <c r="L28" s="114" t="s">
        <v>528</v>
      </c>
      <c r="M28" s="114" t="s">
        <v>529</v>
      </c>
      <c r="N28" s="121" t="s">
        <v>528</v>
      </c>
      <c r="O28" s="65" t="s">
        <v>340</v>
      </c>
      <c r="P28" s="65" t="s">
        <v>259</v>
      </c>
      <c r="Q28" s="81" t="s">
        <v>324</v>
      </c>
      <c r="R28" s="104" t="s">
        <v>343</v>
      </c>
      <c r="S28" s="65" t="s">
        <v>307</v>
      </c>
      <c r="T28" s="65" t="s">
        <v>307</v>
      </c>
      <c r="U28" s="65" t="s">
        <v>106</v>
      </c>
      <c r="V28" s="114" t="s">
        <v>606</v>
      </c>
      <c r="W28" s="161">
        <v>2252</v>
      </c>
    </row>
    <row r="29" spans="2:23" s="16" customFormat="1" ht="105" x14ac:dyDescent="0.2">
      <c r="B29" s="143" t="s">
        <v>38</v>
      </c>
      <c r="C29" s="25" t="s">
        <v>226</v>
      </c>
      <c r="D29" s="25" t="s">
        <v>70</v>
      </c>
      <c r="E29" s="25" t="s">
        <v>217</v>
      </c>
      <c r="F29" s="25" t="s">
        <v>210</v>
      </c>
      <c r="G29" s="28">
        <v>15.1</v>
      </c>
      <c r="H29" s="28">
        <v>52584</v>
      </c>
      <c r="I29" s="115" t="s">
        <v>564</v>
      </c>
      <c r="J29" s="115" t="s">
        <v>565</v>
      </c>
      <c r="K29" s="115" t="s">
        <v>448</v>
      </c>
      <c r="L29" s="115">
        <v>55.7</v>
      </c>
      <c r="M29" s="115" t="s">
        <v>526</v>
      </c>
      <c r="N29" s="129" t="s">
        <v>530</v>
      </c>
      <c r="O29" s="28" t="s">
        <v>342</v>
      </c>
      <c r="P29" s="28" t="s">
        <v>271</v>
      </c>
      <c r="Q29" s="82" t="s">
        <v>325</v>
      </c>
      <c r="R29" s="105" t="s">
        <v>407</v>
      </c>
      <c r="S29" s="28">
        <v>57</v>
      </c>
      <c r="T29" s="28">
        <v>57</v>
      </c>
      <c r="U29" s="28" t="s">
        <v>70</v>
      </c>
      <c r="V29" s="115" t="s">
        <v>607</v>
      </c>
      <c r="W29" s="162">
        <v>3097</v>
      </c>
    </row>
    <row r="30" spans="2:23" s="44" customFormat="1" ht="15.75" x14ac:dyDescent="0.2">
      <c r="B30" s="142" t="s">
        <v>24</v>
      </c>
      <c r="C30" s="93" t="s">
        <v>251</v>
      </c>
      <c r="D30" s="93" t="s">
        <v>59</v>
      </c>
      <c r="E30" s="93" t="s">
        <v>218</v>
      </c>
      <c r="F30" s="93" t="s">
        <v>204</v>
      </c>
      <c r="G30" s="65">
        <v>3</v>
      </c>
      <c r="H30" s="65">
        <v>427</v>
      </c>
      <c r="I30" s="114"/>
      <c r="J30" s="65"/>
      <c r="K30" s="114"/>
      <c r="L30" s="114"/>
      <c r="M30" s="114"/>
      <c r="N30" s="121"/>
      <c r="O30" s="65" t="s">
        <v>346</v>
      </c>
      <c r="P30" s="65" t="s">
        <v>271</v>
      </c>
      <c r="Q30" s="81" t="s">
        <v>344</v>
      </c>
      <c r="R30" s="104" t="s">
        <v>345</v>
      </c>
      <c r="S30" s="65">
        <v>13</v>
      </c>
      <c r="T30" s="65">
        <v>13</v>
      </c>
      <c r="U30" s="65" t="s">
        <v>59</v>
      </c>
      <c r="V30" s="114"/>
      <c r="W30" s="161">
        <v>21</v>
      </c>
    </row>
    <row r="31" spans="2:23" s="16" customFormat="1" ht="135" x14ac:dyDescent="0.2">
      <c r="B31" s="148" t="s">
        <v>25</v>
      </c>
      <c r="C31" s="25" t="s">
        <v>252</v>
      </c>
      <c r="D31" s="25" t="s">
        <v>146</v>
      </c>
      <c r="E31" s="25" t="s">
        <v>219</v>
      </c>
      <c r="F31" s="25" t="s">
        <v>204</v>
      </c>
      <c r="G31" s="28">
        <v>8.3000000000000007</v>
      </c>
      <c r="H31" s="28">
        <v>7316</v>
      </c>
      <c r="I31" s="118" t="s">
        <v>566</v>
      </c>
      <c r="J31" s="118" t="s">
        <v>567</v>
      </c>
      <c r="K31" s="118" t="s">
        <v>448</v>
      </c>
      <c r="L31" s="120">
        <v>0.49</v>
      </c>
      <c r="M31" s="118" t="s">
        <v>493</v>
      </c>
      <c r="N31" s="130" t="s">
        <v>494</v>
      </c>
      <c r="O31" s="28" t="s">
        <v>326</v>
      </c>
      <c r="P31" s="28" t="s">
        <v>271</v>
      </c>
      <c r="Q31" s="82" t="s">
        <v>290</v>
      </c>
      <c r="R31" s="105" t="s">
        <v>347</v>
      </c>
      <c r="S31" s="28">
        <v>15</v>
      </c>
      <c r="T31" s="28">
        <v>15</v>
      </c>
      <c r="U31" s="28" t="s">
        <v>146</v>
      </c>
      <c r="V31" s="115" t="s">
        <v>608</v>
      </c>
      <c r="W31" s="162">
        <v>280</v>
      </c>
    </row>
    <row r="32" spans="2:23" s="44" customFormat="1" ht="157.5" customHeight="1" x14ac:dyDescent="0.2">
      <c r="B32" s="142" t="s">
        <v>26</v>
      </c>
      <c r="C32" s="93" t="s">
        <v>241</v>
      </c>
      <c r="D32" s="93" t="s">
        <v>59</v>
      </c>
      <c r="E32" s="93" t="s">
        <v>220</v>
      </c>
      <c r="F32" s="93" t="s">
        <v>204</v>
      </c>
      <c r="G32" s="65">
        <v>2</v>
      </c>
      <c r="H32" s="65">
        <v>8223</v>
      </c>
      <c r="I32" s="123" t="s">
        <v>569</v>
      </c>
      <c r="J32" s="114" t="s">
        <v>568</v>
      </c>
      <c r="K32" s="114" t="s">
        <v>448</v>
      </c>
      <c r="L32" s="116">
        <v>0.49</v>
      </c>
      <c r="M32" s="114" t="s">
        <v>495</v>
      </c>
      <c r="N32" s="121" t="s">
        <v>496</v>
      </c>
      <c r="O32" s="104" t="s">
        <v>327</v>
      </c>
      <c r="P32" s="65" t="s">
        <v>271</v>
      </c>
      <c r="Q32" s="81" t="s">
        <v>348</v>
      </c>
      <c r="R32" s="104" t="s">
        <v>349</v>
      </c>
      <c r="S32" s="65">
        <v>8</v>
      </c>
      <c r="T32" s="65">
        <v>43</v>
      </c>
      <c r="U32" s="65" t="s">
        <v>59</v>
      </c>
      <c r="V32" s="114" t="s">
        <v>609</v>
      </c>
      <c r="W32" s="161">
        <v>849</v>
      </c>
    </row>
    <row r="33" spans="1:23" s="44" customFormat="1" ht="180" x14ac:dyDescent="0.2">
      <c r="B33" s="147" t="s">
        <v>27</v>
      </c>
      <c r="C33" s="93" t="s">
        <v>242</v>
      </c>
      <c r="D33" s="93" t="s">
        <v>106</v>
      </c>
      <c r="E33" s="93" t="s">
        <v>227</v>
      </c>
      <c r="F33" s="93" t="s">
        <v>207</v>
      </c>
      <c r="G33" s="65">
        <v>10</v>
      </c>
      <c r="H33" s="65">
        <v>492</v>
      </c>
      <c r="I33" s="114" t="s">
        <v>570</v>
      </c>
      <c r="J33" s="114" t="s">
        <v>571</v>
      </c>
      <c r="K33" s="114" t="s">
        <v>448</v>
      </c>
      <c r="L33" s="114" t="s">
        <v>494</v>
      </c>
      <c r="M33" s="114" t="s">
        <v>497</v>
      </c>
      <c r="N33" s="121" t="s">
        <v>498</v>
      </c>
      <c r="O33" s="65" t="s">
        <v>328</v>
      </c>
      <c r="P33" s="65" t="s">
        <v>277</v>
      </c>
      <c r="Q33" s="81" t="s">
        <v>329</v>
      </c>
      <c r="R33" s="104" t="s">
        <v>351</v>
      </c>
      <c r="S33" s="65">
        <v>28</v>
      </c>
      <c r="T33" s="65">
        <v>34</v>
      </c>
      <c r="U33" s="65" t="s">
        <v>106</v>
      </c>
      <c r="V33" s="114" t="s">
        <v>610</v>
      </c>
      <c r="W33" s="161">
        <v>86</v>
      </c>
    </row>
    <row r="34" spans="1:23" s="16" customFormat="1" ht="195" x14ac:dyDescent="0.2">
      <c r="B34" s="143" t="s">
        <v>28</v>
      </c>
      <c r="C34" s="25" t="s">
        <v>228</v>
      </c>
      <c r="D34" s="25" t="s">
        <v>59</v>
      </c>
      <c r="E34" s="25" t="s">
        <v>206</v>
      </c>
      <c r="F34" s="25" t="s">
        <v>207</v>
      </c>
      <c r="G34" s="28">
        <v>10</v>
      </c>
      <c r="H34" s="28">
        <v>2371</v>
      </c>
      <c r="I34" s="115" t="s">
        <v>573</v>
      </c>
      <c r="J34" s="115" t="s">
        <v>572</v>
      </c>
      <c r="K34" s="115" t="s">
        <v>448</v>
      </c>
      <c r="L34" s="132">
        <v>1</v>
      </c>
      <c r="M34" s="115" t="s">
        <v>499</v>
      </c>
      <c r="N34" s="126" t="s">
        <v>500</v>
      </c>
      <c r="O34" s="28" t="s">
        <v>330</v>
      </c>
      <c r="P34" s="28" t="s">
        <v>277</v>
      </c>
      <c r="Q34" s="82" t="s">
        <v>331</v>
      </c>
      <c r="R34" s="105" t="s">
        <v>411</v>
      </c>
      <c r="S34" s="28" t="s">
        <v>307</v>
      </c>
      <c r="T34" s="28" t="s">
        <v>307</v>
      </c>
      <c r="U34" s="28" t="s">
        <v>59</v>
      </c>
      <c r="V34" s="115" t="s">
        <v>611</v>
      </c>
      <c r="W34" s="162">
        <v>141</v>
      </c>
    </row>
    <row r="35" spans="1:23" s="44" customFormat="1" ht="285" x14ac:dyDescent="0.2">
      <c r="B35" s="142" t="s">
        <v>230</v>
      </c>
      <c r="C35" s="93" t="s">
        <v>229</v>
      </c>
      <c r="D35" s="93" t="s">
        <v>106</v>
      </c>
      <c r="E35" s="93" t="s">
        <v>206</v>
      </c>
      <c r="F35" s="93" t="s">
        <v>207</v>
      </c>
      <c r="G35" s="65">
        <v>7.6</v>
      </c>
      <c r="H35" s="108">
        <f>89311+35340</f>
        <v>124651</v>
      </c>
      <c r="I35" s="114" t="s">
        <v>574</v>
      </c>
      <c r="J35" s="114" t="s">
        <v>575</v>
      </c>
      <c r="K35" s="114" t="s">
        <v>448</v>
      </c>
      <c r="L35" s="116">
        <v>1</v>
      </c>
      <c r="M35" s="114" t="s">
        <v>501</v>
      </c>
      <c r="N35" s="121" t="s">
        <v>502</v>
      </c>
      <c r="O35" s="65" t="s">
        <v>353</v>
      </c>
      <c r="P35" s="65" t="s">
        <v>312</v>
      </c>
      <c r="Q35" s="81" t="s">
        <v>352</v>
      </c>
      <c r="R35" s="104" t="s">
        <v>354</v>
      </c>
      <c r="S35" s="65" t="s">
        <v>60</v>
      </c>
      <c r="T35" s="65">
        <v>39</v>
      </c>
      <c r="U35" s="65" t="s">
        <v>106</v>
      </c>
      <c r="V35" s="114" t="s">
        <v>612</v>
      </c>
      <c r="W35" s="161">
        <v>724</v>
      </c>
    </row>
    <row r="36" spans="1:23" s="16" customFormat="1" ht="105" x14ac:dyDescent="0.2">
      <c r="B36" s="143" t="s">
        <v>29</v>
      </c>
      <c r="C36" s="25" t="s">
        <v>229</v>
      </c>
      <c r="D36" s="25" t="s">
        <v>59</v>
      </c>
      <c r="E36" s="25" t="s">
        <v>206</v>
      </c>
      <c r="F36" s="25" t="s">
        <v>207</v>
      </c>
      <c r="G36" s="28">
        <v>8</v>
      </c>
      <c r="H36" s="176">
        <v>51670</v>
      </c>
      <c r="I36" s="115" t="s">
        <v>576</v>
      </c>
      <c r="J36" s="115" t="s">
        <v>577</v>
      </c>
      <c r="K36" s="115" t="s">
        <v>448</v>
      </c>
      <c r="L36" s="132">
        <v>1</v>
      </c>
      <c r="M36" s="115" t="s">
        <v>503</v>
      </c>
      <c r="N36" s="126" t="s">
        <v>494</v>
      </c>
      <c r="O36" s="28" t="s">
        <v>360</v>
      </c>
      <c r="P36" s="28" t="s">
        <v>271</v>
      </c>
      <c r="Q36" s="82" t="s">
        <v>355</v>
      </c>
      <c r="R36" s="105" t="s">
        <v>361</v>
      </c>
      <c r="S36" s="28">
        <v>17</v>
      </c>
      <c r="T36" s="28">
        <v>39</v>
      </c>
      <c r="U36" s="28" t="s">
        <v>59</v>
      </c>
      <c r="V36" s="115" t="s">
        <v>613</v>
      </c>
      <c r="W36" s="162" t="s">
        <v>60</v>
      </c>
    </row>
    <row r="37" spans="1:23" s="44" customFormat="1" ht="225" x14ac:dyDescent="0.2">
      <c r="B37" s="142" t="s">
        <v>30</v>
      </c>
      <c r="C37" s="93" t="s">
        <v>232</v>
      </c>
      <c r="D37" s="93" t="s">
        <v>110</v>
      </c>
      <c r="E37" s="93" t="s">
        <v>206</v>
      </c>
      <c r="F37" s="93" t="s">
        <v>207</v>
      </c>
      <c r="G37" s="65">
        <v>5.8</v>
      </c>
      <c r="H37" s="65">
        <v>17418</v>
      </c>
      <c r="I37" s="114" t="s">
        <v>578</v>
      </c>
      <c r="J37" s="114" t="s">
        <v>579</v>
      </c>
      <c r="K37" s="114" t="s">
        <v>448</v>
      </c>
      <c r="L37" s="116">
        <v>0.55000000000000004</v>
      </c>
      <c r="M37" s="114" t="s">
        <v>504</v>
      </c>
      <c r="N37" s="121" t="s">
        <v>505</v>
      </c>
      <c r="O37" s="65" t="s">
        <v>356</v>
      </c>
      <c r="P37" s="65" t="s">
        <v>277</v>
      </c>
      <c r="Q37" s="81" t="s">
        <v>362</v>
      </c>
      <c r="R37" s="104" t="s">
        <v>363</v>
      </c>
      <c r="S37" s="65">
        <v>18</v>
      </c>
      <c r="T37" s="65">
        <v>24</v>
      </c>
      <c r="U37" s="65" t="s">
        <v>110</v>
      </c>
      <c r="V37" s="114" t="s">
        <v>614</v>
      </c>
      <c r="W37" s="161">
        <v>536</v>
      </c>
    </row>
    <row r="38" spans="1:23" s="16" customFormat="1" ht="105" x14ac:dyDescent="0.2">
      <c r="B38" s="143" t="s">
        <v>31</v>
      </c>
      <c r="C38" s="25" t="s">
        <v>233</v>
      </c>
      <c r="D38" s="25" t="s">
        <v>110</v>
      </c>
      <c r="E38" s="25" t="s">
        <v>234</v>
      </c>
      <c r="F38" s="25" t="s">
        <v>204</v>
      </c>
      <c r="G38" s="28">
        <v>13</v>
      </c>
      <c r="H38" s="28">
        <v>35910</v>
      </c>
      <c r="I38" s="115" t="s">
        <v>580</v>
      </c>
      <c r="J38" s="115" t="s">
        <v>583</v>
      </c>
      <c r="K38" s="115" t="s">
        <v>448</v>
      </c>
      <c r="L38" s="115" t="s">
        <v>506</v>
      </c>
      <c r="M38" s="115" t="s">
        <v>507</v>
      </c>
      <c r="N38" s="126" t="s">
        <v>494</v>
      </c>
      <c r="O38" s="28" t="s">
        <v>364</v>
      </c>
      <c r="P38" s="28" t="s">
        <v>271</v>
      </c>
      <c r="Q38" s="82" t="s">
        <v>290</v>
      </c>
      <c r="R38" s="105" t="s">
        <v>365</v>
      </c>
      <c r="S38" s="28">
        <v>8</v>
      </c>
      <c r="T38" s="28">
        <v>16</v>
      </c>
      <c r="U38" s="28" t="s">
        <v>110</v>
      </c>
      <c r="V38" s="115" t="s">
        <v>615</v>
      </c>
      <c r="W38" s="162">
        <v>1843</v>
      </c>
    </row>
    <row r="39" spans="1:23" s="44" customFormat="1" ht="195" x14ac:dyDescent="0.2">
      <c r="B39" s="142" t="s">
        <v>32</v>
      </c>
      <c r="C39" s="93" t="s">
        <v>235</v>
      </c>
      <c r="D39" s="93" t="s">
        <v>59</v>
      </c>
      <c r="E39" s="93" t="s">
        <v>219</v>
      </c>
      <c r="F39" s="93" t="s">
        <v>204</v>
      </c>
      <c r="G39" s="65">
        <v>11</v>
      </c>
      <c r="H39" s="65">
        <v>2190</v>
      </c>
      <c r="I39" s="114" t="s">
        <v>584</v>
      </c>
      <c r="J39" s="114" t="s">
        <v>585</v>
      </c>
      <c r="K39" s="114" t="s">
        <v>448</v>
      </c>
      <c r="L39" s="116">
        <v>0.49</v>
      </c>
      <c r="M39" s="114" t="s">
        <v>508</v>
      </c>
      <c r="N39" s="121" t="s">
        <v>494</v>
      </c>
      <c r="O39" s="104" t="s">
        <v>357</v>
      </c>
      <c r="P39" s="65" t="s">
        <v>366</v>
      </c>
      <c r="Q39" s="81" t="s">
        <v>358</v>
      </c>
      <c r="R39" s="104" t="s">
        <v>367</v>
      </c>
      <c r="S39" s="65" t="s">
        <v>368</v>
      </c>
      <c r="T39" s="65">
        <v>21</v>
      </c>
      <c r="U39" s="65" t="s">
        <v>59</v>
      </c>
      <c r="V39" s="114" t="s">
        <v>616</v>
      </c>
      <c r="W39" s="161">
        <v>304</v>
      </c>
    </row>
    <row r="40" spans="1:23" s="16" customFormat="1" ht="210" x14ac:dyDescent="0.2">
      <c r="B40" s="143" t="s">
        <v>33</v>
      </c>
      <c r="C40" s="25" t="s">
        <v>221</v>
      </c>
      <c r="D40" s="25" t="s">
        <v>106</v>
      </c>
      <c r="E40" s="25" t="s">
        <v>206</v>
      </c>
      <c r="F40" s="25" t="s">
        <v>207</v>
      </c>
      <c r="G40" s="28">
        <v>12</v>
      </c>
      <c r="H40" s="28">
        <v>42504</v>
      </c>
      <c r="I40" s="115" t="s">
        <v>581</v>
      </c>
      <c r="J40" s="115" t="s">
        <v>582</v>
      </c>
      <c r="K40" s="115" t="s">
        <v>448</v>
      </c>
      <c r="L40" s="132">
        <v>0</v>
      </c>
      <c r="M40" s="115" t="s">
        <v>509</v>
      </c>
      <c r="N40" s="126" t="s">
        <v>510</v>
      </c>
      <c r="O40" s="28" t="s">
        <v>369</v>
      </c>
      <c r="P40" s="28" t="s">
        <v>271</v>
      </c>
      <c r="Q40" s="82" t="s">
        <v>355</v>
      </c>
      <c r="R40" s="105" t="s">
        <v>370</v>
      </c>
      <c r="S40" s="28">
        <v>18</v>
      </c>
      <c r="T40" s="28">
        <v>19</v>
      </c>
      <c r="U40" s="28" t="s">
        <v>106</v>
      </c>
      <c r="V40" s="115" t="s">
        <v>617</v>
      </c>
      <c r="W40" s="162">
        <v>1321</v>
      </c>
    </row>
    <row r="41" spans="1:23" s="44" customFormat="1" ht="270" x14ac:dyDescent="0.2">
      <c r="B41" s="142" t="s">
        <v>34</v>
      </c>
      <c r="C41" s="93" t="s">
        <v>255</v>
      </c>
      <c r="D41" s="93" t="s">
        <v>168</v>
      </c>
      <c r="E41" s="93" t="s">
        <v>206</v>
      </c>
      <c r="F41" s="93" t="s">
        <v>207</v>
      </c>
      <c r="G41" s="65">
        <v>10</v>
      </c>
      <c r="H41" s="65">
        <f>80263+49238</f>
        <v>129501</v>
      </c>
      <c r="I41" s="114" t="s">
        <v>618</v>
      </c>
      <c r="J41" s="114" t="s">
        <v>586</v>
      </c>
      <c r="K41" s="114" t="s">
        <v>448</v>
      </c>
      <c r="L41" s="116">
        <v>0.62</v>
      </c>
      <c r="M41" s="114" t="s">
        <v>511</v>
      </c>
      <c r="N41" s="121" t="s">
        <v>512</v>
      </c>
      <c r="O41" s="65" t="s">
        <v>371</v>
      </c>
      <c r="P41" s="65" t="s">
        <v>271</v>
      </c>
      <c r="Q41" s="81" t="s">
        <v>290</v>
      </c>
      <c r="R41" s="104" t="s">
        <v>372</v>
      </c>
      <c r="S41" s="65" t="s">
        <v>60</v>
      </c>
      <c r="T41" s="65" t="s">
        <v>60</v>
      </c>
      <c r="U41" s="65" t="s">
        <v>168</v>
      </c>
      <c r="V41" s="114" t="s">
        <v>620</v>
      </c>
      <c r="W41" s="161">
        <v>2892</v>
      </c>
    </row>
    <row r="42" spans="1:23" s="16" customFormat="1" ht="150" x14ac:dyDescent="0.2">
      <c r="B42" s="143" t="s">
        <v>35</v>
      </c>
      <c r="C42" s="25" t="s">
        <v>236</v>
      </c>
      <c r="D42" s="25" t="s">
        <v>59</v>
      </c>
      <c r="E42" s="25" t="s">
        <v>234</v>
      </c>
      <c r="F42" s="25" t="s">
        <v>204</v>
      </c>
      <c r="G42" s="28">
        <v>5</v>
      </c>
      <c r="H42" s="28">
        <v>1980</v>
      </c>
      <c r="I42" s="115" t="s">
        <v>589</v>
      </c>
      <c r="J42" s="115" t="s">
        <v>588</v>
      </c>
      <c r="K42" s="115" t="s">
        <v>448</v>
      </c>
      <c r="L42" s="131">
        <v>0.505</v>
      </c>
      <c r="M42" s="115" t="s">
        <v>513</v>
      </c>
      <c r="N42" s="126" t="s">
        <v>514</v>
      </c>
      <c r="O42" s="28" t="s">
        <v>373</v>
      </c>
      <c r="P42" s="28" t="s">
        <v>374</v>
      </c>
      <c r="Q42" s="82" t="s">
        <v>359</v>
      </c>
      <c r="R42" s="105" t="s">
        <v>375</v>
      </c>
      <c r="S42" s="28">
        <v>7</v>
      </c>
      <c r="T42" s="28">
        <v>7</v>
      </c>
      <c r="U42" s="28" t="s">
        <v>59</v>
      </c>
      <c r="V42" s="115" t="s">
        <v>621</v>
      </c>
      <c r="W42" s="162" t="s">
        <v>60</v>
      </c>
    </row>
    <row r="43" spans="1:23" s="45" customFormat="1" ht="135.75" thickBot="1" x14ac:dyDescent="0.25">
      <c r="B43" s="144" t="s">
        <v>36</v>
      </c>
      <c r="C43" s="94" t="s">
        <v>229</v>
      </c>
      <c r="D43" s="94" t="s">
        <v>116</v>
      </c>
      <c r="E43" s="94" t="s">
        <v>206</v>
      </c>
      <c r="F43" s="94" t="s">
        <v>207</v>
      </c>
      <c r="G43" s="95">
        <v>8</v>
      </c>
      <c r="H43" s="95">
        <v>13110</v>
      </c>
      <c r="I43" s="117" t="s">
        <v>587</v>
      </c>
      <c r="J43" s="117" t="s">
        <v>590</v>
      </c>
      <c r="K43" s="117" t="s">
        <v>448</v>
      </c>
      <c r="L43" s="133">
        <v>1</v>
      </c>
      <c r="M43" s="117" t="s">
        <v>513</v>
      </c>
      <c r="N43" s="134" t="s">
        <v>513</v>
      </c>
      <c r="O43" s="95" t="s">
        <v>360</v>
      </c>
      <c r="P43" s="95" t="s">
        <v>271</v>
      </c>
      <c r="Q43" s="107" t="s">
        <v>290</v>
      </c>
      <c r="R43" s="106" t="s">
        <v>376</v>
      </c>
      <c r="S43" s="95" t="s">
        <v>60</v>
      </c>
      <c r="T43" s="95">
        <v>39</v>
      </c>
      <c r="U43" s="95" t="s">
        <v>116</v>
      </c>
      <c r="V43" s="117" t="s">
        <v>619</v>
      </c>
      <c r="W43" s="163">
        <v>758</v>
      </c>
    </row>
    <row r="44" spans="1:23" ht="15" customHeight="1" x14ac:dyDescent="0.25">
      <c r="A44" s="42"/>
      <c r="B44" s="41"/>
      <c r="C44" s="42"/>
      <c r="D44" s="42"/>
      <c r="E44" s="42"/>
      <c r="F44" s="111" t="s">
        <v>438</v>
      </c>
      <c r="G44" s="109">
        <f>AVERAGE(G3:G43)</f>
        <v>9.1804878048780516</v>
      </c>
      <c r="H44" s="110">
        <f>SUM(H3:H43)</f>
        <v>1054475</v>
      </c>
      <c r="I44" s="42"/>
      <c r="J44" s="112"/>
      <c r="K44" s="112"/>
      <c r="L44" s="42"/>
      <c r="M44" s="42"/>
      <c r="N44" s="42"/>
      <c r="O44" s="42"/>
      <c r="P44" s="42"/>
      <c r="Q44" s="42"/>
      <c r="R44" s="42"/>
      <c r="S44" s="42"/>
      <c r="T44" s="42"/>
      <c r="U44" s="42"/>
      <c r="V44" s="42"/>
      <c r="W44" s="96">
        <v>33220</v>
      </c>
    </row>
  </sheetData>
  <autoFilter ref="A2:W44" xr:uid="{A95E13DE-6726-42F7-94AC-F7F18F2D994C}">
    <sortState ref="A3:W44">
      <sortCondition ref="B2:B44"/>
    </sortState>
  </autoFilter>
  <mergeCells count="3">
    <mergeCell ref="C1:N1"/>
    <mergeCell ref="O1:T1"/>
    <mergeCell ref="U1:W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3"/>
  <sheetViews>
    <sheetView zoomScale="85" zoomScaleNormal="85" workbookViewId="0">
      <pane xSplit="1" ySplit="1" topLeftCell="C2" activePane="bottomRight" state="frozen"/>
      <selection pane="topRight" activeCell="B1" sqref="B1"/>
      <selection pane="bottomLeft" activeCell="A2" sqref="A2"/>
      <selection pane="bottomRight" activeCell="C2" sqref="C2"/>
    </sheetView>
  </sheetViews>
  <sheetFormatPr defaultColWidth="9.140625" defaultRowHeight="15" x14ac:dyDescent="0.25"/>
  <cols>
    <col min="1" max="1" width="24.85546875" style="7" customWidth="1"/>
    <col min="2" max="2" width="15.42578125" style="5" customWidth="1"/>
    <col min="3" max="3" width="15.140625" style="5" bestFit="1" customWidth="1"/>
    <col min="4" max="4" width="10.5703125" style="5" customWidth="1"/>
    <col min="5" max="5" width="23.140625" style="5" customWidth="1"/>
    <col min="6" max="6" width="29" style="5" customWidth="1"/>
    <col min="7" max="7" width="24.28515625" style="5" customWidth="1"/>
    <col min="8" max="8" width="9.140625" style="5"/>
    <col min="9" max="9" width="12.7109375" style="5" bestFit="1" customWidth="1"/>
    <col min="10" max="10" width="9.140625" style="5"/>
    <col min="11" max="11" width="9.140625" style="11"/>
    <col min="12" max="12" width="2.42578125" style="6" customWidth="1"/>
    <col min="13" max="13" width="40.28515625" style="6" customWidth="1"/>
    <col min="14" max="16384" width="9.140625" style="6"/>
  </cols>
  <sheetData>
    <row r="1" spans="1:13" s="10" customFormat="1" ht="89.25" customHeight="1" thickBot="1" x14ac:dyDescent="0.3">
      <c r="A1" s="12" t="s">
        <v>174</v>
      </c>
      <c r="B1" s="186" t="s">
        <v>175</v>
      </c>
      <c r="C1" s="186" t="s">
        <v>176</v>
      </c>
      <c r="D1" s="186" t="s">
        <v>177</v>
      </c>
      <c r="E1" s="186" t="s">
        <v>178</v>
      </c>
      <c r="F1" s="186" t="s">
        <v>622</v>
      </c>
      <c r="G1" s="186" t="s">
        <v>625</v>
      </c>
      <c r="H1" s="186" t="s">
        <v>180</v>
      </c>
      <c r="I1" s="186" t="s">
        <v>181</v>
      </c>
      <c r="J1" s="186" t="s">
        <v>182</v>
      </c>
      <c r="K1" s="187" t="s">
        <v>179</v>
      </c>
      <c r="L1" s="145" t="s">
        <v>623</v>
      </c>
      <c r="M1" s="10" t="s">
        <v>624</v>
      </c>
    </row>
    <row r="2" spans="1:13" x14ac:dyDescent="0.25">
      <c r="A2" s="8" t="s">
        <v>1</v>
      </c>
      <c r="B2" s="194">
        <v>1</v>
      </c>
      <c r="C2" s="193">
        <v>1</v>
      </c>
      <c r="D2" s="193">
        <v>1</v>
      </c>
      <c r="E2" s="193">
        <v>0</v>
      </c>
      <c r="F2" s="193">
        <v>1</v>
      </c>
      <c r="G2" s="193">
        <v>0</v>
      </c>
      <c r="H2" s="193">
        <v>1</v>
      </c>
      <c r="I2" s="193">
        <v>1</v>
      </c>
      <c r="J2" s="193">
        <v>0</v>
      </c>
      <c r="K2" s="194">
        <f t="shared" ref="K2:K42" si="0">SUM(B2:J2)</f>
        <v>6</v>
      </c>
      <c r="M2" s="195" t="s">
        <v>646</v>
      </c>
    </row>
    <row r="3" spans="1:13" x14ac:dyDescent="0.25">
      <c r="A3" s="188" t="s">
        <v>2</v>
      </c>
      <c r="B3" s="190">
        <v>1</v>
      </c>
      <c r="C3" s="189">
        <v>1</v>
      </c>
      <c r="D3" s="189">
        <v>0</v>
      </c>
      <c r="E3" s="189">
        <v>1</v>
      </c>
      <c r="F3" s="189">
        <v>1</v>
      </c>
      <c r="G3" s="189">
        <v>0</v>
      </c>
      <c r="H3" s="189">
        <v>1</v>
      </c>
      <c r="I3" s="189">
        <v>1</v>
      </c>
      <c r="J3" s="189">
        <v>0</v>
      </c>
      <c r="K3" s="190">
        <f t="shared" si="0"/>
        <v>6</v>
      </c>
      <c r="M3" s="146"/>
    </row>
    <row r="4" spans="1:13" x14ac:dyDescent="0.25">
      <c r="A4" s="9" t="s">
        <v>3</v>
      </c>
      <c r="B4" s="196">
        <v>0</v>
      </c>
      <c r="C4" s="180">
        <v>1</v>
      </c>
      <c r="D4" s="180">
        <v>0</v>
      </c>
      <c r="E4" s="180">
        <v>1</v>
      </c>
      <c r="F4" s="180">
        <v>1</v>
      </c>
      <c r="G4" s="180">
        <v>1</v>
      </c>
      <c r="H4" s="180">
        <v>1</v>
      </c>
      <c r="I4" s="180">
        <v>1</v>
      </c>
      <c r="J4" s="180">
        <v>1</v>
      </c>
      <c r="K4" s="179">
        <f t="shared" si="0"/>
        <v>7</v>
      </c>
    </row>
    <row r="5" spans="1:13" x14ac:dyDescent="0.25">
      <c r="A5" s="188" t="s">
        <v>4</v>
      </c>
      <c r="B5" s="197">
        <v>0</v>
      </c>
      <c r="C5" s="191">
        <v>1</v>
      </c>
      <c r="D5" s="191">
        <v>0</v>
      </c>
      <c r="E5" s="191">
        <v>1</v>
      </c>
      <c r="F5" s="191">
        <v>0</v>
      </c>
      <c r="G5" s="191">
        <v>0</v>
      </c>
      <c r="H5" s="191">
        <v>0</v>
      </c>
      <c r="I5" s="191">
        <v>1</v>
      </c>
      <c r="J5" s="191">
        <v>1</v>
      </c>
      <c r="K5" s="190">
        <f t="shared" si="0"/>
        <v>4</v>
      </c>
    </row>
    <row r="6" spans="1:13" x14ac:dyDescent="0.25">
      <c r="A6" s="9" t="s">
        <v>5</v>
      </c>
      <c r="B6" s="179">
        <v>0</v>
      </c>
      <c r="C6" s="178">
        <v>1</v>
      </c>
      <c r="D6" s="178">
        <v>0</v>
      </c>
      <c r="E6" s="178">
        <v>1</v>
      </c>
      <c r="F6" s="178">
        <v>1</v>
      </c>
      <c r="G6" s="178">
        <v>0</v>
      </c>
      <c r="H6" s="178">
        <v>1</v>
      </c>
      <c r="I6" s="178">
        <v>1</v>
      </c>
      <c r="J6" s="178">
        <v>0</v>
      </c>
      <c r="K6" s="179">
        <f t="shared" si="0"/>
        <v>5</v>
      </c>
    </row>
    <row r="7" spans="1:13" x14ac:dyDescent="0.25">
      <c r="A7" s="188" t="s">
        <v>6</v>
      </c>
      <c r="B7" s="190">
        <v>1</v>
      </c>
      <c r="C7" s="189">
        <v>1</v>
      </c>
      <c r="D7" s="189">
        <v>0</v>
      </c>
      <c r="E7" s="189">
        <v>1</v>
      </c>
      <c r="F7" s="189">
        <v>1</v>
      </c>
      <c r="G7" s="189">
        <v>0</v>
      </c>
      <c r="H7" s="189">
        <v>0</v>
      </c>
      <c r="I7" s="189">
        <v>0</v>
      </c>
      <c r="J7" s="189">
        <v>0</v>
      </c>
      <c r="K7" s="190">
        <f t="shared" si="0"/>
        <v>4</v>
      </c>
    </row>
    <row r="8" spans="1:13" x14ac:dyDescent="0.25">
      <c r="A8" s="9" t="s">
        <v>7</v>
      </c>
      <c r="B8" s="179">
        <v>0</v>
      </c>
      <c r="C8" s="178">
        <v>1</v>
      </c>
      <c r="D8" s="178">
        <v>0</v>
      </c>
      <c r="E8" s="178">
        <v>1</v>
      </c>
      <c r="F8" s="178">
        <v>0</v>
      </c>
      <c r="G8" s="178">
        <v>0</v>
      </c>
      <c r="H8" s="178">
        <v>1</v>
      </c>
      <c r="I8" s="178">
        <v>1</v>
      </c>
      <c r="J8" s="178">
        <v>1</v>
      </c>
      <c r="K8" s="179">
        <f t="shared" si="0"/>
        <v>5</v>
      </c>
    </row>
    <row r="9" spans="1:13" x14ac:dyDescent="0.25">
      <c r="A9" s="188" t="s">
        <v>8</v>
      </c>
      <c r="B9" s="190">
        <v>0</v>
      </c>
      <c r="C9" s="189">
        <v>1</v>
      </c>
      <c r="D9" s="189">
        <v>1</v>
      </c>
      <c r="E9" s="189">
        <v>1</v>
      </c>
      <c r="F9" s="189">
        <v>0</v>
      </c>
      <c r="G9" s="189">
        <v>0</v>
      </c>
      <c r="H9" s="189">
        <v>1</v>
      </c>
      <c r="I9" s="189">
        <v>1</v>
      </c>
      <c r="J9" s="189">
        <v>0</v>
      </c>
      <c r="K9" s="190">
        <f t="shared" si="0"/>
        <v>5</v>
      </c>
    </row>
    <row r="10" spans="1:13" x14ac:dyDescent="0.25">
      <c r="A10" s="9" t="s">
        <v>9</v>
      </c>
      <c r="B10" s="179">
        <v>0</v>
      </c>
      <c r="C10" s="178">
        <v>1</v>
      </c>
      <c r="D10" s="178">
        <v>0</v>
      </c>
      <c r="E10" s="178">
        <v>1</v>
      </c>
      <c r="F10" s="178">
        <v>1</v>
      </c>
      <c r="G10" s="178">
        <v>1</v>
      </c>
      <c r="H10" s="178">
        <v>0</v>
      </c>
      <c r="I10" s="178">
        <v>1</v>
      </c>
      <c r="J10" s="178">
        <v>1</v>
      </c>
      <c r="K10" s="179">
        <f t="shared" si="0"/>
        <v>6</v>
      </c>
    </row>
    <row r="11" spans="1:13" x14ac:dyDescent="0.25">
      <c r="A11" s="188" t="s">
        <v>10</v>
      </c>
      <c r="B11" s="190">
        <v>1</v>
      </c>
      <c r="C11" s="189">
        <v>1</v>
      </c>
      <c r="D11" s="189">
        <v>0</v>
      </c>
      <c r="E11" s="189">
        <v>1</v>
      </c>
      <c r="F11" s="189">
        <v>1</v>
      </c>
      <c r="G11" s="189">
        <v>0</v>
      </c>
      <c r="H11" s="189">
        <v>1</v>
      </c>
      <c r="I11" s="189">
        <v>1</v>
      </c>
      <c r="J11" s="189">
        <v>1</v>
      </c>
      <c r="K11" s="190">
        <f t="shared" si="0"/>
        <v>7</v>
      </c>
    </row>
    <row r="12" spans="1:13" x14ac:dyDescent="0.25">
      <c r="A12" s="9" t="s">
        <v>105</v>
      </c>
      <c r="B12" s="179">
        <v>0</v>
      </c>
      <c r="C12" s="178">
        <v>1</v>
      </c>
      <c r="D12" s="178">
        <v>0</v>
      </c>
      <c r="E12" s="178">
        <v>1</v>
      </c>
      <c r="F12" s="178">
        <v>0</v>
      </c>
      <c r="G12" s="178">
        <v>1</v>
      </c>
      <c r="H12" s="178">
        <v>0</v>
      </c>
      <c r="I12" s="178">
        <v>1</v>
      </c>
      <c r="J12" s="178">
        <v>1</v>
      </c>
      <c r="K12" s="179">
        <f t="shared" si="0"/>
        <v>5</v>
      </c>
    </row>
    <row r="13" spans="1:13" x14ac:dyDescent="0.25">
      <c r="A13" s="188" t="s">
        <v>108</v>
      </c>
      <c r="B13" s="190">
        <v>0</v>
      </c>
      <c r="C13" s="189">
        <v>1</v>
      </c>
      <c r="D13" s="189">
        <v>0</v>
      </c>
      <c r="E13" s="189">
        <v>1</v>
      </c>
      <c r="F13" s="189">
        <v>0</v>
      </c>
      <c r="G13" s="189">
        <v>0</v>
      </c>
      <c r="H13" s="189">
        <v>1</v>
      </c>
      <c r="I13" s="189">
        <v>1</v>
      </c>
      <c r="J13" s="189">
        <v>1</v>
      </c>
      <c r="K13" s="190">
        <f t="shared" si="0"/>
        <v>5</v>
      </c>
    </row>
    <row r="14" spans="1:13" x14ac:dyDescent="0.25">
      <c r="A14" s="9" t="s">
        <v>11</v>
      </c>
      <c r="B14" s="179">
        <v>0</v>
      </c>
      <c r="C14" s="178">
        <v>1</v>
      </c>
      <c r="D14" s="178">
        <v>1</v>
      </c>
      <c r="E14" s="178">
        <v>1</v>
      </c>
      <c r="F14" s="178">
        <v>1</v>
      </c>
      <c r="G14" s="178">
        <v>0</v>
      </c>
      <c r="H14" s="178">
        <v>1</v>
      </c>
      <c r="I14" s="178">
        <v>1</v>
      </c>
      <c r="J14" s="178">
        <v>1</v>
      </c>
      <c r="K14" s="179">
        <f t="shared" si="0"/>
        <v>7</v>
      </c>
    </row>
    <row r="15" spans="1:13" x14ac:dyDescent="0.25">
      <c r="A15" s="188" t="s">
        <v>12</v>
      </c>
      <c r="B15" s="190">
        <v>0</v>
      </c>
      <c r="C15" s="189">
        <v>1</v>
      </c>
      <c r="D15" s="189">
        <v>0</v>
      </c>
      <c r="E15" s="189">
        <v>1</v>
      </c>
      <c r="F15" s="189">
        <v>0</v>
      </c>
      <c r="G15" s="189">
        <v>0</v>
      </c>
      <c r="H15" s="189">
        <v>1</v>
      </c>
      <c r="I15" s="189">
        <v>1</v>
      </c>
      <c r="J15" s="189">
        <v>1</v>
      </c>
      <c r="K15" s="190">
        <f t="shared" si="0"/>
        <v>5</v>
      </c>
    </row>
    <row r="16" spans="1:13" x14ac:dyDescent="0.25">
      <c r="A16" s="9" t="s">
        <v>13</v>
      </c>
      <c r="B16" s="179">
        <v>1</v>
      </c>
      <c r="C16" s="178">
        <v>1</v>
      </c>
      <c r="D16" s="178">
        <v>1</v>
      </c>
      <c r="E16" s="178">
        <v>1</v>
      </c>
      <c r="F16" s="178">
        <v>0</v>
      </c>
      <c r="G16" s="178">
        <v>0</v>
      </c>
      <c r="H16" s="178">
        <v>1</v>
      </c>
      <c r="I16" s="178">
        <v>1</v>
      </c>
      <c r="J16" s="178">
        <v>1</v>
      </c>
      <c r="K16" s="179">
        <f t="shared" si="0"/>
        <v>7</v>
      </c>
    </row>
    <row r="17" spans="1:11" x14ac:dyDescent="0.25">
      <c r="A17" s="188" t="s">
        <v>14</v>
      </c>
      <c r="B17" s="190">
        <v>0</v>
      </c>
      <c r="C17" s="189">
        <v>1</v>
      </c>
      <c r="D17" s="189">
        <v>0</v>
      </c>
      <c r="E17" s="189">
        <v>1</v>
      </c>
      <c r="F17" s="189">
        <v>1</v>
      </c>
      <c r="G17" s="189">
        <v>1</v>
      </c>
      <c r="H17" s="189">
        <v>0</v>
      </c>
      <c r="I17" s="189">
        <v>1</v>
      </c>
      <c r="J17" s="189">
        <v>1</v>
      </c>
      <c r="K17" s="190">
        <f t="shared" si="0"/>
        <v>6</v>
      </c>
    </row>
    <row r="18" spans="1:11" x14ac:dyDescent="0.25">
      <c r="A18" s="9" t="s">
        <v>15</v>
      </c>
      <c r="B18" s="179">
        <v>0</v>
      </c>
      <c r="C18" s="178">
        <v>1</v>
      </c>
      <c r="D18" s="178">
        <v>0</v>
      </c>
      <c r="E18" s="178">
        <v>0</v>
      </c>
      <c r="F18" s="178">
        <v>1</v>
      </c>
      <c r="G18" s="178">
        <v>0</v>
      </c>
      <c r="H18" s="178">
        <v>1</v>
      </c>
      <c r="I18" s="178">
        <v>1</v>
      </c>
      <c r="J18" s="178">
        <v>1</v>
      </c>
      <c r="K18" s="179">
        <f t="shared" si="0"/>
        <v>5</v>
      </c>
    </row>
    <row r="19" spans="1:11" x14ac:dyDescent="0.25">
      <c r="A19" s="188" t="s">
        <v>17</v>
      </c>
      <c r="B19" s="198">
        <v>0</v>
      </c>
      <c r="C19" s="192">
        <v>1</v>
      </c>
      <c r="D19" s="192">
        <v>0</v>
      </c>
      <c r="E19" s="192">
        <v>1</v>
      </c>
      <c r="F19" s="192">
        <v>1</v>
      </c>
      <c r="G19" s="192">
        <v>0</v>
      </c>
      <c r="H19" s="192">
        <v>0</v>
      </c>
      <c r="I19" s="192">
        <v>1</v>
      </c>
      <c r="J19" s="192">
        <v>1</v>
      </c>
      <c r="K19" s="190">
        <f t="shared" si="0"/>
        <v>5</v>
      </c>
    </row>
    <row r="20" spans="1:11" x14ac:dyDescent="0.25">
      <c r="A20" s="9" t="s">
        <v>16</v>
      </c>
      <c r="B20" s="199">
        <v>0</v>
      </c>
      <c r="C20" s="181">
        <v>1</v>
      </c>
      <c r="D20" s="181">
        <v>0</v>
      </c>
      <c r="E20" s="181">
        <v>1</v>
      </c>
      <c r="F20" s="181">
        <v>1</v>
      </c>
      <c r="G20" s="181">
        <v>0</v>
      </c>
      <c r="H20" s="181">
        <v>1</v>
      </c>
      <c r="I20" s="181">
        <v>1</v>
      </c>
      <c r="J20" s="181">
        <v>0</v>
      </c>
      <c r="K20" s="179">
        <f t="shared" si="0"/>
        <v>5</v>
      </c>
    </row>
    <row r="21" spans="1:11" x14ac:dyDescent="0.25">
      <c r="A21" s="188" t="s">
        <v>18</v>
      </c>
      <c r="B21" s="190">
        <v>0</v>
      </c>
      <c r="C21" s="189">
        <v>1</v>
      </c>
      <c r="D21" s="189">
        <v>0</v>
      </c>
      <c r="E21" s="189">
        <v>1</v>
      </c>
      <c r="F21" s="189">
        <v>1</v>
      </c>
      <c r="G21" s="189">
        <v>0</v>
      </c>
      <c r="H21" s="189">
        <v>0</v>
      </c>
      <c r="I21" s="189">
        <v>1</v>
      </c>
      <c r="J21" s="189">
        <v>1</v>
      </c>
      <c r="K21" s="190">
        <f t="shared" si="0"/>
        <v>5</v>
      </c>
    </row>
    <row r="22" spans="1:11" x14ac:dyDescent="0.25">
      <c r="A22" s="9" t="s">
        <v>126</v>
      </c>
      <c r="B22" s="179">
        <v>0</v>
      </c>
      <c r="C22" s="178">
        <v>1</v>
      </c>
      <c r="D22" s="178">
        <v>0</v>
      </c>
      <c r="E22" s="178">
        <v>1</v>
      </c>
      <c r="F22" s="178">
        <v>1</v>
      </c>
      <c r="G22" s="178">
        <v>0</v>
      </c>
      <c r="H22" s="178">
        <v>0</v>
      </c>
      <c r="I22" s="178">
        <v>1</v>
      </c>
      <c r="J22" s="178">
        <v>1</v>
      </c>
      <c r="K22" s="179">
        <f t="shared" si="0"/>
        <v>5</v>
      </c>
    </row>
    <row r="23" spans="1:11" x14ac:dyDescent="0.25">
      <c r="A23" s="188" t="s">
        <v>19</v>
      </c>
      <c r="B23" s="190">
        <v>0</v>
      </c>
      <c r="C23" s="189">
        <v>1</v>
      </c>
      <c r="D23" s="189">
        <v>0</v>
      </c>
      <c r="E23" s="189">
        <v>0</v>
      </c>
      <c r="F23" s="189">
        <v>1</v>
      </c>
      <c r="G23" s="189">
        <v>0</v>
      </c>
      <c r="H23" s="189">
        <v>1</v>
      </c>
      <c r="I23" s="189">
        <v>1</v>
      </c>
      <c r="J23" s="189">
        <v>0</v>
      </c>
      <c r="K23" s="190">
        <f t="shared" si="0"/>
        <v>4</v>
      </c>
    </row>
    <row r="24" spans="1:11" x14ac:dyDescent="0.25">
      <c r="A24" s="9" t="s">
        <v>20</v>
      </c>
      <c r="B24" s="179">
        <v>1</v>
      </c>
      <c r="C24" s="178">
        <v>1</v>
      </c>
      <c r="D24" s="178">
        <v>0</v>
      </c>
      <c r="E24" s="178">
        <v>1</v>
      </c>
      <c r="F24" s="178">
        <v>1</v>
      </c>
      <c r="G24" s="178">
        <v>0</v>
      </c>
      <c r="H24" s="178">
        <v>1</v>
      </c>
      <c r="I24" s="178">
        <v>1</v>
      </c>
      <c r="J24" s="178">
        <v>0</v>
      </c>
      <c r="K24" s="179">
        <f t="shared" si="0"/>
        <v>6</v>
      </c>
    </row>
    <row r="25" spans="1:11" x14ac:dyDescent="0.25">
      <c r="A25" s="188" t="s">
        <v>21</v>
      </c>
      <c r="B25" s="190">
        <v>0</v>
      </c>
      <c r="C25" s="189">
        <v>1</v>
      </c>
      <c r="D25" s="189">
        <v>0</v>
      </c>
      <c r="E25" s="189">
        <v>1</v>
      </c>
      <c r="F25" s="189">
        <v>0</v>
      </c>
      <c r="G25" s="189">
        <v>0</v>
      </c>
      <c r="H25" s="189">
        <v>0</v>
      </c>
      <c r="I25" s="189">
        <v>1</v>
      </c>
      <c r="J25" s="189">
        <v>1</v>
      </c>
      <c r="K25" s="190">
        <f t="shared" si="0"/>
        <v>4</v>
      </c>
    </row>
    <row r="26" spans="1:11" x14ac:dyDescent="0.25">
      <c r="A26" s="9" t="s">
        <v>22</v>
      </c>
      <c r="B26" s="179">
        <v>0</v>
      </c>
      <c r="C26" s="178">
        <v>1</v>
      </c>
      <c r="D26" s="178">
        <v>0</v>
      </c>
      <c r="E26" s="178">
        <v>1</v>
      </c>
      <c r="F26" s="178">
        <v>1</v>
      </c>
      <c r="G26" s="178">
        <v>0</v>
      </c>
      <c r="H26" s="178">
        <v>1</v>
      </c>
      <c r="I26" s="178">
        <v>1</v>
      </c>
      <c r="J26" s="178">
        <v>1</v>
      </c>
      <c r="K26" s="179">
        <f t="shared" si="0"/>
        <v>6</v>
      </c>
    </row>
    <row r="27" spans="1:11" x14ac:dyDescent="0.25">
      <c r="A27" s="188" t="s">
        <v>644</v>
      </c>
      <c r="B27" s="190">
        <v>1</v>
      </c>
      <c r="C27" s="189">
        <v>1</v>
      </c>
      <c r="D27" s="189">
        <v>0</v>
      </c>
      <c r="E27" s="189">
        <v>1</v>
      </c>
      <c r="F27" s="189">
        <v>0</v>
      </c>
      <c r="G27" s="189">
        <v>0</v>
      </c>
      <c r="H27" s="189">
        <v>1</v>
      </c>
      <c r="I27" s="189">
        <v>1</v>
      </c>
      <c r="J27" s="189">
        <v>1</v>
      </c>
      <c r="K27" s="190">
        <f t="shared" si="0"/>
        <v>6</v>
      </c>
    </row>
    <row r="28" spans="1:11" x14ac:dyDescent="0.25">
      <c r="A28" s="9" t="s">
        <v>38</v>
      </c>
      <c r="B28" s="179">
        <v>1</v>
      </c>
      <c r="C28" s="178">
        <v>1</v>
      </c>
      <c r="D28" s="178">
        <v>0</v>
      </c>
      <c r="E28" s="178">
        <v>1</v>
      </c>
      <c r="F28" s="178">
        <v>0</v>
      </c>
      <c r="G28" s="178">
        <v>1</v>
      </c>
      <c r="H28" s="178">
        <v>1</v>
      </c>
      <c r="I28" s="178">
        <v>1</v>
      </c>
      <c r="J28" s="178">
        <v>1</v>
      </c>
      <c r="K28" s="179">
        <f t="shared" si="0"/>
        <v>7</v>
      </c>
    </row>
    <row r="29" spans="1:11" x14ac:dyDescent="0.25">
      <c r="A29" s="188" t="s">
        <v>24</v>
      </c>
      <c r="B29" s="190">
        <v>0</v>
      </c>
      <c r="C29" s="189">
        <v>1</v>
      </c>
      <c r="D29" s="189">
        <v>0</v>
      </c>
      <c r="E29" s="189">
        <v>1</v>
      </c>
      <c r="F29" s="189">
        <v>1</v>
      </c>
      <c r="G29" s="189">
        <v>0</v>
      </c>
      <c r="H29" s="189">
        <v>1</v>
      </c>
      <c r="I29" s="189">
        <v>0</v>
      </c>
      <c r="J29" s="189">
        <v>0</v>
      </c>
      <c r="K29" s="190">
        <f t="shared" si="0"/>
        <v>4</v>
      </c>
    </row>
    <row r="30" spans="1:11" x14ac:dyDescent="0.25">
      <c r="A30" s="9" t="s">
        <v>25</v>
      </c>
      <c r="B30" s="179">
        <v>0</v>
      </c>
      <c r="C30" s="178">
        <v>1</v>
      </c>
      <c r="D30" s="178">
        <v>0</v>
      </c>
      <c r="E30" s="178">
        <v>1</v>
      </c>
      <c r="F30" s="178">
        <v>1</v>
      </c>
      <c r="G30" s="178">
        <v>0</v>
      </c>
      <c r="H30" s="178">
        <v>0</v>
      </c>
      <c r="I30" s="178">
        <v>0</v>
      </c>
      <c r="J30" s="178">
        <v>1</v>
      </c>
      <c r="K30" s="179">
        <f t="shared" si="0"/>
        <v>4</v>
      </c>
    </row>
    <row r="31" spans="1:11" x14ac:dyDescent="0.25">
      <c r="A31" s="188" t="s">
        <v>26</v>
      </c>
      <c r="B31" s="190">
        <v>1</v>
      </c>
      <c r="C31" s="189">
        <v>1</v>
      </c>
      <c r="D31" s="189">
        <v>0</v>
      </c>
      <c r="E31" s="189">
        <v>1</v>
      </c>
      <c r="F31" s="189">
        <v>0</v>
      </c>
      <c r="G31" s="189">
        <v>0</v>
      </c>
      <c r="H31" s="189">
        <v>1</v>
      </c>
      <c r="I31" s="189">
        <v>1</v>
      </c>
      <c r="J31" s="189">
        <v>0</v>
      </c>
      <c r="K31" s="190">
        <f t="shared" si="0"/>
        <v>5</v>
      </c>
    </row>
    <row r="32" spans="1:11" x14ac:dyDescent="0.25">
      <c r="A32" s="9" t="s">
        <v>27</v>
      </c>
      <c r="B32" s="179">
        <v>1</v>
      </c>
      <c r="C32" s="178">
        <v>1</v>
      </c>
      <c r="D32" s="178">
        <v>0</v>
      </c>
      <c r="E32" s="178">
        <v>1</v>
      </c>
      <c r="F32" s="178">
        <v>0</v>
      </c>
      <c r="G32" s="178">
        <v>0</v>
      </c>
      <c r="H32" s="178">
        <v>0</v>
      </c>
      <c r="I32" s="178">
        <v>1</v>
      </c>
      <c r="J32" s="178">
        <v>1</v>
      </c>
      <c r="K32" s="179">
        <f t="shared" si="0"/>
        <v>5</v>
      </c>
    </row>
    <row r="33" spans="1:11" x14ac:dyDescent="0.25">
      <c r="A33" s="188" t="s">
        <v>28</v>
      </c>
      <c r="B33" s="190">
        <v>0</v>
      </c>
      <c r="C33" s="189">
        <v>1</v>
      </c>
      <c r="D33" s="189">
        <v>1</v>
      </c>
      <c r="E33" s="189">
        <v>1</v>
      </c>
      <c r="F33" s="189">
        <v>1</v>
      </c>
      <c r="G33" s="189">
        <v>1</v>
      </c>
      <c r="H33" s="189">
        <v>1</v>
      </c>
      <c r="I33" s="189">
        <v>1</v>
      </c>
      <c r="J33" s="189">
        <v>0</v>
      </c>
      <c r="K33" s="190">
        <f t="shared" si="0"/>
        <v>7</v>
      </c>
    </row>
    <row r="34" spans="1:11" x14ac:dyDescent="0.25">
      <c r="A34" s="9" t="s">
        <v>37</v>
      </c>
      <c r="B34" s="179">
        <v>0</v>
      </c>
      <c r="C34" s="178">
        <v>1</v>
      </c>
      <c r="D34" s="178">
        <v>0</v>
      </c>
      <c r="E34" s="178">
        <v>1</v>
      </c>
      <c r="F34" s="178">
        <v>0</v>
      </c>
      <c r="G34" s="178">
        <v>0</v>
      </c>
      <c r="H34" s="178">
        <v>0</v>
      </c>
      <c r="I34" s="178">
        <v>1</v>
      </c>
      <c r="J34" s="178">
        <v>0</v>
      </c>
      <c r="K34" s="179">
        <f t="shared" si="0"/>
        <v>3</v>
      </c>
    </row>
    <row r="35" spans="1:11" x14ac:dyDescent="0.25">
      <c r="A35" s="188" t="s">
        <v>29</v>
      </c>
      <c r="B35" s="190">
        <v>0</v>
      </c>
      <c r="C35" s="189">
        <v>1</v>
      </c>
      <c r="D35" s="189">
        <v>1</v>
      </c>
      <c r="E35" s="189">
        <v>1</v>
      </c>
      <c r="F35" s="189">
        <v>0</v>
      </c>
      <c r="G35" s="189">
        <v>0</v>
      </c>
      <c r="H35" s="189">
        <v>1</v>
      </c>
      <c r="I35" s="189">
        <v>1</v>
      </c>
      <c r="J35" s="189">
        <v>1</v>
      </c>
      <c r="K35" s="190">
        <f t="shared" si="0"/>
        <v>6</v>
      </c>
    </row>
    <row r="36" spans="1:11" x14ac:dyDescent="0.25">
      <c r="A36" s="9" t="s">
        <v>30</v>
      </c>
      <c r="B36" s="179">
        <v>0</v>
      </c>
      <c r="C36" s="178">
        <v>1</v>
      </c>
      <c r="D36" s="178">
        <v>0</v>
      </c>
      <c r="E36" s="178">
        <v>1</v>
      </c>
      <c r="F36" s="178">
        <v>1</v>
      </c>
      <c r="G36" s="178">
        <v>1</v>
      </c>
      <c r="H36" s="178">
        <v>0</v>
      </c>
      <c r="I36" s="178">
        <v>1</v>
      </c>
      <c r="J36" s="178">
        <v>0</v>
      </c>
      <c r="K36" s="179">
        <f t="shared" si="0"/>
        <v>5</v>
      </c>
    </row>
    <row r="37" spans="1:11" x14ac:dyDescent="0.25">
      <c r="A37" s="188" t="s">
        <v>31</v>
      </c>
      <c r="B37" s="190">
        <v>1</v>
      </c>
      <c r="C37" s="189">
        <v>1</v>
      </c>
      <c r="D37" s="189">
        <v>0</v>
      </c>
      <c r="E37" s="189">
        <v>1</v>
      </c>
      <c r="F37" s="189">
        <v>1</v>
      </c>
      <c r="G37" s="189">
        <v>1</v>
      </c>
      <c r="H37" s="189">
        <v>1</v>
      </c>
      <c r="I37" s="189">
        <v>1</v>
      </c>
      <c r="J37" s="189">
        <v>1</v>
      </c>
      <c r="K37" s="190">
        <f t="shared" si="0"/>
        <v>8</v>
      </c>
    </row>
    <row r="38" spans="1:11" x14ac:dyDescent="0.25">
      <c r="A38" s="9" t="s">
        <v>32</v>
      </c>
      <c r="B38" s="179">
        <v>0</v>
      </c>
      <c r="C38" s="178">
        <v>1</v>
      </c>
      <c r="D38" s="178">
        <v>0</v>
      </c>
      <c r="E38" s="178">
        <v>1</v>
      </c>
      <c r="F38" s="178">
        <v>1</v>
      </c>
      <c r="G38" s="178">
        <v>0</v>
      </c>
      <c r="H38" s="178">
        <v>1</v>
      </c>
      <c r="I38" s="178">
        <v>1</v>
      </c>
      <c r="J38" s="178">
        <v>0</v>
      </c>
      <c r="K38" s="179">
        <f t="shared" si="0"/>
        <v>5</v>
      </c>
    </row>
    <row r="39" spans="1:11" x14ac:dyDescent="0.25">
      <c r="A39" s="188" t="s">
        <v>33</v>
      </c>
      <c r="B39" s="190">
        <v>0</v>
      </c>
      <c r="C39" s="189">
        <v>1</v>
      </c>
      <c r="D39" s="189">
        <v>0</v>
      </c>
      <c r="E39" s="189">
        <v>1</v>
      </c>
      <c r="F39" s="189">
        <v>0</v>
      </c>
      <c r="G39" s="189">
        <v>1</v>
      </c>
      <c r="H39" s="189">
        <v>0</v>
      </c>
      <c r="I39" s="189">
        <v>1</v>
      </c>
      <c r="J39" s="189">
        <v>1</v>
      </c>
      <c r="K39" s="190">
        <f t="shared" si="0"/>
        <v>5</v>
      </c>
    </row>
    <row r="40" spans="1:11" x14ac:dyDescent="0.25">
      <c r="A40" s="9" t="s">
        <v>34</v>
      </c>
      <c r="B40" s="179">
        <v>0</v>
      </c>
      <c r="C40" s="178">
        <v>1</v>
      </c>
      <c r="D40" s="178">
        <v>0</v>
      </c>
      <c r="E40" s="178">
        <v>1</v>
      </c>
      <c r="F40" s="178">
        <v>1</v>
      </c>
      <c r="G40" s="178">
        <v>1</v>
      </c>
      <c r="H40" s="178">
        <v>1</v>
      </c>
      <c r="I40" s="178">
        <v>1</v>
      </c>
      <c r="J40" s="178">
        <v>1</v>
      </c>
      <c r="K40" s="179">
        <f t="shared" si="0"/>
        <v>7</v>
      </c>
    </row>
    <row r="41" spans="1:11" x14ac:dyDescent="0.25">
      <c r="A41" s="188" t="s">
        <v>35</v>
      </c>
      <c r="B41" s="190">
        <v>0</v>
      </c>
      <c r="C41" s="189">
        <v>1</v>
      </c>
      <c r="D41" s="189">
        <v>1</v>
      </c>
      <c r="E41" s="189">
        <v>1</v>
      </c>
      <c r="F41" s="189">
        <v>1</v>
      </c>
      <c r="G41" s="189">
        <v>1</v>
      </c>
      <c r="H41" s="189">
        <v>1</v>
      </c>
      <c r="I41" s="189">
        <v>1</v>
      </c>
      <c r="J41" s="189">
        <v>0</v>
      </c>
      <c r="K41" s="190">
        <f t="shared" si="0"/>
        <v>7</v>
      </c>
    </row>
    <row r="42" spans="1:11" ht="15.75" thickBot="1" x14ac:dyDescent="0.3">
      <c r="A42" s="177" t="s">
        <v>36</v>
      </c>
      <c r="B42" s="183">
        <v>0</v>
      </c>
      <c r="C42" s="182">
        <v>1</v>
      </c>
      <c r="D42" s="182">
        <v>0</v>
      </c>
      <c r="E42" s="182">
        <v>1</v>
      </c>
      <c r="F42" s="182">
        <v>0</v>
      </c>
      <c r="G42" s="182">
        <v>1</v>
      </c>
      <c r="H42" s="182">
        <v>0</v>
      </c>
      <c r="I42" s="182">
        <v>0</v>
      </c>
      <c r="J42" s="182">
        <v>0</v>
      </c>
      <c r="K42" s="183">
        <f t="shared" si="0"/>
        <v>3</v>
      </c>
    </row>
    <row r="43" spans="1:11" x14ac:dyDescent="0.25">
      <c r="B43" s="184">
        <f t="shared" ref="B43:J43" si="1">SUM(B2:B42)</f>
        <v>11</v>
      </c>
      <c r="C43" s="184">
        <f t="shared" si="1"/>
        <v>41</v>
      </c>
      <c r="D43" s="184">
        <f t="shared" si="1"/>
        <v>7</v>
      </c>
      <c r="E43" s="184">
        <f t="shared" si="1"/>
        <v>38</v>
      </c>
      <c r="F43" s="184">
        <f t="shared" si="1"/>
        <v>25</v>
      </c>
      <c r="G43" s="184">
        <f t="shared" si="1"/>
        <v>12</v>
      </c>
      <c r="H43" s="184">
        <f t="shared" si="1"/>
        <v>26</v>
      </c>
      <c r="I43" s="184">
        <f t="shared" si="1"/>
        <v>37</v>
      </c>
      <c r="J43" s="184">
        <f t="shared" si="1"/>
        <v>25</v>
      </c>
      <c r="K43" s="185">
        <f>AVERAGE(K8:K42)</f>
        <v>5.4285714285714288</v>
      </c>
    </row>
  </sheetData>
  <autoFilter ref="A1:M1" xr:uid="{5683558F-65FC-4FF7-AB6B-F794D35ECBC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6AA67-8978-482C-B22C-1C2A2FB4D94D}">
  <dimension ref="A1:O168"/>
  <sheetViews>
    <sheetView zoomScale="70" zoomScaleNormal="70" workbookViewId="0">
      <pane xSplit="1" ySplit="1" topLeftCell="B2" activePane="bottomRight" state="frozen"/>
      <selection pane="topRight" activeCell="B1" sqref="B1"/>
      <selection pane="bottomLeft" activeCell="A2" sqref="A2"/>
      <selection pane="bottomRight" activeCell="N32" sqref="N32"/>
    </sheetView>
  </sheetViews>
  <sheetFormatPr defaultRowHeight="15" x14ac:dyDescent="0.25"/>
  <cols>
    <col min="1" max="1" width="22.42578125" style="19" bestFit="1" customWidth="1"/>
    <col min="2" max="2" width="7.5703125" style="19" customWidth="1"/>
    <col min="3" max="3" width="14.5703125" style="19" customWidth="1"/>
    <col min="4" max="4" width="13.85546875" style="19" customWidth="1"/>
    <col min="5" max="7" width="9.140625" style="19" customWidth="1"/>
    <col min="8" max="8" width="13" style="19" customWidth="1"/>
    <col min="9" max="11" width="9.140625" style="19"/>
    <col min="12" max="12" width="13.28515625" style="19" customWidth="1"/>
    <col min="13" max="13" width="4.7109375" style="19" customWidth="1"/>
    <col min="14" max="14" width="255.7109375" style="19" bestFit="1" customWidth="1"/>
    <col min="15" max="16384" width="9.140625" style="19"/>
  </cols>
  <sheetData>
    <row r="1" spans="1:14" ht="19.5" thickBot="1" x14ac:dyDescent="0.3">
      <c r="A1" s="212" t="s">
        <v>46</v>
      </c>
      <c r="B1" s="212" t="s">
        <v>47</v>
      </c>
      <c r="C1" s="212" t="s">
        <v>48</v>
      </c>
      <c r="D1" s="212" t="s">
        <v>49</v>
      </c>
      <c r="E1" s="212" t="s">
        <v>50</v>
      </c>
      <c r="F1" s="212" t="s">
        <v>51</v>
      </c>
      <c r="G1" s="212" t="s">
        <v>45</v>
      </c>
      <c r="H1" s="212" t="s">
        <v>52</v>
      </c>
      <c r="I1" s="212" t="s">
        <v>53</v>
      </c>
      <c r="J1" s="212" t="s">
        <v>54</v>
      </c>
      <c r="K1" s="212" t="s">
        <v>55</v>
      </c>
      <c r="L1" s="213" t="s">
        <v>56</v>
      </c>
      <c r="M1" s="213" t="s">
        <v>57</v>
      </c>
      <c r="N1" s="212" t="s">
        <v>58</v>
      </c>
    </row>
    <row r="2" spans="1:14" s="29" customFormat="1" ht="16.5" thickBot="1" x14ac:dyDescent="0.3">
      <c r="A2" s="234" t="s">
        <v>0</v>
      </c>
      <c r="B2" s="234">
        <v>3</v>
      </c>
      <c r="C2" s="234" t="s">
        <v>59</v>
      </c>
      <c r="D2" s="234" t="s">
        <v>60</v>
      </c>
      <c r="E2" s="234" t="s">
        <v>60</v>
      </c>
      <c r="F2" s="234" t="s">
        <v>60</v>
      </c>
      <c r="G2" s="234">
        <v>2626</v>
      </c>
      <c r="H2" s="235" t="s">
        <v>627</v>
      </c>
      <c r="I2" s="234">
        <v>0.06</v>
      </c>
      <c r="J2" s="234">
        <v>0.03</v>
      </c>
      <c r="K2" s="234">
        <v>0.1</v>
      </c>
      <c r="L2" s="235" t="s">
        <v>190</v>
      </c>
      <c r="M2" s="234" t="s">
        <v>60</v>
      </c>
      <c r="N2" s="235" t="s">
        <v>652</v>
      </c>
    </row>
    <row r="3" spans="1:14" s="150" customFormat="1" ht="15.75" x14ac:dyDescent="0.25">
      <c r="A3" s="220" t="s">
        <v>66</v>
      </c>
      <c r="B3" s="220">
        <v>2</v>
      </c>
      <c r="C3" s="220" t="s">
        <v>67</v>
      </c>
      <c r="D3" s="220" t="s">
        <v>61</v>
      </c>
      <c r="E3" s="220">
        <v>12.5</v>
      </c>
      <c r="F3" s="220">
        <v>112</v>
      </c>
      <c r="G3" s="220">
        <f xml:space="preserve"> F3*1000/14.5</f>
        <v>7724.1379310344828</v>
      </c>
      <c r="H3" s="236" t="s">
        <v>628</v>
      </c>
      <c r="I3" s="220">
        <v>1</v>
      </c>
      <c r="J3" s="220" t="s">
        <v>60</v>
      </c>
      <c r="K3" s="220" t="s">
        <v>60</v>
      </c>
      <c r="L3" s="220" t="s">
        <v>71</v>
      </c>
      <c r="M3" s="220">
        <v>1</v>
      </c>
      <c r="N3" s="200" t="s">
        <v>633</v>
      </c>
    </row>
    <row r="4" spans="1:14" s="151" customFormat="1" ht="15.75" x14ac:dyDescent="0.25">
      <c r="A4" s="158" t="s">
        <v>66</v>
      </c>
      <c r="B4" s="158">
        <v>2</v>
      </c>
      <c r="C4" s="158" t="s">
        <v>67</v>
      </c>
      <c r="D4" s="158" t="s">
        <v>63</v>
      </c>
      <c r="E4" s="158">
        <v>37.5</v>
      </c>
      <c r="F4" s="158">
        <v>139</v>
      </c>
      <c r="G4" s="158">
        <f>F4*1000/18.34</f>
        <v>7579.0621592148309</v>
      </c>
      <c r="H4" s="222" t="s">
        <v>628</v>
      </c>
      <c r="I4" s="158">
        <v>1.26</v>
      </c>
      <c r="J4" s="158">
        <v>0.97</v>
      </c>
      <c r="K4" s="158">
        <v>1.65</v>
      </c>
      <c r="L4" s="158" t="s">
        <v>71</v>
      </c>
      <c r="M4" s="158">
        <v>1</v>
      </c>
      <c r="N4" s="222" t="s">
        <v>68</v>
      </c>
    </row>
    <row r="5" spans="1:14" s="151" customFormat="1" ht="15.75" x14ac:dyDescent="0.25">
      <c r="A5" s="158" t="s">
        <v>66</v>
      </c>
      <c r="B5" s="158">
        <v>2</v>
      </c>
      <c r="C5" s="158" t="s">
        <v>67</v>
      </c>
      <c r="D5" s="158" t="s">
        <v>64</v>
      </c>
      <c r="E5" s="158">
        <v>62.5</v>
      </c>
      <c r="F5" s="158">
        <v>139</v>
      </c>
      <c r="G5" s="158">
        <f>F5*1000/18</f>
        <v>7722.2222222222226</v>
      </c>
      <c r="H5" s="222" t="s">
        <v>628</v>
      </c>
      <c r="I5" s="158">
        <v>1.1000000000000001</v>
      </c>
      <c r="J5" s="158">
        <v>0.83</v>
      </c>
      <c r="K5" s="158">
        <v>1.46</v>
      </c>
      <c r="L5" s="158" t="s">
        <v>71</v>
      </c>
      <c r="M5" s="158">
        <v>1</v>
      </c>
      <c r="N5" s="222" t="s">
        <v>69</v>
      </c>
    </row>
    <row r="6" spans="1:14" s="152" customFormat="1" ht="16.5" thickBot="1" x14ac:dyDescent="0.3">
      <c r="A6" s="223" t="s">
        <v>66</v>
      </c>
      <c r="B6" s="223">
        <v>2</v>
      </c>
      <c r="C6" s="223" t="s">
        <v>67</v>
      </c>
      <c r="D6" s="223" t="s">
        <v>65</v>
      </c>
      <c r="E6" s="223">
        <v>87.5</v>
      </c>
      <c r="F6" s="223">
        <v>179</v>
      </c>
      <c r="G6" s="223">
        <f>F6*1000/24.04</f>
        <v>7445.9234608985025</v>
      </c>
      <c r="H6" s="224" t="s">
        <v>628</v>
      </c>
      <c r="I6" s="223">
        <v>1.33</v>
      </c>
      <c r="J6" s="223">
        <v>0.98</v>
      </c>
      <c r="K6" s="223">
        <v>1.81</v>
      </c>
      <c r="L6" s="223" t="s">
        <v>71</v>
      </c>
      <c r="M6" s="223">
        <v>1</v>
      </c>
      <c r="N6" s="224" t="s">
        <v>634</v>
      </c>
    </row>
    <row r="7" spans="1:14" s="31" customFormat="1" ht="15" customHeight="1" x14ac:dyDescent="0.25">
      <c r="A7" s="214" t="s">
        <v>3</v>
      </c>
      <c r="B7" s="214">
        <v>2</v>
      </c>
      <c r="C7" s="214" t="s">
        <v>70</v>
      </c>
      <c r="D7" s="214" t="s">
        <v>61</v>
      </c>
      <c r="E7" s="214">
        <v>12.5</v>
      </c>
      <c r="F7" s="214" t="s">
        <v>62</v>
      </c>
      <c r="G7" s="214" t="s">
        <v>62</v>
      </c>
      <c r="H7" s="215" t="s">
        <v>60</v>
      </c>
      <c r="I7" s="214">
        <v>1</v>
      </c>
      <c r="J7" s="214" t="s">
        <v>60</v>
      </c>
      <c r="K7" s="214" t="s">
        <v>60</v>
      </c>
      <c r="L7" s="214" t="s">
        <v>71</v>
      </c>
      <c r="M7" s="214">
        <v>2</v>
      </c>
      <c r="N7" s="237" t="s">
        <v>635</v>
      </c>
    </row>
    <row r="8" spans="1:14" s="32" customFormat="1" ht="15.75" x14ac:dyDescent="0.25">
      <c r="A8" s="203" t="s">
        <v>3</v>
      </c>
      <c r="B8" s="203">
        <v>2</v>
      </c>
      <c r="C8" s="203" t="s">
        <v>70</v>
      </c>
      <c r="D8" s="203" t="s">
        <v>63</v>
      </c>
      <c r="E8" s="203">
        <v>37.5</v>
      </c>
      <c r="F8" s="203" t="s">
        <v>62</v>
      </c>
      <c r="G8" s="203" t="s">
        <v>62</v>
      </c>
      <c r="H8" s="216" t="s">
        <v>60</v>
      </c>
      <c r="I8" s="203">
        <v>1.03</v>
      </c>
      <c r="J8" s="203">
        <v>0.79</v>
      </c>
      <c r="K8" s="203">
        <v>1.33</v>
      </c>
      <c r="L8" s="203" t="s">
        <v>71</v>
      </c>
      <c r="M8" s="203">
        <v>2</v>
      </c>
      <c r="N8" s="216" t="s">
        <v>72</v>
      </c>
    </row>
    <row r="9" spans="1:14" s="32" customFormat="1" ht="15.75" x14ac:dyDescent="0.25">
      <c r="A9" s="203" t="s">
        <v>3</v>
      </c>
      <c r="B9" s="203">
        <v>2</v>
      </c>
      <c r="C9" s="203" t="s">
        <v>70</v>
      </c>
      <c r="D9" s="203" t="s">
        <v>64</v>
      </c>
      <c r="E9" s="203">
        <v>62.5</v>
      </c>
      <c r="F9" s="203" t="s">
        <v>62</v>
      </c>
      <c r="G9" s="203" t="s">
        <v>62</v>
      </c>
      <c r="H9" s="216" t="s">
        <v>60</v>
      </c>
      <c r="I9" s="203">
        <v>1.05</v>
      </c>
      <c r="J9" s="203">
        <v>0.81</v>
      </c>
      <c r="K9" s="203">
        <v>1.38</v>
      </c>
      <c r="L9" s="203" t="s">
        <v>71</v>
      </c>
      <c r="M9" s="203">
        <v>2</v>
      </c>
      <c r="N9" s="216" t="s">
        <v>636</v>
      </c>
    </row>
    <row r="10" spans="1:14" s="30" customFormat="1" ht="16.5" thickBot="1" x14ac:dyDescent="0.3">
      <c r="A10" s="204" t="s">
        <v>3</v>
      </c>
      <c r="B10" s="204">
        <v>2</v>
      </c>
      <c r="C10" s="204" t="s">
        <v>70</v>
      </c>
      <c r="D10" s="204" t="s">
        <v>65</v>
      </c>
      <c r="E10" s="204">
        <v>87.5</v>
      </c>
      <c r="F10" s="204" t="s">
        <v>62</v>
      </c>
      <c r="G10" s="204" t="s">
        <v>62</v>
      </c>
      <c r="H10" s="217" t="s">
        <v>60</v>
      </c>
      <c r="I10" s="204">
        <v>1.1499999999999999</v>
      </c>
      <c r="J10" s="204">
        <v>0.87</v>
      </c>
      <c r="K10" s="204">
        <v>1.53</v>
      </c>
      <c r="L10" s="204" t="s">
        <v>71</v>
      </c>
      <c r="M10" s="204">
        <v>2</v>
      </c>
      <c r="N10" s="217"/>
    </row>
    <row r="11" spans="1:14" s="153" customFormat="1" ht="15.75" x14ac:dyDescent="0.25">
      <c r="A11" s="225" t="s">
        <v>4</v>
      </c>
      <c r="B11" s="225">
        <v>3</v>
      </c>
      <c r="C11" s="225" t="s">
        <v>59</v>
      </c>
      <c r="D11" s="225" t="s">
        <v>73</v>
      </c>
      <c r="E11" s="225">
        <v>10</v>
      </c>
      <c r="F11" s="225">
        <f>0.47*G11</f>
        <v>675.86</v>
      </c>
      <c r="G11" s="225">
        <v>1438</v>
      </c>
      <c r="H11" s="221" t="s">
        <v>627</v>
      </c>
      <c r="I11" s="225">
        <v>1</v>
      </c>
      <c r="J11" s="225" t="s">
        <v>60</v>
      </c>
      <c r="K11" s="225" t="s">
        <v>60</v>
      </c>
      <c r="L11" s="225" t="s">
        <v>74</v>
      </c>
      <c r="M11" s="225">
        <v>1</v>
      </c>
      <c r="N11" s="221" t="s">
        <v>75</v>
      </c>
    </row>
    <row r="12" spans="1:14" s="153" customFormat="1" ht="15.75" x14ac:dyDescent="0.25">
      <c r="A12" s="158" t="s">
        <v>4</v>
      </c>
      <c r="B12" s="158">
        <v>3</v>
      </c>
      <c r="C12" s="158" t="s">
        <v>59</v>
      </c>
      <c r="D12" s="158" t="s">
        <v>76</v>
      </c>
      <c r="E12" s="158">
        <v>30</v>
      </c>
      <c r="F12" s="158">
        <f>0.49*G12</f>
        <v>705.11</v>
      </c>
      <c r="G12" s="158">
        <v>1439</v>
      </c>
      <c r="H12" s="222" t="s">
        <v>627</v>
      </c>
      <c r="I12" s="158">
        <v>1.1299999999999999</v>
      </c>
      <c r="J12" s="158">
        <v>0.97</v>
      </c>
      <c r="K12" s="158">
        <v>1.32</v>
      </c>
      <c r="L12" s="158" t="s">
        <v>74</v>
      </c>
      <c r="M12" s="158">
        <v>1</v>
      </c>
      <c r="N12" s="222" t="s">
        <v>191</v>
      </c>
    </row>
    <row r="13" spans="1:14" s="153" customFormat="1" ht="15.75" x14ac:dyDescent="0.25">
      <c r="A13" s="158" t="s">
        <v>4</v>
      </c>
      <c r="B13" s="158">
        <v>3</v>
      </c>
      <c r="C13" s="158" t="s">
        <v>59</v>
      </c>
      <c r="D13" s="158" t="s">
        <v>77</v>
      </c>
      <c r="E13" s="158">
        <v>50</v>
      </c>
      <c r="F13" s="158">
        <f>0.51*G13</f>
        <v>733.89</v>
      </c>
      <c r="G13" s="158">
        <v>1439</v>
      </c>
      <c r="H13" s="222" t="s">
        <v>627</v>
      </c>
      <c r="I13" s="158">
        <v>1.19</v>
      </c>
      <c r="J13" s="158">
        <v>1.02</v>
      </c>
      <c r="K13" s="158">
        <v>1.39</v>
      </c>
      <c r="L13" s="158" t="s">
        <v>74</v>
      </c>
      <c r="M13" s="158">
        <v>1</v>
      </c>
      <c r="N13" s="222"/>
    </row>
    <row r="14" spans="1:14" s="153" customFormat="1" ht="15.75" x14ac:dyDescent="0.25">
      <c r="A14" s="158" t="s">
        <v>4</v>
      </c>
      <c r="B14" s="158">
        <v>3</v>
      </c>
      <c r="C14" s="158" t="s">
        <v>59</v>
      </c>
      <c r="D14" s="158" t="s">
        <v>78</v>
      </c>
      <c r="E14" s="158">
        <v>70</v>
      </c>
      <c r="F14" s="158">
        <f>0.5*G14</f>
        <v>719.5</v>
      </c>
      <c r="G14" s="158">
        <v>1439</v>
      </c>
      <c r="H14" s="222" t="s">
        <v>627</v>
      </c>
      <c r="I14" s="158">
        <v>1.17</v>
      </c>
      <c r="J14" s="158">
        <v>1</v>
      </c>
      <c r="K14" s="158">
        <v>1.37</v>
      </c>
      <c r="L14" s="158" t="s">
        <v>74</v>
      </c>
      <c r="M14" s="158">
        <v>1</v>
      </c>
      <c r="N14" s="222"/>
    </row>
    <row r="15" spans="1:14" s="152" customFormat="1" ht="16.5" thickBot="1" x14ac:dyDescent="0.3">
      <c r="A15" s="223" t="s">
        <v>4</v>
      </c>
      <c r="B15" s="223">
        <v>3</v>
      </c>
      <c r="C15" s="223" t="s">
        <v>59</v>
      </c>
      <c r="D15" s="223" t="s">
        <v>79</v>
      </c>
      <c r="E15" s="223">
        <v>90</v>
      </c>
      <c r="F15" s="223">
        <f>0.52*G15</f>
        <v>748.28</v>
      </c>
      <c r="G15" s="223">
        <v>1439</v>
      </c>
      <c r="H15" s="224" t="s">
        <v>627</v>
      </c>
      <c r="I15" s="223">
        <v>1.21</v>
      </c>
      <c r="J15" s="223">
        <v>1.03</v>
      </c>
      <c r="K15" s="223">
        <v>1.42</v>
      </c>
      <c r="L15" s="223" t="s">
        <v>74</v>
      </c>
      <c r="M15" s="223">
        <v>1</v>
      </c>
      <c r="N15" s="224"/>
    </row>
    <row r="16" spans="1:14" s="13" customFormat="1" ht="15.75" x14ac:dyDescent="0.25">
      <c r="A16" s="202" t="s">
        <v>80</v>
      </c>
      <c r="B16" s="202">
        <v>2</v>
      </c>
      <c r="C16" s="202" t="s">
        <v>81</v>
      </c>
      <c r="D16" s="202" t="s">
        <v>61</v>
      </c>
      <c r="E16" s="202">
        <v>12.5</v>
      </c>
      <c r="F16" s="202">
        <v>31</v>
      </c>
      <c r="G16" s="202">
        <v>1828.1</v>
      </c>
      <c r="H16" s="218" t="s">
        <v>629</v>
      </c>
      <c r="I16" s="202">
        <v>1</v>
      </c>
      <c r="J16" s="202" t="s">
        <v>60</v>
      </c>
      <c r="K16" s="202" t="s">
        <v>60</v>
      </c>
      <c r="L16" s="202" t="s">
        <v>71</v>
      </c>
      <c r="M16" s="202">
        <v>1</v>
      </c>
      <c r="N16" s="218" t="s">
        <v>82</v>
      </c>
    </row>
    <row r="17" spans="1:14" s="13" customFormat="1" ht="15.75" x14ac:dyDescent="0.25">
      <c r="A17" s="203" t="s">
        <v>80</v>
      </c>
      <c r="B17" s="203">
        <v>2</v>
      </c>
      <c r="C17" s="203" t="s">
        <v>81</v>
      </c>
      <c r="D17" s="203" t="s">
        <v>63</v>
      </c>
      <c r="E17" s="203">
        <v>37.5</v>
      </c>
      <c r="F17" s="203">
        <v>25</v>
      </c>
      <c r="G17" s="203">
        <v>1857.4</v>
      </c>
      <c r="H17" s="216" t="s">
        <v>629</v>
      </c>
      <c r="I17" s="203">
        <v>0.87</v>
      </c>
      <c r="J17" s="203">
        <v>0.51</v>
      </c>
      <c r="K17" s="203">
        <v>1.49</v>
      </c>
      <c r="L17" s="203" t="s">
        <v>71</v>
      </c>
      <c r="M17" s="203">
        <v>1</v>
      </c>
      <c r="N17" s="216"/>
    </row>
    <row r="18" spans="1:14" s="13" customFormat="1" ht="15.75" x14ac:dyDescent="0.25">
      <c r="A18" s="203" t="s">
        <v>80</v>
      </c>
      <c r="B18" s="203">
        <v>2</v>
      </c>
      <c r="C18" s="203" t="s">
        <v>81</v>
      </c>
      <c r="D18" s="203" t="s">
        <v>64</v>
      </c>
      <c r="E18" s="203">
        <v>62.5</v>
      </c>
      <c r="F18" s="203">
        <v>24</v>
      </c>
      <c r="G18" s="203">
        <v>1888.8</v>
      </c>
      <c r="H18" s="216" t="s">
        <v>629</v>
      </c>
      <c r="I18" s="203">
        <v>0.84</v>
      </c>
      <c r="J18" s="203">
        <v>0.48</v>
      </c>
      <c r="K18" s="203">
        <v>1.48</v>
      </c>
      <c r="L18" s="203" t="s">
        <v>71</v>
      </c>
      <c r="M18" s="203">
        <v>1</v>
      </c>
      <c r="N18" s="216"/>
    </row>
    <row r="19" spans="1:14" s="13" customFormat="1" ht="15.75" x14ac:dyDescent="0.25">
      <c r="A19" s="203" t="s">
        <v>80</v>
      </c>
      <c r="B19" s="203">
        <v>2</v>
      </c>
      <c r="C19" s="203" t="s">
        <v>81</v>
      </c>
      <c r="D19" s="203" t="s">
        <v>65</v>
      </c>
      <c r="E19" s="203">
        <v>87.5</v>
      </c>
      <c r="F19" s="203">
        <v>16</v>
      </c>
      <c r="G19" s="203">
        <v>1948.2</v>
      </c>
      <c r="H19" s="216" t="s">
        <v>629</v>
      </c>
      <c r="I19" s="203">
        <v>0.6</v>
      </c>
      <c r="J19" s="203">
        <v>0.32</v>
      </c>
      <c r="K19" s="203">
        <v>1.1299999999999999</v>
      </c>
      <c r="L19" s="203" t="s">
        <v>71</v>
      </c>
      <c r="M19" s="203">
        <v>1</v>
      </c>
      <c r="N19" s="216"/>
    </row>
    <row r="20" spans="1:14" s="13" customFormat="1" ht="15.75" x14ac:dyDescent="0.25">
      <c r="A20" s="203" t="s">
        <v>83</v>
      </c>
      <c r="B20" s="203">
        <v>2</v>
      </c>
      <c r="C20" s="203" t="s">
        <v>81</v>
      </c>
      <c r="D20" s="203" t="s">
        <v>61</v>
      </c>
      <c r="E20" s="203">
        <v>12.5</v>
      </c>
      <c r="F20" s="203">
        <v>18</v>
      </c>
      <c r="G20" s="203">
        <v>1811</v>
      </c>
      <c r="H20" s="216" t="s">
        <v>629</v>
      </c>
      <c r="I20" s="203">
        <v>1</v>
      </c>
      <c r="J20" s="203" t="s">
        <v>60</v>
      </c>
      <c r="K20" s="203" t="s">
        <v>60</v>
      </c>
      <c r="L20" s="203" t="s">
        <v>71</v>
      </c>
      <c r="M20" s="203">
        <v>1</v>
      </c>
      <c r="N20" s="216"/>
    </row>
    <row r="21" spans="1:14" s="13" customFormat="1" ht="15.75" x14ac:dyDescent="0.25">
      <c r="A21" s="203" t="s">
        <v>83</v>
      </c>
      <c r="B21" s="203">
        <v>2</v>
      </c>
      <c r="C21" s="203" t="s">
        <v>81</v>
      </c>
      <c r="D21" s="203" t="s">
        <v>63</v>
      </c>
      <c r="E21" s="203">
        <v>37.5</v>
      </c>
      <c r="F21" s="203">
        <v>15</v>
      </c>
      <c r="G21" s="203">
        <v>1828.9</v>
      </c>
      <c r="H21" s="216" t="s">
        <v>629</v>
      </c>
      <c r="I21" s="203">
        <v>0.63</v>
      </c>
      <c r="J21" s="203">
        <v>0.3</v>
      </c>
      <c r="K21" s="203">
        <v>1.33</v>
      </c>
      <c r="L21" s="203" t="s">
        <v>71</v>
      </c>
      <c r="M21" s="203">
        <v>1</v>
      </c>
      <c r="N21" s="216"/>
    </row>
    <row r="22" spans="1:14" s="13" customFormat="1" ht="15.75" x14ac:dyDescent="0.25">
      <c r="A22" s="203" t="s">
        <v>83</v>
      </c>
      <c r="B22" s="203">
        <v>2</v>
      </c>
      <c r="C22" s="203" t="s">
        <v>81</v>
      </c>
      <c r="D22" s="203" t="s">
        <v>64</v>
      </c>
      <c r="E22" s="203">
        <v>62.5</v>
      </c>
      <c r="F22" s="203">
        <v>14</v>
      </c>
      <c r="G22" s="203">
        <v>1828.8</v>
      </c>
      <c r="H22" s="216" t="s">
        <v>629</v>
      </c>
      <c r="I22" s="203">
        <v>0.63</v>
      </c>
      <c r="J22" s="203">
        <v>0.28999999999999998</v>
      </c>
      <c r="K22" s="203">
        <v>1.37</v>
      </c>
      <c r="L22" s="203" t="s">
        <v>71</v>
      </c>
      <c r="M22" s="203">
        <v>1</v>
      </c>
      <c r="N22" s="216"/>
    </row>
    <row r="23" spans="1:14" s="13" customFormat="1" ht="16.5" thickBot="1" x14ac:dyDescent="0.3">
      <c r="A23" s="205" t="s">
        <v>83</v>
      </c>
      <c r="B23" s="205">
        <v>2</v>
      </c>
      <c r="C23" s="205" t="s">
        <v>81</v>
      </c>
      <c r="D23" s="205" t="s">
        <v>65</v>
      </c>
      <c r="E23" s="205">
        <v>87.5</v>
      </c>
      <c r="F23" s="205">
        <v>13</v>
      </c>
      <c r="G23" s="205">
        <v>1836</v>
      </c>
      <c r="H23" s="219" t="s">
        <v>629</v>
      </c>
      <c r="I23" s="205">
        <v>0.79</v>
      </c>
      <c r="J23" s="205">
        <v>0.36</v>
      </c>
      <c r="K23" s="205">
        <v>1.72</v>
      </c>
      <c r="L23" s="205" t="s">
        <v>71</v>
      </c>
      <c r="M23" s="205">
        <v>1</v>
      </c>
      <c r="N23" s="219"/>
    </row>
    <row r="24" spans="1:14" s="150" customFormat="1" ht="15.75" x14ac:dyDescent="0.25">
      <c r="A24" s="220" t="s">
        <v>84</v>
      </c>
      <c r="B24" s="220">
        <v>3</v>
      </c>
      <c r="C24" s="220" t="s">
        <v>59</v>
      </c>
      <c r="D24" s="220" t="s">
        <v>60</v>
      </c>
      <c r="E24" s="220" t="s">
        <v>60</v>
      </c>
      <c r="F24" s="220" t="s">
        <v>60</v>
      </c>
      <c r="G24" s="220" t="s">
        <v>60</v>
      </c>
      <c r="H24" s="200" t="s">
        <v>60</v>
      </c>
      <c r="I24" s="220">
        <v>0.97</v>
      </c>
      <c r="J24" s="220">
        <v>0.83</v>
      </c>
      <c r="K24" s="220">
        <v>1.1399999999999999</v>
      </c>
      <c r="L24" s="220" t="s">
        <v>74</v>
      </c>
      <c r="M24" s="220" t="s">
        <v>60</v>
      </c>
      <c r="N24" s="200" t="s">
        <v>85</v>
      </c>
    </row>
    <row r="25" spans="1:14" s="151" customFormat="1" ht="15.75" x14ac:dyDescent="0.25">
      <c r="A25" s="158" t="s">
        <v>86</v>
      </c>
      <c r="B25" s="158">
        <v>3</v>
      </c>
      <c r="C25" s="158" t="s">
        <v>59</v>
      </c>
      <c r="D25" s="158" t="s">
        <v>60</v>
      </c>
      <c r="E25" s="158" t="s">
        <v>60</v>
      </c>
      <c r="F25" s="158" t="s">
        <v>60</v>
      </c>
      <c r="G25" s="158" t="s">
        <v>60</v>
      </c>
      <c r="H25" s="222" t="s">
        <v>60</v>
      </c>
      <c r="I25" s="158">
        <v>0.86</v>
      </c>
      <c r="J25" s="158">
        <v>0.72</v>
      </c>
      <c r="K25" s="158">
        <v>1.03</v>
      </c>
      <c r="L25" s="158" t="s">
        <v>74</v>
      </c>
      <c r="M25" s="158" t="s">
        <v>60</v>
      </c>
      <c r="N25" s="222" t="s">
        <v>87</v>
      </c>
    </row>
    <row r="26" spans="1:14" s="151" customFormat="1" ht="15.75" x14ac:dyDescent="0.25">
      <c r="A26" s="158" t="s">
        <v>88</v>
      </c>
      <c r="B26" s="158">
        <v>3</v>
      </c>
      <c r="C26" s="158" t="s">
        <v>59</v>
      </c>
      <c r="D26" s="158" t="s">
        <v>60</v>
      </c>
      <c r="E26" s="158" t="s">
        <v>60</v>
      </c>
      <c r="F26" s="158" t="s">
        <v>60</v>
      </c>
      <c r="G26" s="158" t="s">
        <v>60</v>
      </c>
      <c r="H26" s="222" t="s">
        <v>60</v>
      </c>
      <c r="I26" s="158">
        <v>0.92</v>
      </c>
      <c r="J26" s="158">
        <v>0.71</v>
      </c>
      <c r="K26" s="158">
        <v>1.19</v>
      </c>
      <c r="L26" s="158" t="s">
        <v>74</v>
      </c>
      <c r="M26" s="158" t="s">
        <v>60</v>
      </c>
      <c r="N26" s="222"/>
    </row>
    <row r="27" spans="1:14" s="152" customFormat="1" ht="16.5" thickBot="1" x14ac:dyDescent="0.3">
      <c r="A27" s="223" t="s">
        <v>89</v>
      </c>
      <c r="B27" s="223">
        <v>3</v>
      </c>
      <c r="C27" s="223" t="s">
        <v>59</v>
      </c>
      <c r="D27" s="223" t="s">
        <v>60</v>
      </c>
      <c r="E27" s="223" t="s">
        <v>60</v>
      </c>
      <c r="F27" s="223" t="s">
        <v>60</v>
      </c>
      <c r="G27" s="223" t="s">
        <v>60</v>
      </c>
      <c r="H27" s="224" t="s">
        <v>60</v>
      </c>
      <c r="I27" s="223">
        <v>0.99</v>
      </c>
      <c r="J27" s="223">
        <v>0.74</v>
      </c>
      <c r="K27" s="223">
        <v>1.34</v>
      </c>
      <c r="L27" s="223" t="s">
        <v>74</v>
      </c>
      <c r="M27" s="223" t="s">
        <v>60</v>
      </c>
      <c r="N27" s="224"/>
    </row>
    <row r="28" spans="1:14" s="13" customFormat="1" ht="15.75" x14ac:dyDescent="0.25">
      <c r="A28" s="202" t="s">
        <v>90</v>
      </c>
      <c r="B28" s="202">
        <v>3</v>
      </c>
      <c r="C28" s="202" t="s">
        <v>91</v>
      </c>
      <c r="D28" s="202" t="s">
        <v>73</v>
      </c>
      <c r="E28" s="202">
        <v>10</v>
      </c>
      <c r="F28" s="202">
        <v>30</v>
      </c>
      <c r="G28" s="202">
        <v>240</v>
      </c>
      <c r="H28" s="218" t="s">
        <v>627</v>
      </c>
      <c r="I28" s="202">
        <v>1</v>
      </c>
      <c r="J28" s="202" t="s">
        <v>60</v>
      </c>
      <c r="K28" s="202" t="s">
        <v>60</v>
      </c>
      <c r="L28" s="202" t="s">
        <v>53</v>
      </c>
      <c r="M28" s="202">
        <v>1</v>
      </c>
      <c r="N28" s="218" t="s">
        <v>92</v>
      </c>
    </row>
    <row r="29" spans="1:14" s="13" customFormat="1" ht="15.75" x14ac:dyDescent="0.25">
      <c r="A29" s="203" t="s">
        <v>90</v>
      </c>
      <c r="B29" s="203">
        <v>3</v>
      </c>
      <c r="C29" s="203" t="s">
        <v>91</v>
      </c>
      <c r="D29" s="203" t="s">
        <v>76</v>
      </c>
      <c r="E29" s="203">
        <v>30</v>
      </c>
      <c r="F29" s="203">
        <v>35</v>
      </c>
      <c r="G29" s="203">
        <v>239</v>
      </c>
      <c r="H29" s="216" t="s">
        <v>627</v>
      </c>
      <c r="I29" s="203">
        <v>1.61</v>
      </c>
      <c r="J29" s="203">
        <v>0.63</v>
      </c>
      <c r="K29" s="203">
        <v>4.0999999999999996</v>
      </c>
      <c r="L29" s="203" t="s">
        <v>53</v>
      </c>
      <c r="M29" s="203">
        <v>1</v>
      </c>
      <c r="N29" s="216" t="s">
        <v>93</v>
      </c>
    </row>
    <row r="30" spans="1:14" s="13" customFormat="1" ht="15.75" x14ac:dyDescent="0.25">
      <c r="A30" s="203" t="s">
        <v>90</v>
      </c>
      <c r="B30" s="203">
        <v>3</v>
      </c>
      <c r="C30" s="203" t="s">
        <v>91</v>
      </c>
      <c r="D30" s="203" t="s">
        <v>77</v>
      </c>
      <c r="E30" s="203">
        <v>50</v>
      </c>
      <c r="F30" s="203">
        <v>37</v>
      </c>
      <c r="G30" s="203">
        <v>239</v>
      </c>
      <c r="H30" s="216" t="s">
        <v>627</v>
      </c>
      <c r="I30" s="203">
        <v>2.39</v>
      </c>
      <c r="J30" s="203">
        <v>1.17</v>
      </c>
      <c r="K30" s="203">
        <v>4.87</v>
      </c>
      <c r="L30" s="203" t="s">
        <v>53</v>
      </c>
      <c r="M30" s="203">
        <v>1</v>
      </c>
      <c r="N30" s="216"/>
    </row>
    <row r="31" spans="1:14" s="13" customFormat="1" ht="15.75" x14ac:dyDescent="0.25">
      <c r="A31" s="203" t="s">
        <v>90</v>
      </c>
      <c r="B31" s="203">
        <v>3</v>
      </c>
      <c r="C31" s="203" t="s">
        <v>91</v>
      </c>
      <c r="D31" s="203" t="s">
        <v>78</v>
      </c>
      <c r="E31" s="203">
        <v>70</v>
      </c>
      <c r="F31" s="203">
        <v>42</v>
      </c>
      <c r="G31" s="203">
        <v>239</v>
      </c>
      <c r="H31" s="216" t="s">
        <v>627</v>
      </c>
      <c r="I31" s="203">
        <v>2.71</v>
      </c>
      <c r="J31" s="203">
        <v>1.1100000000000001</v>
      </c>
      <c r="K31" s="203">
        <v>6.05</v>
      </c>
      <c r="L31" s="203" t="s">
        <v>53</v>
      </c>
      <c r="M31" s="203">
        <v>1</v>
      </c>
      <c r="N31" s="216"/>
    </row>
    <row r="32" spans="1:14" s="13" customFormat="1" ht="16.5" thickBot="1" x14ac:dyDescent="0.3">
      <c r="A32" s="205" t="s">
        <v>90</v>
      </c>
      <c r="B32" s="205">
        <v>3</v>
      </c>
      <c r="C32" s="205" t="s">
        <v>91</v>
      </c>
      <c r="D32" s="205" t="s">
        <v>79</v>
      </c>
      <c r="E32" s="205">
        <v>90</v>
      </c>
      <c r="F32" s="205">
        <v>53</v>
      </c>
      <c r="G32" s="204">
        <v>239</v>
      </c>
      <c r="H32" s="219" t="s">
        <v>627</v>
      </c>
      <c r="I32" s="205">
        <v>2.98</v>
      </c>
      <c r="J32" s="205">
        <v>1.46</v>
      </c>
      <c r="K32" s="205">
        <v>6.1</v>
      </c>
      <c r="L32" s="205" t="s">
        <v>53</v>
      </c>
      <c r="M32" s="205">
        <v>1</v>
      </c>
      <c r="N32" s="219"/>
    </row>
    <row r="33" spans="1:15" s="150" customFormat="1" ht="15.75" x14ac:dyDescent="0.25">
      <c r="A33" s="220" t="s">
        <v>8</v>
      </c>
      <c r="B33" s="220">
        <v>3</v>
      </c>
      <c r="C33" s="220" t="s">
        <v>59</v>
      </c>
      <c r="D33" s="220" t="s">
        <v>94</v>
      </c>
      <c r="E33" s="220">
        <v>16.66</v>
      </c>
      <c r="F33" s="220" t="s">
        <v>60</v>
      </c>
      <c r="G33" s="220" t="s">
        <v>62</v>
      </c>
      <c r="H33" s="200" t="s">
        <v>60</v>
      </c>
      <c r="I33" s="220">
        <v>2.25</v>
      </c>
      <c r="J33" s="220">
        <v>2.0099999999999998</v>
      </c>
      <c r="K33" s="220">
        <v>2.5</v>
      </c>
      <c r="L33" s="200" t="s">
        <v>95</v>
      </c>
      <c r="M33" s="200" t="s">
        <v>60</v>
      </c>
      <c r="N33" s="200" t="s">
        <v>96</v>
      </c>
    </row>
    <row r="34" spans="1:15" s="151" customFormat="1" ht="15.75" x14ac:dyDescent="0.25">
      <c r="A34" s="158" t="s">
        <v>8</v>
      </c>
      <c r="B34" s="158">
        <v>3</v>
      </c>
      <c r="C34" s="158" t="s">
        <v>59</v>
      </c>
      <c r="D34" s="158" t="s">
        <v>97</v>
      </c>
      <c r="E34" s="158">
        <v>50</v>
      </c>
      <c r="F34" s="158" t="s">
        <v>60</v>
      </c>
      <c r="G34" s="158" t="s">
        <v>62</v>
      </c>
      <c r="H34" s="222" t="s">
        <v>60</v>
      </c>
      <c r="I34" s="158">
        <v>2.16</v>
      </c>
      <c r="J34" s="158">
        <v>1.93</v>
      </c>
      <c r="K34" s="158">
        <v>2.4</v>
      </c>
      <c r="L34" s="222" t="s">
        <v>95</v>
      </c>
      <c r="M34" s="222" t="s">
        <v>60</v>
      </c>
      <c r="N34" s="222" t="s">
        <v>98</v>
      </c>
    </row>
    <row r="35" spans="1:15" s="152" customFormat="1" ht="16.5" thickBot="1" x14ac:dyDescent="0.3">
      <c r="A35" s="223" t="s">
        <v>8</v>
      </c>
      <c r="B35" s="223">
        <v>3</v>
      </c>
      <c r="C35" s="223" t="s">
        <v>59</v>
      </c>
      <c r="D35" s="223" t="s">
        <v>99</v>
      </c>
      <c r="E35" s="223">
        <v>83.33</v>
      </c>
      <c r="F35" s="223" t="s">
        <v>60</v>
      </c>
      <c r="G35" s="223" t="s">
        <v>62</v>
      </c>
      <c r="H35" s="224" t="s">
        <v>60</v>
      </c>
      <c r="I35" s="223">
        <v>2.25</v>
      </c>
      <c r="J35" s="223">
        <v>2.0099999999999998</v>
      </c>
      <c r="K35" s="223">
        <v>2.4900000000000002</v>
      </c>
      <c r="L35" s="224" t="s">
        <v>95</v>
      </c>
      <c r="M35" s="224" t="s">
        <v>60</v>
      </c>
      <c r="N35" s="224" t="s">
        <v>100</v>
      </c>
    </row>
    <row r="36" spans="1:15" s="31" customFormat="1" ht="15.75" x14ac:dyDescent="0.25">
      <c r="A36" s="214" t="s">
        <v>9</v>
      </c>
      <c r="B36" s="214">
        <v>3</v>
      </c>
      <c r="C36" s="214" t="s">
        <v>116</v>
      </c>
      <c r="D36" s="215" t="s">
        <v>117</v>
      </c>
      <c r="E36" s="214">
        <v>16.66</v>
      </c>
      <c r="F36" s="214">
        <v>24</v>
      </c>
      <c r="G36" s="214">
        <v>616</v>
      </c>
      <c r="H36" s="215" t="s">
        <v>627</v>
      </c>
      <c r="I36" s="214">
        <v>1</v>
      </c>
      <c r="J36" s="214" t="s">
        <v>60</v>
      </c>
      <c r="K36" s="214" t="s">
        <v>60</v>
      </c>
      <c r="L36" s="214" t="s">
        <v>74</v>
      </c>
      <c r="M36" s="214">
        <v>1</v>
      </c>
      <c r="N36" s="215" t="s">
        <v>118</v>
      </c>
    </row>
    <row r="37" spans="1:15" s="32" customFormat="1" ht="15.75" x14ac:dyDescent="0.25">
      <c r="A37" s="203" t="s">
        <v>9</v>
      </c>
      <c r="B37" s="203">
        <v>3</v>
      </c>
      <c r="C37" s="203" t="s">
        <v>116</v>
      </c>
      <c r="D37" s="216" t="s">
        <v>119</v>
      </c>
      <c r="E37" s="203">
        <v>50</v>
      </c>
      <c r="F37" s="203">
        <v>70</v>
      </c>
      <c r="G37" s="203">
        <v>1461</v>
      </c>
      <c r="H37" s="216" t="s">
        <v>627</v>
      </c>
      <c r="I37" s="203">
        <v>1.25</v>
      </c>
      <c r="J37" s="203">
        <v>0.77</v>
      </c>
      <c r="K37" s="203">
        <v>2.04</v>
      </c>
      <c r="L37" s="203" t="s">
        <v>74</v>
      </c>
      <c r="M37" s="203">
        <v>1</v>
      </c>
      <c r="N37" s="216"/>
    </row>
    <row r="38" spans="1:15" s="30" customFormat="1" ht="16.5" thickBot="1" x14ac:dyDescent="0.3">
      <c r="A38" s="204" t="s">
        <v>9</v>
      </c>
      <c r="B38" s="204">
        <v>3</v>
      </c>
      <c r="C38" s="204" t="s">
        <v>116</v>
      </c>
      <c r="D38" s="217" t="s">
        <v>120</v>
      </c>
      <c r="E38" s="204">
        <v>83.33</v>
      </c>
      <c r="F38" s="204">
        <v>65</v>
      </c>
      <c r="G38" s="204">
        <v>971</v>
      </c>
      <c r="H38" s="217" t="s">
        <v>627</v>
      </c>
      <c r="I38" s="204">
        <v>1.81</v>
      </c>
      <c r="J38" s="204">
        <v>1.1000000000000001</v>
      </c>
      <c r="K38" s="204">
        <v>2.99</v>
      </c>
      <c r="L38" s="204" t="s">
        <v>74</v>
      </c>
      <c r="M38" s="204">
        <v>1</v>
      </c>
      <c r="N38" s="217"/>
    </row>
    <row r="39" spans="1:15" s="155" customFormat="1" ht="15.75" x14ac:dyDescent="0.25">
      <c r="A39" s="225" t="s">
        <v>101</v>
      </c>
      <c r="B39" s="225">
        <v>3</v>
      </c>
      <c r="C39" s="225" t="s">
        <v>59</v>
      </c>
      <c r="D39" s="225" t="s">
        <v>60</v>
      </c>
      <c r="E39" s="225" t="s">
        <v>60</v>
      </c>
      <c r="F39" s="225" t="s">
        <v>60</v>
      </c>
      <c r="G39" s="225">
        <v>753</v>
      </c>
      <c r="H39" s="221" t="s">
        <v>627</v>
      </c>
      <c r="I39" s="225">
        <v>7.4999999999999997E-2</v>
      </c>
      <c r="J39" s="225">
        <v>8.9999999999999993E-3</v>
      </c>
      <c r="K39" s="225">
        <v>0.14000000000000001</v>
      </c>
      <c r="L39" s="225" t="s">
        <v>102</v>
      </c>
      <c r="M39" s="225" t="s">
        <v>60</v>
      </c>
      <c r="N39" s="221" t="s">
        <v>103</v>
      </c>
      <c r="O39" s="154"/>
    </row>
    <row r="40" spans="1:15" s="157" customFormat="1" ht="16.5" thickBot="1" x14ac:dyDescent="0.3">
      <c r="A40" s="223" t="s">
        <v>189</v>
      </c>
      <c r="B40" s="223">
        <v>3</v>
      </c>
      <c r="C40" s="223" t="s">
        <v>59</v>
      </c>
      <c r="D40" s="223" t="s">
        <v>60</v>
      </c>
      <c r="E40" s="223" t="s">
        <v>60</v>
      </c>
      <c r="F40" s="223" t="s">
        <v>60</v>
      </c>
      <c r="G40" s="223">
        <v>780</v>
      </c>
      <c r="H40" s="224" t="s">
        <v>627</v>
      </c>
      <c r="I40" s="223">
        <v>-1.4E-2</v>
      </c>
      <c r="J40" s="223">
        <v>-9.2999999999999999E-2</v>
      </c>
      <c r="K40" s="223">
        <v>6.4999999999999997E-3</v>
      </c>
      <c r="L40" s="223" t="s">
        <v>102</v>
      </c>
      <c r="M40" s="223" t="s">
        <v>60</v>
      </c>
      <c r="N40" s="224" t="s">
        <v>104</v>
      </c>
      <c r="O40" s="156"/>
    </row>
    <row r="41" spans="1:15" s="13" customFormat="1" ht="15.75" x14ac:dyDescent="0.25">
      <c r="A41" s="202" t="s">
        <v>105</v>
      </c>
      <c r="B41" s="202">
        <v>2</v>
      </c>
      <c r="C41" s="202" t="s">
        <v>106</v>
      </c>
      <c r="D41" s="202" t="s">
        <v>73</v>
      </c>
      <c r="E41" s="202">
        <v>10</v>
      </c>
      <c r="F41" s="202">
        <v>391</v>
      </c>
      <c r="G41" s="202">
        <v>176487</v>
      </c>
      <c r="H41" s="218" t="s">
        <v>629</v>
      </c>
      <c r="I41" s="202">
        <v>1</v>
      </c>
      <c r="J41" s="202" t="s">
        <v>60</v>
      </c>
      <c r="K41" s="202" t="s">
        <v>60</v>
      </c>
      <c r="L41" s="202" t="s">
        <v>53</v>
      </c>
      <c r="M41" s="202">
        <v>1</v>
      </c>
      <c r="N41" s="218" t="s">
        <v>107</v>
      </c>
    </row>
    <row r="42" spans="1:15" s="13" customFormat="1" ht="15.75" x14ac:dyDescent="0.25">
      <c r="A42" s="203" t="s">
        <v>105</v>
      </c>
      <c r="B42" s="203">
        <v>2</v>
      </c>
      <c r="C42" s="203" t="s">
        <v>106</v>
      </c>
      <c r="D42" s="203" t="s">
        <v>76</v>
      </c>
      <c r="E42" s="203">
        <v>30</v>
      </c>
      <c r="F42" s="203">
        <v>455</v>
      </c>
      <c r="G42" s="203">
        <v>179988</v>
      </c>
      <c r="H42" s="216" t="s">
        <v>629</v>
      </c>
      <c r="I42" s="203">
        <v>1.21</v>
      </c>
      <c r="J42" s="203">
        <v>1.05</v>
      </c>
      <c r="K42" s="203">
        <v>1.38</v>
      </c>
      <c r="L42" s="203" t="s">
        <v>53</v>
      </c>
      <c r="M42" s="203">
        <v>1</v>
      </c>
      <c r="N42" s="216"/>
    </row>
    <row r="43" spans="1:15" s="13" customFormat="1" ht="15.75" x14ac:dyDescent="0.25">
      <c r="A43" s="203" t="s">
        <v>105</v>
      </c>
      <c r="B43" s="203">
        <v>2</v>
      </c>
      <c r="C43" s="203" t="s">
        <v>106</v>
      </c>
      <c r="D43" s="203" t="s">
        <v>77</v>
      </c>
      <c r="E43" s="203">
        <v>50</v>
      </c>
      <c r="F43" s="203">
        <v>562</v>
      </c>
      <c r="G43" s="203">
        <v>180646</v>
      </c>
      <c r="H43" s="216" t="s">
        <v>629</v>
      </c>
      <c r="I43" s="203">
        <v>1.35</v>
      </c>
      <c r="J43" s="203">
        <v>1.17</v>
      </c>
      <c r="K43" s="203">
        <v>1.56</v>
      </c>
      <c r="L43" s="203" t="s">
        <v>53</v>
      </c>
      <c r="M43" s="203">
        <v>1</v>
      </c>
      <c r="N43" s="216"/>
    </row>
    <row r="44" spans="1:15" s="13" customFormat="1" ht="15.75" x14ac:dyDescent="0.25">
      <c r="A44" s="203" t="s">
        <v>105</v>
      </c>
      <c r="B44" s="203">
        <v>2</v>
      </c>
      <c r="C44" s="203" t="s">
        <v>106</v>
      </c>
      <c r="D44" s="203" t="s">
        <v>78</v>
      </c>
      <c r="E44" s="203">
        <v>70</v>
      </c>
      <c r="F44" s="203">
        <v>559</v>
      </c>
      <c r="G44" s="203">
        <v>181123</v>
      </c>
      <c r="H44" s="216" t="s">
        <v>629</v>
      </c>
      <c r="I44" s="203">
        <v>1.33</v>
      </c>
      <c r="J44" s="203">
        <v>1.1399999999999999</v>
      </c>
      <c r="K44" s="203">
        <v>1.55</v>
      </c>
      <c r="L44" s="203" t="s">
        <v>53</v>
      </c>
      <c r="M44" s="203">
        <v>1</v>
      </c>
      <c r="N44" s="216"/>
    </row>
    <row r="45" spans="1:15" s="13" customFormat="1" ht="16.5" thickBot="1" x14ac:dyDescent="0.3">
      <c r="A45" s="205" t="s">
        <v>105</v>
      </c>
      <c r="B45" s="205">
        <v>2</v>
      </c>
      <c r="C45" s="205" t="s">
        <v>106</v>
      </c>
      <c r="D45" s="205" t="s">
        <v>79</v>
      </c>
      <c r="E45" s="205">
        <v>90</v>
      </c>
      <c r="F45" s="205">
        <v>731</v>
      </c>
      <c r="G45" s="205">
        <v>181802</v>
      </c>
      <c r="H45" s="219" t="s">
        <v>629</v>
      </c>
      <c r="I45" s="205">
        <v>1.49</v>
      </c>
      <c r="J45" s="205">
        <v>1.26</v>
      </c>
      <c r="K45" s="205">
        <v>1.76</v>
      </c>
      <c r="L45" s="205" t="s">
        <v>53</v>
      </c>
      <c r="M45" s="205">
        <v>1</v>
      </c>
      <c r="N45" s="219"/>
    </row>
    <row r="46" spans="1:15" s="150" customFormat="1" ht="15.75" x14ac:dyDescent="0.25">
      <c r="A46" s="220" t="s">
        <v>108</v>
      </c>
      <c r="B46" s="220">
        <v>2</v>
      </c>
      <c r="C46" s="220" t="s">
        <v>81</v>
      </c>
      <c r="D46" s="220" t="s">
        <v>73</v>
      </c>
      <c r="E46" s="220">
        <v>10</v>
      </c>
      <c r="F46" s="220">
        <v>156</v>
      </c>
      <c r="G46" s="158">
        <v>200100</v>
      </c>
      <c r="H46" s="200" t="s">
        <v>629</v>
      </c>
      <c r="I46" s="220">
        <v>1</v>
      </c>
      <c r="J46" s="220" t="s">
        <v>60</v>
      </c>
      <c r="K46" s="220" t="s">
        <v>60</v>
      </c>
      <c r="L46" s="220" t="s">
        <v>53</v>
      </c>
      <c r="M46" s="220">
        <v>2</v>
      </c>
      <c r="N46" s="200" t="s">
        <v>109</v>
      </c>
    </row>
    <row r="47" spans="1:15" s="151" customFormat="1" ht="15.75" x14ac:dyDescent="0.25">
      <c r="A47" s="158" t="s">
        <v>108</v>
      </c>
      <c r="B47" s="158">
        <v>2</v>
      </c>
      <c r="C47" s="158" t="s">
        <v>81</v>
      </c>
      <c r="D47" s="158" t="s">
        <v>76</v>
      </c>
      <c r="E47" s="158">
        <v>30</v>
      </c>
      <c r="F47" s="158">
        <v>165</v>
      </c>
      <c r="G47" s="158">
        <v>200100</v>
      </c>
      <c r="H47" s="222" t="s">
        <v>629</v>
      </c>
      <c r="I47" s="158">
        <v>1.18</v>
      </c>
      <c r="J47" s="158">
        <v>0.81</v>
      </c>
      <c r="K47" s="158">
        <v>1.32</v>
      </c>
      <c r="L47" s="158" t="s">
        <v>53</v>
      </c>
      <c r="M47" s="158">
        <v>2</v>
      </c>
      <c r="N47" s="222" t="s">
        <v>637</v>
      </c>
    </row>
    <row r="48" spans="1:15" s="151" customFormat="1" ht="15.75" x14ac:dyDescent="0.25">
      <c r="A48" s="158" t="s">
        <v>108</v>
      </c>
      <c r="B48" s="158">
        <v>2</v>
      </c>
      <c r="C48" s="158" t="s">
        <v>81</v>
      </c>
      <c r="D48" s="158" t="s">
        <v>77</v>
      </c>
      <c r="E48" s="158">
        <v>50</v>
      </c>
      <c r="F48" s="158">
        <v>154</v>
      </c>
      <c r="G48" s="158">
        <v>200100</v>
      </c>
      <c r="H48" s="222" t="s">
        <v>629</v>
      </c>
      <c r="I48" s="158">
        <v>1.27</v>
      </c>
      <c r="J48" s="158">
        <v>0.9</v>
      </c>
      <c r="K48" s="158">
        <v>1.54</v>
      </c>
      <c r="L48" s="158" t="s">
        <v>53</v>
      </c>
      <c r="M48" s="158">
        <v>2</v>
      </c>
      <c r="N48" s="238"/>
    </row>
    <row r="49" spans="1:14" s="151" customFormat="1" ht="15.75" x14ac:dyDescent="0.25">
      <c r="A49" s="158" t="s">
        <v>108</v>
      </c>
      <c r="B49" s="158">
        <v>2</v>
      </c>
      <c r="C49" s="158" t="s">
        <v>81</v>
      </c>
      <c r="D49" s="158" t="s">
        <v>78</v>
      </c>
      <c r="E49" s="158">
        <v>70</v>
      </c>
      <c r="F49" s="158">
        <v>159</v>
      </c>
      <c r="G49" s="158">
        <v>200100</v>
      </c>
      <c r="H49" s="222" t="s">
        <v>629</v>
      </c>
      <c r="I49" s="158">
        <v>1.41</v>
      </c>
      <c r="J49" s="158">
        <v>1.03</v>
      </c>
      <c r="K49" s="158">
        <v>1.84</v>
      </c>
      <c r="L49" s="158" t="s">
        <v>53</v>
      </c>
      <c r="M49" s="158">
        <v>2</v>
      </c>
      <c r="N49" s="222"/>
    </row>
    <row r="50" spans="1:14" s="152" customFormat="1" ht="16.5" thickBot="1" x14ac:dyDescent="0.3">
      <c r="A50" s="223" t="s">
        <v>108</v>
      </c>
      <c r="B50" s="223">
        <v>2</v>
      </c>
      <c r="C50" s="223" t="s">
        <v>81</v>
      </c>
      <c r="D50" s="223" t="s">
        <v>79</v>
      </c>
      <c r="E50" s="223">
        <v>90</v>
      </c>
      <c r="F50" s="223">
        <v>157</v>
      </c>
      <c r="G50" s="223">
        <v>200100</v>
      </c>
      <c r="H50" s="224" t="s">
        <v>629</v>
      </c>
      <c r="I50" s="223">
        <v>1.58</v>
      </c>
      <c r="J50" s="223">
        <v>1.1499999999999999</v>
      </c>
      <c r="K50" s="223">
        <v>2.15</v>
      </c>
      <c r="L50" s="223" t="s">
        <v>53</v>
      </c>
      <c r="M50" s="223">
        <v>2</v>
      </c>
      <c r="N50" s="224"/>
    </row>
    <row r="51" spans="1:14" s="31" customFormat="1" ht="15.75" x14ac:dyDescent="0.25">
      <c r="A51" s="214" t="s">
        <v>188</v>
      </c>
      <c r="B51" s="214">
        <v>2</v>
      </c>
      <c r="C51" s="214" t="s">
        <v>110</v>
      </c>
      <c r="D51" s="214" t="s">
        <v>73</v>
      </c>
      <c r="E51" s="214">
        <v>10</v>
      </c>
      <c r="F51" s="214">
        <v>145</v>
      </c>
      <c r="G51" s="202">
        <f>40757*11/5</f>
        <v>89665.4</v>
      </c>
      <c r="H51" s="239" t="s">
        <v>629</v>
      </c>
      <c r="I51" s="214">
        <v>1</v>
      </c>
      <c r="J51" s="214" t="s">
        <v>60</v>
      </c>
      <c r="K51" s="214" t="s">
        <v>60</v>
      </c>
      <c r="L51" s="214" t="s">
        <v>71</v>
      </c>
      <c r="M51" s="214">
        <v>1</v>
      </c>
      <c r="N51" s="215" t="s">
        <v>647</v>
      </c>
    </row>
    <row r="52" spans="1:14" s="32" customFormat="1" ht="15.75" x14ac:dyDescent="0.25">
      <c r="A52" s="203" t="s">
        <v>188</v>
      </c>
      <c r="B52" s="203">
        <v>2</v>
      </c>
      <c r="C52" s="203" t="s">
        <v>110</v>
      </c>
      <c r="D52" s="203" t="s">
        <v>76</v>
      </c>
      <c r="E52" s="203">
        <v>30</v>
      </c>
      <c r="F52" s="203">
        <v>130</v>
      </c>
      <c r="G52" s="203">
        <v>89665</v>
      </c>
      <c r="H52" s="216" t="s">
        <v>629</v>
      </c>
      <c r="I52" s="203">
        <v>0.96</v>
      </c>
      <c r="J52" s="203">
        <v>0.75</v>
      </c>
      <c r="K52" s="203">
        <v>1.24</v>
      </c>
      <c r="L52" s="203" t="s">
        <v>71</v>
      </c>
      <c r="M52" s="203">
        <v>1</v>
      </c>
      <c r="N52" s="216" t="s">
        <v>192</v>
      </c>
    </row>
    <row r="53" spans="1:14" s="32" customFormat="1" ht="15.75" x14ac:dyDescent="0.25">
      <c r="A53" s="203" t="s">
        <v>188</v>
      </c>
      <c r="B53" s="203">
        <v>2</v>
      </c>
      <c r="C53" s="203" t="s">
        <v>110</v>
      </c>
      <c r="D53" s="203" t="s">
        <v>77</v>
      </c>
      <c r="E53" s="203">
        <v>50</v>
      </c>
      <c r="F53" s="203">
        <v>105</v>
      </c>
      <c r="G53" s="203">
        <v>89665</v>
      </c>
      <c r="H53" s="216" t="s">
        <v>629</v>
      </c>
      <c r="I53" s="203">
        <v>0.81</v>
      </c>
      <c r="J53" s="203">
        <v>0.61</v>
      </c>
      <c r="K53" s="203">
        <v>1.0900000000000001</v>
      </c>
      <c r="L53" s="203" t="s">
        <v>71</v>
      </c>
      <c r="M53" s="203">
        <v>1</v>
      </c>
      <c r="N53" s="216"/>
    </row>
    <row r="54" spans="1:14" s="32" customFormat="1" ht="15.75" x14ac:dyDescent="0.25">
      <c r="A54" s="203" t="s">
        <v>188</v>
      </c>
      <c r="B54" s="203">
        <v>2</v>
      </c>
      <c r="C54" s="203" t="s">
        <v>110</v>
      </c>
      <c r="D54" s="203" t="s">
        <v>78</v>
      </c>
      <c r="E54" s="203">
        <v>70</v>
      </c>
      <c r="F54" s="203">
        <v>122</v>
      </c>
      <c r="G54" s="203">
        <v>89665</v>
      </c>
      <c r="H54" s="216" t="s">
        <v>629</v>
      </c>
      <c r="I54" s="203">
        <v>0.98</v>
      </c>
      <c r="J54" s="203">
        <v>0.72</v>
      </c>
      <c r="K54" s="203">
        <v>1.34</v>
      </c>
      <c r="L54" s="203" t="s">
        <v>71</v>
      </c>
      <c r="M54" s="203">
        <v>1</v>
      </c>
      <c r="N54" s="216"/>
    </row>
    <row r="55" spans="1:14" s="30" customFormat="1" ht="16.5" thickBot="1" x14ac:dyDescent="0.3">
      <c r="A55" s="204" t="s">
        <v>188</v>
      </c>
      <c r="B55" s="204">
        <v>2</v>
      </c>
      <c r="C55" s="204" t="s">
        <v>110</v>
      </c>
      <c r="D55" s="204" t="s">
        <v>79</v>
      </c>
      <c r="E55" s="204">
        <v>90</v>
      </c>
      <c r="F55" s="204">
        <v>104</v>
      </c>
      <c r="G55" s="204">
        <v>89665</v>
      </c>
      <c r="H55" s="240" t="s">
        <v>629</v>
      </c>
      <c r="I55" s="204">
        <v>0.86</v>
      </c>
      <c r="J55" s="204">
        <v>0.6</v>
      </c>
      <c r="K55" s="204">
        <v>1.24</v>
      </c>
      <c r="L55" s="204" t="s">
        <v>71</v>
      </c>
      <c r="M55" s="204">
        <v>1</v>
      </c>
      <c r="N55" s="217"/>
    </row>
    <row r="56" spans="1:14" s="153" customFormat="1" ht="16.5" customHeight="1" x14ac:dyDescent="0.25">
      <c r="A56" s="225" t="s">
        <v>12</v>
      </c>
      <c r="B56" s="225">
        <v>2</v>
      </c>
      <c r="C56" s="225" t="s">
        <v>70</v>
      </c>
      <c r="D56" s="225" t="s">
        <v>73</v>
      </c>
      <c r="E56" s="225">
        <v>10</v>
      </c>
      <c r="F56" s="225">
        <v>216</v>
      </c>
      <c r="G56" s="225">
        <v>244089</v>
      </c>
      <c r="H56" s="221" t="s">
        <v>629</v>
      </c>
      <c r="I56" s="225">
        <v>1</v>
      </c>
      <c r="J56" s="225" t="s">
        <v>60</v>
      </c>
      <c r="K56" s="225" t="s">
        <v>60</v>
      </c>
      <c r="L56" s="225" t="s">
        <v>53</v>
      </c>
      <c r="M56" s="225">
        <v>1</v>
      </c>
      <c r="N56" s="241" t="s">
        <v>653</v>
      </c>
    </row>
    <row r="57" spans="1:14" s="153" customFormat="1" ht="15.75" x14ac:dyDescent="0.25">
      <c r="A57" s="158" t="s">
        <v>12</v>
      </c>
      <c r="B57" s="158">
        <v>2</v>
      </c>
      <c r="C57" s="158" t="s">
        <v>70</v>
      </c>
      <c r="D57" s="158" t="s">
        <v>76</v>
      </c>
      <c r="E57" s="158">
        <v>30</v>
      </c>
      <c r="F57" s="158">
        <v>208</v>
      </c>
      <c r="G57" s="158">
        <v>250155</v>
      </c>
      <c r="H57" s="222" t="s">
        <v>629</v>
      </c>
      <c r="I57" s="158">
        <v>0.98</v>
      </c>
      <c r="J57" s="158">
        <v>0.81</v>
      </c>
      <c r="K57" s="158">
        <v>1.19</v>
      </c>
      <c r="L57" s="158" t="s">
        <v>53</v>
      </c>
      <c r="M57" s="158">
        <v>1</v>
      </c>
      <c r="N57" s="222"/>
    </row>
    <row r="58" spans="1:14" s="153" customFormat="1" ht="15.75" x14ac:dyDescent="0.25">
      <c r="A58" s="158" t="s">
        <v>12</v>
      </c>
      <c r="B58" s="158">
        <v>2</v>
      </c>
      <c r="C58" s="158" t="s">
        <v>70</v>
      </c>
      <c r="D58" s="158" t="s">
        <v>77</v>
      </c>
      <c r="E58" s="158">
        <v>50</v>
      </c>
      <c r="F58" s="158">
        <v>230</v>
      </c>
      <c r="G58" s="158">
        <v>252459</v>
      </c>
      <c r="H58" s="222" t="s">
        <v>629</v>
      </c>
      <c r="I58" s="158">
        <v>1.1299999999999999</v>
      </c>
      <c r="J58" s="158">
        <v>0.93</v>
      </c>
      <c r="K58" s="158">
        <v>1.36</v>
      </c>
      <c r="L58" s="158" t="s">
        <v>53</v>
      </c>
      <c r="M58" s="158">
        <v>1</v>
      </c>
      <c r="N58" s="222"/>
    </row>
    <row r="59" spans="1:14" s="153" customFormat="1" ht="15.75" x14ac:dyDescent="0.25">
      <c r="A59" s="158" t="s">
        <v>12</v>
      </c>
      <c r="B59" s="158">
        <v>2</v>
      </c>
      <c r="C59" s="158" t="s">
        <v>70</v>
      </c>
      <c r="D59" s="158" t="s">
        <v>78</v>
      </c>
      <c r="E59" s="158">
        <v>70</v>
      </c>
      <c r="F59" s="158">
        <v>246</v>
      </c>
      <c r="G59" s="158">
        <v>253060</v>
      </c>
      <c r="H59" s="222" t="s">
        <v>629</v>
      </c>
      <c r="I59" s="158">
        <v>1.2</v>
      </c>
      <c r="J59" s="158">
        <v>0.99</v>
      </c>
      <c r="K59" s="158">
        <v>1.45</v>
      </c>
      <c r="L59" s="158" t="s">
        <v>53</v>
      </c>
      <c r="M59" s="158">
        <v>1</v>
      </c>
      <c r="N59" s="222"/>
    </row>
    <row r="60" spans="1:14" s="153" customFormat="1" ht="16.5" thickBot="1" x14ac:dyDescent="0.3">
      <c r="A60" s="227" t="s">
        <v>12</v>
      </c>
      <c r="B60" s="227">
        <v>2</v>
      </c>
      <c r="C60" s="227" t="s">
        <v>70</v>
      </c>
      <c r="D60" s="227" t="s">
        <v>79</v>
      </c>
      <c r="E60" s="227">
        <v>90</v>
      </c>
      <c r="F60" s="227">
        <v>254</v>
      </c>
      <c r="G60" s="227">
        <v>249706</v>
      </c>
      <c r="H60" s="228" t="s">
        <v>629</v>
      </c>
      <c r="I60" s="227">
        <v>1.22</v>
      </c>
      <c r="J60" s="227">
        <v>1.01</v>
      </c>
      <c r="K60" s="227">
        <v>1.48</v>
      </c>
      <c r="L60" s="227" t="s">
        <v>53</v>
      </c>
      <c r="M60" s="227">
        <v>1</v>
      </c>
      <c r="N60" s="228"/>
    </row>
    <row r="61" spans="1:14" s="159" customFormat="1" ht="15.75" x14ac:dyDescent="0.25">
      <c r="A61" s="214" t="s">
        <v>111</v>
      </c>
      <c r="B61" s="214">
        <v>2</v>
      </c>
      <c r="C61" s="214" t="s">
        <v>67</v>
      </c>
      <c r="D61" s="214" t="s">
        <v>60</v>
      </c>
      <c r="E61" s="214" t="s">
        <v>60</v>
      </c>
      <c r="F61" s="214">
        <v>44</v>
      </c>
      <c r="G61" s="214">
        <v>13.61</v>
      </c>
      <c r="H61" s="215" t="s">
        <v>630</v>
      </c>
      <c r="I61" s="214">
        <v>2.14</v>
      </c>
      <c r="J61" s="214">
        <v>1.17</v>
      </c>
      <c r="K61" s="214">
        <v>3.93</v>
      </c>
      <c r="L61" s="214" t="s">
        <v>71</v>
      </c>
      <c r="M61" s="214">
        <v>1</v>
      </c>
      <c r="N61" s="215" t="s">
        <v>112</v>
      </c>
    </row>
    <row r="62" spans="1:14" s="33" customFormat="1" ht="16.5" thickBot="1" x14ac:dyDescent="0.3">
      <c r="A62" s="204" t="s">
        <v>113</v>
      </c>
      <c r="B62" s="204">
        <v>2</v>
      </c>
      <c r="C62" s="204" t="s">
        <v>67</v>
      </c>
      <c r="D62" s="204" t="s">
        <v>60</v>
      </c>
      <c r="E62" s="204" t="s">
        <v>60</v>
      </c>
      <c r="F62" s="204">
        <v>58</v>
      </c>
      <c r="G62" s="204">
        <v>13.25</v>
      </c>
      <c r="H62" s="217" t="s">
        <v>630</v>
      </c>
      <c r="I62" s="204">
        <v>1.1000000000000001</v>
      </c>
      <c r="J62" s="204">
        <v>0.72</v>
      </c>
      <c r="K62" s="204">
        <v>1.71</v>
      </c>
      <c r="L62" s="204" t="s">
        <v>71</v>
      </c>
      <c r="M62" s="204">
        <v>1</v>
      </c>
      <c r="N62" s="217" t="s">
        <v>648</v>
      </c>
    </row>
    <row r="63" spans="1:14" s="153" customFormat="1" ht="15.75" x14ac:dyDescent="0.25">
      <c r="A63" s="225" t="s">
        <v>14</v>
      </c>
      <c r="B63" s="225">
        <v>2</v>
      </c>
      <c r="C63" s="225" t="s">
        <v>110</v>
      </c>
      <c r="D63" s="225" t="s">
        <v>73</v>
      </c>
      <c r="E63" s="225">
        <v>10</v>
      </c>
      <c r="F63" s="225">
        <v>173</v>
      </c>
      <c r="G63" s="225">
        <v>55476</v>
      </c>
      <c r="H63" s="221" t="s">
        <v>629</v>
      </c>
      <c r="I63" s="225">
        <v>1</v>
      </c>
      <c r="J63" s="225" t="s">
        <v>60</v>
      </c>
      <c r="K63" s="225" t="s">
        <v>60</v>
      </c>
      <c r="L63" s="225" t="s">
        <v>53</v>
      </c>
      <c r="M63" s="225">
        <v>1</v>
      </c>
      <c r="N63" s="221" t="s">
        <v>114</v>
      </c>
    </row>
    <row r="64" spans="1:14" s="153" customFormat="1" ht="15.75" x14ac:dyDescent="0.25">
      <c r="A64" s="158" t="s">
        <v>14</v>
      </c>
      <c r="B64" s="158">
        <v>2</v>
      </c>
      <c r="C64" s="158" t="s">
        <v>110</v>
      </c>
      <c r="D64" s="158" t="s">
        <v>76</v>
      </c>
      <c r="E64" s="158">
        <v>30</v>
      </c>
      <c r="F64" s="158">
        <v>226</v>
      </c>
      <c r="G64" s="158">
        <v>63128</v>
      </c>
      <c r="H64" s="222" t="s">
        <v>629</v>
      </c>
      <c r="I64" s="158">
        <v>1.25</v>
      </c>
      <c r="J64" s="158">
        <v>1.02</v>
      </c>
      <c r="K64" s="158">
        <v>1.54</v>
      </c>
      <c r="L64" s="158" t="s">
        <v>53</v>
      </c>
      <c r="M64" s="158">
        <v>1</v>
      </c>
      <c r="N64" s="222" t="s">
        <v>115</v>
      </c>
    </row>
    <row r="65" spans="1:14" s="153" customFormat="1" ht="15.75" x14ac:dyDescent="0.25">
      <c r="A65" s="158" t="s">
        <v>14</v>
      </c>
      <c r="B65" s="158">
        <v>2</v>
      </c>
      <c r="C65" s="158" t="s">
        <v>110</v>
      </c>
      <c r="D65" s="158" t="s">
        <v>77</v>
      </c>
      <c r="E65" s="158">
        <v>50</v>
      </c>
      <c r="F65" s="158">
        <v>228</v>
      </c>
      <c r="G65" s="158">
        <v>64355</v>
      </c>
      <c r="H65" s="222" t="s">
        <v>629</v>
      </c>
      <c r="I65" s="158">
        <v>1.36</v>
      </c>
      <c r="J65" s="158">
        <v>1.08</v>
      </c>
      <c r="K65" s="158">
        <v>1.7</v>
      </c>
      <c r="L65" s="158" t="s">
        <v>53</v>
      </c>
      <c r="M65" s="158">
        <v>1</v>
      </c>
      <c r="N65" s="222"/>
    </row>
    <row r="66" spans="1:14" s="153" customFormat="1" ht="15.75" x14ac:dyDescent="0.25">
      <c r="A66" s="158" t="s">
        <v>14</v>
      </c>
      <c r="B66" s="158">
        <v>2</v>
      </c>
      <c r="C66" s="158" t="s">
        <v>110</v>
      </c>
      <c r="D66" s="158" t="s">
        <v>78</v>
      </c>
      <c r="E66" s="158">
        <v>70</v>
      </c>
      <c r="F66" s="158">
        <v>223</v>
      </c>
      <c r="G66" s="158">
        <v>65039</v>
      </c>
      <c r="H66" s="222" t="s">
        <v>629</v>
      </c>
      <c r="I66" s="158">
        <v>1.4</v>
      </c>
      <c r="J66" s="158">
        <v>1.1000000000000001</v>
      </c>
      <c r="K66" s="158">
        <v>1.79</v>
      </c>
      <c r="L66" s="158" t="s">
        <v>53</v>
      </c>
      <c r="M66" s="158">
        <v>1</v>
      </c>
      <c r="N66" s="222"/>
    </row>
    <row r="67" spans="1:14" s="153" customFormat="1" ht="16.5" thickBot="1" x14ac:dyDescent="0.3">
      <c r="A67" s="227" t="s">
        <v>14</v>
      </c>
      <c r="B67" s="227">
        <v>2</v>
      </c>
      <c r="C67" s="227" t="s">
        <v>110</v>
      </c>
      <c r="D67" s="227" t="s">
        <v>79</v>
      </c>
      <c r="E67" s="227">
        <v>90</v>
      </c>
      <c r="F67" s="227">
        <v>239</v>
      </c>
      <c r="G67" s="227">
        <v>63337</v>
      </c>
      <c r="H67" s="228" t="s">
        <v>629</v>
      </c>
      <c r="I67" s="227">
        <v>1.64</v>
      </c>
      <c r="J67" s="227">
        <v>1.24</v>
      </c>
      <c r="K67" s="227">
        <v>2.17</v>
      </c>
      <c r="L67" s="227" t="s">
        <v>53</v>
      </c>
      <c r="M67" s="227">
        <v>1</v>
      </c>
      <c r="N67" s="228"/>
    </row>
    <row r="68" spans="1:14" s="31" customFormat="1" ht="15.75" x14ac:dyDescent="0.25">
      <c r="A68" s="214" t="s">
        <v>15</v>
      </c>
      <c r="B68" s="214">
        <v>2</v>
      </c>
      <c r="C68" s="214" t="s">
        <v>67</v>
      </c>
      <c r="D68" s="214" t="s">
        <v>61</v>
      </c>
      <c r="E68" s="214">
        <v>12.5</v>
      </c>
      <c r="F68" s="214">
        <v>67</v>
      </c>
      <c r="G68" s="214">
        <v>7627</v>
      </c>
      <c r="H68" s="215" t="s">
        <v>629</v>
      </c>
      <c r="I68" s="214">
        <v>1</v>
      </c>
      <c r="J68" s="214" t="s">
        <v>60</v>
      </c>
      <c r="K68" s="214" t="s">
        <v>60</v>
      </c>
      <c r="L68" s="214" t="s">
        <v>71</v>
      </c>
      <c r="M68" s="214">
        <v>1</v>
      </c>
      <c r="N68" s="215" t="s">
        <v>121</v>
      </c>
    </row>
    <row r="69" spans="1:14" s="32" customFormat="1" ht="15.75" x14ac:dyDescent="0.25">
      <c r="A69" s="203" t="s">
        <v>15</v>
      </c>
      <c r="B69" s="203">
        <v>2</v>
      </c>
      <c r="C69" s="203" t="s">
        <v>67</v>
      </c>
      <c r="D69" s="203" t="s">
        <v>63</v>
      </c>
      <c r="E69" s="203">
        <v>37.5</v>
      </c>
      <c r="F69" s="203">
        <v>61</v>
      </c>
      <c r="G69" s="203">
        <v>7590</v>
      </c>
      <c r="H69" s="216" t="s">
        <v>629</v>
      </c>
      <c r="I69" s="203">
        <v>0.96</v>
      </c>
      <c r="J69" s="203">
        <v>0.68</v>
      </c>
      <c r="K69" s="203">
        <v>1.38</v>
      </c>
      <c r="L69" s="203" t="s">
        <v>71</v>
      </c>
      <c r="M69" s="203">
        <v>1</v>
      </c>
      <c r="N69" s="216"/>
    </row>
    <row r="70" spans="1:14" s="32" customFormat="1" ht="15.75" x14ac:dyDescent="0.25">
      <c r="A70" s="203" t="s">
        <v>15</v>
      </c>
      <c r="B70" s="203">
        <v>2</v>
      </c>
      <c r="C70" s="203" t="s">
        <v>67</v>
      </c>
      <c r="D70" s="203" t="s">
        <v>64</v>
      </c>
      <c r="E70" s="203">
        <v>62.5</v>
      </c>
      <c r="F70" s="203">
        <v>65</v>
      </c>
      <c r="G70" s="203">
        <v>7799</v>
      </c>
      <c r="H70" s="216" t="s">
        <v>629</v>
      </c>
      <c r="I70" s="203">
        <v>0.97</v>
      </c>
      <c r="J70" s="203">
        <v>0.68</v>
      </c>
      <c r="K70" s="203">
        <v>1.39</v>
      </c>
      <c r="L70" s="203" t="s">
        <v>71</v>
      </c>
      <c r="M70" s="203">
        <v>1</v>
      </c>
      <c r="N70" s="216"/>
    </row>
    <row r="71" spans="1:14" s="30" customFormat="1" ht="16.5" thickBot="1" x14ac:dyDescent="0.3">
      <c r="A71" s="204" t="s">
        <v>15</v>
      </c>
      <c r="B71" s="204">
        <v>2</v>
      </c>
      <c r="C71" s="204" t="s">
        <v>67</v>
      </c>
      <c r="D71" s="204" t="s">
        <v>65</v>
      </c>
      <c r="E71" s="204">
        <v>87.5</v>
      </c>
      <c r="F71" s="204">
        <v>84</v>
      </c>
      <c r="G71" s="204">
        <v>8024</v>
      </c>
      <c r="H71" s="217" t="s">
        <v>629</v>
      </c>
      <c r="I71" s="204">
        <v>1.05</v>
      </c>
      <c r="J71" s="204">
        <v>0.73</v>
      </c>
      <c r="K71" s="204">
        <v>1.5</v>
      </c>
      <c r="L71" s="204" t="s">
        <v>71</v>
      </c>
      <c r="M71" s="204">
        <v>1</v>
      </c>
      <c r="N71" s="217"/>
    </row>
    <row r="72" spans="1:14" s="150" customFormat="1" ht="15.75" x14ac:dyDescent="0.25">
      <c r="A72" s="220" t="s">
        <v>17</v>
      </c>
      <c r="B72" s="220">
        <v>2</v>
      </c>
      <c r="C72" s="220" t="s">
        <v>106</v>
      </c>
      <c r="D72" s="220" t="s">
        <v>61</v>
      </c>
      <c r="E72" s="220">
        <v>12.5</v>
      </c>
      <c r="F72" s="220">
        <v>62</v>
      </c>
      <c r="G72" s="220">
        <f>11.6*1723</f>
        <v>19986.8</v>
      </c>
      <c r="H72" s="221" t="s">
        <v>629</v>
      </c>
      <c r="I72" s="220">
        <v>1</v>
      </c>
      <c r="J72" s="220" t="s">
        <v>60</v>
      </c>
      <c r="K72" s="220" t="s">
        <v>60</v>
      </c>
      <c r="L72" s="220" t="s">
        <v>71</v>
      </c>
      <c r="M72" s="220">
        <v>1</v>
      </c>
      <c r="N72" s="200" t="s">
        <v>123</v>
      </c>
    </row>
    <row r="73" spans="1:14" s="151" customFormat="1" ht="15.75" x14ac:dyDescent="0.25">
      <c r="A73" s="158" t="s">
        <v>17</v>
      </c>
      <c r="B73" s="158">
        <v>2</v>
      </c>
      <c r="C73" s="158" t="s">
        <v>106</v>
      </c>
      <c r="D73" s="158" t="s">
        <v>63</v>
      </c>
      <c r="E73" s="158">
        <v>37.5</v>
      </c>
      <c r="F73" s="158">
        <v>91</v>
      </c>
      <c r="G73" s="158">
        <f>11.6*1694</f>
        <v>19650.399999999998</v>
      </c>
      <c r="H73" s="222" t="s">
        <v>629</v>
      </c>
      <c r="I73" s="158">
        <v>1.27</v>
      </c>
      <c r="J73" s="158">
        <v>0.91</v>
      </c>
      <c r="K73" s="158">
        <v>1.76</v>
      </c>
      <c r="L73" s="158" t="s">
        <v>71</v>
      </c>
      <c r="M73" s="158">
        <v>1</v>
      </c>
      <c r="N73" s="222" t="s">
        <v>124</v>
      </c>
    </row>
    <row r="74" spans="1:14" s="151" customFormat="1" ht="16.5" customHeight="1" x14ac:dyDescent="0.25">
      <c r="A74" s="158" t="s">
        <v>17</v>
      </c>
      <c r="B74" s="158">
        <v>2</v>
      </c>
      <c r="C74" s="158" t="s">
        <v>106</v>
      </c>
      <c r="D74" s="158" t="s">
        <v>64</v>
      </c>
      <c r="E74" s="158">
        <v>62.5</v>
      </c>
      <c r="F74" s="158">
        <v>122</v>
      </c>
      <c r="G74" s="158">
        <f>11.6*1700</f>
        <v>19720</v>
      </c>
      <c r="H74" s="222" t="s">
        <v>629</v>
      </c>
      <c r="I74" s="158">
        <v>1.5</v>
      </c>
      <c r="J74" s="158">
        <v>1.0900000000000001</v>
      </c>
      <c r="K74" s="158">
        <v>2.0499999999999998</v>
      </c>
      <c r="L74" s="158" t="s">
        <v>71</v>
      </c>
      <c r="M74" s="158">
        <v>1</v>
      </c>
      <c r="N74" s="222" t="s">
        <v>125</v>
      </c>
    </row>
    <row r="75" spans="1:14" s="152" customFormat="1" ht="16.5" thickBot="1" x14ac:dyDescent="0.3">
      <c r="A75" s="223" t="s">
        <v>17</v>
      </c>
      <c r="B75" s="223">
        <v>2</v>
      </c>
      <c r="C75" s="223" t="s">
        <v>106</v>
      </c>
      <c r="D75" s="223" t="s">
        <v>65</v>
      </c>
      <c r="E75" s="223">
        <v>87.5</v>
      </c>
      <c r="F75" s="223">
        <v>152</v>
      </c>
      <c r="G75" s="223">
        <f>11.6*1582</f>
        <v>18351.2</v>
      </c>
      <c r="H75" s="224" t="s">
        <v>629</v>
      </c>
      <c r="I75" s="223">
        <v>1.55</v>
      </c>
      <c r="J75" s="223">
        <v>1.1299999999999999</v>
      </c>
      <c r="K75" s="223">
        <v>2.15</v>
      </c>
      <c r="L75" s="223" t="s">
        <v>71</v>
      </c>
      <c r="M75" s="223">
        <v>1</v>
      </c>
      <c r="N75" s="224" t="s">
        <v>193</v>
      </c>
    </row>
    <row r="76" spans="1:14" s="13" customFormat="1" ht="15.75" x14ac:dyDescent="0.25">
      <c r="A76" s="202" t="s">
        <v>16</v>
      </c>
      <c r="B76" s="202">
        <v>2</v>
      </c>
      <c r="C76" s="202" t="s">
        <v>110</v>
      </c>
      <c r="D76" s="202" t="s">
        <v>61</v>
      </c>
      <c r="E76" s="202">
        <v>12.5</v>
      </c>
      <c r="F76" s="202" t="s">
        <v>62</v>
      </c>
      <c r="G76" s="202" t="s">
        <v>62</v>
      </c>
      <c r="H76" s="218" t="s">
        <v>60</v>
      </c>
      <c r="I76" s="202">
        <v>1</v>
      </c>
      <c r="J76" s="202" t="s">
        <v>60</v>
      </c>
      <c r="K76" s="202" t="s">
        <v>60</v>
      </c>
      <c r="L76" s="202" t="s">
        <v>71</v>
      </c>
      <c r="M76" s="202">
        <v>2</v>
      </c>
      <c r="N76" s="218" t="s">
        <v>122</v>
      </c>
    </row>
    <row r="77" spans="1:14" s="13" customFormat="1" ht="15.75" x14ac:dyDescent="0.25">
      <c r="A77" s="203" t="s">
        <v>16</v>
      </c>
      <c r="B77" s="203">
        <v>2</v>
      </c>
      <c r="C77" s="203" t="s">
        <v>110</v>
      </c>
      <c r="D77" s="203" t="s">
        <v>63</v>
      </c>
      <c r="E77" s="203">
        <v>37.5</v>
      </c>
      <c r="F77" s="203" t="s">
        <v>62</v>
      </c>
      <c r="G77" s="203" t="s">
        <v>62</v>
      </c>
      <c r="H77" s="216" t="s">
        <v>60</v>
      </c>
      <c r="I77" s="203">
        <v>1.03</v>
      </c>
      <c r="J77" s="203">
        <v>0.7</v>
      </c>
      <c r="K77" s="203">
        <v>1.52</v>
      </c>
      <c r="L77" s="203" t="s">
        <v>71</v>
      </c>
      <c r="M77" s="203">
        <v>2</v>
      </c>
      <c r="N77" s="216" t="s">
        <v>132</v>
      </c>
    </row>
    <row r="78" spans="1:14" s="13" customFormat="1" ht="15.75" x14ac:dyDescent="0.25">
      <c r="A78" s="203" t="s">
        <v>16</v>
      </c>
      <c r="B78" s="203">
        <v>2</v>
      </c>
      <c r="C78" s="203" t="s">
        <v>110</v>
      </c>
      <c r="D78" s="203" t="s">
        <v>64</v>
      </c>
      <c r="E78" s="203">
        <v>62.5</v>
      </c>
      <c r="F78" s="203" t="s">
        <v>62</v>
      </c>
      <c r="G78" s="203" t="s">
        <v>62</v>
      </c>
      <c r="H78" s="216" t="s">
        <v>60</v>
      </c>
      <c r="I78" s="203">
        <v>0.86</v>
      </c>
      <c r="J78" s="203">
        <v>0.56999999999999995</v>
      </c>
      <c r="K78" s="203">
        <v>1.29</v>
      </c>
      <c r="L78" s="203" t="s">
        <v>71</v>
      </c>
      <c r="M78" s="203">
        <v>2</v>
      </c>
      <c r="N78" s="216" t="s">
        <v>659</v>
      </c>
    </row>
    <row r="79" spans="1:14" s="30" customFormat="1" ht="16.5" thickBot="1" x14ac:dyDescent="0.3">
      <c r="A79" s="204" t="s">
        <v>16</v>
      </c>
      <c r="B79" s="204">
        <v>2</v>
      </c>
      <c r="C79" s="204" t="s">
        <v>110</v>
      </c>
      <c r="D79" s="204" t="s">
        <v>65</v>
      </c>
      <c r="E79" s="204">
        <v>87.5</v>
      </c>
      <c r="F79" s="204" t="s">
        <v>62</v>
      </c>
      <c r="G79" s="204" t="s">
        <v>62</v>
      </c>
      <c r="H79" s="217" t="s">
        <v>60</v>
      </c>
      <c r="I79" s="204">
        <v>1.61</v>
      </c>
      <c r="J79" s="204">
        <v>1.1100000000000001</v>
      </c>
      <c r="K79" s="204">
        <v>2.33</v>
      </c>
      <c r="L79" s="204" t="s">
        <v>71</v>
      </c>
      <c r="M79" s="204">
        <v>2</v>
      </c>
      <c r="N79" s="242"/>
    </row>
    <row r="80" spans="1:14" s="150" customFormat="1" ht="15.75" x14ac:dyDescent="0.25">
      <c r="A80" s="220" t="s">
        <v>18</v>
      </c>
      <c r="B80" s="220">
        <v>2</v>
      </c>
      <c r="C80" s="220" t="s">
        <v>59</v>
      </c>
      <c r="D80" s="220" t="s">
        <v>61</v>
      </c>
      <c r="E80" s="220">
        <v>12.5</v>
      </c>
      <c r="F80" s="220">
        <v>440</v>
      </c>
      <c r="G80" s="220">
        <v>16889</v>
      </c>
      <c r="H80" s="200" t="s">
        <v>629</v>
      </c>
      <c r="I80" s="220">
        <v>1</v>
      </c>
      <c r="J80" s="220" t="s">
        <v>60</v>
      </c>
      <c r="K80" s="220" t="s">
        <v>60</v>
      </c>
      <c r="L80" s="220" t="s">
        <v>71</v>
      </c>
      <c r="M80" s="220">
        <v>1</v>
      </c>
      <c r="N80" s="200" t="s">
        <v>130</v>
      </c>
    </row>
    <row r="81" spans="1:14" s="151" customFormat="1" ht="15.75" x14ac:dyDescent="0.25">
      <c r="A81" s="158" t="s">
        <v>18</v>
      </c>
      <c r="B81" s="158">
        <v>2</v>
      </c>
      <c r="C81" s="158" t="s">
        <v>59</v>
      </c>
      <c r="D81" s="158" t="s">
        <v>63</v>
      </c>
      <c r="E81" s="158">
        <v>37.5</v>
      </c>
      <c r="F81" s="158">
        <v>466</v>
      </c>
      <c r="G81" s="158">
        <v>16790</v>
      </c>
      <c r="H81" s="222" t="s">
        <v>629</v>
      </c>
      <c r="I81" s="158">
        <v>1.1499999999999999</v>
      </c>
      <c r="J81" s="158">
        <v>1.01</v>
      </c>
      <c r="K81" s="158">
        <v>1.32</v>
      </c>
      <c r="L81" s="158" t="s">
        <v>71</v>
      </c>
      <c r="M81" s="158">
        <v>1</v>
      </c>
      <c r="N81" s="222"/>
    </row>
    <row r="82" spans="1:14" s="151" customFormat="1" ht="15.75" x14ac:dyDescent="0.25">
      <c r="A82" s="158" t="s">
        <v>18</v>
      </c>
      <c r="B82" s="158">
        <v>2</v>
      </c>
      <c r="C82" s="158" t="s">
        <v>59</v>
      </c>
      <c r="D82" s="158" t="s">
        <v>64</v>
      </c>
      <c r="E82" s="158">
        <v>62.5</v>
      </c>
      <c r="F82" s="158">
        <v>512</v>
      </c>
      <c r="G82" s="158">
        <v>16522</v>
      </c>
      <c r="H82" s="222" t="s">
        <v>629</v>
      </c>
      <c r="I82" s="158">
        <v>1.24</v>
      </c>
      <c r="J82" s="158">
        <v>1.0900000000000001</v>
      </c>
      <c r="K82" s="158">
        <v>1.43</v>
      </c>
      <c r="L82" s="158" t="s">
        <v>71</v>
      </c>
      <c r="M82" s="158">
        <v>1</v>
      </c>
      <c r="N82" s="222"/>
    </row>
    <row r="83" spans="1:14" s="152" customFormat="1" ht="16.5" thickBot="1" x14ac:dyDescent="0.3">
      <c r="A83" s="223" t="s">
        <v>18</v>
      </c>
      <c r="B83" s="223">
        <v>2</v>
      </c>
      <c r="C83" s="223" t="s">
        <v>59</v>
      </c>
      <c r="D83" s="223" t="s">
        <v>65</v>
      </c>
      <c r="E83" s="223">
        <v>87.5</v>
      </c>
      <c r="F83" s="223">
        <v>521</v>
      </c>
      <c r="G83" s="223">
        <v>16423</v>
      </c>
      <c r="H83" s="224" t="s">
        <v>629</v>
      </c>
      <c r="I83" s="223">
        <v>1.26</v>
      </c>
      <c r="J83" s="223">
        <v>1.1000000000000001</v>
      </c>
      <c r="K83" s="223">
        <v>1.45</v>
      </c>
      <c r="L83" s="223" t="s">
        <v>71</v>
      </c>
      <c r="M83" s="223">
        <v>1</v>
      </c>
      <c r="N83" s="224"/>
    </row>
    <row r="84" spans="1:14" s="13" customFormat="1" ht="15.75" x14ac:dyDescent="0.25">
      <c r="A84" s="202" t="s">
        <v>126</v>
      </c>
      <c r="B84" s="202">
        <v>2</v>
      </c>
      <c r="C84" s="202" t="s">
        <v>127</v>
      </c>
      <c r="D84" s="202" t="s">
        <v>94</v>
      </c>
      <c r="E84" s="202">
        <v>16.66</v>
      </c>
      <c r="F84" s="202">
        <v>549</v>
      </c>
      <c r="G84" s="202">
        <v>44928</v>
      </c>
      <c r="H84" s="218" t="s">
        <v>629</v>
      </c>
      <c r="I84" s="202">
        <v>1</v>
      </c>
      <c r="J84" s="202" t="s">
        <v>60</v>
      </c>
      <c r="K84" s="202" t="s">
        <v>60</v>
      </c>
      <c r="L84" s="202" t="s">
        <v>71</v>
      </c>
      <c r="M84" s="202">
        <v>2</v>
      </c>
      <c r="N84" s="218" t="s">
        <v>128</v>
      </c>
    </row>
    <row r="85" spans="1:14" s="13" customFormat="1" ht="15.75" x14ac:dyDescent="0.25">
      <c r="A85" s="203" t="s">
        <v>126</v>
      </c>
      <c r="B85" s="203">
        <v>2</v>
      </c>
      <c r="C85" s="203" t="s">
        <v>127</v>
      </c>
      <c r="D85" s="203" t="s">
        <v>97</v>
      </c>
      <c r="E85" s="203">
        <v>50</v>
      </c>
      <c r="F85" s="203">
        <v>570</v>
      </c>
      <c r="G85" s="203">
        <v>44928</v>
      </c>
      <c r="H85" s="216" t="s">
        <v>629</v>
      </c>
      <c r="I85" s="203">
        <v>0.99</v>
      </c>
      <c r="J85" s="203">
        <v>0.88</v>
      </c>
      <c r="K85" s="203">
        <v>1.1200000000000001</v>
      </c>
      <c r="L85" s="203" t="s">
        <v>71</v>
      </c>
      <c r="M85" s="203">
        <v>2</v>
      </c>
      <c r="N85" s="243" t="s">
        <v>129</v>
      </c>
    </row>
    <row r="86" spans="1:14" s="30" customFormat="1" ht="16.5" thickBot="1" x14ac:dyDescent="0.3">
      <c r="A86" s="204" t="s">
        <v>126</v>
      </c>
      <c r="B86" s="204">
        <v>2</v>
      </c>
      <c r="C86" s="204" t="s">
        <v>127</v>
      </c>
      <c r="D86" s="204" t="s">
        <v>99</v>
      </c>
      <c r="E86" s="204">
        <v>83.33</v>
      </c>
      <c r="F86" s="204">
        <v>583</v>
      </c>
      <c r="G86" s="204">
        <v>44928</v>
      </c>
      <c r="H86" s="217" t="s">
        <v>629</v>
      </c>
      <c r="I86" s="204">
        <v>1.21</v>
      </c>
      <c r="J86" s="204">
        <v>1.06</v>
      </c>
      <c r="K86" s="204">
        <v>1.37</v>
      </c>
      <c r="L86" s="204" t="s">
        <v>71</v>
      </c>
      <c r="M86" s="204">
        <v>2</v>
      </c>
      <c r="N86" s="217" t="s">
        <v>194</v>
      </c>
    </row>
    <row r="87" spans="1:14" s="153" customFormat="1" ht="15.75" x14ac:dyDescent="0.25">
      <c r="A87" s="225" t="s">
        <v>19</v>
      </c>
      <c r="B87" s="225">
        <v>2</v>
      </c>
      <c r="C87" s="225" t="s">
        <v>67</v>
      </c>
      <c r="D87" s="225" t="s">
        <v>94</v>
      </c>
      <c r="E87" s="225">
        <v>16.66</v>
      </c>
      <c r="F87" s="225">
        <v>233</v>
      </c>
      <c r="G87" s="225">
        <f xml:space="preserve"> 12*612</f>
        <v>7344</v>
      </c>
      <c r="H87" s="221" t="s">
        <v>629</v>
      </c>
      <c r="I87" s="225">
        <v>1</v>
      </c>
      <c r="J87" s="225" t="s">
        <v>60</v>
      </c>
      <c r="K87" s="225" t="s">
        <v>60</v>
      </c>
      <c r="L87" s="225" t="s">
        <v>71</v>
      </c>
      <c r="M87" s="225">
        <v>1</v>
      </c>
      <c r="N87" s="221" t="s">
        <v>131</v>
      </c>
    </row>
    <row r="88" spans="1:14" s="153" customFormat="1" ht="15.75" x14ac:dyDescent="0.25">
      <c r="A88" s="158" t="s">
        <v>19</v>
      </c>
      <c r="B88" s="158">
        <v>2</v>
      </c>
      <c r="C88" s="158" t="s">
        <v>67</v>
      </c>
      <c r="D88" s="158" t="s">
        <v>97</v>
      </c>
      <c r="E88" s="158">
        <v>50</v>
      </c>
      <c r="F88" s="158">
        <v>242</v>
      </c>
      <c r="G88" s="158">
        <f xml:space="preserve"> 12*613</f>
        <v>7356</v>
      </c>
      <c r="H88" s="222" t="s">
        <v>629</v>
      </c>
      <c r="I88" s="158">
        <v>1.02</v>
      </c>
      <c r="J88" s="158">
        <v>0.85</v>
      </c>
      <c r="K88" s="158">
        <v>1.24</v>
      </c>
      <c r="L88" s="158" t="s">
        <v>71</v>
      </c>
      <c r="M88" s="158">
        <v>1</v>
      </c>
      <c r="N88" s="222" t="s">
        <v>132</v>
      </c>
    </row>
    <row r="89" spans="1:14" s="153" customFormat="1" ht="16.5" thickBot="1" x14ac:dyDescent="0.3">
      <c r="A89" s="227" t="s">
        <v>19</v>
      </c>
      <c r="B89" s="227">
        <v>2</v>
      </c>
      <c r="C89" s="227" t="s">
        <v>67</v>
      </c>
      <c r="D89" s="227" t="s">
        <v>99</v>
      </c>
      <c r="E89" s="227">
        <v>83.33</v>
      </c>
      <c r="F89" s="227">
        <v>239</v>
      </c>
      <c r="G89" s="227">
        <f>12*612</f>
        <v>7344</v>
      </c>
      <c r="H89" s="222" t="s">
        <v>629</v>
      </c>
      <c r="I89" s="227">
        <v>1.35</v>
      </c>
      <c r="J89" s="227">
        <v>1.1000000000000001</v>
      </c>
      <c r="K89" s="227">
        <v>1.67</v>
      </c>
      <c r="L89" s="227" t="s">
        <v>71</v>
      </c>
      <c r="M89" s="227">
        <v>1</v>
      </c>
      <c r="N89" s="228" t="s">
        <v>195</v>
      </c>
    </row>
    <row r="90" spans="1:14" s="31" customFormat="1" ht="15.75" x14ac:dyDescent="0.25">
      <c r="A90" s="214" t="s">
        <v>20</v>
      </c>
      <c r="B90" s="214">
        <v>2</v>
      </c>
      <c r="C90" s="214" t="s">
        <v>70</v>
      </c>
      <c r="D90" s="214" t="s">
        <v>61</v>
      </c>
      <c r="E90" s="214">
        <v>12.5</v>
      </c>
      <c r="F90" s="214">
        <v>36</v>
      </c>
      <c r="G90" s="214">
        <v>12393</v>
      </c>
      <c r="H90" s="215" t="s">
        <v>629</v>
      </c>
      <c r="I90" s="214">
        <v>1</v>
      </c>
      <c r="J90" s="214" t="s">
        <v>60</v>
      </c>
      <c r="K90" s="214" t="s">
        <v>60</v>
      </c>
      <c r="L90" s="214" t="s">
        <v>53</v>
      </c>
      <c r="M90" s="214">
        <v>1</v>
      </c>
      <c r="N90" s="215" t="s">
        <v>133</v>
      </c>
    </row>
    <row r="91" spans="1:14" s="32" customFormat="1" ht="15.75" x14ac:dyDescent="0.25">
      <c r="A91" s="203" t="s">
        <v>20</v>
      </c>
      <c r="B91" s="203">
        <v>2</v>
      </c>
      <c r="C91" s="203" t="s">
        <v>70</v>
      </c>
      <c r="D91" s="203" t="s">
        <v>63</v>
      </c>
      <c r="E91" s="203">
        <v>37.5</v>
      </c>
      <c r="F91" s="203">
        <v>32</v>
      </c>
      <c r="G91" s="203">
        <v>12557</v>
      </c>
      <c r="H91" s="216" t="s">
        <v>629</v>
      </c>
      <c r="I91" s="203">
        <v>0.82</v>
      </c>
      <c r="J91" s="203">
        <v>0.34</v>
      </c>
      <c r="K91" s="203">
        <v>1.99</v>
      </c>
      <c r="L91" s="203" t="s">
        <v>53</v>
      </c>
      <c r="M91" s="203">
        <v>1</v>
      </c>
      <c r="N91" s="216" t="s">
        <v>134</v>
      </c>
    </row>
    <row r="92" spans="1:14" s="32" customFormat="1" ht="15.75" x14ac:dyDescent="0.25">
      <c r="A92" s="203" t="s">
        <v>20</v>
      </c>
      <c r="B92" s="203">
        <v>2</v>
      </c>
      <c r="C92" s="203" t="s">
        <v>70</v>
      </c>
      <c r="D92" s="203" t="s">
        <v>64</v>
      </c>
      <c r="E92" s="203">
        <v>62.5</v>
      </c>
      <c r="F92" s="203">
        <v>33</v>
      </c>
      <c r="G92" s="203">
        <v>12680</v>
      </c>
      <c r="H92" s="216" t="s">
        <v>629</v>
      </c>
      <c r="I92" s="203">
        <v>1.8</v>
      </c>
      <c r="J92" s="203">
        <v>0.32</v>
      </c>
      <c r="K92" s="203">
        <v>2</v>
      </c>
      <c r="L92" s="203" t="s">
        <v>53</v>
      </c>
      <c r="M92" s="203">
        <v>1</v>
      </c>
      <c r="N92" s="216"/>
    </row>
    <row r="93" spans="1:14" s="30" customFormat="1" ht="16.5" thickBot="1" x14ac:dyDescent="0.3">
      <c r="A93" s="204" t="s">
        <v>20</v>
      </c>
      <c r="B93" s="204">
        <v>2</v>
      </c>
      <c r="C93" s="204" t="s">
        <v>70</v>
      </c>
      <c r="D93" s="204" t="s">
        <v>65</v>
      </c>
      <c r="E93" s="204">
        <v>87.5</v>
      </c>
      <c r="F93" s="204">
        <v>15</v>
      </c>
      <c r="G93" s="204">
        <v>12653</v>
      </c>
      <c r="H93" s="217" t="s">
        <v>629</v>
      </c>
      <c r="I93" s="204">
        <v>1.33</v>
      </c>
      <c r="J93" s="204">
        <v>0.65</v>
      </c>
      <c r="K93" s="204">
        <v>3.6</v>
      </c>
      <c r="L93" s="204" t="s">
        <v>53</v>
      </c>
      <c r="M93" s="204">
        <v>1</v>
      </c>
      <c r="N93" s="217"/>
    </row>
    <row r="94" spans="1:14" s="153" customFormat="1" ht="15.75" customHeight="1" x14ac:dyDescent="0.25">
      <c r="A94" s="225" t="s">
        <v>135</v>
      </c>
      <c r="B94" s="225">
        <v>3</v>
      </c>
      <c r="C94" s="225" t="s">
        <v>106</v>
      </c>
      <c r="D94" s="225" t="s">
        <v>61</v>
      </c>
      <c r="E94" s="225">
        <v>12.5</v>
      </c>
      <c r="F94" s="225">
        <v>144</v>
      </c>
      <c r="G94" s="225">
        <v>9222</v>
      </c>
      <c r="H94" s="221" t="s">
        <v>627</v>
      </c>
      <c r="I94" s="225">
        <v>1</v>
      </c>
      <c r="J94" s="225" t="s">
        <v>60</v>
      </c>
      <c r="K94" s="225" t="s">
        <v>60</v>
      </c>
      <c r="L94" s="225" t="s">
        <v>74</v>
      </c>
      <c r="M94" s="225">
        <v>1</v>
      </c>
      <c r="N94" s="226" t="s">
        <v>649</v>
      </c>
    </row>
    <row r="95" spans="1:14" s="153" customFormat="1" ht="15.75" x14ac:dyDescent="0.25">
      <c r="A95" s="158" t="s">
        <v>135</v>
      </c>
      <c r="B95" s="158">
        <v>3</v>
      </c>
      <c r="C95" s="158" t="s">
        <v>106</v>
      </c>
      <c r="D95" s="158" t="s">
        <v>63</v>
      </c>
      <c r="E95" s="158">
        <v>37.5</v>
      </c>
      <c r="F95" s="158">
        <v>126</v>
      </c>
      <c r="G95" s="158">
        <v>9222</v>
      </c>
      <c r="H95" s="222" t="s">
        <v>627</v>
      </c>
      <c r="I95" s="158">
        <v>0.93</v>
      </c>
      <c r="J95" s="158">
        <v>0.72</v>
      </c>
      <c r="K95" s="158">
        <v>1.18</v>
      </c>
      <c r="L95" s="158" t="s">
        <v>74</v>
      </c>
      <c r="M95" s="158">
        <v>1</v>
      </c>
      <c r="N95" s="222" t="s">
        <v>136</v>
      </c>
    </row>
    <row r="96" spans="1:14" s="153" customFormat="1" ht="15.75" x14ac:dyDescent="0.25">
      <c r="A96" s="158" t="s">
        <v>135</v>
      </c>
      <c r="B96" s="158">
        <v>3</v>
      </c>
      <c r="C96" s="158" t="s">
        <v>106</v>
      </c>
      <c r="D96" s="158" t="s">
        <v>64</v>
      </c>
      <c r="E96" s="158">
        <v>62.5</v>
      </c>
      <c r="F96" s="158">
        <v>130</v>
      </c>
      <c r="G96" s="158">
        <v>9223</v>
      </c>
      <c r="H96" s="222" t="s">
        <v>627</v>
      </c>
      <c r="I96" s="158">
        <v>0.99</v>
      </c>
      <c r="J96" s="158">
        <v>0.77</v>
      </c>
      <c r="K96" s="158">
        <v>1.28</v>
      </c>
      <c r="L96" s="158" t="s">
        <v>74</v>
      </c>
      <c r="M96" s="158">
        <v>1</v>
      </c>
      <c r="N96" s="222"/>
    </row>
    <row r="97" spans="1:14" s="153" customFormat="1" ht="15.75" x14ac:dyDescent="0.25">
      <c r="A97" s="158" t="s">
        <v>135</v>
      </c>
      <c r="B97" s="158">
        <v>3</v>
      </c>
      <c r="C97" s="158" t="s">
        <v>106</v>
      </c>
      <c r="D97" s="158" t="s">
        <v>65</v>
      </c>
      <c r="E97" s="158">
        <v>87.5</v>
      </c>
      <c r="F97" s="158">
        <v>102</v>
      </c>
      <c r="G97" s="158">
        <v>9222</v>
      </c>
      <c r="H97" s="222" t="s">
        <v>627</v>
      </c>
      <c r="I97" s="158">
        <v>0.81</v>
      </c>
      <c r="J97" s="158">
        <v>0.61</v>
      </c>
      <c r="K97" s="158">
        <v>1.08</v>
      </c>
      <c r="L97" s="158" t="s">
        <v>74</v>
      </c>
      <c r="M97" s="158">
        <v>1</v>
      </c>
      <c r="N97" s="222"/>
    </row>
    <row r="98" spans="1:14" s="153" customFormat="1" ht="15.75" x14ac:dyDescent="0.25">
      <c r="A98" s="158" t="s">
        <v>137</v>
      </c>
      <c r="B98" s="158">
        <v>3</v>
      </c>
      <c r="C98" s="158" t="s">
        <v>106</v>
      </c>
      <c r="D98" s="158" t="s">
        <v>61</v>
      </c>
      <c r="E98" s="158">
        <v>12.5</v>
      </c>
      <c r="F98" s="158">
        <v>160</v>
      </c>
      <c r="G98" s="158">
        <v>6954</v>
      </c>
      <c r="H98" s="222" t="s">
        <v>627</v>
      </c>
      <c r="I98" s="158">
        <v>1</v>
      </c>
      <c r="J98" s="158" t="s">
        <v>60</v>
      </c>
      <c r="K98" s="158" t="s">
        <v>60</v>
      </c>
      <c r="L98" s="158" t="s">
        <v>74</v>
      </c>
      <c r="M98" s="158">
        <v>1</v>
      </c>
      <c r="N98" s="222"/>
    </row>
    <row r="99" spans="1:14" s="153" customFormat="1" ht="15.75" x14ac:dyDescent="0.25">
      <c r="A99" s="158" t="s">
        <v>137</v>
      </c>
      <c r="B99" s="158">
        <v>3</v>
      </c>
      <c r="C99" s="158" t="s">
        <v>106</v>
      </c>
      <c r="D99" s="158" t="s">
        <v>63</v>
      </c>
      <c r="E99" s="158">
        <v>37.5</v>
      </c>
      <c r="F99" s="158">
        <v>162</v>
      </c>
      <c r="G99" s="158">
        <v>6954</v>
      </c>
      <c r="H99" s="222" t="s">
        <v>627</v>
      </c>
      <c r="I99" s="158">
        <v>1.05</v>
      </c>
      <c r="J99" s="158">
        <v>0.84</v>
      </c>
      <c r="K99" s="158">
        <v>1.31</v>
      </c>
      <c r="L99" s="158" t="s">
        <v>74</v>
      </c>
      <c r="M99" s="158">
        <v>1</v>
      </c>
      <c r="N99" s="222"/>
    </row>
    <row r="100" spans="1:14" s="153" customFormat="1" ht="15.75" x14ac:dyDescent="0.25">
      <c r="A100" s="158" t="s">
        <v>137</v>
      </c>
      <c r="B100" s="158">
        <v>3</v>
      </c>
      <c r="C100" s="158" t="s">
        <v>106</v>
      </c>
      <c r="D100" s="158" t="s">
        <v>64</v>
      </c>
      <c r="E100" s="158">
        <v>62.5</v>
      </c>
      <c r="F100" s="158">
        <v>191</v>
      </c>
      <c r="G100" s="158">
        <v>6954</v>
      </c>
      <c r="H100" s="222" t="s">
        <v>627</v>
      </c>
      <c r="I100" s="158">
        <v>1.26</v>
      </c>
      <c r="J100" s="158">
        <v>1.01</v>
      </c>
      <c r="K100" s="158">
        <v>1.57</v>
      </c>
      <c r="L100" s="158" t="s">
        <v>74</v>
      </c>
      <c r="M100" s="158">
        <v>1</v>
      </c>
      <c r="N100" s="222"/>
    </row>
    <row r="101" spans="1:14" s="153" customFormat="1" ht="16.5" thickBot="1" x14ac:dyDescent="0.3">
      <c r="A101" s="227" t="s">
        <v>137</v>
      </c>
      <c r="B101" s="227">
        <v>3</v>
      </c>
      <c r="C101" s="227" t="s">
        <v>106</v>
      </c>
      <c r="D101" s="227" t="s">
        <v>65</v>
      </c>
      <c r="E101" s="227">
        <v>87.5</v>
      </c>
      <c r="F101" s="227">
        <v>179</v>
      </c>
      <c r="G101" s="227">
        <v>6954</v>
      </c>
      <c r="H101" s="228" t="s">
        <v>627</v>
      </c>
      <c r="I101" s="227">
        <v>1.1499999999999999</v>
      </c>
      <c r="J101" s="227">
        <v>0.9</v>
      </c>
      <c r="K101" s="227">
        <v>1.46</v>
      </c>
      <c r="L101" s="227" t="s">
        <v>74</v>
      </c>
      <c r="M101" s="227">
        <v>1</v>
      </c>
      <c r="N101" s="228"/>
    </row>
    <row r="102" spans="1:14" s="31" customFormat="1" ht="15.75" x14ac:dyDescent="0.25">
      <c r="A102" s="214" t="s">
        <v>22</v>
      </c>
      <c r="B102" s="214">
        <v>2</v>
      </c>
      <c r="C102" s="214" t="s">
        <v>67</v>
      </c>
      <c r="D102" s="214" t="s">
        <v>73</v>
      </c>
      <c r="E102" s="214">
        <v>10</v>
      </c>
      <c r="F102" s="214">
        <v>32</v>
      </c>
      <c r="G102" s="214">
        <v>4877</v>
      </c>
      <c r="H102" s="215" t="s">
        <v>629</v>
      </c>
      <c r="I102" s="214">
        <v>1</v>
      </c>
      <c r="J102" s="214" t="s">
        <v>60</v>
      </c>
      <c r="K102" s="214" t="s">
        <v>60</v>
      </c>
      <c r="L102" s="214" t="s">
        <v>71</v>
      </c>
      <c r="M102" s="214">
        <v>1</v>
      </c>
      <c r="N102" s="215" t="s">
        <v>138</v>
      </c>
    </row>
    <row r="103" spans="1:14" s="32" customFormat="1" ht="15.75" x14ac:dyDescent="0.25">
      <c r="A103" s="203" t="s">
        <v>22</v>
      </c>
      <c r="B103" s="203">
        <v>2</v>
      </c>
      <c r="C103" s="203" t="s">
        <v>67</v>
      </c>
      <c r="D103" s="203" t="s">
        <v>76</v>
      </c>
      <c r="E103" s="203">
        <v>30</v>
      </c>
      <c r="F103" s="203">
        <v>41</v>
      </c>
      <c r="G103" s="203">
        <v>4830</v>
      </c>
      <c r="H103" s="216" t="s">
        <v>629</v>
      </c>
      <c r="I103" s="203">
        <v>1.21</v>
      </c>
      <c r="J103" s="203">
        <v>0.75</v>
      </c>
      <c r="K103" s="203">
        <v>1.94</v>
      </c>
      <c r="L103" s="203" t="s">
        <v>71</v>
      </c>
      <c r="M103" s="203">
        <v>1</v>
      </c>
      <c r="N103" s="216"/>
    </row>
    <row r="104" spans="1:14" s="32" customFormat="1" ht="15.75" x14ac:dyDescent="0.25">
      <c r="A104" s="203" t="s">
        <v>22</v>
      </c>
      <c r="B104" s="203">
        <v>2</v>
      </c>
      <c r="C104" s="203" t="s">
        <v>67</v>
      </c>
      <c r="D104" s="203" t="s">
        <v>77</v>
      </c>
      <c r="E104" s="203">
        <v>50</v>
      </c>
      <c r="F104" s="203">
        <v>37</v>
      </c>
      <c r="G104" s="203">
        <v>4891</v>
      </c>
      <c r="H104" s="216" t="s">
        <v>629</v>
      </c>
      <c r="I104" s="203">
        <v>1.1399999999999999</v>
      </c>
      <c r="J104" s="203">
        <v>0.69</v>
      </c>
      <c r="K104" s="203">
        <v>1.89</v>
      </c>
      <c r="L104" s="203" t="s">
        <v>71</v>
      </c>
      <c r="M104" s="203">
        <v>1</v>
      </c>
      <c r="N104" s="216"/>
    </row>
    <row r="105" spans="1:14" s="32" customFormat="1" ht="15.75" x14ac:dyDescent="0.25">
      <c r="A105" s="203" t="s">
        <v>22</v>
      </c>
      <c r="B105" s="203">
        <v>2</v>
      </c>
      <c r="C105" s="203" t="s">
        <v>67</v>
      </c>
      <c r="D105" s="203" t="s">
        <v>78</v>
      </c>
      <c r="E105" s="203">
        <v>70</v>
      </c>
      <c r="F105" s="203">
        <v>46</v>
      </c>
      <c r="G105" s="203">
        <v>4833</v>
      </c>
      <c r="H105" s="216" t="s">
        <v>629</v>
      </c>
      <c r="I105" s="203">
        <v>1.41</v>
      </c>
      <c r="J105" s="203">
        <v>0.84</v>
      </c>
      <c r="K105" s="203">
        <v>2.37</v>
      </c>
      <c r="L105" s="203" t="s">
        <v>71</v>
      </c>
      <c r="M105" s="203">
        <v>1</v>
      </c>
      <c r="N105" s="216"/>
    </row>
    <row r="106" spans="1:14" s="30" customFormat="1" ht="16.5" thickBot="1" x14ac:dyDescent="0.3">
      <c r="A106" s="204" t="s">
        <v>22</v>
      </c>
      <c r="B106" s="204">
        <v>2</v>
      </c>
      <c r="C106" s="204" t="s">
        <v>67</v>
      </c>
      <c r="D106" s="204" t="s">
        <v>79</v>
      </c>
      <c r="E106" s="204">
        <v>90</v>
      </c>
      <c r="F106" s="204">
        <v>51</v>
      </c>
      <c r="G106" s="204">
        <v>4820</v>
      </c>
      <c r="H106" s="217" t="s">
        <v>629</v>
      </c>
      <c r="I106" s="204">
        <v>1.82</v>
      </c>
      <c r="J106" s="204">
        <v>0.99</v>
      </c>
      <c r="K106" s="204">
        <v>3.35</v>
      </c>
      <c r="L106" s="204" t="s">
        <v>71</v>
      </c>
      <c r="M106" s="204">
        <v>1</v>
      </c>
      <c r="N106" s="217"/>
    </row>
    <row r="107" spans="1:14" s="150" customFormat="1" ht="15.75" x14ac:dyDescent="0.25">
      <c r="A107" s="220" t="s">
        <v>23</v>
      </c>
      <c r="B107" s="220">
        <v>2</v>
      </c>
      <c r="C107" s="220" t="s">
        <v>106</v>
      </c>
      <c r="D107" s="220" t="s">
        <v>139</v>
      </c>
      <c r="E107" s="220">
        <v>0</v>
      </c>
      <c r="F107" s="220">
        <v>1102</v>
      </c>
      <c r="G107" s="220">
        <v>20761</v>
      </c>
      <c r="H107" s="200" t="s">
        <v>627</v>
      </c>
      <c r="I107" s="220">
        <v>1</v>
      </c>
      <c r="J107" s="220" t="s">
        <v>60</v>
      </c>
      <c r="K107" s="220" t="s">
        <v>60</v>
      </c>
      <c r="L107" s="220" t="s">
        <v>71</v>
      </c>
      <c r="M107" s="220">
        <v>1</v>
      </c>
      <c r="N107" s="200" t="s">
        <v>654</v>
      </c>
    </row>
    <row r="108" spans="1:14" s="151" customFormat="1" ht="15.75" x14ac:dyDescent="0.25">
      <c r="A108" s="158" t="s">
        <v>23</v>
      </c>
      <c r="B108" s="158">
        <v>2</v>
      </c>
      <c r="C108" s="158" t="s">
        <v>106</v>
      </c>
      <c r="D108" s="158" t="s">
        <v>140</v>
      </c>
      <c r="E108" s="158">
        <v>16.66</v>
      </c>
      <c r="F108" s="158">
        <v>901</v>
      </c>
      <c r="G108" s="158">
        <v>17615</v>
      </c>
      <c r="H108" s="222" t="s">
        <v>627</v>
      </c>
      <c r="I108" s="158">
        <v>1.02</v>
      </c>
      <c r="J108" s="158">
        <v>0.95</v>
      </c>
      <c r="K108" s="158">
        <v>1.1399999999999999</v>
      </c>
      <c r="L108" s="158" t="s">
        <v>71</v>
      </c>
      <c r="M108" s="158">
        <v>1</v>
      </c>
      <c r="N108" s="222"/>
    </row>
    <row r="109" spans="1:14" s="151" customFormat="1" ht="15.75" x14ac:dyDescent="0.25">
      <c r="A109" s="158" t="s">
        <v>23</v>
      </c>
      <c r="B109" s="158">
        <v>2</v>
      </c>
      <c r="C109" s="158" t="s">
        <v>106</v>
      </c>
      <c r="D109" s="158" t="s">
        <v>141</v>
      </c>
      <c r="E109" s="158">
        <v>50</v>
      </c>
      <c r="F109" s="158">
        <v>131</v>
      </c>
      <c r="G109" s="158">
        <v>2586</v>
      </c>
      <c r="H109" s="222" t="s">
        <v>627</v>
      </c>
      <c r="I109" s="158">
        <v>1.21</v>
      </c>
      <c r="J109" s="158">
        <v>1</v>
      </c>
      <c r="K109" s="158">
        <v>1.47</v>
      </c>
      <c r="L109" s="158" t="s">
        <v>71</v>
      </c>
      <c r="M109" s="158">
        <v>1</v>
      </c>
      <c r="N109" s="222"/>
    </row>
    <row r="110" spans="1:14" s="152" customFormat="1" ht="16.5" thickBot="1" x14ac:dyDescent="0.3">
      <c r="A110" s="223" t="s">
        <v>23</v>
      </c>
      <c r="B110" s="223">
        <v>2</v>
      </c>
      <c r="C110" s="223" t="s">
        <v>106</v>
      </c>
      <c r="D110" s="223" t="s">
        <v>142</v>
      </c>
      <c r="E110" s="223">
        <v>83.33</v>
      </c>
      <c r="F110" s="223">
        <v>118</v>
      </c>
      <c r="G110" s="223">
        <v>2214</v>
      </c>
      <c r="H110" s="224" t="s">
        <v>627</v>
      </c>
      <c r="I110" s="223">
        <v>1.29</v>
      </c>
      <c r="J110" s="223">
        <v>1.05</v>
      </c>
      <c r="K110" s="223">
        <v>1.57</v>
      </c>
      <c r="L110" s="223" t="s">
        <v>71</v>
      </c>
      <c r="M110" s="223">
        <v>1</v>
      </c>
      <c r="N110" s="229"/>
    </row>
    <row r="111" spans="1:14" s="13" customFormat="1" ht="15.75" x14ac:dyDescent="0.25">
      <c r="A111" s="202" t="s">
        <v>38</v>
      </c>
      <c r="B111" s="202">
        <v>2</v>
      </c>
      <c r="C111" s="202" t="s">
        <v>70</v>
      </c>
      <c r="D111" s="202" t="s">
        <v>73</v>
      </c>
      <c r="E111" s="202">
        <v>10</v>
      </c>
      <c r="F111" s="202">
        <v>718</v>
      </c>
      <c r="G111" s="202">
        <v>158384</v>
      </c>
      <c r="H111" s="218" t="s">
        <v>629</v>
      </c>
      <c r="I111" s="202">
        <v>1</v>
      </c>
      <c r="J111" s="202" t="s">
        <v>60</v>
      </c>
      <c r="K111" s="202" t="s">
        <v>60</v>
      </c>
      <c r="L111" s="202" t="s">
        <v>71</v>
      </c>
      <c r="M111" s="202">
        <v>1</v>
      </c>
      <c r="N111" s="218" t="s">
        <v>143</v>
      </c>
    </row>
    <row r="112" spans="1:14" s="13" customFormat="1" ht="15.75" x14ac:dyDescent="0.25">
      <c r="A112" s="203" t="s">
        <v>38</v>
      </c>
      <c r="B112" s="203">
        <v>2</v>
      </c>
      <c r="C112" s="203" t="s">
        <v>70</v>
      </c>
      <c r="D112" s="203" t="s">
        <v>76</v>
      </c>
      <c r="E112" s="203">
        <v>30</v>
      </c>
      <c r="F112" s="203">
        <v>650</v>
      </c>
      <c r="G112" s="203">
        <v>159536</v>
      </c>
      <c r="H112" s="216" t="s">
        <v>629</v>
      </c>
      <c r="I112" s="203">
        <v>0.99</v>
      </c>
      <c r="J112" s="203">
        <v>0.89</v>
      </c>
      <c r="K112" s="203">
        <v>1.1000000000000001</v>
      </c>
      <c r="L112" s="203" t="s">
        <v>71</v>
      </c>
      <c r="M112" s="203">
        <v>1</v>
      </c>
      <c r="N112" s="216"/>
    </row>
    <row r="113" spans="1:14" s="13" customFormat="1" ht="15.75" x14ac:dyDescent="0.25">
      <c r="A113" s="203" t="s">
        <v>38</v>
      </c>
      <c r="B113" s="203">
        <v>2</v>
      </c>
      <c r="C113" s="203" t="s">
        <v>70</v>
      </c>
      <c r="D113" s="203" t="s">
        <v>77</v>
      </c>
      <c r="E113" s="203">
        <v>50</v>
      </c>
      <c r="F113" s="203">
        <v>621</v>
      </c>
      <c r="G113" s="203">
        <v>158934</v>
      </c>
      <c r="H113" s="216" t="s">
        <v>629</v>
      </c>
      <c r="I113" s="203">
        <v>1.06</v>
      </c>
      <c r="J113" s="203">
        <v>0.95</v>
      </c>
      <c r="K113" s="203">
        <v>1.18</v>
      </c>
      <c r="L113" s="203" t="s">
        <v>71</v>
      </c>
      <c r="M113" s="203">
        <v>1</v>
      </c>
      <c r="N113" s="216"/>
    </row>
    <row r="114" spans="1:14" s="13" customFormat="1" ht="15.75" x14ac:dyDescent="0.25">
      <c r="A114" s="203" t="s">
        <v>38</v>
      </c>
      <c r="B114" s="203">
        <v>2</v>
      </c>
      <c r="C114" s="203" t="s">
        <v>70</v>
      </c>
      <c r="D114" s="203" t="s">
        <v>78</v>
      </c>
      <c r="E114" s="203">
        <v>70</v>
      </c>
      <c r="F114" s="203">
        <v>570</v>
      </c>
      <c r="G114" s="203">
        <v>158629</v>
      </c>
      <c r="H114" s="216" t="s">
        <v>629</v>
      </c>
      <c r="I114" s="203">
        <v>1.0900000000000001</v>
      </c>
      <c r="J114" s="203">
        <v>0.97</v>
      </c>
      <c r="K114" s="203">
        <v>1.23</v>
      </c>
      <c r="L114" s="203" t="s">
        <v>71</v>
      </c>
      <c r="M114" s="203">
        <v>1</v>
      </c>
      <c r="N114" s="216"/>
    </row>
    <row r="115" spans="1:14" s="13" customFormat="1" ht="16.5" thickBot="1" x14ac:dyDescent="0.3">
      <c r="A115" s="205" t="s">
        <v>38</v>
      </c>
      <c r="B115" s="205">
        <v>2</v>
      </c>
      <c r="C115" s="205" t="s">
        <v>70</v>
      </c>
      <c r="D115" s="205" t="s">
        <v>79</v>
      </c>
      <c r="E115" s="205">
        <v>90</v>
      </c>
      <c r="F115" s="205">
        <v>538</v>
      </c>
      <c r="G115" s="205">
        <v>158465</v>
      </c>
      <c r="H115" s="219" t="s">
        <v>629</v>
      </c>
      <c r="I115" s="205">
        <v>1.23</v>
      </c>
      <c r="J115" s="205">
        <v>1.07</v>
      </c>
      <c r="K115" s="205">
        <v>1.4</v>
      </c>
      <c r="L115" s="205" t="s">
        <v>71</v>
      </c>
      <c r="M115" s="205">
        <v>1</v>
      </c>
      <c r="N115" s="219"/>
    </row>
    <row r="116" spans="1:14" s="149" customFormat="1" ht="14.25" customHeight="1" thickBot="1" x14ac:dyDescent="0.3">
      <c r="A116" s="244" t="s">
        <v>24</v>
      </c>
      <c r="B116" s="244" t="s">
        <v>144</v>
      </c>
      <c r="C116" s="244" t="s">
        <v>59</v>
      </c>
      <c r="D116" s="244" t="s">
        <v>60</v>
      </c>
      <c r="E116" s="244" t="s">
        <v>60</v>
      </c>
      <c r="F116" s="244">
        <v>21</v>
      </c>
      <c r="G116" s="244">
        <v>427</v>
      </c>
      <c r="H116" s="245" t="s">
        <v>627</v>
      </c>
      <c r="I116" s="244">
        <v>-0.15</v>
      </c>
      <c r="J116" s="244">
        <v>-0.5</v>
      </c>
      <c r="K116" s="244">
        <v>0.19</v>
      </c>
      <c r="L116" s="244" t="s">
        <v>145</v>
      </c>
      <c r="M116" s="244" t="s">
        <v>60</v>
      </c>
      <c r="N116" s="246" t="s">
        <v>650</v>
      </c>
    </row>
    <row r="117" spans="1:14" s="13" customFormat="1" ht="16.5" thickBot="1" x14ac:dyDescent="0.3">
      <c r="A117" s="247" t="s">
        <v>25</v>
      </c>
      <c r="B117" s="247">
        <v>2</v>
      </c>
      <c r="C117" s="247" t="s">
        <v>146</v>
      </c>
      <c r="D117" s="247" t="s">
        <v>60</v>
      </c>
      <c r="E117" s="247" t="s">
        <v>62</v>
      </c>
      <c r="F117" s="247">
        <v>280</v>
      </c>
      <c r="G117" s="247">
        <v>7316</v>
      </c>
      <c r="H117" s="248" t="s">
        <v>62</v>
      </c>
      <c r="I117" s="247">
        <v>1.1000000000000001</v>
      </c>
      <c r="J117" s="247">
        <v>0.97</v>
      </c>
      <c r="K117" s="247">
        <v>1.24</v>
      </c>
      <c r="L117" s="247" t="s">
        <v>71</v>
      </c>
      <c r="M117" s="247">
        <v>2</v>
      </c>
      <c r="N117" s="248" t="s">
        <v>147</v>
      </c>
    </row>
    <row r="118" spans="1:14" s="150" customFormat="1" ht="15.75" x14ac:dyDescent="0.25">
      <c r="A118" s="220" t="s">
        <v>26</v>
      </c>
      <c r="B118" s="220">
        <v>3</v>
      </c>
      <c r="C118" s="220" t="s">
        <v>59</v>
      </c>
      <c r="D118" s="220" t="s">
        <v>94</v>
      </c>
      <c r="E118" s="220">
        <v>16.66</v>
      </c>
      <c r="F118" s="220">
        <v>298</v>
      </c>
      <c r="G118" s="220" t="s">
        <v>62</v>
      </c>
      <c r="H118" s="200" t="s">
        <v>60</v>
      </c>
      <c r="I118" s="220">
        <v>1</v>
      </c>
      <c r="J118" s="220" t="s">
        <v>60</v>
      </c>
      <c r="K118" s="220" t="s">
        <v>60</v>
      </c>
      <c r="L118" s="220" t="s">
        <v>74</v>
      </c>
      <c r="M118" s="220" t="s">
        <v>60</v>
      </c>
      <c r="N118" s="200" t="s">
        <v>148</v>
      </c>
    </row>
    <row r="119" spans="1:14" s="151" customFormat="1" ht="15.75" x14ac:dyDescent="0.25">
      <c r="A119" s="158" t="s">
        <v>26</v>
      </c>
      <c r="B119" s="158">
        <v>3</v>
      </c>
      <c r="C119" s="158" t="s">
        <v>59</v>
      </c>
      <c r="D119" s="158" t="s">
        <v>97</v>
      </c>
      <c r="E119" s="158">
        <v>50</v>
      </c>
      <c r="F119" s="158">
        <v>298</v>
      </c>
      <c r="G119" s="158" t="s">
        <v>62</v>
      </c>
      <c r="H119" s="222" t="s">
        <v>60</v>
      </c>
      <c r="I119" s="158">
        <v>1.08</v>
      </c>
      <c r="J119" s="158">
        <v>0.88</v>
      </c>
      <c r="K119" s="158">
        <v>1.33</v>
      </c>
      <c r="L119" s="158" t="s">
        <v>74</v>
      </c>
      <c r="M119" s="158" t="s">
        <v>60</v>
      </c>
      <c r="N119" s="222"/>
    </row>
    <row r="120" spans="1:14" s="152" customFormat="1" ht="16.5" thickBot="1" x14ac:dyDescent="0.3">
      <c r="A120" s="223" t="s">
        <v>26</v>
      </c>
      <c r="B120" s="223">
        <v>3</v>
      </c>
      <c r="C120" s="223" t="s">
        <v>59</v>
      </c>
      <c r="D120" s="223" t="s">
        <v>99</v>
      </c>
      <c r="E120" s="223">
        <v>83.33</v>
      </c>
      <c r="F120" s="223">
        <v>253</v>
      </c>
      <c r="G120" s="223" t="s">
        <v>62</v>
      </c>
      <c r="H120" s="224" t="s">
        <v>60</v>
      </c>
      <c r="I120" s="223">
        <v>0.97</v>
      </c>
      <c r="J120" s="223">
        <v>0.77</v>
      </c>
      <c r="K120" s="223">
        <v>1.22</v>
      </c>
      <c r="L120" s="223" t="s">
        <v>74</v>
      </c>
      <c r="M120" s="223" t="s">
        <v>60</v>
      </c>
      <c r="N120" s="224"/>
    </row>
    <row r="121" spans="1:14" s="153" customFormat="1" ht="16.5" thickBot="1" x14ac:dyDescent="0.3">
      <c r="A121" s="230" t="s">
        <v>27</v>
      </c>
      <c r="B121" s="230">
        <v>3</v>
      </c>
      <c r="C121" s="230" t="s">
        <v>106</v>
      </c>
      <c r="D121" s="230" t="s">
        <v>60</v>
      </c>
      <c r="E121" s="230" t="s">
        <v>60</v>
      </c>
      <c r="F121" s="230" t="s">
        <v>60</v>
      </c>
      <c r="G121" s="230" t="s">
        <v>60</v>
      </c>
      <c r="H121" s="231" t="s">
        <v>60</v>
      </c>
      <c r="I121" s="230">
        <v>1.38</v>
      </c>
      <c r="J121" s="230">
        <v>1.02</v>
      </c>
      <c r="K121" s="230">
        <v>1.86</v>
      </c>
      <c r="L121" s="230" t="s">
        <v>74</v>
      </c>
      <c r="M121" s="230">
        <v>2</v>
      </c>
      <c r="N121" s="231" t="s">
        <v>149</v>
      </c>
    </row>
    <row r="122" spans="1:14" s="31" customFormat="1" ht="15.75" x14ac:dyDescent="0.25">
      <c r="A122" s="214" t="s">
        <v>150</v>
      </c>
      <c r="B122" s="214">
        <v>3</v>
      </c>
      <c r="C122" s="214" t="s">
        <v>59</v>
      </c>
      <c r="D122" s="214" t="s">
        <v>60</v>
      </c>
      <c r="E122" s="214" t="s">
        <v>60</v>
      </c>
      <c r="F122" s="214">
        <v>118</v>
      </c>
      <c r="G122" s="214">
        <v>116</v>
      </c>
      <c r="H122" s="215" t="s">
        <v>627</v>
      </c>
      <c r="I122" s="214">
        <v>6.24</v>
      </c>
      <c r="J122" s="214">
        <v>0.32</v>
      </c>
      <c r="K122" s="214" t="s">
        <v>631</v>
      </c>
      <c r="L122" s="214" t="s">
        <v>151</v>
      </c>
      <c r="M122" s="214" t="s">
        <v>60</v>
      </c>
      <c r="N122" s="215" t="s">
        <v>152</v>
      </c>
    </row>
    <row r="123" spans="1:14" s="30" customFormat="1" ht="16.5" thickBot="1" x14ac:dyDescent="0.3">
      <c r="A123" s="204" t="s">
        <v>153</v>
      </c>
      <c r="B123" s="204">
        <v>3</v>
      </c>
      <c r="C123" s="204" t="s">
        <v>59</v>
      </c>
      <c r="D123" s="204" t="s">
        <v>60</v>
      </c>
      <c r="E123" s="204" t="s">
        <v>60</v>
      </c>
      <c r="F123" s="204">
        <v>23</v>
      </c>
      <c r="G123" s="204">
        <v>1213</v>
      </c>
      <c r="H123" s="217" t="s">
        <v>627</v>
      </c>
      <c r="I123" s="204">
        <v>9.0399999999999991</v>
      </c>
      <c r="J123" s="204">
        <v>1.03</v>
      </c>
      <c r="K123" s="204" t="s">
        <v>631</v>
      </c>
      <c r="L123" s="204" t="s">
        <v>151</v>
      </c>
      <c r="M123" s="204" t="s">
        <v>60</v>
      </c>
      <c r="N123" s="217" t="s">
        <v>154</v>
      </c>
    </row>
    <row r="124" spans="1:14" s="149" customFormat="1" ht="16.5" thickBot="1" x14ac:dyDescent="0.3">
      <c r="A124" s="244" t="s">
        <v>29</v>
      </c>
      <c r="B124" s="244">
        <v>3</v>
      </c>
      <c r="C124" s="244" t="s">
        <v>59</v>
      </c>
      <c r="D124" s="244" t="s">
        <v>60</v>
      </c>
      <c r="E124" s="245" t="s">
        <v>632</v>
      </c>
      <c r="F124" s="244"/>
      <c r="G124" s="244">
        <v>3938</v>
      </c>
      <c r="H124" s="245" t="s">
        <v>627</v>
      </c>
      <c r="I124" s="244">
        <v>7.45</v>
      </c>
      <c r="J124" s="244">
        <v>0.12</v>
      </c>
      <c r="K124" s="244" t="s">
        <v>631</v>
      </c>
      <c r="L124" s="244" t="s">
        <v>155</v>
      </c>
      <c r="M124" s="244" t="s">
        <v>60</v>
      </c>
      <c r="N124" s="245" t="s">
        <v>651</v>
      </c>
    </row>
    <row r="125" spans="1:14" s="32" customFormat="1" ht="15" customHeight="1" x14ac:dyDescent="0.25">
      <c r="A125" s="202" t="s">
        <v>156</v>
      </c>
      <c r="B125" s="202">
        <v>2</v>
      </c>
      <c r="C125" s="202" t="s">
        <v>106</v>
      </c>
      <c r="D125" s="202" t="s">
        <v>73</v>
      </c>
      <c r="E125" s="202">
        <v>10</v>
      </c>
      <c r="F125" s="202">
        <v>57</v>
      </c>
      <c r="G125" s="202">
        <v>139949</v>
      </c>
      <c r="H125" s="218" t="s">
        <v>629</v>
      </c>
      <c r="I125" s="202">
        <v>1</v>
      </c>
      <c r="J125" s="202" t="s">
        <v>60</v>
      </c>
      <c r="K125" s="202" t="s">
        <v>60</v>
      </c>
      <c r="L125" s="202" t="s">
        <v>53</v>
      </c>
      <c r="M125" s="202">
        <v>1</v>
      </c>
      <c r="N125" s="232" t="s">
        <v>655</v>
      </c>
    </row>
    <row r="126" spans="1:14" s="32" customFormat="1" ht="15.75" x14ac:dyDescent="0.25">
      <c r="A126" s="203" t="s">
        <v>156</v>
      </c>
      <c r="B126" s="203">
        <v>2</v>
      </c>
      <c r="C126" s="203" t="s">
        <v>106</v>
      </c>
      <c r="D126" s="203" t="s">
        <v>76</v>
      </c>
      <c r="E126" s="203">
        <v>30</v>
      </c>
      <c r="F126" s="203">
        <v>114</v>
      </c>
      <c r="G126" s="203">
        <v>149312</v>
      </c>
      <c r="H126" s="216" t="s">
        <v>629</v>
      </c>
      <c r="I126" s="203">
        <v>1.92</v>
      </c>
      <c r="J126" s="203">
        <v>1.39</v>
      </c>
      <c r="K126" s="203">
        <v>2.64</v>
      </c>
      <c r="L126" s="203" t="s">
        <v>53</v>
      </c>
      <c r="M126" s="203">
        <v>1</v>
      </c>
      <c r="N126" s="216"/>
    </row>
    <row r="127" spans="1:14" s="32" customFormat="1" ht="15.75" x14ac:dyDescent="0.25">
      <c r="A127" s="203" t="s">
        <v>156</v>
      </c>
      <c r="B127" s="203">
        <v>2</v>
      </c>
      <c r="C127" s="203" t="s">
        <v>106</v>
      </c>
      <c r="D127" s="203" t="s">
        <v>77</v>
      </c>
      <c r="E127" s="203">
        <v>50</v>
      </c>
      <c r="F127" s="203">
        <v>104</v>
      </c>
      <c r="G127" s="203">
        <v>140471</v>
      </c>
      <c r="H127" s="216" t="s">
        <v>629</v>
      </c>
      <c r="I127" s="203">
        <v>1.64</v>
      </c>
      <c r="J127" s="203">
        <v>1.18</v>
      </c>
      <c r="K127" s="203">
        <v>2.2599999999999998</v>
      </c>
      <c r="L127" s="203" t="s">
        <v>53</v>
      </c>
      <c r="M127" s="203">
        <v>1</v>
      </c>
      <c r="N127" s="216"/>
    </row>
    <row r="128" spans="1:14" s="32" customFormat="1" ht="15.75" x14ac:dyDescent="0.25">
      <c r="A128" s="203" t="s">
        <v>156</v>
      </c>
      <c r="B128" s="203">
        <v>2</v>
      </c>
      <c r="C128" s="203" t="s">
        <v>106</v>
      </c>
      <c r="D128" s="203" t="s">
        <v>78</v>
      </c>
      <c r="E128" s="203">
        <v>70</v>
      </c>
      <c r="F128" s="203">
        <v>156</v>
      </c>
      <c r="G128" s="203">
        <v>140435</v>
      </c>
      <c r="H128" s="216" t="s">
        <v>629</v>
      </c>
      <c r="I128" s="203">
        <v>2.1</v>
      </c>
      <c r="J128" s="203">
        <v>1.55</v>
      </c>
      <c r="K128" s="203">
        <v>2.86</v>
      </c>
      <c r="L128" s="203" t="s">
        <v>53</v>
      </c>
      <c r="M128" s="203">
        <v>1</v>
      </c>
      <c r="N128" s="216"/>
    </row>
    <row r="129" spans="1:14" s="30" customFormat="1" ht="16.5" thickBot="1" x14ac:dyDescent="0.3">
      <c r="A129" s="204" t="s">
        <v>156</v>
      </c>
      <c r="B129" s="204">
        <v>2</v>
      </c>
      <c r="C129" s="204" t="s">
        <v>106</v>
      </c>
      <c r="D129" s="204" t="s">
        <v>79</v>
      </c>
      <c r="E129" s="204">
        <v>90</v>
      </c>
      <c r="F129" s="204">
        <v>293</v>
      </c>
      <c r="G129" s="204">
        <v>139988</v>
      </c>
      <c r="H129" s="217" t="s">
        <v>629</v>
      </c>
      <c r="I129" s="204">
        <v>2.93</v>
      </c>
      <c r="J129" s="204">
        <v>2.1800000000000002</v>
      </c>
      <c r="K129" s="204">
        <v>3.92</v>
      </c>
      <c r="L129" s="204" t="s">
        <v>53</v>
      </c>
      <c r="M129" s="204">
        <v>1</v>
      </c>
      <c r="N129" s="217"/>
    </row>
    <row r="130" spans="1:14" s="150" customFormat="1" ht="15.75" x14ac:dyDescent="0.25">
      <c r="A130" s="220" t="s">
        <v>30</v>
      </c>
      <c r="B130" s="220">
        <v>2</v>
      </c>
      <c r="C130" s="220" t="s">
        <v>110</v>
      </c>
      <c r="D130" s="220" t="s">
        <v>61</v>
      </c>
      <c r="E130" s="220">
        <v>12.5</v>
      </c>
      <c r="F130" s="220">
        <v>103</v>
      </c>
      <c r="G130" s="220">
        <v>4349</v>
      </c>
      <c r="H130" s="200" t="s">
        <v>627</v>
      </c>
      <c r="I130" s="220">
        <v>1</v>
      </c>
      <c r="J130" s="220" t="s">
        <v>60</v>
      </c>
      <c r="K130" s="220" t="s">
        <v>60</v>
      </c>
      <c r="L130" s="220" t="s">
        <v>71</v>
      </c>
      <c r="M130" s="220">
        <v>1</v>
      </c>
      <c r="N130" s="200" t="s">
        <v>157</v>
      </c>
    </row>
    <row r="131" spans="1:14" s="151" customFormat="1" ht="15.75" x14ac:dyDescent="0.25">
      <c r="A131" s="158" t="s">
        <v>30</v>
      </c>
      <c r="B131" s="158">
        <v>2</v>
      </c>
      <c r="C131" s="158" t="s">
        <v>110</v>
      </c>
      <c r="D131" s="158" t="s">
        <v>63</v>
      </c>
      <c r="E131" s="158">
        <v>37.5</v>
      </c>
      <c r="F131" s="158">
        <v>137</v>
      </c>
      <c r="G131" s="158">
        <v>4357</v>
      </c>
      <c r="H131" s="222" t="s">
        <v>627</v>
      </c>
      <c r="I131" s="158">
        <v>1.24</v>
      </c>
      <c r="J131" s="158">
        <v>0.95</v>
      </c>
      <c r="K131" s="158">
        <v>1.62</v>
      </c>
      <c r="L131" s="158" t="s">
        <v>71</v>
      </c>
      <c r="M131" s="158">
        <v>1</v>
      </c>
      <c r="N131" s="222" t="s">
        <v>158</v>
      </c>
    </row>
    <row r="132" spans="1:14" s="151" customFormat="1" ht="15.75" x14ac:dyDescent="0.25">
      <c r="A132" s="158" t="s">
        <v>30</v>
      </c>
      <c r="B132" s="158">
        <v>2</v>
      </c>
      <c r="C132" s="158" t="s">
        <v>110</v>
      </c>
      <c r="D132" s="158" t="s">
        <v>64</v>
      </c>
      <c r="E132" s="158">
        <v>62.5</v>
      </c>
      <c r="F132" s="158">
        <v>146</v>
      </c>
      <c r="G132" s="158">
        <v>4355</v>
      </c>
      <c r="H132" s="222" t="s">
        <v>627</v>
      </c>
      <c r="I132" s="158">
        <v>1.28</v>
      </c>
      <c r="J132" s="158">
        <v>0.98</v>
      </c>
      <c r="K132" s="158">
        <v>1.69</v>
      </c>
      <c r="L132" s="158" t="s">
        <v>71</v>
      </c>
      <c r="M132" s="158">
        <v>1</v>
      </c>
      <c r="N132" s="222"/>
    </row>
    <row r="133" spans="1:14" s="152" customFormat="1" ht="16.5" thickBot="1" x14ac:dyDescent="0.3">
      <c r="A133" s="223" t="s">
        <v>30</v>
      </c>
      <c r="B133" s="223">
        <v>2</v>
      </c>
      <c r="C133" s="223" t="s">
        <v>110</v>
      </c>
      <c r="D133" s="223" t="s">
        <v>65</v>
      </c>
      <c r="E133" s="223">
        <v>87.5</v>
      </c>
      <c r="F133" s="223">
        <v>150</v>
      </c>
      <c r="G133" s="223">
        <v>4357</v>
      </c>
      <c r="H133" s="224" t="s">
        <v>627</v>
      </c>
      <c r="I133" s="223">
        <v>1.18</v>
      </c>
      <c r="J133" s="223">
        <v>0.86</v>
      </c>
      <c r="K133" s="223">
        <v>1.62</v>
      </c>
      <c r="L133" s="223" t="s">
        <v>71</v>
      </c>
      <c r="M133" s="223">
        <v>1</v>
      </c>
      <c r="N133" s="224"/>
    </row>
    <row r="134" spans="1:14" s="32" customFormat="1" ht="15.75" x14ac:dyDescent="0.25">
      <c r="A134" s="202" t="s">
        <v>159</v>
      </c>
      <c r="B134" s="202">
        <v>2</v>
      </c>
      <c r="C134" s="202" t="s">
        <v>110</v>
      </c>
      <c r="D134" s="202" t="s">
        <v>61</v>
      </c>
      <c r="E134" s="202">
        <v>12.5</v>
      </c>
      <c r="F134" s="202">
        <v>565</v>
      </c>
      <c r="G134" s="202">
        <v>114200</v>
      </c>
      <c r="H134" s="218" t="s">
        <v>629</v>
      </c>
      <c r="I134" s="202">
        <v>1</v>
      </c>
      <c r="J134" s="202" t="s">
        <v>60</v>
      </c>
      <c r="K134" s="202" t="s">
        <v>60</v>
      </c>
      <c r="L134" s="202" t="s">
        <v>71</v>
      </c>
      <c r="M134" s="202">
        <v>1</v>
      </c>
      <c r="N134" s="218" t="s">
        <v>160</v>
      </c>
    </row>
    <row r="135" spans="1:14" s="32" customFormat="1" ht="15.75" x14ac:dyDescent="0.25">
      <c r="A135" s="203" t="s">
        <v>159</v>
      </c>
      <c r="B135" s="203">
        <v>2</v>
      </c>
      <c r="C135" s="203" t="s">
        <v>110</v>
      </c>
      <c r="D135" s="203" t="s">
        <v>63</v>
      </c>
      <c r="E135" s="203">
        <v>37.5</v>
      </c>
      <c r="F135" s="203">
        <v>457</v>
      </c>
      <c r="G135" s="203">
        <v>114900</v>
      </c>
      <c r="H135" s="216" t="s">
        <v>629</v>
      </c>
      <c r="I135" s="203">
        <v>0.91</v>
      </c>
      <c r="J135" s="203">
        <v>0.8</v>
      </c>
      <c r="K135" s="203">
        <v>1.03</v>
      </c>
      <c r="L135" s="203" t="s">
        <v>71</v>
      </c>
      <c r="M135" s="203">
        <v>1</v>
      </c>
      <c r="N135" s="216" t="s">
        <v>161</v>
      </c>
    </row>
    <row r="136" spans="1:14" s="32" customFormat="1" ht="15.75" x14ac:dyDescent="0.25">
      <c r="A136" s="203" t="s">
        <v>159</v>
      </c>
      <c r="B136" s="203">
        <v>2</v>
      </c>
      <c r="C136" s="203" t="s">
        <v>110</v>
      </c>
      <c r="D136" s="203" t="s">
        <v>64</v>
      </c>
      <c r="E136" s="203">
        <v>62.5</v>
      </c>
      <c r="F136" s="203">
        <v>439</v>
      </c>
      <c r="G136" s="203">
        <v>115600</v>
      </c>
      <c r="H136" s="216" t="s">
        <v>629</v>
      </c>
      <c r="I136" s="203">
        <v>0.97</v>
      </c>
      <c r="J136" s="203">
        <v>0.84</v>
      </c>
      <c r="K136" s="203">
        <v>1.1299999999999999</v>
      </c>
      <c r="L136" s="203" t="s">
        <v>71</v>
      </c>
      <c r="M136" s="203">
        <v>1</v>
      </c>
      <c r="N136" s="216"/>
    </row>
    <row r="137" spans="1:14" s="30" customFormat="1" ht="16.5" thickBot="1" x14ac:dyDescent="0.3">
      <c r="A137" s="204" t="s">
        <v>159</v>
      </c>
      <c r="B137" s="204">
        <v>2</v>
      </c>
      <c r="C137" s="204" t="s">
        <v>110</v>
      </c>
      <c r="D137" s="204" t="s">
        <v>65</v>
      </c>
      <c r="E137" s="204">
        <v>87.5</v>
      </c>
      <c r="F137" s="204">
        <v>382</v>
      </c>
      <c r="G137" s="204">
        <v>115200</v>
      </c>
      <c r="H137" s="217" t="s">
        <v>629</v>
      </c>
      <c r="I137" s="204">
        <v>0.98</v>
      </c>
      <c r="J137" s="204">
        <v>0.82</v>
      </c>
      <c r="K137" s="204">
        <v>1.17</v>
      </c>
      <c r="L137" s="204" t="s">
        <v>71</v>
      </c>
      <c r="M137" s="204">
        <v>1</v>
      </c>
      <c r="N137" s="249"/>
    </row>
    <row r="138" spans="1:14" s="150" customFormat="1" ht="15.75" x14ac:dyDescent="0.25">
      <c r="A138" s="220" t="s">
        <v>162</v>
      </c>
      <c r="B138" s="220">
        <v>3</v>
      </c>
      <c r="C138" s="220" t="s">
        <v>59</v>
      </c>
      <c r="D138" s="220" t="s">
        <v>163</v>
      </c>
      <c r="E138" s="220" t="s">
        <v>60</v>
      </c>
      <c r="F138" s="220">
        <v>152</v>
      </c>
      <c r="G138" s="220">
        <v>1095</v>
      </c>
      <c r="H138" s="200" t="s">
        <v>627</v>
      </c>
      <c r="I138" s="220">
        <v>3.8</v>
      </c>
      <c r="J138" s="220">
        <v>0.97</v>
      </c>
      <c r="K138" s="220">
        <v>14.94</v>
      </c>
      <c r="L138" s="220" t="s">
        <v>74</v>
      </c>
      <c r="M138" s="220" t="s">
        <v>60</v>
      </c>
      <c r="N138" s="200" t="s">
        <v>164</v>
      </c>
    </row>
    <row r="139" spans="1:14" s="152" customFormat="1" ht="16.5" thickBot="1" x14ac:dyDescent="0.3">
      <c r="A139" s="223" t="s">
        <v>165</v>
      </c>
      <c r="B139" s="223">
        <v>3</v>
      </c>
      <c r="C139" s="223" t="s">
        <v>59</v>
      </c>
      <c r="D139" s="223" t="s">
        <v>163</v>
      </c>
      <c r="E139" s="223" t="s">
        <v>60</v>
      </c>
      <c r="F139" s="223">
        <v>152</v>
      </c>
      <c r="G139" s="223">
        <v>1095</v>
      </c>
      <c r="H139" s="224" t="s">
        <v>627</v>
      </c>
      <c r="I139" s="223">
        <v>1.63</v>
      </c>
      <c r="J139" s="223">
        <v>0.45</v>
      </c>
      <c r="K139" s="223">
        <v>5.87</v>
      </c>
      <c r="L139" s="223" t="s">
        <v>74</v>
      </c>
      <c r="M139" s="223" t="s">
        <v>60</v>
      </c>
      <c r="N139" s="224" t="s">
        <v>166</v>
      </c>
    </row>
    <row r="140" spans="1:14" s="32" customFormat="1" ht="15.75" x14ac:dyDescent="0.25">
      <c r="A140" s="202" t="s">
        <v>33</v>
      </c>
      <c r="B140" s="202">
        <v>2</v>
      </c>
      <c r="C140" s="202" t="s">
        <v>106</v>
      </c>
      <c r="D140" s="202" t="s">
        <v>73</v>
      </c>
      <c r="E140" s="202">
        <v>10</v>
      </c>
      <c r="F140" s="202">
        <v>177</v>
      </c>
      <c r="G140" s="202">
        <v>93341</v>
      </c>
      <c r="H140" s="218" t="s">
        <v>629</v>
      </c>
      <c r="I140" s="202">
        <v>1</v>
      </c>
      <c r="J140" s="202" t="s">
        <v>60</v>
      </c>
      <c r="K140" s="202" t="s">
        <v>60</v>
      </c>
      <c r="L140" s="202" t="s">
        <v>53</v>
      </c>
      <c r="M140" s="202">
        <v>1</v>
      </c>
      <c r="N140" s="218" t="s">
        <v>167</v>
      </c>
    </row>
    <row r="141" spans="1:14" s="32" customFormat="1" ht="15.75" x14ac:dyDescent="0.25">
      <c r="A141" s="203" t="s">
        <v>33</v>
      </c>
      <c r="B141" s="203">
        <v>2</v>
      </c>
      <c r="C141" s="203" t="s">
        <v>106</v>
      </c>
      <c r="D141" s="203" t="s">
        <v>76</v>
      </c>
      <c r="E141" s="203">
        <v>30</v>
      </c>
      <c r="F141" s="203">
        <v>231</v>
      </c>
      <c r="G141" s="203">
        <v>93320</v>
      </c>
      <c r="H141" s="216" t="s">
        <v>629</v>
      </c>
      <c r="I141" s="203">
        <v>1.22</v>
      </c>
      <c r="J141" s="203">
        <v>1</v>
      </c>
      <c r="K141" s="203">
        <v>1.48</v>
      </c>
      <c r="L141" s="203" t="s">
        <v>53</v>
      </c>
      <c r="M141" s="203">
        <v>1</v>
      </c>
      <c r="N141" s="216"/>
    </row>
    <row r="142" spans="1:14" s="32" customFormat="1" ht="15.75" x14ac:dyDescent="0.25">
      <c r="A142" s="203" t="s">
        <v>33</v>
      </c>
      <c r="B142" s="203">
        <v>2</v>
      </c>
      <c r="C142" s="203" t="s">
        <v>106</v>
      </c>
      <c r="D142" s="203" t="s">
        <v>77</v>
      </c>
      <c r="E142" s="203">
        <v>50</v>
      </c>
      <c r="F142" s="203">
        <v>274</v>
      </c>
      <c r="G142" s="203">
        <v>93330</v>
      </c>
      <c r="H142" s="216" t="s">
        <v>629</v>
      </c>
      <c r="I142" s="203">
        <v>1.34</v>
      </c>
      <c r="J142" s="203">
        <v>1.1000000000000001</v>
      </c>
      <c r="K142" s="203">
        <v>1.63</v>
      </c>
      <c r="L142" s="203" t="s">
        <v>53</v>
      </c>
      <c r="M142" s="203">
        <v>1</v>
      </c>
      <c r="N142" s="216"/>
    </row>
    <row r="143" spans="1:14" s="32" customFormat="1" ht="15.75" x14ac:dyDescent="0.25">
      <c r="A143" s="203" t="s">
        <v>33</v>
      </c>
      <c r="B143" s="203">
        <v>2</v>
      </c>
      <c r="C143" s="203" t="s">
        <v>106</v>
      </c>
      <c r="D143" s="203" t="s">
        <v>78</v>
      </c>
      <c r="E143" s="203">
        <v>70</v>
      </c>
      <c r="F143" s="203">
        <v>278</v>
      </c>
      <c r="G143" s="203">
        <v>93323</v>
      </c>
      <c r="H143" s="216" t="s">
        <v>629</v>
      </c>
      <c r="I143" s="203">
        <v>1.34</v>
      </c>
      <c r="J143" s="203">
        <v>1.1000000000000001</v>
      </c>
      <c r="K143" s="203">
        <v>1.63</v>
      </c>
      <c r="L143" s="203" t="s">
        <v>53</v>
      </c>
      <c r="M143" s="203">
        <v>1</v>
      </c>
      <c r="N143" s="216"/>
    </row>
    <row r="144" spans="1:14" s="30" customFormat="1" ht="16.5" thickBot="1" x14ac:dyDescent="0.3">
      <c r="A144" s="204" t="s">
        <v>33</v>
      </c>
      <c r="B144" s="204">
        <v>2</v>
      </c>
      <c r="C144" s="204" t="s">
        <v>106</v>
      </c>
      <c r="D144" s="204" t="s">
        <v>79</v>
      </c>
      <c r="E144" s="204">
        <v>90</v>
      </c>
      <c r="F144" s="204">
        <v>361</v>
      </c>
      <c r="G144" s="204">
        <v>93195</v>
      </c>
      <c r="H144" s="217" t="s">
        <v>629</v>
      </c>
      <c r="I144" s="204">
        <v>1.59</v>
      </c>
      <c r="J144" s="204">
        <v>1.32</v>
      </c>
      <c r="K144" s="204">
        <v>1.93</v>
      </c>
      <c r="L144" s="204" t="s">
        <v>53</v>
      </c>
      <c r="M144" s="204">
        <v>1</v>
      </c>
      <c r="N144" s="217"/>
    </row>
    <row r="145" spans="1:14" s="150" customFormat="1" ht="15.75" x14ac:dyDescent="0.25">
      <c r="A145" s="220" t="s">
        <v>656</v>
      </c>
      <c r="B145" s="220">
        <v>2</v>
      </c>
      <c r="C145" s="220" t="s">
        <v>168</v>
      </c>
      <c r="D145" s="220" t="s">
        <v>73</v>
      </c>
      <c r="E145" s="220">
        <v>10</v>
      </c>
      <c r="F145" s="220">
        <v>288</v>
      </c>
      <c r="G145" s="220">
        <v>176669</v>
      </c>
      <c r="H145" s="200" t="s">
        <v>629</v>
      </c>
      <c r="I145" s="220">
        <v>1</v>
      </c>
      <c r="J145" s="220" t="s">
        <v>60</v>
      </c>
      <c r="K145" s="220" t="s">
        <v>60</v>
      </c>
      <c r="L145" s="220" t="s">
        <v>53</v>
      </c>
      <c r="M145" s="220">
        <v>1</v>
      </c>
      <c r="N145" s="200" t="s">
        <v>169</v>
      </c>
    </row>
    <row r="146" spans="1:14" s="151" customFormat="1" ht="15.75" x14ac:dyDescent="0.25">
      <c r="A146" s="158" t="s">
        <v>656</v>
      </c>
      <c r="B146" s="158">
        <v>2</v>
      </c>
      <c r="C146" s="158" t="s">
        <v>168</v>
      </c>
      <c r="D146" s="158" t="s">
        <v>76</v>
      </c>
      <c r="E146" s="158">
        <v>30</v>
      </c>
      <c r="F146" s="158">
        <v>296</v>
      </c>
      <c r="G146" s="158">
        <v>178532</v>
      </c>
      <c r="H146" s="222" t="s">
        <v>629</v>
      </c>
      <c r="I146" s="158">
        <v>1.03</v>
      </c>
      <c r="J146" s="158">
        <v>0.87</v>
      </c>
      <c r="K146" s="158">
        <v>1.21</v>
      </c>
      <c r="L146" s="158" t="s">
        <v>53</v>
      </c>
      <c r="M146" s="158">
        <v>1</v>
      </c>
      <c r="N146" s="222"/>
    </row>
    <row r="147" spans="1:14" s="151" customFormat="1" ht="15.75" x14ac:dyDescent="0.25">
      <c r="A147" s="158" t="s">
        <v>656</v>
      </c>
      <c r="B147" s="158">
        <v>2</v>
      </c>
      <c r="C147" s="158" t="s">
        <v>168</v>
      </c>
      <c r="D147" s="158" t="s">
        <v>77</v>
      </c>
      <c r="E147" s="158">
        <v>50</v>
      </c>
      <c r="F147" s="158">
        <v>308</v>
      </c>
      <c r="G147" s="158">
        <v>179051</v>
      </c>
      <c r="H147" s="222" t="s">
        <v>629</v>
      </c>
      <c r="I147" s="158">
        <v>1.07</v>
      </c>
      <c r="J147" s="158">
        <v>0.9</v>
      </c>
      <c r="K147" s="158">
        <v>1.27</v>
      </c>
      <c r="L147" s="158" t="s">
        <v>53</v>
      </c>
      <c r="M147" s="158">
        <v>1</v>
      </c>
      <c r="N147" s="222"/>
    </row>
    <row r="148" spans="1:14" s="151" customFormat="1" ht="15.75" x14ac:dyDescent="0.25">
      <c r="A148" s="158" t="s">
        <v>656</v>
      </c>
      <c r="B148" s="158">
        <v>2</v>
      </c>
      <c r="C148" s="158" t="s">
        <v>168</v>
      </c>
      <c r="D148" s="158" t="s">
        <v>78</v>
      </c>
      <c r="E148" s="158">
        <v>70</v>
      </c>
      <c r="F148" s="158">
        <v>336</v>
      </c>
      <c r="G148" s="158">
        <v>178746</v>
      </c>
      <c r="H148" s="222" t="s">
        <v>629</v>
      </c>
      <c r="I148" s="158">
        <v>1.2</v>
      </c>
      <c r="J148" s="158">
        <v>1</v>
      </c>
      <c r="K148" s="158">
        <v>1.45</v>
      </c>
      <c r="L148" s="158" t="s">
        <v>53</v>
      </c>
      <c r="M148" s="158">
        <v>1</v>
      </c>
      <c r="N148" s="222"/>
    </row>
    <row r="149" spans="1:14" s="151" customFormat="1" ht="15.75" x14ac:dyDescent="0.25">
      <c r="A149" s="158" t="s">
        <v>656</v>
      </c>
      <c r="B149" s="158">
        <v>2</v>
      </c>
      <c r="C149" s="158" t="s">
        <v>168</v>
      </c>
      <c r="D149" s="158" t="s">
        <v>79</v>
      </c>
      <c r="E149" s="158">
        <v>90</v>
      </c>
      <c r="F149" s="158">
        <v>312</v>
      </c>
      <c r="G149" s="158">
        <v>177966</v>
      </c>
      <c r="H149" s="222" t="s">
        <v>629</v>
      </c>
      <c r="I149" s="158">
        <v>1.1399999999999999</v>
      </c>
      <c r="J149" s="158">
        <v>0.91</v>
      </c>
      <c r="K149" s="158">
        <v>1.42</v>
      </c>
      <c r="L149" s="158" t="s">
        <v>53</v>
      </c>
      <c r="M149" s="158">
        <v>1</v>
      </c>
      <c r="N149" s="222"/>
    </row>
    <row r="150" spans="1:14" s="151" customFormat="1" ht="15.75" x14ac:dyDescent="0.25">
      <c r="A150" s="158" t="s">
        <v>657</v>
      </c>
      <c r="B150" s="158">
        <v>2</v>
      </c>
      <c r="C150" s="158" t="s">
        <v>168</v>
      </c>
      <c r="D150" s="158" t="s">
        <v>73</v>
      </c>
      <c r="E150" s="158">
        <v>10</v>
      </c>
      <c r="F150" s="158">
        <v>201</v>
      </c>
      <c r="G150" s="158">
        <v>92789</v>
      </c>
      <c r="H150" s="222" t="s">
        <v>629</v>
      </c>
      <c r="I150" s="158">
        <v>1</v>
      </c>
      <c r="J150" s="158" t="s">
        <v>60</v>
      </c>
      <c r="K150" s="158" t="s">
        <v>60</v>
      </c>
      <c r="L150" s="158" t="s">
        <v>53</v>
      </c>
      <c r="M150" s="158">
        <v>1</v>
      </c>
      <c r="N150" s="222" t="s">
        <v>169</v>
      </c>
    </row>
    <row r="151" spans="1:14" s="151" customFormat="1" ht="15.75" x14ac:dyDescent="0.25">
      <c r="A151" s="158" t="s">
        <v>657</v>
      </c>
      <c r="B151" s="158">
        <v>2</v>
      </c>
      <c r="C151" s="158" t="s">
        <v>168</v>
      </c>
      <c r="D151" s="158" t="s">
        <v>76</v>
      </c>
      <c r="E151" s="158">
        <v>30</v>
      </c>
      <c r="F151" s="158">
        <v>215</v>
      </c>
      <c r="G151" s="158">
        <v>92384</v>
      </c>
      <c r="H151" s="222" t="s">
        <v>629</v>
      </c>
      <c r="I151" s="158">
        <v>1.0900000000000001</v>
      </c>
      <c r="J151" s="158">
        <v>0.9</v>
      </c>
      <c r="K151" s="158">
        <v>1.33</v>
      </c>
      <c r="L151" s="158" t="s">
        <v>53</v>
      </c>
      <c r="M151" s="158">
        <v>1</v>
      </c>
      <c r="N151" s="222"/>
    </row>
    <row r="152" spans="1:14" s="151" customFormat="1" ht="15.75" x14ac:dyDescent="0.25">
      <c r="A152" s="158" t="s">
        <v>657</v>
      </c>
      <c r="B152" s="158">
        <v>2</v>
      </c>
      <c r="C152" s="158" t="s">
        <v>168</v>
      </c>
      <c r="D152" s="158" t="s">
        <v>77</v>
      </c>
      <c r="E152" s="158">
        <v>50</v>
      </c>
      <c r="F152" s="158">
        <v>248</v>
      </c>
      <c r="G152" s="158">
        <v>96056</v>
      </c>
      <c r="H152" s="222" t="s">
        <v>629</v>
      </c>
      <c r="I152" s="158">
        <v>1.1399999999999999</v>
      </c>
      <c r="J152" s="158">
        <v>0.94</v>
      </c>
      <c r="K152" s="158">
        <v>1.38</v>
      </c>
      <c r="L152" s="158" t="s">
        <v>53</v>
      </c>
      <c r="M152" s="158">
        <v>1</v>
      </c>
      <c r="N152" s="222"/>
    </row>
    <row r="153" spans="1:14" s="151" customFormat="1" ht="15.75" x14ac:dyDescent="0.25">
      <c r="A153" s="158" t="s">
        <v>657</v>
      </c>
      <c r="B153" s="158">
        <v>2</v>
      </c>
      <c r="C153" s="158" t="s">
        <v>168</v>
      </c>
      <c r="D153" s="158" t="s">
        <v>78</v>
      </c>
      <c r="E153" s="158">
        <v>70</v>
      </c>
      <c r="F153" s="158">
        <v>323</v>
      </c>
      <c r="G153" s="158">
        <v>99504</v>
      </c>
      <c r="H153" s="222" t="s">
        <v>629</v>
      </c>
      <c r="I153" s="158">
        <v>1.36</v>
      </c>
      <c r="J153" s="158">
        <v>1.1200000000000001</v>
      </c>
      <c r="K153" s="158">
        <v>1.64</v>
      </c>
      <c r="L153" s="158" t="s">
        <v>53</v>
      </c>
      <c r="M153" s="158">
        <v>1</v>
      </c>
      <c r="N153" s="222"/>
    </row>
    <row r="154" spans="1:14" s="151" customFormat="1" ht="15.75" x14ac:dyDescent="0.25">
      <c r="A154" s="158" t="s">
        <v>657</v>
      </c>
      <c r="B154" s="158">
        <v>2</v>
      </c>
      <c r="C154" s="158" t="s">
        <v>168</v>
      </c>
      <c r="D154" s="158" t="s">
        <v>79</v>
      </c>
      <c r="E154" s="158">
        <v>90</v>
      </c>
      <c r="F154" s="158">
        <v>365</v>
      </c>
      <c r="G154" s="158">
        <v>102106</v>
      </c>
      <c r="H154" s="222" t="s">
        <v>629</v>
      </c>
      <c r="I154" s="158">
        <v>1.43</v>
      </c>
      <c r="J154" s="158">
        <v>1.1599999999999999</v>
      </c>
      <c r="K154" s="158">
        <v>1.78</v>
      </c>
      <c r="L154" s="158" t="s">
        <v>53</v>
      </c>
      <c r="M154" s="158">
        <v>1</v>
      </c>
      <c r="N154" s="222"/>
    </row>
    <row r="155" spans="1:14" s="151" customFormat="1" ht="15.75" x14ac:dyDescent="0.25">
      <c r="A155" s="158" t="s">
        <v>658</v>
      </c>
      <c r="B155" s="158">
        <v>2</v>
      </c>
      <c r="C155" s="158" t="s">
        <v>168</v>
      </c>
      <c r="D155" s="158" t="s">
        <v>73</v>
      </c>
      <c r="E155" s="158">
        <v>10</v>
      </c>
      <c r="F155" s="158"/>
      <c r="G155" s="222">
        <v>269458</v>
      </c>
      <c r="H155" s="222" t="s">
        <v>629</v>
      </c>
      <c r="I155" s="158">
        <v>1</v>
      </c>
      <c r="J155" s="158" t="s">
        <v>60</v>
      </c>
      <c r="K155" s="158" t="s">
        <v>60</v>
      </c>
      <c r="L155" s="158" t="s">
        <v>53</v>
      </c>
      <c r="M155" s="158">
        <v>1</v>
      </c>
      <c r="N155" s="222" t="s">
        <v>169</v>
      </c>
    </row>
    <row r="156" spans="1:14" s="151" customFormat="1" ht="15.75" x14ac:dyDescent="0.25">
      <c r="A156" s="158" t="s">
        <v>658</v>
      </c>
      <c r="B156" s="158">
        <v>2</v>
      </c>
      <c r="C156" s="158" t="s">
        <v>168</v>
      </c>
      <c r="D156" s="158" t="s">
        <v>76</v>
      </c>
      <c r="E156" s="158">
        <v>30</v>
      </c>
      <c r="F156" s="158"/>
      <c r="G156" s="222">
        <v>270916</v>
      </c>
      <c r="H156" s="222" t="s">
        <v>629</v>
      </c>
      <c r="I156" s="158">
        <v>1.06</v>
      </c>
      <c r="J156" s="158">
        <v>0.93</v>
      </c>
      <c r="K156" s="158">
        <v>1.2</v>
      </c>
      <c r="L156" s="158" t="s">
        <v>53</v>
      </c>
      <c r="M156" s="158">
        <v>1</v>
      </c>
      <c r="N156" s="222"/>
    </row>
    <row r="157" spans="1:14" s="151" customFormat="1" ht="15.75" x14ac:dyDescent="0.25">
      <c r="A157" s="158" t="s">
        <v>658</v>
      </c>
      <c r="B157" s="158">
        <v>2</v>
      </c>
      <c r="C157" s="158" t="s">
        <v>168</v>
      </c>
      <c r="D157" s="158" t="s">
        <v>77</v>
      </c>
      <c r="E157" s="158">
        <v>50</v>
      </c>
      <c r="F157" s="158"/>
      <c r="G157" s="222">
        <v>275107</v>
      </c>
      <c r="H157" s="222" t="s">
        <v>629</v>
      </c>
      <c r="I157" s="158">
        <v>1.1000000000000001</v>
      </c>
      <c r="J157" s="158">
        <v>0.97</v>
      </c>
      <c r="K157" s="158">
        <v>1.25</v>
      </c>
      <c r="L157" s="158" t="s">
        <v>53</v>
      </c>
      <c r="M157" s="158">
        <v>1</v>
      </c>
      <c r="N157" s="222"/>
    </row>
    <row r="158" spans="1:14" s="151" customFormat="1" ht="15.75" x14ac:dyDescent="0.25">
      <c r="A158" s="158" t="s">
        <v>658</v>
      </c>
      <c r="B158" s="158">
        <v>2</v>
      </c>
      <c r="C158" s="158" t="s">
        <v>168</v>
      </c>
      <c r="D158" s="158" t="s">
        <v>78</v>
      </c>
      <c r="E158" s="158">
        <v>70</v>
      </c>
      <c r="F158" s="158"/>
      <c r="G158" s="222">
        <v>278250</v>
      </c>
      <c r="H158" s="222" t="s">
        <v>629</v>
      </c>
      <c r="I158" s="158">
        <v>1.28</v>
      </c>
      <c r="J158" s="158">
        <v>1.1200000000000001</v>
      </c>
      <c r="K158" s="158">
        <v>1.46</v>
      </c>
      <c r="L158" s="158" t="s">
        <v>53</v>
      </c>
      <c r="M158" s="158">
        <v>1</v>
      </c>
      <c r="N158" s="222"/>
    </row>
    <row r="159" spans="1:14" s="152" customFormat="1" ht="16.5" thickBot="1" x14ac:dyDescent="0.3">
      <c r="A159" s="223" t="s">
        <v>658</v>
      </c>
      <c r="B159" s="223">
        <v>2</v>
      </c>
      <c r="C159" s="223" t="s">
        <v>168</v>
      </c>
      <c r="D159" s="223" t="s">
        <v>79</v>
      </c>
      <c r="E159" s="223">
        <v>90</v>
      </c>
      <c r="F159" s="223"/>
      <c r="G159" s="224">
        <v>280072</v>
      </c>
      <c r="H159" s="224" t="s">
        <v>629</v>
      </c>
      <c r="I159" s="223">
        <v>1.22</v>
      </c>
      <c r="J159" s="223">
        <v>0.87</v>
      </c>
      <c r="K159" s="223">
        <v>1.71</v>
      </c>
      <c r="L159" s="223" t="s">
        <v>53</v>
      </c>
      <c r="M159" s="223">
        <v>1</v>
      </c>
      <c r="N159" s="224"/>
    </row>
    <row r="160" spans="1:14" s="32" customFormat="1" ht="15.75" x14ac:dyDescent="0.25">
      <c r="A160" s="202" t="s">
        <v>170</v>
      </c>
      <c r="B160" s="202">
        <v>3</v>
      </c>
      <c r="C160" s="202" t="s">
        <v>59</v>
      </c>
      <c r="D160" s="202" t="s">
        <v>61</v>
      </c>
      <c r="E160" s="202">
        <v>12.5</v>
      </c>
      <c r="F160" s="202" t="s">
        <v>62</v>
      </c>
      <c r="G160" s="202" t="s">
        <v>62</v>
      </c>
      <c r="H160" s="218" t="s">
        <v>60</v>
      </c>
      <c r="I160" s="202">
        <v>1</v>
      </c>
      <c r="J160" s="202" t="s">
        <v>60</v>
      </c>
      <c r="K160" s="202" t="s">
        <v>60</v>
      </c>
      <c r="L160" s="202" t="s">
        <v>145</v>
      </c>
      <c r="M160" s="202" t="s">
        <v>60</v>
      </c>
      <c r="N160" s="218" t="s">
        <v>171</v>
      </c>
    </row>
    <row r="161" spans="1:14" s="32" customFormat="1" ht="15.75" x14ac:dyDescent="0.25">
      <c r="A161" s="203" t="s">
        <v>170</v>
      </c>
      <c r="B161" s="203">
        <v>3</v>
      </c>
      <c r="C161" s="203" t="s">
        <v>59</v>
      </c>
      <c r="D161" s="203" t="s">
        <v>63</v>
      </c>
      <c r="E161" s="203">
        <v>37.5</v>
      </c>
      <c r="F161" s="203" t="s">
        <v>62</v>
      </c>
      <c r="G161" s="203" t="s">
        <v>62</v>
      </c>
      <c r="H161" s="216" t="s">
        <v>60</v>
      </c>
      <c r="I161" s="203">
        <v>0.02</v>
      </c>
      <c r="J161" s="203">
        <v>-0.06</v>
      </c>
      <c r="K161" s="203">
        <v>0.11</v>
      </c>
      <c r="L161" s="203" t="s">
        <v>145</v>
      </c>
      <c r="M161" s="203" t="s">
        <v>60</v>
      </c>
      <c r="N161" s="216" t="s">
        <v>172</v>
      </c>
    </row>
    <row r="162" spans="1:14" s="32" customFormat="1" ht="15.75" x14ac:dyDescent="0.25">
      <c r="A162" s="203" t="s">
        <v>170</v>
      </c>
      <c r="B162" s="203">
        <v>3</v>
      </c>
      <c r="C162" s="203" t="s">
        <v>59</v>
      </c>
      <c r="D162" s="203" t="s">
        <v>64</v>
      </c>
      <c r="E162" s="203">
        <v>62.5</v>
      </c>
      <c r="F162" s="203" t="s">
        <v>62</v>
      </c>
      <c r="G162" s="203" t="s">
        <v>62</v>
      </c>
      <c r="H162" s="216" t="s">
        <v>60</v>
      </c>
      <c r="I162" s="203">
        <v>0.06</v>
      </c>
      <c r="J162" s="203">
        <v>-0.03</v>
      </c>
      <c r="K162" s="203">
        <v>0.15</v>
      </c>
      <c r="L162" s="203" t="s">
        <v>145</v>
      </c>
      <c r="M162" s="203" t="s">
        <v>60</v>
      </c>
      <c r="N162" s="216"/>
    </row>
    <row r="163" spans="1:14" s="30" customFormat="1" ht="16.5" thickBot="1" x14ac:dyDescent="0.3">
      <c r="A163" s="204" t="s">
        <v>170</v>
      </c>
      <c r="B163" s="204">
        <v>3</v>
      </c>
      <c r="C163" s="204" t="s">
        <v>59</v>
      </c>
      <c r="D163" s="204" t="s">
        <v>65</v>
      </c>
      <c r="E163" s="204">
        <v>87.5</v>
      </c>
      <c r="F163" s="204" t="s">
        <v>62</v>
      </c>
      <c r="G163" s="204" t="s">
        <v>62</v>
      </c>
      <c r="H163" s="217" t="s">
        <v>60</v>
      </c>
      <c r="I163" s="204">
        <v>-0.01</v>
      </c>
      <c r="J163" s="204">
        <v>-0.11</v>
      </c>
      <c r="K163" s="204">
        <v>0.09</v>
      </c>
      <c r="L163" s="204" t="s">
        <v>145</v>
      </c>
      <c r="M163" s="204" t="s">
        <v>60</v>
      </c>
      <c r="N163" s="250"/>
    </row>
    <row r="164" spans="1:14" s="150" customFormat="1" ht="14.25" customHeight="1" x14ac:dyDescent="0.25">
      <c r="A164" s="220" t="s">
        <v>36</v>
      </c>
      <c r="B164" s="220">
        <v>2</v>
      </c>
      <c r="C164" s="220" t="s">
        <v>116</v>
      </c>
      <c r="D164" s="220" t="s">
        <v>73</v>
      </c>
      <c r="E164" s="220">
        <v>10</v>
      </c>
      <c r="F164" s="220">
        <v>127</v>
      </c>
      <c r="G164" s="220">
        <v>19231</v>
      </c>
      <c r="H164" s="200" t="s">
        <v>629</v>
      </c>
      <c r="I164" s="220">
        <v>1</v>
      </c>
      <c r="J164" s="220" t="s">
        <v>60</v>
      </c>
      <c r="K164" s="220" t="s">
        <v>60</v>
      </c>
      <c r="L164" s="220" t="s">
        <v>53</v>
      </c>
      <c r="M164" s="220">
        <v>1</v>
      </c>
      <c r="N164" s="233" t="s">
        <v>173</v>
      </c>
    </row>
    <row r="165" spans="1:14" s="151" customFormat="1" ht="15.75" x14ac:dyDescent="0.25">
      <c r="A165" s="158" t="s">
        <v>36</v>
      </c>
      <c r="B165" s="158">
        <v>2</v>
      </c>
      <c r="C165" s="158" t="s">
        <v>116</v>
      </c>
      <c r="D165" s="158" t="s">
        <v>76</v>
      </c>
      <c r="E165" s="158">
        <v>30</v>
      </c>
      <c r="F165" s="158">
        <v>135</v>
      </c>
      <c r="G165" s="158">
        <v>20227</v>
      </c>
      <c r="H165" s="222" t="s">
        <v>629</v>
      </c>
      <c r="I165" s="158">
        <v>1.0900000000000001</v>
      </c>
      <c r="J165" s="158">
        <v>0.85</v>
      </c>
      <c r="K165" s="158">
        <v>1.41</v>
      </c>
      <c r="L165" s="158" t="s">
        <v>53</v>
      </c>
      <c r="M165" s="158">
        <v>1</v>
      </c>
      <c r="N165" s="222"/>
    </row>
    <row r="166" spans="1:14" s="151" customFormat="1" ht="15.75" x14ac:dyDescent="0.25">
      <c r="A166" s="158" t="s">
        <v>36</v>
      </c>
      <c r="B166" s="158">
        <v>2</v>
      </c>
      <c r="C166" s="158" t="s">
        <v>116</v>
      </c>
      <c r="D166" s="158" t="s">
        <v>77</v>
      </c>
      <c r="E166" s="158">
        <v>50</v>
      </c>
      <c r="F166" s="158">
        <v>151</v>
      </c>
      <c r="G166" s="158">
        <v>20269</v>
      </c>
      <c r="H166" s="222" t="s">
        <v>629</v>
      </c>
      <c r="I166" s="158">
        <v>1.22</v>
      </c>
      <c r="J166" s="158">
        <v>0.94</v>
      </c>
      <c r="K166" s="158">
        <v>1.59</v>
      </c>
      <c r="L166" s="158" t="s">
        <v>53</v>
      </c>
      <c r="M166" s="158">
        <v>1</v>
      </c>
      <c r="N166" s="222"/>
    </row>
    <row r="167" spans="1:14" s="151" customFormat="1" ht="15.75" x14ac:dyDescent="0.25">
      <c r="A167" s="158" t="s">
        <v>36</v>
      </c>
      <c r="B167" s="158">
        <v>2</v>
      </c>
      <c r="C167" s="158" t="s">
        <v>116</v>
      </c>
      <c r="D167" s="158" t="s">
        <v>78</v>
      </c>
      <c r="E167" s="158">
        <v>70</v>
      </c>
      <c r="F167" s="158">
        <v>155</v>
      </c>
      <c r="G167" s="158">
        <v>20146</v>
      </c>
      <c r="H167" s="222" t="s">
        <v>629</v>
      </c>
      <c r="I167" s="158">
        <v>1.25</v>
      </c>
      <c r="J167" s="158">
        <v>0.94</v>
      </c>
      <c r="K167" s="158">
        <v>1.65</v>
      </c>
      <c r="L167" s="158" t="s">
        <v>53</v>
      </c>
      <c r="M167" s="158">
        <v>1</v>
      </c>
      <c r="N167" s="222"/>
    </row>
    <row r="168" spans="1:14" s="152" customFormat="1" ht="16.5" thickBot="1" x14ac:dyDescent="0.3">
      <c r="A168" s="223" t="s">
        <v>36</v>
      </c>
      <c r="B168" s="223">
        <v>2</v>
      </c>
      <c r="C168" s="223" t="s">
        <v>116</v>
      </c>
      <c r="D168" s="223" t="s">
        <v>79</v>
      </c>
      <c r="E168" s="223">
        <v>90</v>
      </c>
      <c r="F168" s="223">
        <v>190</v>
      </c>
      <c r="G168" s="223">
        <v>19759</v>
      </c>
      <c r="H168" s="224" t="s">
        <v>629</v>
      </c>
      <c r="I168" s="223">
        <v>1.63</v>
      </c>
      <c r="J168" s="223">
        <v>1.2</v>
      </c>
      <c r="K168" s="223">
        <v>2.21</v>
      </c>
      <c r="L168" s="223" t="s">
        <v>53</v>
      </c>
      <c r="M168" s="223">
        <v>1</v>
      </c>
      <c r="N168" s="224"/>
    </row>
  </sheetData>
  <autoFilter ref="A1:O168" xr:uid="{7B7613EA-FAE1-42CF-A581-D4B856ECA62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9"/>
  <sheetViews>
    <sheetView zoomScale="70" zoomScaleNormal="70" workbookViewId="0">
      <pane xSplit="1" ySplit="1" topLeftCell="B2" activePane="bottomRight" state="frozen"/>
      <selection pane="topRight" activeCell="B1" sqref="B1"/>
      <selection pane="bottomLeft" activeCell="A3" sqref="A3"/>
      <selection pane="bottomRight" activeCell="D61" sqref="D61"/>
    </sheetView>
  </sheetViews>
  <sheetFormatPr defaultColWidth="9.140625" defaultRowHeight="14.25" x14ac:dyDescent="0.2"/>
  <cols>
    <col min="1" max="1" width="32.5703125" style="47" bestFit="1" customWidth="1"/>
    <col min="2" max="2" width="43.5703125" style="48" customWidth="1"/>
    <col min="3" max="3" width="29.42578125" style="46" customWidth="1"/>
    <col min="4" max="4" width="43.28515625" style="59" customWidth="1"/>
    <col min="5" max="5" width="26.85546875" style="46" bestFit="1" customWidth="1"/>
    <col min="6" max="6" width="26.85546875" style="46" customWidth="1"/>
    <col min="7" max="7" width="23.5703125" style="49" customWidth="1"/>
    <col min="8" max="16384" width="9.140625" style="46"/>
  </cols>
  <sheetData>
    <row r="1" spans="1:7" s="79" customFormat="1" ht="65.25" customHeight="1" thickBot="1" x14ac:dyDescent="0.3">
      <c r="A1" s="77" t="s">
        <v>39</v>
      </c>
      <c r="B1" s="78" t="s">
        <v>381</v>
      </c>
      <c r="C1" s="78" t="s">
        <v>392</v>
      </c>
      <c r="D1" s="78" t="s">
        <v>42</v>
      </c>
      <c r="E1" s="78" t="s">
        <v>196</v>
      </c>
      <c r="F1" s="78" t="s">
        <v>197</v>
      </c>
      <c r="G1" s="78" t="s">
        <v>292</v>
      </c>
    </row>
    <row r="2" spans="1:7" s="43" customFormat="1" ht="21" customHeight="1" x14ac:dyDescent="0.25">
      <c r="A2" s="35" t="s">
        <v>1</v>
      </c>
      <c r="B2" s="36" t="s">
        <v>378</v>
      </c>
      <c r="C2" s="36" t="s">
        <v>272</v>
      </c>
      <c r="D2" s="36" t="s">
        <v>391</v>
      </c>
      <c r="E2" s="37" t="s">
        <v>258</v>
      </c>
      <c r="F2" s="36">
        <v>4</v>
      </c>
      <c r="G2" s="36">
        <v>46</v>
      </c>
    </row>
    <row r="3" spans="1:7" s="16" customFormat="1" ht="21" customHeight="1" x14ac:dyDescent="0.25">
      <c r="A3" s="14" t="s">
        <v>2</v>
      </c>
      <c r="B3" s="23" t="s">
        <v>377</v>
      </c>
      <c r="C3" s="23" t="s">
        <v>271</v>
      </c>
      <c r="D3" s="23" t="s">
        <v>261</v>
      </c>
      <c r="E3" s="67" t="s">
        <v>404</v>
      </c>
      <c r="F3" s="23">
        <v>5</v>
      </c>
      <c r="G3" s="23">
        <v>34</v>
      </c>
    </row>
    <row r="4" spans="1:7" s="16" customFormat="1" ht="21" customHeight="1" x14ac:dyDescent="0.25">
      <c r="A4" s="14" t="s">
        <v>3</v>
      </c>
      <c r="B4" s="23" t="s">
        <v>322</v>
      </c>
      <c r="C4" s="23" t="s">
        <v>259</v>
      </c>
      <c r="D4" s="23" t="s">
        <v>263</v>
      </c>
      <c r="E4" s="67" t="s">
        <v>428</v>
      </c>
      <c r="F4" s="23" t="s">
        <v>60</v>
      </c>
      <c r="G4" s="23" t="s">
        <v>307</v>
      </c>
    </row>
    <row r="5" spans="1:7" s="44" customFormat="1" ht="21" customHeight="1" x14ac:dyDescent="0.25">
      <c r="A5" s="38" t="s">
        <v>4</v>
      </c>
      <c r="B5" s="39" t="s">
        <v>264</v>
      </c>
      <c r="C5" s="39" t="s">
        <v>259</v>
      </c>
      <c r="D5" s="39" t="s">
        <v>641</v>
      </c>
      <c r="E5" s="61" t="s">
        <v>265</v>
      </c>
      <c r="F5" s="39" t="s">
        <v>267</v>
      </c>
      <c r="G5" s="39" t="s">
        <v>307</v>
      </c>
    </row>
    <row r="6" spans="1:7" s="16" customFormat="1" ht="21" customHeight="1" x14ac:dyDescent="0.25">
      <c r="A6" s="14" t="s">
        <v>5</v>
      </c>
      <c r="B6" s="23" t="s">
        <v>268</v>
      </c>
      <c r="C6" s="23" t="s">
        <v>270</v>
      </c>
      <c r="D6" s="23" t="s">
        <v>269</v>
      </c>
      <c r="E6" s="67" t="s">
        <v>273</v>
      </c>
      <c r="F6" s="23">
        <v>11</v>
      </c>
      <c r="G6" s="23">
        <v>32</v>
      </c>
    </row>
    <row r="7" spans="1:7" s="44" customFormat="1" ht="21" customHeight="1" x14ac:dyDescent="0.25">
      <c r="A7" s="38" t="s">
        <v>6</v>
      </c>
      <c r="B7" s="39" t="s">
        <v>275</v>
      </c>
      <c r="C7" s="39" t="s">
        <v>271</v>
      </c>
      <c r="D7" s="39" t="s">
        <v>274</v>
      </c>
      <c r="E7" s="61" t="s">
        <v>405</v>
      </c>
      <c r="F7" s="39">
        <v>24</v>
      </c>
      <c r="G7" s="39">
        <v>24</v>
      </c>
    </row>
    <row r="8" spans="1:7" s="16" customFormat="1" ht="21" customHeight="1" x14ac:dyDescent="0.25">
      <c r="A8" s="14" t="s">
        <v>7</v>
      </c>
      <c r="B8" s="23" t="s">
        <v>276</v>
      </c>
      <c r="C8" s="23" t="s">
        <v>277</v>
      </c>
      <c r="D8" s="23" t="s">
        <v>278</v>
      </c>
      <c r="E8" s="67" t="s">
        <v>406</v>
      </c>
      <c r="F8" s="23">
        <v>7</v>
      </c>
      <c r="G8" s="23">
        <v>28</v>
      </c>
    </row>
    <row r="9" spans="1:7" s="44" customFormat="1" ht="21" customHeight="1" x14ac:dyDescent="0.25">
      <c r="A9" s="38" t="s">
        <v>8</v>
      </c>
      <c r="B9" s="39" t="s">
        <v>280</v>
      </c>
      <c r="C9" s="39" t="s">
        <v>271</v>
      </c>
      <c r="D9" s="39" t="s">
        <v>282</v>
      </c>
      <c r="E9" s="164" t="s">
        <v>640</v>
      </c>
      <c r="F9" s="39" t="s">
        <v>60</v>
      </c>
      <c r="G9" s="39">
        <v>43</v>
      </c>
    </row>
    <row r="10" spans="1:7" s="16" customFormat="1" ht="21" customHeight="1" x14ac:dyDescent="0.25">
      <c r="A10" s="14" t="s">
        <v>9</v>
      </c>
      <c r="B10" s="23" t="s">
        <v>264</v>
      </c>
      <c r="C10" s="23" t="s">
        <v>259</v>
      </c>
      <c r="D10" s="23" t="s">
        <v>641</v>
      </c>
      <c r="E10" s="67" t="s">
        <v>265</v>
      </c>
      <c r="F10" s="23" t="s">
        <v>283</v>
      </c>
      <c r="G10" s="23" t="s">
        <v>307</v>
      </c>
    </row>
    <row r="11" spans="1:7" s="44" customFormat="1" ht="21" customHeight="1" x14ac:dyDescent="0.25">
      <c r="A11" s="38" t="s">
        <v>10</v>
      </c>
      <c r="B11" s="39" t="s">
        <v>284</v>
      </c>
      <c r="C11" s="39" t="s">
        <v>379</v>
      </c>
      <c r="D11" s="39" t="s">
        <v>285</v>
      </c>
      <c r="E11" s="61" t="s">
        <v>286</v>
      </c>
      <c r="F11" s="39" t="s">
        <v>60</v>
      </c>
      <c r="G11" s="39">
        <v>16</v>
      </c>
    </row>
    <row r="12" spans="1:7" s="16" customFormat="1" ht="21" customHeight="1" x14ac:dyDescent="0.25">
      <c r="A12" s="14" t="s">
        <v>105</v>
      </c>
      <c r="B12" s="23" t="s">
        <v>287</v>
      </c>
      <c r="C12" s="23" t="s">
        <v>271</v>
      </c>
      <c r="D12" s="23" t="s">
        <v>290</v>
      </c>
      <c r="E12" s="67" t="s">
        <v>288</v>
      </c>
      <c r="F12" s="23">
        <v>13</v>
      </c>
      <c r="G12" s="23">
        <v>13</v>
      </c>
    </row>
    <row r="13" spans="1:7" s="44" customFormat="1" ht="21" customHeight="1" x14ac:dyDescent="0.25">
      <c r="A13" s="38" t="s">
        <v>108</v>
      </c>
      <c r="B13" s="39" t="s">
        <v>287</v>
      </c>
      <c r="C13" s="39" t="s">
        <v>271</v>
      </c>
      <c r="D13" s="39" t="s">
        <v>290</v>
      </c>
      <c r="E13" s="61" t="s">
        <v>294</v>
      </c>
      <c r="F13" s="39">
        <v>15</v>
      </c>
      <c r="G13" s="39" t="s">
        <v>289</v>
      </c>
    </row>
    <row r="14" spans="1:7" s="16" customFormat="1" ht="21" customHeight="1" x14ac:dyDescent="0.25">
      <c r="A14" s="14" t="s">
        <v>11</v>
      </c>
      <c r="B14" s="23" t="s">
        <v>291</v>
      </c>
      <c r="C14" s="23" t="s">
        <v>271</v>
      </c>
      <c r="D14" s="23" t="s">
        <v>293</v>
      </c>
      <c r="E14" s="67" t="s">
        <v>295</v>
      </c>
      <c r="F14" s="23">
        <v>14</v>
      </c>
      <c r="G14" s="23">
        <v>22</v>
      </c>
    </row>
    <row r="15" spans="1:7" s="44" customFormat="1" ht="21" customHeight="1" x14ac:dyDescent="0.25">
      <c r="A15" s="38" t="s">
        <v>12</v>
      </c>
      <c r="B15" s="39" t="s">
        <v>276</v>
      </c>
      <c r="C15" s="39" t="s">
        <v>271</v>
      </c>
      <c r="D15" s="39" t="s">
        <v>296</v>
      </c>
      <c r="E15" s="61" t="s">
        <v>297</v>
      </c>
      <c r="F15" s="39">
        <v>16</v>
      </c>
      <c r="G15" s="39">
        <v>17</v>
      </c>
    </row>
    <row r="16" spans="1:7" s="16" customFormat="1" ht="21" customHeight="1" x14ac:dyDescent="0.25">
      <c r="A16" s="14" t="s">
        <v>13</v>
      </c>
      <c r="B16" s="23" t="s">
        <v>298</v>
      </c>
      <c r="C16" s="23" t="s">
        <v>424</v>
      </c>
      <c r="D16" s="23" t="s">
        <v>303</v>
      </c>
      <c r="E16" s="67" t="s">
        <v>304</v>
      </c>
      <c r="F16" s="23" t="s">
        <v>305</v>
      </c>
      <c r="G16" s="23" t="s">
        <v>306</v>
      </c>
    </row>
    <row r="17" spans="1:7" s="44" customFormat="1" ht="21" customHeight="1" x14ac:dyDescent="0.25">
      <c r="A17" s="38" t="s">
        <v>14</v>
      </c>
      <c r="B17" s="39" t="s">
        <v>308</v>
      </c>
      <c r="C17" s="39" t="s">
        <v>271</v>
      </c>
      <c r="D17" s="39" t="s">
        <v>290</v>
      </c>
      <c r="E17" s="61" t="s">
        <v>309</v>
      </c>
      <c r="F17" s="39">
        <v>13</v>
      </c>
      <c r="G17" s="39">
        <v>13</v>
      </c>
    </row>
    <row r="18" spans="1:7" s="44" customFormat="1" ht="21" customHeight="1" x14ac:dyDescent="0.25">
      <c r="A18" s="38" t="s">
        <v>15</v>
      </c>
      <c r="B18" s="39" t="s">
        <v>310</v>
      </c>
      <c r="C18" s="39" t="s">
        <v>271</v>
      </c>
      <c r="D18" s="39" t="s">
        <v>296</v>
      </c>
      <c r="E18" s="61" t="s">
        <v>311</v>
      </c>
      <c r="F18" s="39">
        <v>11</v>
      </c>
      <c r="G18" s="39">
        <v>12</v>
      </c>
    </row>
    <row r="19" spans="1:7" s="16" customFormat="1" ht="21" customHeight="1" x14ac:dyDescent="0.25">
      <c r="A19" s="14" t="s">
        <v>17</v>
      </c>
      <c r="B19" s="23" t="s">
        <v>300</v>
      </c>
      <c r="C19" s="23" t="s">
        <v>312</v>
      </c>
      <c r="D19" s="23" t="s">
        <v>316</v>
      </c>
      <c r="E19" s="67" t="s">
        <v>313</v>
      </c>
      <c r="F19" s="23">
        <v>10</v>
      </c>
      <c r="G19" s="23">
        <v>10</v>
      </c>
    </row>
    <row r="20" spans="1:7" s="44" customFormat="1" ht="21" customHeight="1" x14ac:dyDescent="0.25">
      <c r="A20" s="38" t="s">
        <v>16</v>
      </c>
      <c r="B20" s="39" t="s">
        <v>315</v>
      </c>
      <c r="C20" s="39" t="s">
        <v>312</v>
      </c>
      <c r="D20" s="39" t="s">
        <v>316</v>
      </c>
      <c r="E20" s="61" t="s">
        <v>317</v>
      </c>
      <c r="F20" s="39">
        <v>5</v>
      </c>
      <c r="G20" s="39">
        <v>7</v>
      </c>
    </row>
    <row r="21" spans="1:7" s="16" customFormat="1" ht="21" customHeight="1" x14ac:dyDescent="0.25">
      <c r="A21" s="14" t="s">
        <v>18</v>
      </c>
      <c r="B21" s="23" t="s">
        <v>314</v>
      </c>
      <c r="C21" s="23" t="s">
        <v>318</v>
      </c>
      <c r="D21" s="23" t="s">
        <v>350</v>
      </c>
      <c r="E21" s="67" t="s">
        <v>299</v>
      </c>
      <c r="F21" s="23">
        <v>33</v>
      </c>
      <c r="G21" s="23">
        <v>136</v>
      </c>
    </row>
    <row r="22" spans="1:7" s="44" customFormat="1" ht="21" customHeight="1" x14ac:dyDescent="0.25">
      <c r="A22" s="38" t="s">
        <v>126</v>
      </c>
      <c r="B22" s="39" t="s">
        <v>264</v>
      </c>
      <c r="C22" s="39" t="s">
        <v>318</v>
      </c>
      <c r="D22" s="39" t="s">
        <v>350</v>
      </c>
      <c r="E22" s="61" t="s">
        <v>299</v>
      </c>
      <c r="F22" s="39">
        <v>33</v>
      </c>
      <c r="G22" s="39">
        <v>136</v>
      </c>
    </row>
    <row r="23" spans="1:7" s="16" customFormat="1" ht="21" customHeight="1" x14ac:dyDescent="0.25">
      <c r="A23" s="14" t="s">
        <v>19</v>
      </c>
      <c r="B23" s="23" t="s">
        <v>332</v>
      </c>
      <c r="C23" s="23" t="s">
        <v>271</v>
      </c>
      <c r="D23" s="23" t="s">
        <v>334</v>
      </c>
      <c r="E23" s="67" t="s">
        <v>333</v>
      </c>
      <c r="F23" s="23">
        <v>8</v>
      </c>
      <c r="G23" s="23">
        <v>28</v>
      </c>
    </row>
    <row r="24" spans="1:7" s="44" customFormat="1" ht="21" customHeight="1" x14ac:dyDescent="0.25">
      <c r="A24" s="38" t="s">
        <v>20</v>
      </c>
      <c r="B24" s="39" t="s">
        <v>319</v>
      </c>
      <c r="C24" s="39" t="s">
        <v>271</v>
      </c>
      <c r="D24" s="39" t="s">
        <v>335</v>
      </c>
      <c r="E24" s="61" t="s">
        <v>336</v>
      </c>
      <c r="F24" s="39">
        <v>10</v>
      </c>
      <c r="G24" s="39">
        <v>10</v>
      </c>
    </row>
    <row r="25" spans="1:7" s="16" customFormat="1" ht="21" customHeight="1" x14ac:dyDescent="0.25">
      <c r="A25" s="14" t="s">
        <v>21</v>
      </c>
      <c r="B25" s="23" t="s">
        <v>320</v>
      </c>
      <c r="C25" s="23" t="s">
        <v>271</v>
      </c>
      <c r="D25" s="23" t="s">
        <v>321</v>
      </c>
      <c r="E25" s="67" t="s">
        <v>339</v>
      </c>
      <c r="F25" s="23" t="s">
        <v>338</v>
      </c>
      <c r="G25" s="23" t="s">
        <v>337</v>
      </c>
    </row>
    <row r="26" spans="1:7" s="44" customFormat="1" ht="21" customHeight="1" x14ac:dyDescent="0.25">
      <c r="A26" s="38" t="s">
        <v>22</v>
      </c>
      <c r="B26" s="39" t="s">
        <v>322</v>
      </c>
      <c r="C26" s="39" t="s">
        <v>271</v>
      </c>
      <c r="D26" s="39" t="s">
        <v>323</v>
      </c>
      <c r="E26" s="61" t="s">
        <v>341</v>
      </c>
      <c r="F26" s="39">
        <v>21</v>
      </c>
      <c r="G26" s="39">
        <v>47</v>
      </c>
    </row>
    <row r="27" spans="1:7" s="16" customFormat="1" ht="21" customHeight="1" x14ac:dyDescent="0.25">
      <c r="A27" s="14" t="s">
        <v>23</v>
      </c>
      <c r="B27" s="23" t="s">
        <v>340</v>
      </c>
      <c r="C27" s="23" t="s">
        <v>259</v>
      </c>
      <c r="D27" s="23" t="s">
        <v>324</v>
      </c>
      <c r="E27" s="67" t="s">
        <v>343</v>
      </c>
      <c r="F27" s="23" t="s">
        <v>307</v>
      </c>
      <c r="G27" s="23" t="s">
        <v>307</v>
      </c>
    </row>
    <row r="28" spans="1:7" s="44" customFormat="1" ht="21" customHeight="1" x14ac:dyDescent="0.25">
      <c r="A28" s="38" t="s">
        <v>38</v>
      </c>
      <c r="B28" s="39" t="s">
        <v>342</v>
      </c>
      <c r="C28" s="39" t="s">
        <v>271</v>
      </c>
      <c r="D28" s="39" t="s">
        <v>325</v>
      </c>
      <c r="E28" s="61" t="s">
        <v>407</v>
      </c>
      <c r="F28" s="39">
        <v>57</v>
      </c>
      <c r="G28" s="39">
        <v>57</v>
      </c>
    </row>
    <row r="29" spans="1:7" s="16" customFormat="1" ht="21" customHeight="1" x14ac:dyDescent="0.25">
      <c r="A29" s="14" t="s">
        <v>24</v>
      </c>
      <c r="B29" s="23" t="s">
        <v>346</v>
      </c>
      <c r="C29" s="23" t="s">
        <v>271</v>
      </c>
      <c r="D29" s="23" t="s">
        <v>344</v>
      </c>
      <c r="E29" s="67" t="s">
        <v>345</v>
      </c>
      <c r="F29" s="23">
        <v>13</v>
      </c>
      <c r="G29" s="23">
        <v>13</v>
      </c>
    </row>
    <row r="30" spans="1:7" s="44" customFormat="1" ht="21" customHeight="1" x14ac:dyDescent="0.25">
      <c r="A30" s="38" t="s">
        <v>25</v>
      </c>
      <c r="B30" s="39" t="s">
        <v>326</v>
      </c>
      <c r="C30" s="39" t="s">
        <v>271</v>
      </c>
      <c r="D30" s="39" t="s">
        <v>290</v>
      </c>
      <c r="E30" s="61" t="s">
        <v>347</v>
      </c>
      <c r="F30" s="39">
        <v>15</v>
      </c>
      <c r="G30" s="39">
        <v>15</v>
      </c>
    </row>
    <row r="31" spans="1:7" s="16" customFormat="1" ht="21" customHeight="1" x14ac:dyDescent="0.25">
      <c r="A31" s="14" t="s">
        <v>26</v>
      </c>
      <c r="B31" s="23" t="s">
        <v>327</v>
      </c>
      <c r="C31" s="23" t="s">
        <v>271</v>
      </c>
      <c r="D31" s="23" t="s">
        <v>348</v>
      </c>
      <c r="E31" s="67" t="s">
        <v>349</v>
      </c>
      <c r="F31" s="23">
        <v>8</v>
      </c>
      <c r="G31" s="23">
        <v>43</v>
      </c>
    </row>
    <row r="32" spans="1:7" s="16" customFormat="1" ht="21" customHeight="1" x14ac:dyDescent="0.25">
      <c r="A32" s="14" t="s">
        <v>27</v>
      </c>
      <c r="B32" s="23" t="s">
        <v>328</v>
      </c>
      <c r="C32" s="23" t="s">
        <v>277</v>
      </c>
      <c r="D32" s="23" t="s">
        <v>329</v>
      </c>
      <c r="E32" s="67" t="s">
        <v>351</v>
      </c>
      <c r="F32" s="23">
        <v>28</v>
      </c>
      <c r="G32" s="23">
        <v>34</v>
      </c>
    </row>
    <row r="33" spans="1:7" s="44" customFormat="1" ht="30" x14ac:dyDescent="0.25">
      <c r="A33" s="38" t="s">
        <v>28</v>
      </c>
      <c r="B33" s="39" t="s">
        <v>330</v>
      </c>
      <c r="C33" s="39" t="s">
        <v>277</v>
      </c>
      <c r="D33" s="40" t="s">
        <v>408</v>
      </c>
      <c r="E33" s="61" t="s">
        <v>411</v>
      </c>
      <c r="F33" s="39" t="s">
        <v>307</v>
      </c>
      <c r="G33" s="39" t="s">
        <v>307</v>
      </c>
    </row>
    <row r="34" spans="1:7" s="16" customFormat="1" ht="21" customHeight="1" x14ac:dyDescent="0.25">
      <c r="A34" s="14" t="s">
        <v>37</v>
      </c>
      <c r="B34" s="23" t="s">
        <v>353</v>
      </c>
      <c r="C34" s="23" t="s">
        <v>312</v>
      </c>
      <c r="D34" s="23" t="s">
        <v>352</v>
      </c>
      <c r="E34" s="67" t="s">
        <v>354</v>
      </c>
      <c r="F34" s="23" t="s">
        <v>60</v>
      </c>
      <c r="G34" s="23">
        <v>39</v>
      </c>
    </row>
    <row r="35" spans="1:7" s="44" customFormat="1" ht="21" customHeight="1" x14ac:dyDescent="0.25">
      <c r="A35" s="38" t="s">
        <v>29</v>
      </c>
      <c r="B35" s="39" t="s">
        <v>360</v>
      </c>
      <c r="C35" s="39" t="s">
        <v>271</v>
      </c>
      <c r="D35" s="39" t="s">
        <v>355</v>
      </c>
      <c r="E35" s="61" t="s">
        <v>361</v>
      </c>
      <c r="F35" s="39">
        <v>17</v>
      </c>
      <c r="G35" s="39">
        <v>39</v>
      </c>
    </row>
    <row r="36" spans="1:7" s="16" customFormat="1" ht="21" customHeight="1" x14ac:dyDescent="0.25">
      <c r="A36" s="14" t="s">
        <v>30</v>
      </c>
      <c r="B36" s="23" t="s">
        <v>356</v>
      </c>
      <c r="C36" s="23" t="s">
        <v>277</v>
      </c>
      <c r="D36" s="23" t="s">
        <v>362</v>
      </c>
      <c r="E36" s="67" t="s">
        <v>363</v>
      </c>
      <c r="F36" s="23">
        <v>18</v>
      </c>
      <c r="G36" s="23">
        <v>24</v>
      </c>
    </row>
    <row r="37" spans="1:7" s="44" customFormat="1" ht="21" customHeight="1" x14ac:dyDescent="0.25">
      <c r="A37" s="38" t="s">
        <v>31</v>
      </c>
      <c r="B37" s="39" t="s">
        <v>364</v>
      </c>
      <c r="C37" s="39" t="s">
        <v>271</v>
      </c>
      <c r="D37" s="39" t="s">
        <v>290</v>
      </c>
      <c r="E37" s="61" t="s">
        <v>365</v>
      </c>
      <c r="F37" s="39">
        <v>8</v>
      </c>
      <c r="G37" s="39">
        <v>16</v>
      </c>
    </row>
    <row r="38" spans="1:7" s="16" customFormat="1" ht="30" x14ac:dyDescent="0.25">
      <c r="A38" s="14" t="s">
        <v>32</v>
      </c>
      <c r="B38" s="23" t="s">
        <v>357</v>
      </c>
      <c r="C38" s="23" t="s">
        <v>366</v>
      </c>
      <c r="D38" s="34" t="s">
        <v>358</v>
      </c>
      <c r="E38" s="67" t="s">
        <v>367</v>
      </c>
      <c r="F38" s="23" t="s">
        <v>368</v>
      </c>
      <c r="G38" s="23">
        <v>21</v>
      </c>
    </row>
    <row r="39" spans="1:7" s="44" customFormat="1" ht="21" customHeight="1" x14ac:dyDescent="0.25">
      <c r="A39" s="38" t="s">
        <v>33</v>
      </c>
      <c r="B39" s="39" t="s">
        <v>369</v>
      </c>
      <c r="C39" s="39" t="s">
        <v>271</v>
      </c>
      <c r="D39" s="39" t="s">
        <v>355</v>
      </c>
      <c r="E39" s="61" t="s">
        <v>370</v>
      </c>
      <c r="F39" s="39">
        <v>18</v>
      </c>
      <c r="G39" s="39">
        <v>19</v>
      </c>
    </row>
    <row r="40" spans="1:7" s="16" customFormat="1" ht="21" customHeight="1" x14ac:dyDescent="0.25">
      <c r="A40" s="14" t="s">
        <v>34</v>
      </c>
      <c r="B40" s="23" t="s">
        <v>371</v>
      </c>
      <c r="C40" s="23" t="s">
        <v>271</v>
      </c>
      <c r="D40" s="23" t="s">
        <v>290</v>
      </c>
      <c r="E40" s="67" t="s">
        <v>372</v>
      </c>
      <c r="F40" s="23" t="s">
        <v>60</v>
      </c>
      <c r="G40" s="23" t="s">
        <v>60</v>
      </c>
    </row>
    <row r="41" spans="1:7" s="44" customFormat="1" ht="21" customHeight="1" x14ac:dyDescent="0.25">
      <c r="A41" s="38" t="s">
        <v>35</v>
      </c>
      <c r="B41" s="39" t="s">
        <v>373</v>
      </c>
      <c r="C41" s="39" t="s">
        <v>374</v>
      </c>
      <c r="D41" s="39" t="s">
        <v>390</v>
      </c>
      <c r="E41" s="61" t="s">
        <v>375</v>
      </c>
      <c r="F41" s="39">
        <v>7</v>
      </c>
      <c r="G41" s="39">
        <v>7</v>
      </c>
    </row>
    <row r="42" spans="1:7" s="22" customFormat="1" ht="21" customHeight="1" thickBot="1" x14ac:dyDescent="0.3">
      <c r="A42" s="21" t="s">
        <v>36</v>
      </c>
      <c r="B42" s="24" t="s">
        <v>360</v>
      </c>
      <c r="C42" s="24" t="s">
        <v>271</v>
      </c>
      <c r="D42" s="24" t="s">
        <v>290</v>
      </c>
      <c r="E42" s="68" t="s">
        <v>376</v>
      </c>
      <c r="F42" s="24" t="s">
        <v>60</v>
      </c>
      <c r="G42" s="24">
        <v>39</v>
      </c>
    </row>
    <row r="43" spans="1:7" ht="18.75" x14ac:dyDescent="0.3">
      <c r="A43" s="50" t="s">
        <v>380</v>
      </c>
      <c r="B43" s="55" t="s">
        <v>382</v>
      </c>
      <c r="C43" s="55" t="s">
        <v>388</v>
      </c>
      <c r="D43" s="74" t="s">
        <v>638</v>
      </c>
      <c r="E43" s="51"/>
      <c r="F43" s="51"/>
      <c r="G43" s="51"/>
    </row>
    <row r="44" spans="1:7" ht="18.75" x14ac:dyDescent="0.3">
      <c r="B44" s="56" t="s">
        <v>383</v>
      </c>
      <c r="C44" s="57" t="s">
        <v>389</v>
      </c>
      <c r="D44" s="75" t="s">
        <v>393</v>
      </c>
      <c r="E44" s="53"/>
      <c r="F44" s="53"/>
      <c r="G44" s="54"/>
    </row>
    <row r="45" spans="1:7" ht="18.75" x14ac:dyDescent="0.3">
      <c r="B45" s="56" t="s">
        <v>384</v>
      </c>
      <c r="C45" s="53"/>
      <c r="D45" s="75" t="s">
        <v>394</v>
      </c>
      <c r="E45" s="53"/>
      <c r="F45" s="53"/>
      <c r="G45" s="54"/>
    </row>
    <row r="46" spans="1:7" ht="18.75" x14ac:dyDescent="0.3">
      <c r="B46" s="56" t="s">
        <v>385</v>
      </c>
      <c r="C46" s="53"/>
      <c r="D46" s="75" t="s">
        <v>395</v>
      </c>
      <c r="E46" s="53"/>
      <c r="F46" s="53"/>
      <c r="G46" s="54"/>
    </row>
    <row r="47" spans="1:7" ht="18.75" x14ac:dyDescent="0.3">
      <c r="B47" s="56" t="s">
        <v>386</v>
      </c>
      <c r="C47" s="53"/>
      <c r="D47" s="75" t="s">
        <v>639</v>
      </c>
      <c r="E47" s="53"/>
      <c r="F47" s="53"/>
      <c r="G47" s="54"/>
    </row>
    <row r="48" spans="1:7" ht="18.75" x14ac:dyDescent="0.3">
      <c r="B48" s="56" t="s">
        <v>387</v>
      </c>
      <c r="C48" s="53"/>
      <c r="D48" s="75" t="s">
        <v>396</v>
      </c>
      <c r="E48" s="53"/>
      <c r="F48" s="53"/>
      <c r="G48" s="54"/>
    </row>
    <row r="49" spans="2:7" ht="15.75" x14ac:dyDescent="0.25">
      <c r="B49" s="52"/>
      <c r="C49" s="53"/>
      <c r="D49" s="75" t="s">
        <v>642</v>
      </c>
      <c r="E49" s="53"/>
      <c r="F49" s="53"/>
      <c r="G49" s="54"/>
    </row>
    <row r="50" spans="2:7" ht="15.75" x14ac:dyDescent="0.25">
      <c r="B50" s="52"/>
      <c r="C50" s="53"/>
      <c r="D50" s="75" t="s">
        <v>397</v>
      </c>
      <c r="E50" s="53"/>
      <c r="F50" s="53"/>
      <c r="G50" s="54"/>
    </row>
    <row r="51" spans="2:7" ht="45.75" customHeight="1" x14ac:dyDescent="0.25">
      <c r="B51" s="52"/>
      <c r="C51" s="53"/>
      <c r="D51" s="91" t="s">
        <v>429</v>
      </c>
      <c r="E51" s="53"/>
      <c r="F51" s="53"/>
      <c r="G51" s="54"/>
    </row>
    <row r="52" spans="2:7" ht="15.75" x14ac:dyDescent="0.25">
      <c r="B52" s="52"/>
      <c r="C52" s="53"/>
      <c r="D52" s="76"/>
      <c r="E52" s="53"/>
      <c r="F52" s="53"/>
      <c r="G52" s="54"/>
    </row>
    <row r="53" spans="2:7" ht="15.75" x14ac:dyDescent="0.25">
      <c r="B53" s="52"/>
      <c r="C53" s="53"/>
      <c r="D53" s="75"/>
      <c r="E53" s="53"/>
      <c r="F53" s="53"/>
      <c r="G53" s="54"/>
    </row>
    <row r="54" spans="2:7" ht="15.75" x14ac:dyDescent="0.25">
      <c r="B54" s="52"/>
      <c r="C54" s="53"/>
      <c r="D54" s="60"/>
      <c r="E54" s="53"/>
      <c r="F54" s="53"/>
      <c r="G54" s="54"/>
    </row>
    <row r="55" spans="2:7" ht="15.75" x14ac:dyDescent="0.25">
      <c r="B55" s="52"/>
      <c r="C55" s="53"/>
      <c r="D55" s="60"/>
      <c r="E55" s="53"/>
      <c r="F55" s="53"/>
      <c r="G55" s="54"/>
    </row>
    <row r="56" spans="2:7" ht="15.75" x14ac:dyDescent="0.25">
      <c r="B56" s="52"/>
      <c r="C56" s="53"/>
      <c r="D56" s="58"/>
      <c r="E56" s="53"/>
      <c r="F56" s="53"/>
      <c r="G56" s="54"/>
    </row>
    <row r="57" spans="2:7" ht="15.75" x14ac:dyDescent="0.25">
      <c r="B57" s="52"/>
      <c r="C57" s="53"/>
      <c r="D57" s="58"/>
      <c r="E57" s="53"/>
      <c r="F57" s="53"/>
      <c r="G57" s="54"/>
    </row>
    <row r="58" spans="2:7" ht="15.75" x14ac:dyDescent="0.25">
      <c r="B58" s="52"/>
      <c r="C58" s="53"/>
      <c r="D58" s="58"/>
      <c r="E58" s="53"/>
      <c r="F58" s="53"/>
      <c r="G58" s="54"/>
    </row>
    <row r="59" spans="2:7" ht="15.75" x14ac:dyDescent="0.25">
      <c r="B59" s="52"/>
      <c r="C59" s="53"/>
      <c r="D59" s="58"/>
      <c r="E59" s="53"/>
      <c r="F59" s="53"/>
      <c r="G59" s="54"/>
    </row>
  </sheetData>
  <autoFilter ref="A1:G50" xr:uid="{00000000-0009-0000-0000-000004000000}">
    <sortState ref="A10:G42">
      <sortCondition ref="A1:A44"/>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2"/>
  <sheetViews>
    <sheetView zoomScale="70" zoomScaleNormal="70" workbookViewId="0">
      <pane xSplit="1" ySplit="1" topLeftCell="B2" activePane="bottomRight" state="frozen"/>
      <selection pane="topRight" activeCell="B1" sqref="B1"/>
      <selection pane="bottomLeft" activeCell="A3" sqref="A3"/>
      <selection pane="bottomRight" activeCell="A2" sqref="A2"/>
    </sheetView>
  </sheetViews>
  <sheetFormatPr defaultColWidth="9.140625" defaultRowHeight="15" x14ac:dyDescent="0.2"/>
  <cols>
    <col min="1" max="1" width="32.5703125" style="173" bestFit="1" customWidth="1"/>
    <col min="2" max="2" width="33" style="66" customWidth="1"/>
    <col min="3" max="3" width="79" style="63" customWidth="1"/>
    <col min="4" max="4" width="20.42578125" style="83" customWidth="1"/>
    <col min="5" max="5" width="26.28515625" style="89" customWidth="1"/>
    <col min="6" max="6" width="24.140625" style="66" customWidth="1"/>
    <col min="7" max="7" width="20.5703125" style="66" customWidth="1"/>
    <col min="8" max="8" width="13.42578125" style="84" customWidth="1"/>
    <col min="9" max="16384" width="9.140625" style="46"/>
  </cols>
  <sheetData>
    <row r="1" spans="1:8" s="87" customFormat="1" ht="75.75" thickBot="1" x14ac:dyDescent="0.3">
      <c r="A1" s="77" t="s">
        <v>39</v>
      </c>
      <c r="B1" s="85" t="s">
        <v>42</v>
      </c>
      <c r="C1" s="78" t="s">
        <v>196</v>
      </c>
      <c r="D1" s="87" t="s">
        <v>399</v>
      </c>
      <c r="E1" s="88" t="s">
        <v>410</v>
      </c>
      <c r="F1" s="78" t="s">
        <v>197</v>
      </c>
      <c r="G1" s="78" t="s">
        <v>292</v>
      </c>
      <c r="H1" s="86" t="s">
        <v>403</v>
      </c>
    </row>
    <row r="2" spans="1:8" s="274" customFormat="1" x14ac:dyDescent="0.25">
      <c r="A2" s="267" t="s">
        <v>1</v>
      </c>
      <c r="B2" s="268" t="s">
        <v>391</v>
      </c>
      <c r="C2" s="269" t="s">
        <v>398</v>
      </c>
      <c r="D2" s="270">
        <v>3</v>
      </c>
      <c r="E2" s="271">
        <f>(0.22+0.2+0.2)/3</f>
        <v>0.20666666666666669</v>
      </c>
      <c r="F2" s="272">
        <v>4</v>
      </c>
      <c r="G2" s="272">
        <v>46</v>
      </c>
      <c r="H2" s="273">
        <f>100*(D2/F2)</f>
        <v>75</v>
      </c>
    </row>
    <row r="3" spans="1:8" s="257" customFormat="1" ht="30" x14ac:dyDescent="0.25">
      <c r="A3" s="251" t="s">
        <v>2</v>
      </c>
      <c r="B3" s="252" t="s">
        <v>261</v>
      </c>
      <c r="C3" s="253" t="s">
        <v>404</v>
      </c>
      <c r="D3" s="254">
        <v>4</v>
      </c>
      <c r="E3" s="255">
        <f>(0.33+0.42+0.36+0.34)/4</f>
        <v>0.36249999999999999</v>
      </c>
      <c r="F3" s="108">
        <v>5</v>
      </c>
      <c r="G3" s="108">
        <v>34</v>
      </c>
      <c r="H3" s="256">
        <f>100*(D3/F3)</f>
        <v>80</v>
      </c>
    </row>
    <row r="4" spans="1:8" s="282" customFormat="1" x14ac:dyDescent="0.25">
      <c r="A4" s="275" t="s">
        <v>3</v>
      </c>
      <c r="B4" s="276" t="s">
        <v>263</v>
      </c>
      <c r="C4" s="277" t="s">
        <v>428</v>
      </c>
      <c r="D4" s="278"/>
      <c r="E4" s="279" t="s">
        <v>60</v>
      </c>
      <c r="F4" s="280" t="s">
        <v>60</v>
      </c>
      <c r="G4" s="280" t="s">
        <v>307</v>
      </c>
      <c r="H4" s="281"/>
    </row>
    <row r="5" spans="1:8" s="257" customFormat="1" x14ac:dyDescent="0.25">
      <c r="A5" s="251" t="s">
        <v>4</v>
      </c>
      <c r="B5" s="252" t="s">
        <v>266</v>
      </c>
      <c r="C5" s="253" t="s">
        <v>265</v>
      </c>
      <c r="D5" s="254">
        <v>3</v>
      </c>
      <c r="E5" s="258" t="s">
        <v>60</v>
      </c>
      <c r="F5" s="108" t="s">
        <v>267</v>
      </c>
      <c r="G5" s="108" t="s">
        <v>307</v>
      </c>
      <c r="H5" s="256"/>
    </row>
    <row r="6" spans="1:8" s="282" customFormat="1" ht="30" x14ac:dyDescent="0.25">
      <c r="A6" s="275" t="s">
        <v>5</v>
      </c>
      <c r="B6" s="276" t="s">
        <v>269</v>
      </c>
      <c r="C6" s="277" t="s">
        <v>273</v>
      </c>
      <c r="D6" s="278">
        <v>5</v>
      </c>
      <c r="E6" s="279" t="s">
        <v>60</v>
      </c>
      <c r="F6" s="280">
        <v>11</v>
      </c>
      <c r="G6" s="280">
        <v>32</v>
      </c>
      <c r="H6" s="281">
        <f>100*(D6/F6)</f>
        <v>45.454545454545453</v>
      </c>
    </row>
    <row r="7" spans="1:8" s="257" customFormat="1" ht="75" x14ac:dyDescent="0.25">
      <c r="A7" s="251" t="s">
        <v>6</v>
      </c>
      <c r="B7" s="252" t="s">
        <v>274</v>
      </c>
      <c r="C7" s="253" t="s">
        <v>405</v>
      </c>
      <c r="D7" s="254">
        <v>20</v>
      </c>
      <c r="E7" s="258">
        <f>(0.46+0.53+0.45+0.55+0.5+0.41+0.47+0.43+0.42+0.42+0.34+0.37+0.37+0.37+0.43+0.42+0.3+0.3+0.3+0.42)/20</f>
        <v>0.41299999999999998</v>
      </c>
      <c r="F7" s="108">
        <v>24</v>
      </c>
      <c r="G7" s="108">
        <v>24</v>
      </c>
      <c r="H7" s="256">
        <f>100*(D7/F7)</f>
        <v>83.333333333333343</v>
      </c>
    </row>
    <row r="8" spans="1:8" s="282" customFormat="1" x14ac:dyDescent="0.25">
      <c r="A8" s="275" t="s">
        <v>7</v>
      </c>
      <c r="B8" s="276" t="s">
        <v>278</v>
      </c>
      <c r="C8" s="277" t="s">
        <v>279</v>
      </c>
      <c r="D8" s="278">
        <v>3</v>
      </c>
      <c r="E8" s="279">
        <f>(0.6+0.19+0.22)/3</f>
        <v>0.33666666666666667</v>
      </c>
      <c r="F8" s="280">
        <v>7</v>
      </c>
      <c r="G8" s="280">
        <v>28</v>
      </c>
      <c r="H8" s="281">
        <f>100*(D8/F8)</f>
        <v>42.857142857142854</v>
      </c>
    </row>
    <row r="9" spans="1:8" s="257" customFormat="1" x14ac:dyDescent="0.25">
      <c r="A9" s="251" t="s">
        <v>8</v>
      </c>
      <c r="B9" s="252" t="s">
        <v>282</v>
      </c>
      <c r="C9" s="253" t="s">
        <v>281</v>
      </c>
      <c r="D9" s="254">
        <v>3</v>
      </c>
      <c r="E9" s="258" t="s">
        <v>60</v>
      </c>
      <c r="F9" s="108" t="s">
        <v>60</v>
      </c>
      <c r="G9" s="108">
        <v>43</v>
      </c>
      <c r="H9" s="256" t="s">
        <v>60</v>
      </c>
    </row>
    <row r="10" spans="1:8" s="282" customFormat="1" x14ac:dyDescent="0.25">
      <c r="A10" s="275" t="s">
        <v>9</v>
      </c>
      <c r="B10" s="276" t="s">
        <v>266</v>
      </c>
      <c r="C10" s="277" t="s">
        <v>265</v>
      </c>
      <c r="D10" s="278">
        <v>3</v>
      </c>
      <c r="E10" s="279" t="s">
        <v>60</v>
      </c>
      <c r="F10" s="280" t="s">
        <v>283</v>
      </c>
      <c r="G10" s="280" t="s">
        <v>307</v>
      </c>
      <c r="H10" s="281" t="s">
        <v>60</v>
      </c>
    </row>
    <row r="11" spans="1:8" s="257" customFormat="1" x14ac:dyDescent="0.25">
      <c r="A11" s="251" t="s">
        <v>10</v>
      </c>
      <c r="B11" s="252" t="s">
        <v>285</v>
      </c>
      <c r="C11" s="253" t="s">
        <v>286</v>
      </c>
      <c r="D11" s="254">
        <v>6</v>
      </c>
      <c r="E11" s="258" t="s">
        <v>60</v>
      </c>
      <c r="F11" s="108" t="s">
        <v>60</v>
      </c>
      <c r="G11" s="108">
        <v>16</v>
      </c>
      <c r="H11" s="256" t="s">
        <v>60</v>
      </c>
    </row>
    <row r="12" spans="1:8" s="282" customFormat="1" ht="45" x14ac:dyDescent="0.25">
      <c r="A12" s="275" t="s">
        <v>105</v>
      </c>
      <c r="B12" s="276" t="s">
        <v>290</v>
      </c>
      <c r="C12" s="277" t="s">
        <v>400</v>
      </c>
      <c r="D12" s="278">
        <v>7</v>
      </c>
      <c r="E12" s="279">
        <f>(0.59+0.47+0.46+0.38+0.37+0.36+0.34)/7</f>
        <v>0.42428571428571427</v>
      </c>
      <c r="F12" s="280">
        <v>13</v>
      </c>
      <c r="G12" s="280">
        <v>13</v>
      </c>
      <c r="H12" s="281">
        <f t="shared" ref="H12:H44" si="0">100*(D12/F12)</f>
        <v>53.846153846153847</v>
      </c>
    </row>
    <row r="13" spans="1:8" s="257" customFormat="1" x14ac:dyDescent="0.25">
      <c r="A13" s="251" t="s">
        <v>108</v>
      </c>
      <c r="B13" s="252" t="s">
        <v>290</v>
      </c>
      <c r="C13" s="253" t="s">
        <v>354</v>
      </c>
      <c r="D13" s="254">
        <v>4</v>
      </c>
      <c r="E13" s="258">
        <f>(0.47+0.46+0.26+0.39)/4</f>
        <v>0.39500000000000002</v>
      </c>
      <c r="F13" s="108">
        <v>15</v>
      </c>
      <c r="G13" s="108" t="s">
        <v>289</v>
      </c>
      <c r="H13" s="256">
        <f t="shared" si="0"/>
        <v>26.666666666666668</v>
      </c>
    </row>
    <row r="14" spans="1:8" s="282" customFormat="1" ht="30" x14ac:dyDescent="0.25">
      <c r="A14" s="275" t="s">
        <v>11</v>
      </c>
      <c r="B14" s="276" t="s">
        <v>293</v>
      </c>
      <c r="C14" s="277" t="s">
        <v>295</v>
      </c>
      <c r="D14" s="278">
        <v>4</v>
      </c>
      <c r="E14" s="279">
        <f>(0.66+0.48+0.4+0.19)/4</f>
        <v>0.4325</v>
      </c>
      <c r="F14" s="280">
        <v>14</v>
      </c>
      <c r="G14" s="280">
        <v>22</v>
      </c>
      <c r="H14" s="281">
        <f t="shared" si="0"/>
        <v>28.571428571428569</v>
      </c>
    </row>
    <row r="15" spans="1:8" s="257" customFormat="1" ht="30" x14ac:dyDescent="0.25">
      <c r="A15" s="251" t="s">
        <v>12</v>
      </c>
      <c r="B15" s="252" t="s">
        <v>296</v>
      </c>
      <c r="C15" s="253" t="s">
        <v>297</v>
      </c>
      <c r="D15" s="254">
        <v>7</v>
      </c>
      <c r="E15" s="258">
        <f>(0.57+0.47+0.45+0.43+0.35+0.34+0.32)/7</f>
        <v>0.41857142857142854</v>
      </c>
      <c r="F15" s="108">
        <v>16</v>
      </c>
      <c r="G15" s="108">
        <v>17</v>
      </c>
      <c r="H15" s="256">
        <f t="shared" si="0"/>
        <v>43.75</v>
      </c>
    </row>
    <row r="16" spans="1:8" s="282" customFormat="1" x14ac:dyDescent="0.25">
      <c r="A16" s="275" t="s">
        <v>13</v>
      </c>
      <c r="B16" s="276" t="s">
        <v>303</v>
      </c>
      <c r="C16" s="277" t="s">
        <v>304</v>
      </c>
      <c r="D16" s="278">
        <v>7</v>
      </c>
      <c r="E16" s="279" t="s">
        <v>60</v>
      </c>
      <c r="F16" s="280" t="s">
        <v>305</v>
      </c>
      <c r="G16" s="280" t="s">
        <v>306</v>
      </c>
      <c r="H16" s="281" t="s">
        <v>60</v>
      </c>
    </row>
    <row r="17" spans="1:8" s="257" customFormat="1" ht="30" x14ac:dyDescent="0.25">
      <c r="A17" s="251" t="s">
        <v>14</v>
      </c>
      <c r="B17" s="252" t="s">
        <v>290</v>
      </c>
      <c r="C17" s="253" t="s">
        <v>309</v>
      </c>
      <c r="D17" s="254">
        <v>7</v>
      </c>
      <c r="E17" s="258">
        <f>(0.59+0.47+0.46+0.38+0.37+0.36+0.34)/7</f>
        <v>0.42428571428571427</v>
      </c>
      <c r="F17" s="108">
        <v>13</v>
      </c>
      <c r="G17" s="108">
        <v>13</v>
      </c>
      <c r="H17" s="256">
        <f t="shared" si="0"/>
        <v>53.846153846153847</v>
      </c>
    </row>
    <row r="18" spans="1:8" s="282" customFormat="1" ht="30" x14ac:dyDescent="0.25">
      <c r="A18" s="275" t="s">
        <v>15</v>
      </c>
      <c r="B18" s="276" t="s">
        <v>296</v>
      </c>
      <c r="C18" s="277" t="s">
        <v>311</v>
      </c>
      <c r="D18" s="278">
        <v>4</v>
      </c>
      <c r="E18" s="279">
        <f>(0.55+0.32+0.29+0.29)/4</f>
        <v>0.36250000000000004</v>
      </c>
      <c r="F18" s="280">
        <v>11</v>
      </c>
      <c r="G18" s="280">
        <v>12</v>
      </c>
      <c r="H18" s="281">
        <f t="shared" si="0"/>
        <v>36.363636363636367</v>
      </c>
    </row>
    <row r="19" spans="1:8" s="257" customFormat="1" x14ac:dyDescent="0.25">
      <c r="A19" s="251" t="s">
        <v>17</v>
      </c>
      <c r="B19" s="252" t="s">
        <v>316</v>
      </c>
      <c r="C19" s="253" t="s">
        <v>313</v>
      </c>
      <c r="D19" s="254">
        <v>3</v>
      </c>
      <c r="E19" s="258">
        <f>(0.23+0.22+0.22)/3</f>
        <v>0.22333333333333336</v>
      </c>
      <c r="F19" s="108">
        <v>10</v>
      </c>
      <c r="G19" s="108">
        <v>10</v>
      </c>
      <c r="H19" s="256">
        <f t="shared" si="0"/>
        <v>30</v>
      </c>
    </row>
    <row r="20" spans="1:8" s="282" customFormat="1" x14ac:dyDescent="0.25">
      <c r="A20" s="275" t="s">
        <v>16</v>
      </c>
      <c r="B20" s="276" t="s">
        <v>316</v>
      </c>
      <c r="C20" s="277" t="s">
        <v>317</v>
      </c>
      <c r="D20" s="278">
        <v>4</v>
      </c>
      <c r="E20" s="279">
        <f>(0.274+0.258+0.222+0.217)/4</f>
        <v>0.24274999999999999</v>
      </c>
      <c r="F20" s="280">
        <v>5</v>
      </c>
      <c r="G20" s="280">
        <v>7</v>
      </c>
      <c r="H20" s="281">
        <f t="shared" si="0"/>
        <v>80</v>
      </c>
    </row>
    <row r="21" spans="1:8" s="257" customFormat="1" x14ac:dyDescent="0.25">
      <c r="A21" s="251" t="s">
        <v>18</v>
      </c>
      <c r="B21" s="252" t="s">
        <v>350</v>
      </c>
      <c r="C21" s="253" t="s">
        <v>299</v>
      </c>
      <c r="D21" s="254">
        <v>33</v>
      </c>
      <c r="E21" s="258" t="s">
        <v>60</v>
      </c>
      <c r="F21" s="108">
        <v>33</v>
      </c>
      <c r="G21" s="108">
        <v>136</v>
      </c>
      <c r="H21" s="256" t="s">
        <v>60</v>
      </c>
    </row>
    <row r="22" spans="1:8" s="282" customFormat="1" x14ac:dyDescent="0.25">
      <c r="A22" s="275" t="s">
        <v>126</v>
      </c>
      <c r="B22" s="276" t="s">
        <v>350</v>
      </c>
      <c r="C22" s="277" t="s">
        <v>299</v>
      </c>
      <c r="D22" s="278">
        <v>33</v>
      </c>
      <c r="E22" s="279" t="s">
        <v>60</v>
      </c>
      <c r="F22" s="280">
        <v>33</v>
      </c>
      <c r="G22" s="280">
        <v>136</v>
      </c>
      <c r="H22" s="281" t="s">
        <v>60</v>
      </c>
    </row>
    <row r="23" spans="1:8" s="257" customFormat="1" x14ac:dyDescent="0.25">
      <c r="A23" s="251" t="s">
        <v>19</v>
      </c>
      <c r="B23" s="252" t="s">
        <v>334</v>
      </c>
      <c r="C23" s="253" t="s">
        <v>333</v>
      </c>
      <c r="D23" s="254">
        <v>4</v>
      </c>
      <c r="E23" s="258">
        <f>(0.37+0.3+0.26+0.2)/4</f>
        <v>0.28249999999999997</v>
      </c>
      <c r="F23" s="108">
        <v>8</v>
      </c>
      <c r="G23" s="108">
        <v>28</v>
      </c>
      <c r="H23" s="256">
        <f t="shared" si="0"/>
        <v>50</v>
      </c>
    </row>
    <row r="24" spans="1:8" s="282" customFormat="1" x14ac:dyDescent="0.25">
      <c r="A24" s="275" t="s">
        <v>20</v>
      </c>
      <c r="B24" s="276" t="s">
        <v>335</v>
      </c>
      <c r="C24" s="277" t="s">
        <v>336</v>
      </c>
      <c r="D24" s="278">
        <v>4</v>
      </c>
      <c r="E24" s="279">
        <f>(0.67+0.47+0.46+0.42)/4</f>
        <v>0.505</v>
      </c>
      <c r="F24" s="280">
        <v>10</v>
      </c>
      <c r="G24" s="280">
        <v>10</v>
      </c>
      <c r="H24" s="281">
        <f t="shared" si="0"/>
        <v>40</v>
      </c>
    </row>
    <row r="25" spans="1:8" s="257" customFormat="1" ht="45" x14ac:dyDescent="0.25">
      <c r="A25" s="251" t="s">
        <v>21</v>
      </c>
      <c r="B25" s="252" t="s">
        <v>321</v>
      </c>
      <c r="C25" s="253" t="s">
        <v>339</v>
      </c>
      <c r="D25" s="254">
        <v>6</v>
      </c>
      <c r="E25" s="258">
        <f>(0.51+0.35+0.43+0.47+0.43+0.52)/6</f>
        <v>0.45166666666666666</v>
      </c>
      <c r="F25" s="108">
        <v>25</v>
      </c>
      <c r="G25" s="108">
        <v>33</v>
      </c>
      <c r="H25" s="256">
        <f t="shared" si="0"/>
        <v>24</v>
      </c>
    </row>
    <row r="26" spans="1:8" s="264" customFormat="1" x14ac:dyDescent="0.2">
      <c r="A26" s="259"/>
      <c r="B26" s="260"/>
      <c r="C26" s="261" t="s">
        <v>401</v>
      </c>
      <c r="D26" s="262">
        <v>5</v>
      </c>
      <c r="E26" s="263">
        <f>(0.45+0.3+0.38+0.35+0.53)/5</f>
        <v>0.40199999999999997</v>
      </c>
      <c r="F26" s="260">
        <v>23</v>
      </c>
      <c r="G26" s="260">
        <v>29</v>
      </c>
      <c r="H26" s="256">
        <f t="shared" si="0"/>
        <v>21.739130434782609</v>
      </c>
    </row>
    <row r="27" spans="1:8" s="282" customFormat="1" ht="30" x14ac:dyDescent="0.25">
      <c r="A27" s="275" t="s">
        <v>22</v>
      </c>
      <c r="B27" s="276" t="s">
        <v>323</v>
      </c>
      <c r="C27" s="277" t="s">
        <v>341</v>
      </c>
      <c r="D27" s="278">
        <v>9</v>
      </c>
      <c r="E27" s="279">
        <f>(0.64+0.6+0.5+0.48+0.42+0.41+0.4+0.36+0.36)/9</f>
        <v>0.46333333333333332</v>
      </c>
      <c r="F27" s="280">
        <v>21</v>
      </c>
      <c r="G27" s="280">
        <v>47</v>
      </c>
      <c r="H27" s="281">
        <f t="shared" si="0"/>
        <v>42.857142857142854</v>
      </c>
    </row>
    <row r="28" spans="1:8" s="257" customFormat="1" ht="30" x14ac:dyDescent="0.25">
      <c r="A28" s="251" t="s">
        <v>23</v>
      </c>
      <c r="B28" s="252" t="s">
        <v>324</v>
      </c>
      <c r="C28" s="253" t="s">
        <v>343</v>
      </c>
      <c r="D28" s="254">
        <v>6</v>
      </c>
      <c r="E28" s="258" t="s">
        <v>60</v>
      </c>
      <c r="F28" s="108" t="s">
        <v>307</v>
      </c>
      <c r="G28" s="108" t="s">
        <v>307</v>
      </c>
      <c r="H28" s="256" t="s">
        <v>60</v>
      </c>
    </row>
    <row r="29" spans="1:8" s="282" customFormat="1" ht="75" x14ac:dyDescent="0.25">
      <c r="A29" s="275" t="s">
        <v>38</v>
      </c>
      <c r="B29" s="276" t="s">
        <v>325</v>
      </c>
      <c r="C29" s="277" t="s">
        <v>407</v>
      </c>
      <c r="D29" s="278">
        <v>26</v>
      </c>
      <c r="E29" s="279">
        <v>0.3</v>
      </c>
      <c r="F29" s="280">
        <v>57</v>
      </c>
      <c r="G29" s="280">
        <v>57</v>
      </c>
      <c r="H29" s="281">
        <f t="shared" si="0"/>
        <v>45.614035087719294</v>
      </c>
    </row>
    <row r="30" spans="1:8" s="257" customFormat="1" ht="75" x14ac:dyDescent="0.25">
      <c r="A30" s="251" t="s">
        <v>24</v>
      </c>
      <c r="B30" s="252" t="s">
        <v>344</v>
      </c>
      <c r="C30" s="253" t="s">
        <v>345</v>
      </c>
      <c r="D30" s="254">
        <v>19</v>
      </c>
      <c r="E30" s="258" t="s">
        <v>402</v>
      </c>
      <c r="F30" s="108">
        <v>13</v>
      </c>
      <c r="G30" s="108">
        <v>13</v>
      </c>
      <c r="H30" s="256" t="s">
        <v>60</v>
      </c>
    </row>
    <row r="31" spans="1:8" s="282" customFormat="1" ht="30" x14ac:dyDescent="0.25">
      <c r="A31" s="275" t="s">
        <v>25</v>
      </c>
      <c r="B31" s="276" t="s">
        <v>290</v>
      </c>
      <c r="C31" s="277" t="s">
        <v>347</v>
      </c>
      <c r="D31" s="278">
        <v>5</v>
      </c>
      <c r="E31" s="279">
        <f>(0.51+0.43+0.44+0.43+0.24)/5</f>
        <v>0.41</v>
      </c>
      <c r="F31" s="280">
        <v>15</v>
      </c>
      <c r="G31" s="280">
        <v>15</v>
      </c>
      <c r="H31" s="281">
        <f t="shared" si="0"/>
        <v>33.333333333333329</v>
      </c>
    </row>
    <row r="32" spans="1:8" s="257" customFormat="1" ht="45" x14ac:dyDescent="0.25">
      <c r="A32" s="251" t="s">
        <v>26</v>
      </c>
      <c r="B32" s="252" t="s">
        <v>348</v>
      </c>
      <c r="C32" s="253" t="s">
        <v>349</v>
      </c>
      <c r="D32" s="254">
        <v>7</v>
      </c>
      <c r="E32" s="258">
        <f>(0.38+0.35+0.33+0.28+0.24+0.24+0.21)/7</f>
        <v>0.29000000000000004</v>
      </c>
      <c r="F32" s="108">
        <v>8</v>
      </c>
      <c r="G32" s="108">
        <v>43</v>
      </c>
      <c r="H32" s="256">
        <f t="shared" si="0"/>
        <v>87.5</v>
      </c>
    </row>
    <row r="33" spans="1:8" s="282" customFormat="1" ht="30" x14ac:dyDescent="0.25">
      <c r="A33" s="275" t="s">
        <v>27</v>
      </c>
      <c r="B33" s="276" t="s">
        <v>329</v>
      </c>
      <c r="C33" s="277" t="s">
        <v>351</v>
      </c>
      <c r="D33" s="278">
        <v>6</v>
      </c>
      <c r="E33" s="279">
        <f>(0.43+0.44+0.42+0.4+0.33+0.22)/6</f>
        <v>0.37333333333333335</v>
      </c>
      <c r="F33" s="280">
        <v>28</v>
      </c>
      <c r="G33" s="280">
        <v>34</v>
      </c>
      <c r="H33" s="281">
        <f t="shared" si="0"/>
        <v>21.428571428571427</v>
      </c>
    </row>
    <row r="34" spans="1:8" s="257" customFormat="1" x14ac:dyDescent="0.25">
      <c r="A34" s="251" t="s">
        <v>28</v>
      </c>
      <c r="B34" s="108" t="s">
        <v>414</v>
      </c>
      <c r="C34" s="265" t="s">
        <v>412</v>
      </c>
      <c r="D34" s="254">
        <v>9</v>
      </c>
      <c r="E34" s="258">
        <f>469+82+77+54+53+23+27+30+29</f>
        <v>844</v>
      </c>
      <c r="F34" s="108" t="s">
        <v>307</v>
      </c>
      <c r="G34" s="108" t="s">
        <v>307</v>
      </c>
      <c r="H34" s="256" t="s">
        <v>60</v>
      </c>
    </row>
    <row r="35" spans="1:8" s="257" customFormat="1" x14ac:dyDescent="0.25">
      <c r="A35" s="251"/>
      <c r="B35" s="108" t="s">
        <v>413</v>
      </c>
      <c r="C35" s="265" t="s">
        <v>409</v>
      </c>
      <c r="D35" s="254">
        <v>7</v>
      </c>
      <c r="E35" s="258">
        <f>369+90+80+57+40+32+26</f>
        <v>694</v>
      </c>
      <c r="F35" s="108"/>
      <c r="G35" s="108"/>
      <c r="H35" s="256"/>
    </row>
    <row r="36" spans="1:8" s="282" customFormat="1" x14ac:dyDescent="0.25">
      <c r="A36" s="275" t="s">
        <v>37</v>
      </c>
      <c r="B36" s="276" t="s">
        <v>352</v>
      </c>
      <c r="C36" s="277" t="s">
        <v>354</v>
      </c>
      <c r="D36" s="278">
        <v>4</v>
      </c>
      <c r="E36" s="279">
        <f>(0.47+0.46+0.26+0.39)/4</f>
        <v>0.39500000000000002</v>
      </c>
      <c r="F36" s="280" t="s">
        <v>60</v>
      </c>
      <c r="G36" s="280">
        <v>39</v>
      </c>
      <c r="H36" s="281" t="s">
        <v>60</v>
      </c>
    </row>
    <row r="37" spans="1:8" s="257" customFormat="1" ht="30" x14ac:dyDescent="0.25">
      <c r="A37" s="251" t="s">
        <v>29</v>
      </c>
      <c r="B37" s="252" t="s">
        <v>355</v>
      </c>
      <c r="C37" s="253" t="s">
        <v>361</v>
      </c>
      <c r="D37" s="254">
        <v>8</v>
      </c>
      <c r="E37" s="258">
        <f>(0.58+0.5+0.42+0.39+0.36+0.34+0.34+0.3)/8</f>
        <v>0.40374999999999994</v>
      </c>
      <c r="F37" s="108">
        <v>17</v>
      </c>
      <c r="G37" s="108">
        <v>39</v>
      </c>
      <c r="H37" s="256">
        <f t="shared" si="0"/>
        <v>47.058823529411761</v>
      </c>
    </row>
    <row r="38" spans="1:8" s="282" customFormat="1" ht="30" x14ac:dyDescent="0.25">
      <c r="A38" s="275" t="s">
        <v>30</v>
      </c>
      <c r="B38" s="276" t="s">
        <v>362</v>
      </c>
      <c r="C38" s="277" t="s">
        <v>363</v>
      </c>
      <c r="D38" s="278">
        <v>8</v>
      </c>
      <c r="E38" s="279">
        <f>(0.4+0.46+0.53+0.37+0.2+0.28+0.3+0.39)/8</f>
        <v>0.36625000000000002</v>
      </c>
      <c r="F38" s="280">
        <v>18</v>
      </c>
      <c r="G38" s="280">
        <v>24</v>
      </c>
      <c r="H38" s="281">
        <f t="shared" si="0"/>
        <v>44.444444444444443</v>
      </c>
    </row>
    <row r="39" spans="1:8" s="257" customFormat="1" x14ac:dyDescent="0.25">
      <c r="A39" s="251" t="s">
        <v>31</v>
      </c>
      <c r="B39" s="252" t="s">
        <v>290</v>
      </c>
      <c r="C39" s="253" t="s">
        <v>365</v>
      </c>
      <c r="D39" s="254">
        <v>5</v>
      </c>
      <c r="E39" s="258">
        <f>(0.25+0.52+0.43+0.7+0.65)/5</f>
        <v>0.51</v>
      </c>
      <c r="F39" s="108">
        <v>8</v>
      </c>
      <c r="G39" s="108">
        <v>16</v>
      </c>
      <c r="H39" s="256">
        <f t="shared" si="0"/>
        <v>62.5</v>
      </c>
    </row>
    <row r="40" spans="1:8" s="282" customFormat="1" ht="30" x14ac:dyDescent="0.25">
      <c r="A40" s="275" t="s">
        <v>32</v>
      </c>
      <c r="B40" s="276" t="s">
        <v>358</v>
      </c>
      <c r="C40" s="277" t="s">
        <v>431</v>
      </c>
      <c r="D40" s="278">
        <v>4</v>
      </c>
      <c r="E40" s="279">
        <f>(0.7+0.66+0.42+0.48)/4</f>
        <v>0.56499999999999995</v>
      </c>
      <c r="F40" s="280">
        <v>7</v>
      </c>
      <c r="G40" s="280">
        <v>21</v>
      </c>
      <c r="H40" s="281">
        <f t="shared" si="0"/>
        <v>57.142857142857139</v>
      </c>
    </row>
    <row r="41" spans="1:8" s="289" customFormat="1" ht="28.5" x14ac:dyDescent="0.2">
      <c r="A41" s="283"/>
      <c r="B41" s="284"/>
      <c r="C41" s="285" t="s">
        <v>430</v>
      </c>
      <c r="D41" s="286">
        <v>4</v>
      </c>
      <c r="E41" s="287">
        <f>(0.61+0.58+0.4+0.41)/4</f>
        <v>0.49999999999999994</v>
      </c>
      <c r="F41" s="284">
        <v>12</v>
      </c>
      <c r="G41" s="288">
        <v>21</v>
      </c>
      <c r="H41" s="281">
        <f t="shared" si="0"/>
        <v>33.333333333333329</v>
      </c>
    </row>
    <row r="42" spans="1:8" s="257" customFormat="1" ht="45" x14ac:dyDescent="0.25">
      <c r="A42" s="251" t="s">
        <v>33</v>
      </c>
      <c r="B42" s="252" t="s">
        <v>355</v>
      </c>
      <c r="C42" s="253" t="s">
        <v>370</v>
      </c>
      <c r="D42" s="254">
        <v>9</v>
      </c>
      <c r="E42" s="258">
        <f>(0.61+0.48+0.42+0.41+0.36+0.36+0.34+0.29+0.29)/9</f>
        <v>0.39555555555555549</v>
      </c>
      <c r="F42" s="254">
        <v>18</v>
      </c>
      <c r="G42" s="266">
        <v>19</v>
      </c>
      <c r="H42" s="256">
        <f t="shared" si="0"/>
        <v>50</v>
      </c>
    </row>
    <row r="43" spans="1:8" s="282" customFormat="1" x14ac:dyDescent="0.25">
      <c r="A43" s="275" t="s">
        <v>34</v>
      </c>
      <c r="B43" s="276" t="s">
        <v>290</v>
      </c>
      <c r="C43" s="277" t="s">
        <v>372</v>
      </c>
      <c r="D43" s="278">
        <v>3</v>
      </c>
      <c r="E43" s="279">
        <f>0.3</f>
        <v>0.3</v>
      </c>
      <c r="F43" s="278" t="s">
        <v>60</v>
      </c>
      <c r="G43" s="290" t="s">
        <v>60</v>
      </c>
      <c r="H43" s="281" t="s">
        <v>60</v>
      </c>
    </row>
    <row r="44" spans="1:8" s="257" customFormat="1" x14ac:dyDescent="0.25">
      <c r="A44" s="251" t="s">
        <v>35</v>
      </c>
      <c r="B44" s="252" t="s">
        <v>390</v>
      </c>
      <c r="C44" s="253" t="s">
        <v>375</v>
      </c>
      <c r="D44" s="254">
        <v>3</v>
      </c>
      <c r="E44" s="258">
        <f>(0.59+0.72+0.59)/3</f>
        <v>0.6333333333333333</v>
      </c>
      <c r="F44" s="254">
        <v>7</v>
      </c>
      <c r="G44" s="266">
        <v>7</v>
      </c>
      <c r="H44" s="256">
        <f t="shared" si="0"/>
        <v>42.857142857142854</v>
      </c>
    </row>
    <row r="45" spans="1:8" s="298" customFormat="1" ht="15.75" thickBot="1" x14ac:dyDescent="0.3">
      <c r="A45" s="291" t="s">
        <v>36</v>
      </c>
      <c r="B45" s="292" t="s">
        <v>290</v>
      </c>
      <c r="C45" s="293" t="s">
        <v>376</v>
      </c>
      <c r="D45" s="294">
        <v>4</v>
      </c>
      <c r="E45" s="295" t="s">
        <v>60</v>
      </c>
      <c r="F45" s="294" t="s">
        <v>60</v>
      </c>
      <c r="G45" s="296">
        <v>39</v>
      </c>
      <c r="H45" s="297" t="s">
        <v>60</v>
      </c>
    </row>
    <row r="46" spans="1:8" ht="21" x14ac:dyDescent="0.2">
      <c r="A46" s="174"/>
      <c r="B46" s="168"/>
      <c r="C46" s="166" t="s">
        <v>643</v>
      </c>
      <c r="D46" s="165">
        <f>AVERAGE(D2:D45)</f>
        <v>7.6279069767441863</v>
      </c>
      <c r="E46" s="167">
        <f>AVERAGE(E2,E3,E7,E8,E12,E13,E14,E15,E17,E18,E19,E20,E23,E24,E25,E26,E27,E29,E31,E32,E33,E36,E37,E38,E39,E40,E41,E42,E43,E44)</f>
        <v>0.39295939153439152</v>
      </c>
      <c r="F46" s="90"/>
      <c r="G46" s="90"/>
      <c r="H46" s="175">
        <f>AVERAGE(H3:H45)</f>
        <v>46.732066978135713</v>
      </c>
    </row>
    <row r="47" spans="1:8" ht="15.75" x14ac:dyDescent="0.25">
      <c r="B47" s="169"/>
      <c r="C47" s="62"/>
      <c r="E47" s="46"/>
    </row>
    <row r="48" spans="1:8" ht="15.75" x14ac:dyDescent="0.25">
      <c r="B48" s="169"/>
      <c r="C48" s="62"/>
    </row>
    <row r="49" spans="2:3" ht="15.75" x14ac:dyDescent="0.25">
      <c r="B49" s="169"/>
      <c r="C49" s="62"/>
    </row>
    <row r="50" spans="2:3" ht="15.75" x14ac:dyDescent="0.25">
      <c r="B50" s="169"/>
      <c r="C50" s="62"/>
    </row>
    <row r="51" spans="2:3" ht="15.75" x14ac:dyDescent="0.25">
      <c r="B51" s="169"/>
      <c r="C51" s="62"/>
    </row>
    <row r="52" spans="2:3" ht="15.75" x14ac:dyDescent="0.25">
      <c r="B52" s="169"/>
      <c r="C52" s="62"/>
    </row>
    <row r="53" spans="2:3" ht="15.75" x14ac:dyDescent="0.25">
      <c r="B53" s="169"/>
      <c r="C53" s="62"/>
    </row>
    <row r="54" spans="2:3" ht="15.75" x14ac:dyDescent="0.25">
      <c r="B54" s="169"/>
      <c r="C54" s="62"/>
    </row>
    <row r="55" spans="2:3" ht="15.75" x14ac:dyDescent="0.25">
      <c r="B55" s="170"/>
      <c r="C55" s="62"/>
    </row>
    <row r="56" spans="2:3" ht="15.75" x14ac:dyDescent="0.25">
      <c r="B56" s="171"/>
      <c r="C56" s="62"/>
    </row>
    <row r="57" spans="2:3" ht="15.75" x14ac:dyDescent="0.25">
      <c r="B57" s="171"/>
      <c r="C57" s="62"/>
    </row>
    <row r="58" spans="2:3" ht="15.75" x14ac:dyDescent="0.25">
      <c r="B58" s="171"/>
      <c r="C58" s="62"/>
    </row>
    <row r="59" spans="2:3" ht="15.75" x14ac:dyDescent="0.25">
      <c r="B59" s="172"/>
      <c r="C59" s="62"/>
    </row>
    <row r="60" spans="2:3" ht="15.75" x14ac:dyDescent="0.25">
      <c r="B60" s="172"/>
      <c r="C60" s="62"/>
    </row>
    <row r="61" spans="2:3" ht="15.75" x14ac:dyDescent="0.25">
      <c r="B61" s="172"/>
      <c r="C61" s="62"/>
    </row>
    <row r="62" spans="2:3" ht="15.75" x14ac:dyDescent="0.25">
      <c r="B62" s="172"/>
      <c r="C62" s="6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Info For Extraction</vt:lpstr>
      <vt:lpstr>2. Study info</vt:lpstr>
      <vt:lpstr>3. Quality Assessment</vt:lpstr>
      <vt:lpstr>4. Risk Estimate Extraction</vt:lpstr>
      <vt:lpstr>5. Dietary patterns Overview</vt:lpstr>
      <vt:lpstr>6. Dietary patterns 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Kaischulze</cp:lastModifiedBy>
  <dcterms:created xsi:type="dcterms:W3CDTF">2018-06-07T12:48:36Z</dcterms:created>
  <dcterms:modified xsi:type="dcterms:W3CDTF">2019-03-11T12:15:48Z</dcterms:modified>
</cp:coreProperties>
</file>