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928"/>
  <workbookPr codeName="ThisWorkbook" defaultThemeVersion="124226"/>
  <mc:AlternateContent xmlns:mc="http://schemas.openxmlformats.org/markup-compatibility/2006">
    <mc:Choice Requires="x15">
      <x15ac:absPath xmlns:x15ac="http://schemas.microsoft.com/office/spreadsheetml/2010/11/ac" url="D:\Users\mbt0c\OneDrive\Dokumente\Southampton\Part 2\D5\PSU\"/>
    </mc:Choice>
  </mc:AlternateContent>
  <xr:revisionPtr revIDLastSave="0" documentId="13_ncr:1_{61B1021B-8DD8-4764-A3EE-9970C5E333C9}" xr6:coauthVersionLast="47" xr6:coauthVersionMax="47" xr10:uidLastSave="{00000000-0000-0000-0000-000000000000}"/>
  <workbookProtection workbookPassword="EC5D" lockStructure="1"/>
  <bookViews>
    <workbookView xWindow="38280" yWindow="-4470" windowWidth="29040" windowHeight="15840" xr2:uid="{00000000-000D-0000-FFFF-FFFF00000000}"/>
  </bookViews>
  <sheets>
    <sheet name="DESIGN CALCULATIONS" sheetId="2" r:id="rId1"/>
    <sheet name="LOOKUP TABLES AND DROPDOWN LIST" sheetId="5" state="hidden" r:id="rId2"/>
    <sheet name="Sheet1" sheetId="6" r:id="rId3"/>
  </sheets>
  <definedNames>
    <definedName name="C_f1">'LOOKUP TABLES AND DROPDOWN LIST'!$F$32</definedName>
    <definedName name="C_f2">'LOOKUP TABLES AND DROPDOWN LIST'!$F$44</definedName>
    <definedName name="C_s1">'LOOKUP TABLES AND DROPDOWN LIST'!$E$21</definedName>
    <definedName name="C_s2">'LOOKUP TABLES AND DROPDOWN LIST'!$E$34</definedName>
    <definedName name="Cbulk">'DESIGN CALCULATIONS'!$E$56</definedName>
    <definedName name="Cbulk_initial">'LOOKUP TABLES AND DROPDOWN LIST'!$J$19</definedName>
    <definedName name="Cbulk_rcmd">'DESIGN CALCULATIONS'!$D$56</definedName>
    <definedName name="Coss">'DESIGN CALCULATIONS'!$E$122</definedName>
    <definedName name="Coss_rcmd">'DESIGN CALCULATIONS'!$D$122</definedName>
    <definedName name="Cout">'DESIGN CALCULATIONS'!$E$149</definedName>
    <definedName name="Cout_nowake">'DESIGN CALCULATIONS'!$E$145</definedName>
    <definedName name="Cout_nowake_rcmd">'DESIGN CALCULATIONS'!$D$145</definedName>
    <definedName name="Cout_phase">'DESIGN CALCULATIONS'!$E$147</definedName>
    <definedName name="Cout_phase_rcmd">'DESIGN CALCULATIONS'!$D$147</definedName>
    <definedName name="Cout_rcmd">'DESIGN CALCULATIONS'!$D$149</definedName>
    <definedName name="Cout_Vripple">'DESIGN CALCULATIONS'!$E$148</definedName>
    <definedName name="Cout_Vripple_rcmd">'DESIGN CALCULATIONS'!$D$148</definedName>
    <definedName name="Cout_wake">'DESIGN CALCULATIONS'!$E$146</definedName>
    <definedName name="Cout_wakercmd">'DESIGN CALCULATIONS'!$D$146</definedName>
    <definedName name="Cvdd">'DESIGN CALCULATIONS'!$E$159</definedName>
    <definedName name="Cvdd_rcmd">'DESIGN CALCULATIONS'!$E$159</definedName>
    <definedName name="Cvdd_start">'DESIGN CALCULATIONS'!$E$156</definedName>
    <definedName name="Cvdd_start_rcmd">'DESIGN CALCULATIONS'!$D$156</definedName>
    <definedName name="Cvdd_tran">'DESIGN CALCULATIONS'!$E$158</definedName>
    <definedName name="Cvdd_tran_rcmd">'DESIGN CALCULATIONS'!$D$158</definedName>
    <definedName name="Cvdd_wait">'DESIGN CALCULATIONS'!$E$157</definedName>
    <definedName name="Cvdd_wait_rcmd">'DESIGN CALCULATIONS'!$D$157</definedName>
    <definedName name="Cvdd1">'LOOKUP TABLES AND DROPDOWN LIST'!$Q$20</definedName>
    <definedName name="Ddemag_cc">'DESIGN CALCULATIONS'!$D$71</definedName>
    <definedName name="Dmax">'DESIGN CALCULATIONS'!$E$107</definedName>
    <definedName name="Dmax_rcmd">'DESIGN CALCULATIONS'!$D$107</definedName>
    <definedName name="Dmax_target">'DESIGN CALCULATIONS'!$E$75</definedName>
    <definedName name="Dmax_target_rcmd">'DESIGN CALCULATIONS'!$D$75</definedName>
    <definedName name="E_48f">'LOOKUP TABLES AND DROPDOWN LIST'!$B$67</definedName>
    <definedName name="E_48s">'LOOKUP TABLES AND DROPDOWN LIST'!$A$20</definedName>
    <definedName name="eff_sb">'DESIGN CALCULATIONS'!$D$46</definedName>
    <definedName name="eff_xfmr">'DESIGN CALCULATIONS'!$D$77</definedName>
    <definedName name="efficiency">'DESIGN CALCULATIONS'!$D$32</definedName>
    <definedName name="ESR">'DESIGN CALCULATIONS'!$E$151</definedName>
    <definedName name="ESR_rcmd">'DESIGN CALCULATIONS'!$D$151</definedName>
    <definedName name="fline_min">'DESIGN CALCULATIONS'!$D$31</definedName>
    <definedName name="fmax">'DESIGN CALCULATIONS'!$E$37</definedName>
    <definedName name="fmax_actual">'DESIGN CALCULATIONS'!$E$104</definedName>
    <definedName name="fmax_actual_rcmd">'DESIGN CALCULATIONS'!$D$104</definedName>
    <definedName name="fres">'DESIGN CALCULATIONS'!$E$73</definedName>
    <definedName name="fres_approx">'DESIGN CALCULATIONS'!$E$197</definedName>
    <definedName name="fres_rcmd">'DESIGN CALCULATIONS'!$D$73</definedName>
    <definedName name="fswmax">'DESIGN CALCULATIONS'!$D$43</definedName>
    <definedName name="fswmin">'DESIGN CALCULATIONS'!$D$44</definedName>
    <definedName name="Ibridge_avg">'DESIGN CALCULATIONS'!$E$66</definedName>
    <definedName name="Ibridge_avg_rcmd">'DESIGN CALCULATIONS'!$D$66</definedName>
    <definedName name="Icin">'DESIGN CALCULATIONS'!$E$59</definedName>
    <definedName name="Icin_rcmd">'DESIGN CALCULATIONS'!$D$59</definedName>
    <definedName name="Icout_rms">'DESIGN CALCULATIONS'!$E$150</definedName>
    <definedName name="Icout_rms_rcmd">'DESIGN CALCULATIONS'!$D$150</definedName>
    <definedName name="Idout">'DESIGN CALCULATIONS'!$E$137</definedName>
    <definedName name="Idout_rcmd">'DESIGN CALCULATIONS'!$D$137</definedName>
    <definedName name="Idrain">'DESIGN CALCULATIONS'!$E$128</definedName>
    <definedName name="Idrain_rcmd">'DESIGN CALCULATIONS'!$D$128</definedName>
    <definedName name="Ifuse">'DESIGN CALCULATIONS'!$E$63</definedName>
    <definedName name="Ifuse_rcmd">'DESIGN CALCULATIONS'!$D$63</definedName>
    <definedName name="Iin_peak">'DESIGN CALCULATIONS'!$E$58</definedName>
    <definedName name="Iinpeak_rcmd">'DESIGN CALCULATIONS'!$D$58</definedName>
    <definedName name="Iocc">'DESIGN CALCULATIONS'!$E$91</definedName>
    <definedName name="Iocc_max">'DESIGN CALCULATIONS'!$E$92</definedName>
    <definedName name="Iocc_max_rcmd">'DESIGN CALCULATIONS'!$D$92</definedName>
    <definedName name="Iocc_rcmd">'DESIGN CALCULATIONS'!$D$91</definedName>
    <definedName name="Iocc_target">'DESIGN CALCULATIONS'!$E$30</definedName>
    <definedName name="Iocc_target_max">'DESIGN CALCULATIONS'!$F$30</definedName>
    <definedName name="Ipp_fm">'DESIGN CALCULATIONS'!$E$103</definedName>
    <definedName name="Ipp_fm_rcmd">'DESIGN CALCULATIONS'!$D$103</definedName>
    <definedName name="Ipp_max">'DESIGN CALCULATIONS'!$E$90</definedName>
    <definedName name="Ipp_max_rcmd">'DESIGN CALCULATIONS'!$D$90</definedName>
    <definedName name="Ipp_min">'DESIGN CALCULATIONS'!$E$88</definedName>
    <definedName name="Ipp_min_rcmd">'DESIGN CALCULATIONS'!$D$88</definedName>
    <definedName name="Ipp_nom">'DESIGN CALCULATIONS'!$E$89</definedName>
    <definedName name="Ipp_nom_rcmd">'DESIGN CALCULATIONS'!$D$89</definedName>
    <definedName name="Ipri_RMS">'DESIGN CALCULATIONS'!$E$109</definedName>
    <definedName name="Ipri_RMS_rcmd">'DESIGN CALCULATIONS'!$D$109</definedName>
    <definedName name="Ipulsed">'DESIGN CALCULATIONS'!$E$129</definedName>
    <definedName name="Ipulsed_rcmd">'DESIGN CALCULATIONS'!$D$129</definedName>
    <definedName name="Irun">'DESIGN CALCULATIONS'!$D$153</definedName>
    <definedName name="Isec_rms">'DESIGN CALCULATIONS'!$E$111</definedName>
    <definedName name="Isec_rms_rcmd">'DESIGN CALCULATIONS'!$D$111</definedName>
    <definedName name="Isp_max">'DESIGN CALCULATIONS'!$E$110</definedName>
    <definedName name="Isp_max_rcmd">'DESIGN CALCULATIONS'!$D$110</definedName>
    <definedName name="Itran">'DESIGN CALCULATIONS'!$E$143</definedName>
    <definedName name="Itran_rcmd">'DESIGN CALCULATIONS'!$D$143</definedName>
    <definedName name="Ivslrun_max">'DESIGN CALCULATIONS'!$D$163</definedName>
    <definedName name="Ivslrun_min">'DESIGN CALCULATIONS'!$D$161</definedName>
    <definedName name="Ivslrun_nom">'DESIGN CALCULATIONS'!$D$162</definedName>
    <definedName name="Ivslstop_max">'DESIGN CALCULATIONS'!$D$166</definedName>
    <definedName name="Ivslstop_min">'DESIGN CALCULATIONS'!$D$164</definedName>
    <definedName name="Ivslstop_nom">'DESIGN CALCULATIONS'!$D$165</definedName>
    <definedName name="Iwait">'DESIGN CALCULATIONS'!$D$155</definedName>
    <definedName name="K_fm4">#REF!</definedName>
    <definedName name="Kam">'LOOKUP TABLES AND DROPDOWN LIST'!$E$2</definedName>
    <definedName name="Kam_max">'DESIGN CALCULATIONS'!$D$102</definedName>
    <definedName name="Kam_min">'DESIGN CALCULATIONS'!$D$100</definedName>
    <definedName name="Kam_nom">'DESIGN CALCULATIONS'!$D$101</definedName>
    <definedName name="kHz">'LOOKUP TABLES AND DROPDOWN LIST'!$B$3</definedName>
    <definedName name="Klc">'DESIGN CALCULATIONS'!$D$188</definedName>
    <definedName name="kOhms">'LOOKUP TABLES AND DROPDOWN LIST'!$B$14</definedName>
    <definedName name="Lp">'DESIGN CALCULATIONS'!$E$93</definedName>
    <definedName name="Lp_rcmd">'DESIGN CALCULATIONS'!$D$93</definedName>
    <definedName name="mA">'LOOKUP TABLES AND DROPDOWN LIST'!$B$6</definedName>
    <definedName name="MHz">'LOOKUP TABLES AND DROPDOWN LIST'!$B$12</definedName>
    <definedName name="MODE">#REF!</definedName>
    <definedName name="mOhms">'LOOKUP TABLES AND DROPDOWN LIST'!$B$4</definedName>
    <definedName name="ms">'LOOKUP TABLES AND DROPDOWN LIST'!$B$5</definedName>
    <definedName name="mV">'LOOKUP TABLES AND DROPDOWN LIST'!$B$1</definedName>
    <definedName name="mW">'LOOKUP TABLES AND DROPDOWN LIST'!$B$10</definedName>
    <definedName name="Nas">'DESIGN CALCULATIONS'!$E$99</definedName>
    <definedName name="Nas_rcmd">'DESIGN CALCULATIONS'!$D$97</definedName>
    <definedName name="Nas_rec">'DESIGN CALCULATIONS'!$D$99</definedName>
    <definedName name="nC">'LOOKUP TABLES AND DROPDOWN LIST'!$B$15</definedName>
    <definedName name="nF">'LOOKUP TABLES AND DROPDOWN LIST'!$B$16</definedName>
    <definedName name="Nhc">'DESIGN CALCULATIONS'!$D$54</definedName>
    <definedName name="Npa">'DESIGN CALCULATIONS'!$E$98</definedName>
    <definedName name="Npa_rcmd">'DESIGN CALCULATIONS'!$D$98</definedName>
    <definedName name="Nps">'DESIGN CALCULATIONS'!$E$76</definedName>
    <definedName name="Nps_ideal">'DESIGN CALCULATIONS'!$D$76</definedName>
    <definedName name="ns">'LOOKUP TABLES AND DROPDOWN LIST'!$B$9</definedName>
    <definedName name="P_Rcs">'DESIGN CALCULATIONS'!$E$118</definedName>
    <definedName name="P_Rcs_rcmd">'DESIGN CALCULATIONS'!$D$118</definedName>
    <definedName name="Pbridge">'DESIGN CALCULATIONS'!$E$68</definedName>
    <definedName name="Pbridge_rcmd">'DESIGN CALCULATIONS'!$D$68</definedName>
    <definedName name="Pdout">'DESIGN CALCULATIONS'!$E$138</definedName>
    <definedName name="Pdout_rcmd">'DESIGN CALCULATIONS'!$D$138</definedName>
    <definedName name="pF">'LOOKUP TABLES AND DROPDOWN LIST'!$B$11</definedName>
    <definedName name="Pfet">'DESIGN CALCULATIONS'!$E$132</definedName>
    <definedName name="Pfet_cond">'DESIGN CALCULATIONS'!$E$130</definedName>
    <definedName name="Pfet_cond_rcmd">'DESIGN CALCULATIONS'!$D$130</definedName>
    <definedName name="Pfet_rcmd">'DESIGN CALCULATIONS'!$D$132</definedName>
    <definedName name="Pfet_switch">'DESIGN CALCULATIONS'!$E$132</definedName>
    <definedName name="Pfet_switching">'DESIGN CALCULATIONS'!$E$131</definedName>
    <definedName name="Pfet_switching_rcmd">'DESIGN CALCULATIONS'!$D$131</definedName>
    <definedName name="Pin">'DESIGN CALCULATIONS'!$D$53</definedName>
    <definedName name="Pin_actual">'DESIGN CALCULATIONS'!$E$53</definedName>
    <definedName name="Pout">'DESIGN CALCULATIONS'!$F$29</definedName>
    <definedName name="Psb_target">'DESIGN CALCULATIONS'!$F$39</definedName>
    <definedName name="Pstby">'DESIGN CALCULATIONS'!$D$47</definedName>
    <definedName name="Qg">'DESIGN CALCULATIONS'!$E$126</definedName>
    <definedName name="Qg_rcmd">'DESIGN CALCULATIONS'!$D$126</definedName>
    <definedName name="R_fb1">#REF!</definedName>
    <definedName name="R_fb2">#REF!</definedName>
    <definedName name="R_fb4">#REF!</definedName>
    <definedName name="R_fb4_actual">#REF!</definedName>
    <definedName name="R_fb4_rcmd">#REF!</definedName>
    <definedName name="R_tl">#REF!</definedName>
    <definedName name="R_vs2">'DESIGN CALCULATIONS'!#REF!</definedName>
    <definedName name="Rcbc_recom">'DESIGN CALCULATIONS'!$D$195</definedName>
    <definedName name="Rcs">'DESIGN CALCULATIONS'!$E$84</definedName>
    <definedName name="Rcs_rcmd">'DESIGN CALCULATIONS'!$D$84</definedName>
    <definedName name="Rdson">'DESIGN CALCULATIONS'!$E$123</definedName>
    <definedName name="Rdson_rcmd">'DESIGN CALCULATIONS'!$D$123</definedName>
    <definedName name="Rlc">#REF!</definedName>
    <definedName name="Rlc_actual">#REF!</definedName>
    <definedName name="Rlc_rcmd">'DESIGN CALCULATIONS'!$D$190</definedName>
    <definedName name="Rvs_1">'DESIGN CALCULATIONS'!$E$167</definedName>
    <definedName name="Rvs_1_rcmd">'DESIGN CALCULATIONS'!$D$167</definedName>
    <definedName name="Rvs_2">'DESIGN CALCULATIONS'!$E$177</definedName>
    <definedName name="Rvs_2_rcmd">'DESIGN CALCULATIONS'!$D$177</definedName>
    <definedName name="Rvs1_actual">#REF!</definedName>
    <definedName name="Rvs1_rcmd">'DESIGN CALCULATIONS'!$E$167</definedName>
    <definedName name="Rvs2_actual">#REF!</definedName>
    <definedName name="Rvs2_rcmd">'DESIGN CALCULATIONS'!$E$177</definedName>
    <definedName name="t_1">'LOOKUP TABLES AND DROPDOWN LIST'!$J$26</definedName>
    <definedName name="t_2">'LOOKUP TABLES AND DROPDOWN LIST'!$J$27</definedName>
    <definedName name="t_charge">'LOOKUP TABLES AND DROPDOWN LIST'!$J$29</definedName>
    <definedName name="t_discharge">'LOOKUP TABLES AND DROPDOWN LIST'!$J$28</definedName>
    <definedName name="t_line">'DESIGN CALCULATIONS'!$D$45</definedName>
    <definedName name="t1_1">'LOOKUP TABLES AND DROPDOWN LIST'!$J$32</definedName>
    <definedName name="t1_2">'LOOKUP TABLES AND DROPDOWN LIST'!$J$38</definedName>
    <definedName name="t1_3">'LOOKUP TABLES AND DROPDOWN LIST'!$J$44</definedName>
    <definedName name="t2_1">'LOOKUP TABLES AND DROPDOWN LIST'!$J$33</definedName>
    <definedName name="t2_2">'LOOKUP TABLES AND DROPDOWN LIST'!$J$39</definedName>
    <definedName name="t2_3">'LOOKUP TABLES AND DROPDOWN LIST'!$J$45</definedName>
    <definedName name="tcharge_1">'LOOKUP TABLES AND DROPDOWN LIST'!$J$35</definedName>
    <definedName name="tcharge_2">'LOOKUP TABLES AND DROPDOWN LIST'!$J$41</definedName>
    <definedName name="tcharge_3">'LOOKUP TABLES AND DROPDOWN LIST'!$J$47</definedName>
    <definedName name="tdelay">'DESIGN CALCULATIONS'!$D$189</definedName>
    <definedName name="tdemag">'DESIGN CALCULATIONS'!$E$108</definedName>
    <definedName name="tdemag_min">'DESIGN CALCULATIONS'!$E$114</definedName>
    <definedName name="tdemag_min_rcmd">'DESIGN CALCULATIONS'!$D$114</definedName>
    <definedName name="tdemag_rcmd">'DESIGN CALCULATIONS'!$D$108</definedName>
    <definedName name="tdischarge_1">'LOOKUP TABLES AND DROPDOWN LIST'!$J$34</definedName>
    <definedName name="tdischarge_2">'LOOKUP TABLES AND DROPDOWN LIST'!$J$40</definedName>
    <definedName name="tdischarge_3">'LOOKUP TABLES AND DROPDOWN LIST'!$J$46</definedName>
    <definedName name="tdoff">'DESIGN CALCULATIONS'!$E$125</definedName>
    <definedName name="tdoff_rcmd">'DESIGN CALCULATIONS'!$D$125</definedName>
    <definedName name="tf">'DESIGN CALCULATIONS'!$E$124</definedName>
    <definedName name="tf_rcmd">'DESIGN CALCULATIONS'!$D$124</definedName>
    <definedName name="ton_max">'DESIGN CALCULATIONS'!$E$106</definedName>
    <definedName name="ton_max_est">'DESIGN CALCULATIONS'!$D$80</definedName>
    <definedName name="ton_max_rcmd">'DESIGN CALCULATIONS'!$D$106</definedName>
    <definedName name="ton_min">'DESIGN CALCULATIONS'!$E$113</definedName>
    <definedName name="ton_min_rcmd">'DESIGN CALCULATIONS'!$D$113</definedName>
    <definedName name="tr">'DESIGN CALCULATIONS'!$E$74</definedName>
    <definedName name="tr_rcmd">'DESIGN CALCULATIONS'!$D$74</definedName>
    <definedName name="tsw_actual">'DESIGN CALCULATIONS'!$E$105</definedName>
    <definedName name="tsw_actual_rcmd">'DESIGN CALCULATIONS'!$D$105</definedName>
    <definedName name="tsw_target">'DESIGN CALCULATIONS'!$D$72</definedName>
    <definedName name="uA">'LOOKUP TABLES AND DROPDOWN LIST'!$B$13</definedName>
    <definedName name="uC">'LOOKUP TABLES AND DROPDOWN LIST'!$B$17</definedName>
    <definedName name="uF">'LOOKUP TABLES AND DROPDOWN LIST'!$B$2</definedName>
    <definedName name="uH">'LOOKUP TABLES AND DROPDOWN LIST'!$B$8</definedName>
    <definedName name="us">'LOOKUP TABLES AND DROPDOWN LIST'!$B$7</definedName>
    <definedName name="Vbridge">'DESIGN CALCULATIONS'!$D$65</definedName>
    <definedName name="Vbulk_min">'DESIGN CALCULATIONS'!$E$57</definedName>
    <definedName name="Vbulk_valley_rcmd">'DESIGN CALCULATIONS'!$D$55</definedName>
    <definedName name="Vbulkmin_rcmd">'DESIGN CALCULATIONS'!$D$57</definedName>
    <definedName name="Vbulkvalley">'LOOKUP TABLES AND DROPDOWN LIST'!$J$48</definedName>
    <definedName name="Vbulkvalley_1">'LOOKUP TABLES AND DROPDOWN LIST'!$J$30</definedName>
    <definedName name="Vbulkvalley_2">'LOOKUP TABLES AND DROPDOWN LIST'!$J$36</definedName>
    <definedName name="Vbulkvalley_3">'LOOKUP TABLES AND DROPDOWN LIST'!$J$42</definedName>
    <definedName name="Vcbc_max">'DESIGN CALCULATIONS'!$D$194</definedName>
    <definedName name="Vcbc_min">'DESIGN CALCULATIONS'!$D$192</definedName>
    <definedName name="Vcbc_nom">'DESIGN CALCULATIONS'!$D$193</definedName>
    <definedName name="Vccr_max">'DESIGN CALCULATIONS'!$D$83</definedName>
    <definedName name="Vccr_min">'DESIGN CALCULATIONS'!$D$81</definedName>
    <definedName name="Vccr_nom">'DESIGN CALCULATIONS'!$D$82</definedName>
    <definedName name="Vcin_rated">'DESIGN CALCULATIONS'!$D$60</definedName>
    <definedName name="Vcstmax_max">'DESIGN CALCULATIONS'!$D$87</definedName>
    <definedName name="Vcstmax_min">'DESIGN CALCULATIONS'!$D$85</definedName>
    <definedName name="Vcstmax_nom">'DESIGN CALCULATIONS'!$D$86</definedName>
    <definedName name="VDbias_blocking">'DESIGN CALCULATIONS'!$E$141</definedName>
    <definedName name="VDbias_blocking_rcmd">'DESIGN CALCULATIONS'!$D$141</definedName>
    <definedName name="VDD">'DESIGN CALCULATIONS'!$E$112</definedName>
    <definedName name="VDD_rcmd">'DESIGN CALCULATIONS'!$D$112</definedName>
    <definedName name="VDDoff">'DESIGN CALCULATIONS'!#REF!</definedName>
    <definedName name="VDDoff_max">'DESIGN CALCULATIONS'!$D$94</definedName>
    <definedName name="VDDoff_min">'DESIGN CALCULATIONS'!$D$95</definedName>
    <definedName name="VDDon">'DESIGN CALCULATIONS'!$D$154</definedName>
    <definedName name="Vdout_blocking">'DESIGN CALCULATIONS'!$E$136</definedName>
    <definedName name="Vdout_blocking_rcmd">'DESIGN CALCULATIONS'!$D$136</definedName>
    <definedName name="Vdrain_clamp">'DESIGN CALCULATIONS'!$E$133</definedName>
    <definedName name="Vdrain_clamp_rcmd">'DESIGN CALCULATIONS'!$D$133</definedName>
    <definedName name="Vds">'DESIGN CALCULATIONS'!$E$121</definedName>
    <definedName name="VDS_derating">'DESIGN CALCULATIONS'!$E$127</definedName>
    <definedName name="VDS_derating_rcmd">'DESIGN CALCULATIONS'!$D$127</definedName>
    <definedName name="Vds_rcmd">'DESIGN CALCULATIONS'!$D$121</definedName>
    <definedName name="Vf">'DESIGN CALCULATIONS'!$E$70</definedName>
    <definedName name="Vf_bridge">'DESIGN CALCULATIONS'!$E$67</definedName>
    <definedName name="Vf_bridge_rcmd">'DESIGN CALCULATIONS'!$D$67</definedName>
    <definedName name="Vf_rcmd">'DESIGN CALCULATIONS'!$D$70</definedName>
    <definedName name="Vfa">'DESIGN CALCULATIONS'!$E$96</definedName>
    <definedName name="Vfa_rcmd">'DESIGN CALCULATIONS'!$D$96</definedName>
    <definedName name="Vflyback">'DESIGN CALCULATIONS'!$E$78</definedName>
    <definedName name="Vflyback_rcmd">'DESIGN CALCULATIONS'!$D$78</definedName>
    <definedName name="Vfuse">'DESIGN CALCULATIONS'!$D$62</definedName>
    <definedName name="Vin_max">'DESIGN CALCULATIONS'!$F$27</definedName>
    <definedName name="Vin_min">'DESIGN CALCULATIONS'!$D$27</definedName>
    <definedName name="Vin_run">'DESIGN CALCULATIONS'!$E$33</definedName>
    <definedName name="Vleakage">'DESIGN CALCULATIONS'!$E$120</definedName>
    <definedName name="Vleakage_rcmd">'DESIGN CALCULATIONS'!$D$120</definedName>
    <definedName name="Vo_delta">'DESIGN CALCULATIONS'!$E$144</definedName>
    <definedName name="Vo_delta_rcmd">'DESIGN CALCULATIONS'!$D$144</definedName>
    <definedName name="Vocbc">'DESIGN CALCULATIONS'!$E$35</definedName>
    <definedName name="Vocc">'DESIGN CALCULATIONS'!$F$34</definedName>
    <definedName name="Vocv">'DESIGN CALCULATIONS'!$E$28</definedName>
    <definedName name="Vout_cc_min">'DESIGN CALCULATIONS'!$E$115</definedName>
    <definedName name="Vout_cc_min_rcmd">'DESIGN CALCULATIONS'!$D$115</definedName>
    <definedName name="Vout_max">'DESIGN CALCULATIONS'!$F$28</definedName>
    <definedName name="Vout_min">'DESIGN CALCULATIONS'!$D$28</definedName>
    <definedName name="Vout_ovp">'DESIGN CALCULATIONS'!$F$38</definedName>
    <definedName name="Vout_ovpmax">'DESIGN CALCULATIONS'!$E$186</definedName>
    <definedName name="Vout_ovpmin">'DESIGN CALCULATIONS'!$E$184</definedName>
    <definedName name="Vout_ovpnom">'DESIGN CALCULATIONS'!$E$185</definedName>
    <definedName name="Vovp_max">'DESIGN CALCULATIONS'!$D$183</definedName>
    <definedName name="Vovp_min">'DESIGN CALCULATIONS'!$D$181</definedName>
    <definedName name="Vovp_nom">'DESIGN CALCULATIONS'!$D$182</definedName>
    <definedName name="Vripple_target">'DESIGN CALCULATIONS'!$F$36</definedName>
    <definedName name="Vsec">'DESIGN CALCULATIONS'!$D$79</definedName>
    <definedName name="Vturnoff_max">'DESIGN CALCULATIONS'!$E$173</definedName>
    <definedName name="Vturnoff_max_rcmd">'DESIGN CALCULATIONS'!$D$173</definedName>
    <definedName name="Vturnoff_min">'DESIGN CALCULATIONS'!$E$171</definedName>
    <definedName name="Vturnoff_min_rcmd">'DESIGN CALCULATIONS'!$D$171</definedName>
    <definedName name="Vturnoff_nom">'DESIGN CALCULATIONS'!$E$172</definedName>
    <definedName name="Vturnoff_nom_rcmd">'DESIGN CALCULATIONS'!$D$172</definedName>
    <definedName name="Vturnon_max">'DESIGN CALCULATIONS'!$E$170</definedName>
    <definedName name="Vturnon_max_rcmd">'DESIGN CALCULATIONS'!$D$170</definedName>
    <definedName name="Vturnon_min">'DESIGN CALCULATIONS'!$E$168</definedName>
    <definedName name="Vturnon_min_rcmd">'DESIGN CALCULATIONS'!$D$168</definedName>
    <definedName name="Vturnon_nom">'DESIGN CALCULATIONS'!$E$169</definedName>
    <definedName name="Vturnon_nom_rcmd">'DESIGN CALCULATIONS'!$D$169</definedName>
    <definedName name="Vvsr_max">'DESIGN CALCULATIONS'!$D$176</definedName>
    <definedName name="Vvsr_min">'DESIGN CALCULATIONS'!$D$174</definedName>
    <definedName name="Vvsr_nom">'DESIGN CALCULATIONS'!$D$175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5" i="2" l="1"/>
  <c r="D54" i="2"/>
  <c r="AA19" i="5" l="1"/>
  <c r="AA30" i="5"/>
  <c r="E194" i="2"/>
  <c r="E193" i="2"/>
  <c r="E192" i="2"/>
  <c r="E188" i="2"/>
  <c r="E183" i="2"/>
  <c r="E182" i="2"/>
  <c r="E181" i="2"/>
  <c r="E176" i="2"/>
  <c r="E175" i="2"/>
  <c r="E174" i="2"/>
  <c r="E166" i="2"/>
  <c r="E165" i="2"/>
  <c r="E164" i="2"/>
  <c r="E163" i="2"/>
  <c r="E162" i="2"/>
  <c r="E161" i="2"/>
  <c r="E155" i="2"/>
  <c r="E154" i="2"/>
  <c r="E153" i="2"/>
  <c r="E140" i="2"/>
  <c r="D135" i="2"/>
  <c r="E135" i="2"/>
  <c r="E117" i="2"/>
  <c r="E112" i="2"/>
  <c r="E97" i="2"/>
  <c r="E102" i="2"/>
  <c r="E101" i="2"/>
  <c r="E100" i="2"/>
  <c r="E99" i="2"/>
  <c r="E115" i="2" s="1"/>
  <c r="E95" i="2"/>
  <c r="E94" i="2"/>
  <c r="E87" i="2"/>
  <c r="E86" i="2"/>
  <c r="E85" i="2"/>
  <c r="E83" i="2"/>
  <c r="E82" i="2"/>
  <c r="E81" i="2"/>
  <c r="E78" i="2"/>
  <c r="E71" i="2"/>
  <c r="E77" i="2"/>
  <c r="E79" i="2"/>
  <c r="D189" i="2"/>
  <c r="E189" i="2" s="1"/>
  <c r="T35" i="5" l="1"/>
  <c r="T24" i="5"/>
  <c r="D140" i="2"/>
  <c r="E136" i="2"/>
  <c r="T38" i="5" l="1"/>
  <c r="T27" i="5"/>
  <c r="D97" i="2" l="1"/>
  <c r="E141" i="2" l="1"/>
  <c r="D65" i="2"/>
  <c r="E65" i="2" s="1"/>
  <c r="D62" i="2"/>
  <c r="E62" i="2" s="1"/>
  <c r="D60" i="2"/>
  <c r="E60" i="2" s="1"/>
  <c r="E30" i="2" l="1"/>
  <c r="D32" i="2"/>
  <c r="E55" i="2" l="1"/>
  <c r="L26" i="5"/>
  <c r="L28" i="5"/>
  <c r="J28" i="5"/>
  <c r="F30" i="2"/>
  <c r="D30" i="2"/>
  <c r="F28" i="2"/>
  <c r="D28" i="2"/>
  <c r="E120" i="2" l="1"/>
  <c r="E121" i="2" s="1"/>
  <c r="D53" i="2"/>
  <c r="E53" i="2" l="1"/>
  <c r="J19" i="5"/>
  <c r="E127" i="2"/>
  <c r="E133" i="2"/>
  <c r="J21" i="5" l="1"/>
  <c r="B17" i="5" l="1"/>
  <c r="B16" i="5"/>
  <c r="B15" i="5" l="1"/>
  <c r="B14" i="5" l="1"/>
  <c r="B13" i="5"/>
  <c r="H53" i="5" l="1"/>
  <c r="K62" i="5"/>
  <c r="K63" i="5" s="1"/>
  <c r="D195" i="2" s="1"/>
  <c r="H62" i="5"/>
  <c r="H63" i="5" s="1"/>
  <c r="E195" i="2" s="1"/>
  <c r="B12" i="5"/>
  <c r="B11" i="5" l="1"/>
  <c r="B10" i="5" l="1"/>
  <c r="J26" i="5" l="1"/>
  <c r="L27" i="5" s="1"/>
  <c r="B9" i="5"/>
  <c r="B8" i="5"/>
  <c r="B7" i="5"/>
  <c r="B6" i="5"/>
  <c r="B5" i="5"/>
  <c r="B4" i="5"/>
  <c r="B3" i="5"/>
  <c r="B1" i="5"/>
  <c r="Q27" i="5" l="1"/>
  <c r="E197" i="2"/>
  <c r="E199" i="2" s="1"/>
  <c r="W19" i="5"/>
  <c r="W21" i="5" s="1"/>
  <c r="W30" i="5"/>
  <c r="O11" i="5"/>
  <c r="Q37" i="5"/>
  <c r="Q23" i="5"/>
  <c r="D74" i="2"/>
  <c r="E74" i="2"/>
  <c r="E75" i="2" s="1"/>
  <c r="E88" i="2"/>
  <c r="E90" i="2"/>
  <c r="E89" i="2"/>
  <c r="D45" i="2"/>
  <c r="D72" i="2"/>
  <c r="E72" i="2" s="1"/>
  <c r="D47" i="2"/>
  <c r="D75" i="2"/>
  <c r="B2" i="5"/>
  <c r="J30" i="5" s="1"/>
  <c r="J34" i="5" s="1"/>
  <c r="W22" i="5" l="1"/>
  <c r="W20" i="5" s="1"/>
  <c r="E145" i="2" s="1"/>
  <c r="E92" i="2"/>
  <c r="E129" i="2"/>
  <c r="Q40" i="5"/>
  <c r="Q38" i="5" s="1"/>
  <c r="D157" i="2" s="1"/>
  <c r="Q39" i="5"/>
  <c r="E91" i="2"/>
  <c r="E110" i="2"/>
  <c r="E103" i="2"/>
  <c r="W33" i="5"/>
  <c r="W31" i="5" s="1"/>
  <c r="D145" i="2" s="1"/>
  <c r="W32" i="5"/>
  <c r="E104" i="2"/>
  <c r="E131" i="2" s="1"/>
  <c r="E113" i="2"/>
  <c r="E114" i="2" s="1"/>
  <c r="E108" i="2"/>
  <c r="L29" i="5"/>
  <c r="E138" i="2" l="1"/>
  <c r="AA21" i="5"/>
  <c r="AA20" i="5"/>
  <c r="J27" i="5"/>
  <c r="J29" i="5" l="1"/>
  <c r="Q26" i="5" l="1"/>
  <c r="Q24" i="5" s="1"/>
  <c r="Q25" i="5"/>
  <c r="E157" i="2" l="1"/>
  <c r="H54" i="5"/>
  <c r="E167" i="2" s="1"/>
  <c r="J22" i="5"/>
  <c r="J20" i="5" s="1"/>
  <c r="D56" i="2" s="1"/>
  <c r="H56" i="5" l="1"/>
  <c r="H57" i="5" s="1"/>
  <c r="E177" i="2" s="1"/>
  <c r="E184" i="2" s="1"/>
  <c r="E170" i="2"/>
  <c r="H59" i="5"/>
  <c r="E168" i="2"/>
  <c r="E169" i="2"/>
  <c r="L30" i="5"/>
  <c r="E185" i="2" l="1"/>
  <c r="E186" i="2"/>
  <c r="E201" i="2"/>
  <c r="L34" i="5"/>
  <c r="L36" i="5" s="1"/>
  <c r="L32" i="5"/>
  <c r="L35" i="5" l="1"/>
  <c r="L33" i="5"/>
  <c r="L40" i="5"/>
  <c r="L42" i="5" s="1"/>
  <c r="L38" i="5"/>
  <c r="Q30" i="5"/>
  <c r="Q29" i="5"/>
  <c r="Q28" i="5" l="1"/>
  <c r="E158" i="2" s="1"/>
  <c r="L39" i="5"/>
  <c r="L41" i="5"/>
  <c r="L44" i="5"/>
  <c r="L46" i="5"/>
  <c r="L48" i="5" s="1"/>
  <c r="D57" i="2" s="1"/>
  <c r="D76" i="2" s="1"/>
  <c r="D136" i="2" l="1"/>
  <c r="D120" i="2"/>
  <c r="D121" i="2"/>
  <c r="D98" i="2"/>
  <c r="D84" i="2"/>
  <c r="D117" i="2" s="1"/>
  <c r="D78" i="2"/>
  <c r="D79" i="2"/>
  <c r="G79" i="2" s="1"/>
  <c r="D80" i="2"/>
  <c r="D66" i="2"/>
  <c r="L47" i="5"/>
  <c r="D63" i="2" s="1"/>
  <c r="L45" i="5"/>
  <c r="D99" i="2" l="1"/>
  <c r="D115" i="2" s="1"/>
  <c r="K53" i="5"/>
  <c r="K54" i="5" s="1"/>
  <c r="D167" i="2" s="1"/>
  <c r="D127" i="2"/>
  <c r="D133" i="2"/>
  <c r="D112" i="2"/>
  <c r="D89" i="2"/>
  <c r="D90" i="2"/>
  <c r="D88" i="2"/>
  <c r="D59" i="2"/>
  <c r="D68" i="2" s="1"/>
  <c r="D58" i="2"/>
  <c r="K56" i="5" l="1"/>
  <c r="K57" i="5" s="1"/>
  <c r="D177" i="2" s="1"/>
  <c r="D184" i="2" s="1"/>
  <c r="D170" i="2"/>
  <c r="D168" i="2"/>
  <c r="D172" i="2"/>
  <c r="D169" i="2"/>
  <c r="D173" i="2"/>
  <c r="D171" i="2"/>
  <c r="E178" i="2"/>
  <c r="E179" i="2"/>
  <c r="E180" i="2"/>
  <c r="D141" i="2"/>
  <c r="Q41" i="5"/>
  <c r="D129" i="2"/>
  <c r="D103" i="2"/>
  <c r="D110" i="2"/>
  <c r="D92" i="2"/>
  <c r="D91" i="2"/>
  <c r="D93" i="2"/>
  <c r="J32" i="5"/>
  <c r="J33" i="5" s="1"/>
  <c r="J36" i="5" s="1"/>
  <c r="D178" i="2" l="1"/>
  <c r="D186" i="2"/>
  <c r="D106" i="2"/>
  <c r="D197" i="2"/>
  <c r="D199" i="2" s="1"/>
  <c r="D201" i="2"/>
  <c r="D179" i="2"/>
  <c r="D185" i="2"/>
  <c r="D180" i="2"/>
  <c r="K59" i="5"/>
  <c r="K60" i="5" s="1"/>
  <c r="D190" i="2" s="1"/>
  <c r="Q44" i="5"/>
  <c r="Q43" i="5"/>
  <c r="D138" i="2"/>
  <c r="D111" i="2"/>
  <c r="D137" i="2" s="1"/>
  <c r="D151" i="2"/>
  <c r="D108" i="2"/>
  <c r="D113" i="2"/>
  <c r="D114" i="2" s="1"/>
  <c r="D104" i="2"/>
  <c r="AA32" i="5" s="1"/>
  <c r="Z35" i="5" s="1"/>
  <c r="E105" i="2"/>
  <c r="E151" i="2"/>
  <c r="E111" i="2"/>
  <c r="H60" i="5"/>
  <c r="E190" i="2" s="1"/>
  <c r="Z24" i="5"/>
  <c r="J38" i="5"/>
  <c r="J39" i="5" s="1"/>
  <c r="J40" i="5"/>
  <c r="J35" i="5"/>
  <c r="Q42" i="5" l="1"/>
  <c r="D158" i="2" s="1"/>
  <c r="D150" i="2"/>
  <c r="AA31" i="5"/>
  <c r="W35" i="5" s="1"/>
  <c r="Z37" i="5"/>
  <c r="Z38" i="5"/>
  <c r="Z36" i="5" s="1"/>
  <c r="D148" i="2" s="1"/>
  <c r="D105" i="2"/>
  <c r="D131" i="2"/>
  <c r="D107" i="2"/>
  <c r="E137" i="2"/>
  <c r="Z26" i="5"/>
  <c r="Z27" i="5"/>
  <c r="Z25" i="5" s="1"/>
  <c r="E148" i="2" s="1"/>
  <c r="W24" i="5"/>
  <c r="T19" i="5"/>
  <c r="T26" i="5" s="1"/>
  <c r="T25" i="5" s="1"/>
  <c r="E146" i="2" s="1"/>
  <c r="J41" i="5"/>
  <c r="J42" i="5"/>
  <c r="J46" i="5" s="1"/>
  <c r="T30" i="5" l="1"/>
  <c r="T33" i="5" s="1"/>
  <c r="T31" i="5" s="1"/>
  <c r="D149" i="2" s="1"/>
  <c r="Q33" i="5" s="1"/>
  <c r="W38" i="5"/>
  <c r="W36" i="5" s="1"/>
  <c r="D147" i="2" s="1"/>
  <c r="W37" i="5"/>
  <c r="D109" i="2"/>
  <c r="D128" i="2"/>
  <c r="W26" i="5"/>
  <c r="W27" i="5"/>
  <c r="W25" i="5" s="1"/>
  <c r="E147" i="2" s="1"/>
  <c r="J44" i="5"/>
  <c r="J47" i="5" s="1"/>
  <c r="T37" i="5" l="1"/>
  <c r="T36" i="5" s="1"/>
  <c r="D146" i="2" s="1"/>
  <c r="T32" i="5"/>
  <c r="Q36" i="5"/>
  <c r="Q34" i="5" s="1"/>
  <c r="D156" i="2" s="1"/>
  <c r="D159" i="2" s="1"/>
  <c r="Q35" i="5"/>
  <c r="D118" i="2"/>
  <c r="D130" i="2"/>
  <c r="D132" i="2" s="1"/>
  <c r="J45" i="5"/>
  <c r="J48" i="5" s="1"/>
  <c r="E57" i="2" s="1"/>
  <c r="E150" i="2" s="1"/>
  <c r="E80" i="2" l="1"/>
  <c r="E106" i="2"/>
  <c r="E63" i="2"/>
  <c r="E66" i="2"/>
  <c r="E58" i="2"/>
  <c r="E172" i="2"/>
  <c r="E173" i="2"/>
  <c r="E171" i="2"/>
  <c r="E59" i="2"/>
  <c r="E68" i="2" s="1"/>
  <c r="E109" i="2" l="1"/>
  <c r="E118" i="2" s="1"/>
  <c r="E128" i="2"/>
  <c r="T22" i="5"/>
  <c r="T20" i="5" s="1"/>
  <c r="E107" i="2"/>
  <c r="E149" i="2" l="1"/>
  <c r="Q19" i="5" s="1"/>
  <c r="T21" i="5"/>
  <c r="E130" i="2"/>
  <c r="E132" i="2" s="1"/>
  <c r="Q22" i="5" l="1"/>
  <c r="Q20" i="5" s="1"/>
  <c r="Q21" i="5"/>
  <c r="E156" i="2" l="1"/>
  <c r="E159" i="2" l="1"/>
</calcChain>
</file>

<file path=xl/sharedStrings.xml><?xml version="1.0" encoding="utf-8"?>
<sst xmlns="http://schemas.openxmlformats.org/spreadsheetml/2006/main" count="692" uniqueCount="456">
  <si>
    <t>Disclaimer</t>
  </si>
  <si>
    <t>This product is designed as an aid for customers of Texas Instruments. No warranties, either expressed or implied, with respect to this software or its fitness for any particular purpose, are claimed by Texas Instruments or the author. The software is licensed solely on an "as is" basis. The entire risk as to its quality and performance is with the customer.</t>
  </si>
  <si>
    <t>CLEAR ALL USER INPUT CELLS BEFORE STARTING A NEW DESIGN</t>
  </si>
  <si>
    <t>DESIGN REQUIREMENTS</t>
  </si>
  <si>
    <t>V</t>
  </si>
  <si>
    <t>VDC</t>
  </si>
  <si>
    <t>A</t>
  </si>
  <si>
    <t>W</t>
  </si>
  <si>
    <t>mV</t>
  </si>
  <si>
    <t>kHz</t>
  </si>
  <si>
    <t>Standard E48 Resistor Values</t>
  </si>
  <si>
    <t>Standard Capacitor Values</t>
  </si>
  <si>
    <t>C values up to 10nF</t>
  </si>
  <si>
    <t>C values greater than 10nF</t>
  </si>
  <si>
    <t>µF</t>
  </si>
  <si>
    <t>ms</t>
  </si>
  <si>
    <t>pF</t>
  </si>
  <si>
    <t>Resultant Minimum Bulk Voltage Calculations:</t>
  </si>
  <si>
    <t>s</t>
  </si>
  <si>
    <t>First Iteration:</t>
  </si>
  <si>
    <t>Second Iteration:</t>
  </si>
  <si>
    <t>Third Iteration:</t>
  </si>
  <si>
    <t>mA</t>
  </si>
  <si>
    <t>µs</t>
  </si>
  <si>
    <t>COMMENT</t>
  </si>
  <si>
    <t>mV factor</t>
  </si>
  <si>
    <t>uF factor</t>
  </si>
  <si>
    <t>kHz factor</t>
  </si>
  <si>
    <t>ms factor</t>
  </si>
  <si>
    <t>mA factor</t>
  </si>
  <si>
    <t>us factor</t>
  </si>
  <si>
    <t>Ω</t>
  </si>
  <si>
    <t>uH factor</t>
  </si>
  <si>
    <t>µH</t>
  </si>
  <si>
    <t>ns factor</t>
  </si>
  <si>
    <t>ns</t>
  </si>
  <si>
    <t>Hz</t>
  </si>
  <si>
    <t>mΩ</t>
  </si>
  <si>
    <t>mΩ factor</t>
  </si>
  <si>
    <r>
      <t>C</t>
    </r>
    <r>
      <rPr>
        <vertAlign val="subscript"/>
        <sz val="11"/>
        <color theme="1"/>
        <rFont val="Arial"/>
        <family val="2"/>
      </rPr>
      <t>IN</t>
    </r>
    <r>
      <rPr>
        <sz val="11"/>
        <color theme="1"/>
        <rFont val="Arial"/>
        <family val="2"/>
      </rPr>
      <t xml:space="preserve"> Calculations:</t>
    </r>
  </si>
  <si>
    <r>
      <t>C</t>
    </r>
    <r>
      <rPr>
        <vertAlign val="subscript"/>
        <sz val="11"/>
        <color theme="1"/>
        <rFont val="Arial"/>
        <family val="2"/>
      </rPr>
      <t>IN</t>
    </r>
    <r>
      <rPr>
        <sz val="11"/>
        <color theme="1"/>
        <rFont val="Arial"/>
        <family val="2"/>
      </rPr>
      <t xml:space="preserve"> Initial:</t>
    </r>
  </si>
  <si>
    <r>
      <t>C</t>
    </r>
    <r>
      <rPr>
        <vertAlign val="subscript"/>
        <sz val="11"/>
        <color theme="1"/>
        <rFont val="Arial"/>
        <family val="2"/>
      </rPr>
      <t>IN</t>
    </r>
    <r>
      <rPr>
        <sz val="11"/>
        <color theme="1"/>
        <rFont val="Arial"/>
        <family val="2"/>
      </rPr>
      <t xml:space="preserve"> Recommended:</t>
    </r>
  </si>
  <si>
    <r>
      <t>t</t>
    </r>
    <r>
      <rPr>
        <vertAlign val="subscript"/>
        <sz val="11"/>
        <color theme="1"/>
        <rFont val="Arial"/>
        <family val="2"/>
      </rPr>
      <t>1</t>
    </r>
  </si>
  <si>
    <r>
      <t>t</t>
    </r>
    <r>
      <rPr>
        <vertAlign val="subscript"/>
        <sz val="11"/>
        <color theme="1"/>
        <rFont val="Arial"/>
        <family val="2"/>
      </rPr>
      <t>2</t>
    </r>
  </si>
  <si>
    <r>
      <t>t</t>
    </r>
    <r>
      <rPr>
        <vertAlign val="subscript"/>
        <sz val="11"/>
        <color theme="1"/>
        <rFont val="Arial"/>
        <family val="2"/>
      </rPr>
      <t>discharge</t>
    </r>
  </si>
  <si>
    <r>
      <t>t</t>
    </r>
    <r>
      <rPr>
        <vertAlign val="subscript"/>
        <sz val="11"/>
        <color theme="1"/>
        <rFont val="Arial"/>
        <family val="2"/>
      </rPr>
      <t>charge</t>
    </r>
  </si>
  <si>
    <r>
      <t>V</t>
    </r>
    <r>
      <rPr>
        <vertAlign val="subscript"/>
        <sz val="11"/>
        <color theme="1"/>
        <rFont val="Arial"/>
        <family val="2"/>
      </rPr>
      <t>BULKvalley_1</t>
    </r>
  </si>
  <si>
    <r>
      <t>t</t>
    </r>
    <r>
      <rPr>
        <vertAlign val="subscript"/>
        <sz val="11"/>
        <color theme="1"/>
        <rFont val="Arial"/>
        <family val="2"/>
      </rPr>
      <t>1_1</t>
    </r>
  </si>
  <si>
    <r>
      <t>t</t>
    </r>
    <r>
      <rPr>
        <vertAlign val="subscript"/>
        <sz val="11"/>
        <color theme="1"/>
        <rFont val="Arial"/>
        <family val="2"/>
      </rPr>
      <t>2_1</t>
    </r>
  </si>
  <si>
    <r>
      <t>t</t>
    </r>
    <r>
      <rPr>
        <vertAlign val="subscript"/>
        <sz val="11"/>
        <color theme="1"/>
        <rFont val="Arial"/>
        <family val="2"/>
      </rPr>
      <t>discharge_1</t>
    </r>
  </si>
  <si>
    <r>
      <t>t</t>
    </r>
    <r>
      <rPr>
        <vertAlign val="subscript"/>
        <sz val="11"/>
        <color theme="1"/>
        <rFont val="Arial"/>
        <family val="2"/>
      </rPr>
      <t>charge_1</t>
    </r>
  </si>
  <si>
    <r>
      <t>V</t>
    </r>
    <r>
      <rPr>
        <vertAlign val="subscript"/>
        <sz val="11"/>
        <color theme="1"/>
        <rFont val="Arial"/>
        <family val="2"/>
      </rPr>
      <t>BULKvalley_2</t>
    </r>
  </si>
  <si>
    <r>
      <t>t</t>
    </r>
    <r>
      <rPr>
        <vertAlign val="subscript"/>
        <sz val="11"/>
        <color theme="1"/>
        <rFont val="Arial"/>
        <family val="2"/>
      </rPr>
      <t>1_2</t>
    </r>
  </si>
  <si>
    <r>
      <t>t</t>
    </r>
    <r>
      <rPr>
        <vertAlign val="subscript"/>
        <sz val="11"/>
        <color theme="1"/>
        <rFont val="Arial"/>
        <family val="2"/>
      </rPr>
      <t>2_2</t>
    </r>
  </si>
  <si>
    <r>
      <t>t</t>
    </r>
    <r>
      <rPr>
        <vertAlign val="subscript"/>
        <sz val="11"/>
        <color theme="1"/>
        <rFont val="Arial"/>
        <family val="2"/>
      </rPr>
      <t>discharge_2</t>
    </r>
  </si>
  <si>
    <r>
      <t>t</t>
    </r>
    <r>
      <rPr>
        <vertAlign val="subscript"/>
        <sz val="11"/>
        <color theme="1"/>
        <rFont val="Arial"/>
        <family val="2"/>
      </rPr>
      <t>charge_2</t>
    </r>
  </si>
  <si>
    <r>
      <t>V</t>
    </r>
    <r>
      <rPr>
        <vertAlign val="subscript"/>
        <sz val="11"/>
        <color theme="1"/>
        <rFont val="Arial"/>
        <family val="2"/>
      </rPr>
      <t>BULKvalley_3</t>
    </r>
  </si>
  <si>
    <r>
      <t>t</t>
    </r>
    <r>
      <rPr>
        <vertAlign val="subscript"/>
        <sz val="11"/>
        <color theme="1"/>
        <rFont val="Arial"/>
        <family val="2"/>
      </rPr>
      <t>1_3</t>
    </r>
  </si>
  <si>
    <r>
      <t>t</t>
    </r>
    <r>
      <rPr>
        <vertAlign val="subscript"/>
        <sz val="11"/>
        <color theme="1"/>
        <rFont val="Arial"/>
        <family val="2"/>
      </rPr>
      <t>2_3</t>
    </r>
  </si>
  <si>
    <r>
      <t>t</t>
    </r>
    <r>
      <rPr>
        <vertAlign val="subscript"/>
        <sz val="11"/>
        <color theme="1"/>
        <rFont val="Arial"/>
        <family val="2"/>
      </rPr>
      <t>discharge_3</t>
    </r>
  </si>
  <si>
    <r>
      <t>t</t>
    </r>
    <r>
      <rPr>
        <vertAlign val="subscript"/>
        <sz val="11"/>
        <color theme="1"/>
        <rFont val="Arial"/>
        <family val="2"/>
      </rPr>
      <t>charge_3</t>
    </r>
  </si>
  <si>
    <r>
      <t>V</t>
    </r>
    <r>
      <rPr>
        <vertAlign val="subscript"/>
        <sz val="11"/>
        <color theme="1"/>
        <rFont val="Arial"/>
        <family val="2"/>
      </rPr>
      <t>BULKvalley_4</t>
    </r>
  </si>
  <si>
    <t>PARAMETER</t>
  </si>
  <si>
    <t>mW factor</t>
  </si>
  <si>
    <t>mW</t>
  </si>
  <si>
    <t>Estimated Input Power</t>
  </si>
  <si>
    <t>Output Power</t>
  </si>
  <si>
    <t>Estimated Efficiency</t>
  </si>
  <si>
    <t>Maximum Peak to Peak Output Voltage Ripple</t>
  </si>
  <si>
    <t>Minimum Valley Voltage on Input Bulk Capacitors</t>
  </si>
  <si>
    <t>Minimum Input Capacitor Ripple Current Rating</t>
  </si>
  <si>
    <t>Minimum Input Capacitor Voltage Rating</t>
  </si>
  <si>
    <t>Demagnetizing Duty Cycle</t>
  </si>
  <si>
    <t>Desired Switching Period</t>
  </si>
  <si>
    <t>Time to First Resonant Valley</t>
  </si>
  <si>
    <t>Estimated Maximum Duty Cycle</t>
  </si>
  <si>
    <t>Drain to Source On-Resistance of Selected MOSFET</t>
  </si>
  <si>
    <t>Output Capacitance of Selected MOSFET</t>
  </si>
  <si>
    <t>Estimated Maximum On-Time</t>
  </si>
  <si>
    <t>Maximum Current Sense Threshold Voltage, Nominal</t>
  </si>
  <si>
    <t>Maximum Current Sense Threshold Voltage, Maximum</t>
  </si>
  <si>
    <t>Actual Maximum Nominal Switching Frequency</t>
  </si>
  <si>
    <t>Actual Switching Period</t>
  </si>
  <si>
    <t>Actual Maximum On-Time</t>
  </si>
  <si>
    <t>Primary RMS Current</t>
  </si>
  <si>
    <t>Secondary Peak Current</t>
  </si>
  <si>
    <t>Secondary RMS Current</t>
  </si>
  <si>
    <t>Maximum Duty Cycle</t>
  </si>
  <si>
    <t>Demagnetization Time</t>
  </si>
  <si>
    <t>INPUT FUSE</t>
  </si>
  <si>
    <t>Peak Input Current</t>
  </si>
  <si>
    <t>Maximum Current Sense Threshold Voltage, Minimum</t>
  </si>
  <si>
    <t>Peak Primary Current , Minimum, Full Load</t>
  </si>
  <si>
    <t>Peak Primary Current, Nominal, Full Load</t>
  </si>
  <si>
    <t>Peak Primary Current, Maximum, Full Load</t>
  </si>
  <si>
    <t>Constant Current Regulation Factor, Minimum</t>
  </si>
  <si>
    <t>Constant Current Regulation Factor, Nominal</t>
  </si>
  <si>
    <t>Estimated MOSFET Conduction Losses</t>
  </si>
  <si>
    <t>Estimated MOSFET Switching Losses</t>
  </si>
  <si>
    <t>MOSFET Fall Time</t>
  </si>
  <si>
    <t>pF factor</t>
  </si>
  <si>
    <t xml:space="preserve">Total Estimated MOSFET Power Loss </t>
  </si>
  <si>
    <t>BRIDGE RECTIFIER</t>
  </si>
  <si>
    <t>Full Load Power Dissipation of Bridge Rectifier</t>
  </si>
  <si>
    <t>MHz</t>
  </si>
  <si>
    <t>MHz factor</t>
  </si>
  <si>
    <t>Recommended Clamping Voltage on Drain</t>
  </si>
  <si>
    <t>Auxiliary Rectifier Forward Voltage Drop</t>
  </si>
  <si>
    <t>Nominal VDD Voltage</t>
  </si>
  <si>
    <t>Minimum Output Voltage During Constant Current Mode</t>
  </si>
  <si>
    <t>VDD Under Voltage Lock Out (UVLO) Voltage, Maximum</t>
  </si>
  <si>
    <t>VDD Under Voltage Lock Out (UVLO) Voltage, Minimum</t>
  </si>
  <si>
    <t>Minimum Required Blocking Voltage Rating</t>
  </si>
  <si>
    <t>MOSFET Continuous Current Rating</t>
  </si>
  <si>
    <t>MOSFET Pulsed Current Rating</t>
  </si>
  <si>
    <t>Required Minimum Average Rectified Output Current</t>
  </si>
  <si>
    <t>Minimum On-Time</t>
  </si>
  <si>
    <t>Required Minimum Ripple Current Rating</t>
  </si>
  <si>
    <t>Minimum Demagnetizing Time</t>
  </si>
  <si>
    <r>
      <t>LINE COMPENSATION, R</t>
    </r>
    <r>
      <rPr>
        <b/>
        <i/>
        <vertAlign val="subscript"/>
        <sz val="12"/>
        <color theme="0"/>
        <rFont val="Arial"/>
        <family val="2"/>
      </rPr>
      <t>LC</t>
    </r>
  </si>
  <si>
    <t>VS Line Sense Run Current, Minimum</t>
  </si>
  <si>
    <t>VS Line Sense Run Current, Maximum</t>
  </si>
  <si>
    <t>uA factor</t>
  </si>
  <si>
    <r>
      <t>k</t>
    </r>
    <r>
      <rPr>
        <sz val="11"/>
        <color theme="1"/>
        <rFont val="Calibri"/>
        <family val="2"/>
      </rPr>
      <t>Ω</t>
    </r>
    <r>
      <rPr>
        <sz val="11"/>
        <color theme="1"/>
        <rFont val="Arial"/>
        <family val="2"/>
      </rPr>
      <t xml:space="preserve"> factor</t>
    </r>
  </si>
  <si>
    <r>
      <t>k</t>
    </r>
    <r>
      <rPr>
        <sz val="11"/>
        <color theme="1"/>
        <rFont val="Calibri"/>
        <family val="2"/>
      </rPr>
      <t>Ω</t>
    </r>
  </si>
  <si>
    <t>VS Line Sense Run Current, Nominal</t>
  </si>
  <si>
    <t xml:space="preserve">Resultant Turn On Voltage, Nominal </t>
  </si>
  <si>
    <t xml:space="preserve">Resultant Turn On Voltage, Minimum </t>
  </si>
  <si>
    <t xml:space="preserve">Resultant Turn On Voltage, Maximum </t>
  </si>
  <si>
    <t>VS Line Sense Stop Current, Nominal</t>
  </si>
  <si>
    <t>VS Line Sense Stop Current, Minimum</t>
  </si>
  <si>
    <t>VS Line Sense Stop Current, Maximum</t>
  </si>
  <si>
    <t>Internal VS Over Voltage Threshold, Minimum</t>
  </si>
  <si>
    <t>Internal VS Over Voltage Threshold, Nominal</t>
  </si>
  <si>
    <t>Internal VS Over Voltage Threshold, Maximum</t>
  </si>
  <si>
    <t>Device Parameter</t>
  </si>
  <si>
    <t>kΩ</t>
  </si>
  <si>
    <t>Output Over Voltage Protection</t>
  </si>
  <si>
    <t>Resultant Output Over Voltage Threshold, Minimum</t>
  </si>
  <si>
    <t>Resultant Output Over Voltage Threshold, Nominal</t>
  </si>
  <si>
    <t>Resultant Output Over Voltage Threshold, Maximum</t>
  </si>
  <si>
    <t>A/A</t>
  </si>
  <si>
    <t>Line Compensation Current Ratio, Nominal</t>
  </si>
  <si>
    <t>MOSFET Turn Off Delay Time</t>
  </si>
  <si>
    <t>Total Estimated Current Sense Delay</t>
  </si>
  <si>
    <r>
      <rPr>
        <b/>
        <sz val="11"/>
        <rFont val="Arial"/>
        <family val="2"/>
      </rPr>
      <t>Recommended</t>
    </r>
    <r>
      <rPr>
        <sz val="11"/>
        <rFont val="Arial"/>
        <family val="2"/>
      </rPr>
      <t xml:space="preserve"> Resistor Value for Line Compensation</t>
    </r>
  </si>
  <si>
    <t>nC</t>
  </si>
  <si>
    <t>nC factor</t>
  </si>
  <si>
    <t>Device Supply Current During Run Mode, Maximum</t>
  </si>
  <si>
    <t>MOSFET Total Gate Charge</t>
  </si>
  <si>
    <r>
      <t>C</t>
    </r>
    <r>
      <rPr>
        <vertAlign val="subscript"/>
        <sz val="11"/>
        <color theme="1"/>
        <rFont val="Arial"/>
        <family val="2"/>
      </rPr>
      <t>VDD</t>
    </r>
    <r>
      <rPr>
        <sz val="11"/>
        <color theme="1"/>
        <rFont val="Arial"/>
        <family val="2"/>
      </rPr>
      <t xml:space="preserve"> Calculations:</t>
    </r>
  </si>
  <si>
    <r>
      <rPr>
        <b/>
        <sz val="11"/>
        <color theme="1"/>
        <rFont val="Arial"/>
        <family val="2"/>
      </rPr>
      <t xml:space="preserve">Recommended </t>
    </r>
    <r>
      <rPr>
        <sz val="11"/>
        <color theme="1"/>
        <rFont val="Arial"/>
        <family val="2"/>
      </rPr>
      <t>Capacitor on VDD</t>
    </r>
  </si>
  <si>
    <r>
      <t>C</t>
    </r>
    <r>
      <rPr>
        <vertAlign val="subscript"/>
        <sz val="11"/>
        <color theme="1"/>
        <rFont val="Arial"/>
        <family val="2"/>
      </rPr>
      <t>OUT</t>
    </r>
    <r>
      <rPr>
        <sz val="11"/>
        <color theme="1"/>
        <rFont val="Arial"/>
        <family val="2"/>
      </rPr>
      <t xml:space="preserve"> Calculations:</t>
    </r>
  </si>
  <si>
    <r>
      <t>C</t>
    </r>
    <r>
      <rPr>
        <vertAlign val="subscript"/>
        <sz val="11"/>
        <color theme="1"/>
        <rFont val="Arial"/>
        <family val="2"/>
      </rPr>
      <t>OUT</t>
    </r>
    <r>
      <rPr>
        <sz val="11"/>
        <color theme="1"/>
        <rFont val="Arial"/>
        <family val="2"/>
      </rPr>
      <t>:</t>
    </r>
  </si>
  <si>
    <r>
      <t>R</t>
    </r>
    <r>
      <rPr>
        <vertAlign val="subscript"/>
        <sz val="11"/>
        <color theme="1"/>
        <rFont val="Arial"/>
        <family val="2"/>
      </rPr>
      <t>VS1</t>
    </r>
    <r>
      <rPr>
        <sz val="11"/>
        <color theme="1"/>
        <rFont val="Arial"/>
        <family val="2"/>
      </rPr>
      <t>:</t>
    </r>
  </si>
  <si>
    <r>
      <t>R</t>
    </r>
    <r>
      <rPr>
        <vertAlign val="subscript"/>
        <sz val="11"/>
        <color theme="1"/>
        <rFont val="Arial"/>
        <family val="2"/>
      </rPr>
      <t>VS2</t>
    </r>
    <r>
      <rPr>
        <sz val="11"/>
        <color theme="1"/>
        <rFont val="Arial"/>
        <family val="2"/>
      </rPr>
      <t>:</t>
    </r>
  </si>
  <si>
    <r>
      <t>R</t>
    </r>
    <r>
      <rPr>
        <vertAlign val="subscript"/>
        <sz val="11"/>
        <color theme="1"/>
        <rFont val="Arial"/>
        <family val="2"/>
      </rPr>
      <t>LC</t>
    </r>
    <r>
      <rPr>
        <sz val="11"/>
        <color theme="1"/>
        <rFont val="Arial"/>
        <family val="2"/>
      </rPr>
      <t>:</t>
    </r>
  </si>
  <si>
    <t>nF factor</t>
  </si>
  <si>
    <t>uC factor</t>
  </si>
  <si>
    <t>TI Literature Number:</t>
  </si>
  <si>
    <t>UCC28730 CONSTANT-VOLTAGE, CONSTANT-CURRENT FLYBACK DESIGN CALCULATOR</t>
  </si>
  <si>
    <t>Enter Design Parameters and Chosen Component Values in Yellow Cells</t>
  </si>
  <si>
    <t>VAC</t>
  </si>
  <si>
    <t>MIN</t>
  </si>
  <si>
    <t>TYP</t>
  </si>
  <si>
    <t>MAX</t>
  </si>
  <si>
    <t>Description</t>
  </si>
  <si>
    <t>Target Output Voltage During Constant Current Regulation</t>
  </si>
  <si>
    <t>UNITS</t>
  </si>
  <si>
    <t>Desired Switching Frequency</t>
  </si>
  <si>
    <t>Maximum Stand-By Power Consumption</t>
  </si>
  <si>
    <t>VALUE</t>
  </si>
  <si>
    <t>UNIT</t>
  </si>
  <si>
    <t>Stand-By Power Estimate</t>
  </si>
  <si>
    <t>Recommended Minimum Voltage on Input Bulk Capacitors</t>
  </si>
  <si>
    <t>Enter number of half line-cycles for holdup</t>
  </si>
  <si>
    <t>Assumes 45% allowable ripple</t>
  </si>
  <si>
    <t>UCC28730 DESIGN CALCULATOR TOOL</t>
  </si>
  <si>
    <t>Input Fuse Peak Input Current</t>
  </si>
  <si>
    <t>Minimum Input Fuse Voltage Rating</t>
  </si>
  <si>
    <t>Minimum Bridge Rectifier Voltage Rating</t>
  </si>
  <si>
    <t>Minimum Bridge Rectifier Current Rating</t>
  </si>
  <si>
    <t>Bridge Rectifier Forward Voltage Drop</t>
  </si>
  <si>
    <t xml:space="preserve">η </t>
  </si>
  <si>
    <t>TRANSFORMER TURNS-RATIO, INDUCTANCE, PEAK PRIMARY CURRENT</t>
  </si>
  <si>
    <t>Forward Voltage Drop of Output Rectifier</t>
  </si>
  <si>
    <t>Secondary Side Winding Voltage</t>
  </si>
  <si>
    <t>Maximum Switching Frequency</t>
  </si>
  <si>
    <t>Minimum Switching Frequency</t>
  </si>
  <si>
    <t>Line Frequency</t>
  </si>
  <si>
    <t>Maximum Line Period</t>
  </si>
  <si>
    <t>Estimated Transformer Efficiency</t>
  </si>
  <si>
    <t>Estimated Stand-By Power Efficiency</t>
  </si>
  <si>
    <t>Flyback Voltage Reflected to the Primary</t>
  </si>
  <si>
    <t>AM Control Ratio, Minimum</t>
  </si>
  <si>
    <t>AM Control Ratio, Nominal</t>
  </si>
  <si>
    <t>AM Control ratio, Maximum</t>
  </si>
  <si>
    <t>Number of Half-Cycles of AC Line During Line Drop-Out</t>
  </si>
  <si>
    <t>Maximum Output Current During Constant Current Mode</t>
  </si>
  <si>
    <t>Enter the actual value of the current sense resistor used</t>
  </si>
  <si>
    <t>DESIGN CALCULATIONS</t>
  </si>
  <si>
    <t>Enter the actual value of the primary inductance used</t>
  </si>
  <si>
    <t>Actual  Auxiliary Winding to Secondary Winding Turns Ratio</t>
  </si>
  <si>
    <t>Enter forward voltage drop of secondary side rectifier</t>
  </si>
  <si>
    <t xml:space="preserve">VDD </t>
  </si>
  <si>
    <t>Minimum Required MOSFET Rated Drain to Source Voltage</t>
  </si>
  <si>
    <t>Assumed Leakage Spike</t>
  </si>
  <si>
    <t>Enter turn off delay of selected MOSFET</t>
  </si>
  <si>
    <t>Enter total gate charge of selected MOSFET</t>
  </si>
  <si>
    <t>Enter fall time of selected MOSFET</t>
  </si>
  <si>
    <t>VDS Derating</t>
  </si>
  <si>
    <t>Peak Primary Current During FM Mode and No-Load, Nominal</t>
  </si>
  <si>
    <t>Nominal Output Current During Constant Current Mode</t>
  </si>
  <si>
    <t>Previously selected above</t>
  </si>
  <si>
    <t>Estimated Resonant Frequency During DCM Dead Time</t>
  </si>
  <si>
    <t>Approximate Resonant Frequency</t>
  </si>
  <si>
    <t>SLUC579</t>
  </si>
  <si>
    <t>Positive Load Step Current</t>
  </si>
  <si>
    <t>Enter required load transient</t>
  </si>
  <si>
    <r>
      <t>C</t>
    </r>
    <r>
      <rPr>
        <vertAlign val="subscript"/>
        <sz val="11"/>
        <color theme="1"/>
        <rFont val="Arial"/>
        <family val="2"/>
      </rPr>
      <t>OUT(no_wake)</t>
    </r>
  </si>
  <si>
    <t>Minimum Allowable Output Voltage Due to Load Step</t>
  </si>
  <si>
    <t>Enter allowable minimum output voltage due to load step</t>
  </si>
  <si>
    <t>If this value is excessive, a C-L-C pi-filter is needed</t>
  </si>
  <si>
    <t>Cout_wake</t>
  </si>
  <si>
    <t>Cout_phase</t>
  </si>
  <si>
    <t>Cout_vripple</t>
  </si>
  <si>
    <t>Recommended Auxiliary Winding to Secondary Winding Turns Ratio</t>
  </si>
  <si>
    <t>Results With Recommended Values</t>
  </si>
  <si>
    <t>Results With User Selected Values</t>
  </si>
  <si>
    <r>
      <t>VDD</t>
    </r>
    <r>
      <rPr>
        <vertAlign val="subscript"/>
        <sz val="10"/>
        <color theme="1"/>
        <rFont val="Arial"/>
        <family val="2"/>
      </rPr>
      <t>ON</t>
    </r>
    <r>
      <rPr>
        <sz val="10"/>
        <color theme="1"/>
        <rFont val="Arial"/>
        <family val="2"/>
      </rPr>
      <t xml:space="preserve"> Voltage, Maximum</t>
    </r>
  </si>
  <si>
    <r>
      <rPr>
        <sz val="10"/>
        <color theme="1"/>
        <rFont val="Calibri"/>
        <family val="2"/>
      </rPr>
      <t>µ</t>
    </r>
    <r>
      <rPr>
        <sz val="10"/>
        <color theme="1"/>
        <rFont val="Arial"/>
        <family val="2"/>
      </rPr>
      <t>F</t>
    </r>
  </si>
  <si>
    <r>
      <t xml:space="preserve">WHERE APPLICABLE, A </t>
    </r>
    <r>
      <rPr>
        <b/>
        <sz val="9"/>
        <color rgb="FFFF0000"/>
        <rFont val="Arial"/>
        <family val="2"/>
      </rPr>
      <t>RECOMMENDED</t>
    </r>
    <r>
      <rPr>
        <b/>
        <sz val="9"/>
        <rFont val="Arial"/>
        <family val="2"/>
      </rPr>
      <t xml:space="preserve"> VALUE IS GIVEN THAT WILL BE THE BEST CHOICE TO MEET THE GIVEN SPECIFICATION.  IT IS IN THE BEST INTEREST OF THE USER TO USE A VALUE AS CLOSE AS POSSIBLE TO THE SUGGESTED RECOMMENDED VALUE.  FOR ACCURATE RESULTS, </t>
    </r>
    <r>
      <rPr>
        <b/>
        <sz val="9"/>
        <color rgb="FFFF0000"/>
        <rFont val="Arial"/>
        <family val="2"/>
      </rPr>
      <t>THE USER MUST ENTER THE ACTUAL VALUE USED IN THE APPROPRIATE CELL TO VERIFY ACTUAL PERFORMANCE.</t>
    </r>
  </si>
  <si>
    <t>Minimum Input Voltage for Start-Up At Full Load</t>
  </si>
  <si>
    <r>
      <t>RMS Input Voltage, V</t>
    </r>
    <r>
      <rPr>
        <vertAlign val="subscript"/>
        <sz val="10"/>
        <color theme="1"/>
        <rFont val="Arial"/>
        <family val="2"/>
      </rPr>
      <t>AC</t>
    </r>
  </si>
  <si>
    <r>
      <t xml:space="preserve"> V</t>
    </r>
    <r>
      <rPr>
        <b/>
        <vertAlign val="subscript"/>
        <sz val="10"/>
        <rFont val="Arial"/>
        <family val="2"/>
      </rPr>
      <t>IN</t>
    </r>
  </si>
  <si>
    <r>
      <t>Regulated Output Voltage, Constant Voltage Mode, V</t>
    </r>
    <r>
      <rPr>
        <vertAlign val="subscript"/>
        <sz val="10"/>
        <color theme="1"/>
        <rFont val="Arial"/>
        <family val="2"/>
      </rPr>
      <t>OUT</t>
    </r>
  </si>
  <si>
    <r>
      <t>V</t>
    </r>
    <r>
      <rPr>
        <b/>
        <vertAlign val="subscript"/>
        <sz val="10"/>
        <rFont val="Arial"/>
        <family val="2"/>
      </rPr>
      <t>OCV</t>
    </r>
  </si>
  <si>
    <r>
      <t>P</t>
    </r>
    <r>
      <rPr>
        <b/>
        <vertAlign val="subscript"/>
        <sz val="10"/>
        <color theme="1"/>
        <rFont val="Arial"/>
        <family val="2"/>
      </rPr>
      <t>OUT</t>
    </r>
  </si>
  <si>
    <r>
      <t>Full Load Output Current, Constant Current Mode, I</t>
    </r>
    <r>
      <rPr>
        <vertAlign val="subscript"/>
        <sz val="10"/>
        <color theme="1"/>
        <rFont val="Arial"/>
        <family val="2"/>
      </rPr>
      <t>OUT</t>
    </r>
  </si>
  <si>
    <r>
      <t>I</t>
    </r>
    <r>
      <rPr>
        <vertAlign val="subscript"/>
        <sz val="10"/>
        <rFont val="Arial"/>
        <family val="2"/>
      </rPr>
      <t>OCC_target</t>
    </r>
    <r>
      <rPr>
        <sz val="10"/>
        <rFont val="Arial"/>
        <family val="2"/>
      </rPr>
      <t xml:space="preserve"> </t>
    </r>
  </si>
  <si>
    <r>
      <t>f</t>
    </r>
    <r>
      <rPr>
        <b/>
        <vertAlign val="subscript"/>
        <sz val="10"/>
        <rFont val="Arial"/>
        <family val="2"/>
      </rPr>
      <t>LINE</t>
    </r>
  </si>
  <si>
    <r>
      <t>V</t>
    </r>
    <r>
      <rPr>
        <b/>
        <vertAlign val="subscript"/>
        <sz val="10"/>
        <rFont val="Arial"/>
        <family val="2"/>
      </rPr>
      <t>IN(run)</t>
    </r>
  </si>
  <si>
    <r>
      <t>V</t>
    </r>
    <r>
      <rPr>
        <b/>
        <vertAlign val="subscript"/>
        <sz val="10"/>
        <rFont val="Arial"/>
        <family val="2"/>
      </rPr>
      <t>OCC</t>
    </r>
  </si>
  <si>
    <r>
      <t>V</t>
    </r>
    <r>
      <rPr>
        <b/>
        <vertAlign val="subscript"/>
        <sz val="10"/>
        <rFont val="Arial"/>
        <family val="2"/>
      </rPr>
      <t>OCBC</t>
    </r>
  </si>
  <si>
    <r>
      <t>V</t>
    </r>
    <r>
      <rPr>
        <b/>
        <vertAlign val="subscript"/>
        <sz val="10"/>
        <rFont val="Arial"/>
        <family val="2"/>
      </rPr>
      <t>RIPPLE</t>
    </r>
  </si>
  <si>
    <r>
      <t>f</t>
    </r>
    <r>
      <rPr>
        <b/>
        <vertAlign val="subscript"/>
        <sz val="10"/>
        <color theme="1"/>
        <rFont val="Arial"/>
        <family val="2"/>
      </rPr>
      <t>MAX</t>
    </r>
  </si>
  <si>
    <r>
      <t>V</t>
    </r>
    <r>
      <rPr>
        <b/>
        <vertAlign val="subscript"/>
        <sz val="10"/>
        <rFont val="Arial"/>
        <family val="2"/>
      </rPr>
      <t>OUT_OVP</t>
    </r>
    <r>
      <rPr>
        <b/>
        <sz val="10"/>
        <rFont val="Arial"/>
        <family val="2"/>
      </rPr>
      <t xml:space="preserve"> </t>
    </r>
  </si>
  <si>
    <r>
      <t>P</t>
    </r>
    <r>
      <rPr>
        <vertAlign val="subscript"/>
        <sz val="10"/>
        <color theme="1"/>
        <rFont val="Arial"/>
        <family val="2"/>
      </rPr>
      <t>STBY_target</t>
    </r>
  </si>
  <si>
    <r>
      <t>f</t>
    </r>
    <r>
      <rPr>
        <vertAlign val="subscript"/>
        <sz val="10"/>
        <color theme="1"/>
        <rFont val="Arial"/>
        <family val="2"/>
      </rPr>
      <t>SW(max)</t>
    </r>
  </si>
  <si>
    <r>
      <t>f</t>
    </r>
    <r>
      <rPr>
        <vertAlign val="subscript"/>
        <sz val="10"/>
        <color theme="1"/>
        <rFont val="Arial"/>
        <family val="2"/>
      </rPr>
      <t>SW(min)</t>
    </r>
  </si>
  <si>
    <r>
      <t>t</t>
    </r>
    <r>
      <rPr>
        <vertAlign val="subscript"/>
        <sz val="10"/>
        <color theme="1"/>
        <rFont val="Arial"/>
        <family val="2"/>
      </rPr>
      <t>LINE</t>
    </r>
  </si>
  <si>
    <r>
      <rPr>
        <sz val="10"/>
        <color theme="1"/>
        <rFont val="Calibri"/>
        <family val="2"/>
      </rPr>
      <t>η</t>
    </r>
    <r>
      <rPr>
        <vertAlign val="subscript"/>
        <sz val="10"/>
        <color theme="1"/>
        <rFont val="Arial"/>
        <family val="2"/>
      </rPr>
      <t>SB</t>
    </r>
  </si>
  <si>
    <r>
      <t>P</t>
    </r>
    <r>
      <rPr>
        <vertAlign val="subscript"/>
        <sz val="10"/>
        <color theme="1"/>
        <rFont val="Arial"/>
        <family val="2"/>
      </rPr>
      <t>STBY</t>
    </r>
    <r>
      <rPr>
        <sz val="10"/>
        <color theme="1"/>
        <rFont val="Arial"/>
        <family val="2"/>
      </rPr>
      <t xml:space="preserve"> </t>
    </r>
  </si>
  <si>
    <r>
      <t>P</t>
    </r>
    <r>
      <rPr>
        <vertAlign val="subscript"/>
        <sz val="10"/>
        <color theme="1"/>
        <rFont val="Arial"/>
        <family val="2"/>
      </rPr>
      <t>IN</t>
    </r>
    <r>
      <rPr>
        <sz val="10"/>
        <color theme="1"/>
        <rFont val="Arial"/>
        <family val="2"/>
      </rPr>
      <t xml:space="preserve"> </t>
    </r>
  </si>
  <si>
    <r>
      <t>N</t>
    </r>
    <r>
      <rPr>
        <b/>
        <vertAlign val="subscript"/>
        <sz val="10"/>
        <color theme="1"/>
        <rFont val="Arial"/>
        <family val="2"/>
      </rPr>
      <t>HC</t>
    </r>
    <r>
      <rPr>
        <b/>
        <sz val="10"/>
        <color theme="1"/>
        <rFont val="Arial"/>
        <family val="2"/>
      </rPr>
      <t xml:space="preserve"> </t>
    </r>
  </si>
  <si>
    <r>
      <t>V</t>
    </r>
    <r>
      <rPr>
        <vertAlign val="subscript"/>
        <sz val="10"/>
        <color theme="1"/>
        <rFont val="Arial"/>
        <family val="2"/>
      </rPr>
      <t>BULK(min)_recommended</t>
    </r>
    <r>
      <rPr>
        <sz val="10"/>
        <color theme="1"/>
        <rFont val="Arial"/>
        <family val="2"/>
      </rPr>
      <t xml:space="preserve"> </t>
    </r>
  </si>
  <si>
    <r>
      <t>V</t>
    </r>
    <r>
      <rPr>
        <vertAlign val="subscript"/>
        <sz val="10"/>
        <color theme="1"/>
        <rFont val="Arial"/>
        <family val="2"/>
      </rPr>
      <t>BULK(min)</t>
    </r>
  </si>
  <si>
    <r>
      <t>I</t>
    </r>
    <r>
      <rPr>
        <vertAlign val="subscript"/>
        <sz val="10"/>
        <color theme="1"/>
        <rFont val="Arial"/>
        <family val="2"/>
      </rPr>
      <t>INpeak</t>
    </r>
  </si>
  <si>
    <r>
      <t>I</t>
    </r>
    <r>
      <rPr>
        <vertAlign val="subscript"/>
        <sz val="10"/>
        <color theme="1"/>
        <rFont val="Arial"/>
        <family val="2"/>
      </rPr>
      <t>CINripple</t>
    </r>
  </si>
  <si>
    <r>
      <t>V</t>
    </r>
    <r>
      <rPr>
        <vertAlign val="subscript"/>
        <sz val="10"/>
        <color theme="1"/>
        <rFont val="Arial"/>
        <family val="2"/>
      </rPr>
      <t>CIN</t>
    </r>
  </si>
  <si>
    <r>
      <t>V</t>
    </r>
    <r>
      <rPr>
        <vertAlign val="subscript"/>
        <sz val="10"/>
        <rFont val="Arial"/>
        <family val="2"/>
      </rPr>
      <t>FUSE</t>
    </r>
  </si>
  <si>
    <r>
      <t>V</t>
    </r>
    <r>
      <rPr>
        <vertAlign val="subscript"/>
        <sz val="10"/>
        <color theme="1"/>
        <rFont val="Arial"/>
        <family val="2"/>
      </rPr>
      <t>BRIDGE(min)_rating</t>
    </r>
  </si>
  <si>
    <r>
      <t>I</t>
    </r>
    <r>
      <rPr>
        <vertAlign val="subscript"/>
        <sz val="10"/>
        <color theme="1"/>
        <rFont val="Arial"/>
        <family val="2"/>
      </rPr>
      <t>BRIDGE(min)_rating</t>
    </r>
    <r>
      <rPr>
        <sz val="10"/>
        <color theme="1"/>
        <rFont val="Arial"/>
        <family val="2"/>
      </rPr>
      <t xml:space="preserve"> </t>
    </r>
  </si>
  <si>
    <r>
      <t>P</t>
    </r>
    <r>
      <rPr>
        <vertAlign val="subscript"/>
        <sz val="10"/>
        <color theme="1"/>
        <rFont val="Arial"/>
        <family val="2"/>
      </rPr>
      <t>BRIDGE</t>
    </r>
  </si>
  <si>
    <r>
      <t>D</t>
    </r>
    <r>
      <rPr>
        <vertAlign val="subscript"/>
        <sz val="10"/>
        <color theme="1"/>
        <rFont val="Arial"/>
        <family val="2"/>
      </rPr>
      <t>DEMAG_CC</t>
    </r>
  </si>
  <si>
    <r>
      <t>t</t>
    </r>
    <r>
      <rPr>
        <vertAlign val="subscript"/>
        <sz val="10"/>
        <color theme="1"/>
        <rFont val="Arial"/>
        <family val="2"/>
      </rPr>
      <t>SW_target</t>
    </r>
  </si>
  <si>
    <r>
      <t>t</t>
    </r>
    <r>
      <rPr>
        <vertAlign val="subscript"/>
        <sz val="10"/>
        <color theme="1"/>
        <rFont val="Arial"/>
        <family val="2"/>
      </rPr>
      <t>R</t>
    </r>
  </si>
  <si>
    <r>
      <t>D</t>
    </r>
    <r>
      <rPr>
        <vertAlign val="subscript"/>
        <sz val="10"/>
        <color theme="1"/>
        <rFont val="Arial"/>
        <family val="2"/>
      </rPr>
      <t>MAX_target</t>
    </r>
  </si>
  <si>
    <r>
      <t>η</t>
    </r>
    <r>
      <rPr>
        <vertAlign val="subscript"/>
        <sz val="10"/>
        <color theme="1"/>
        <rFont val="Arial"/>
        <family val="2"/>
      </rPr>
      <t>XFMR</t>
    </r>
  </si>
  <si>
    <r>
      <t>V</t>
    </r>
    <r>
      <rPr>
        <vertAlign val="subscript"/>
        <sz val="10"/>
        <color theme="1"/>
        <rFont val="Arial"/>
        <family val="2"/>
      </rPr>
      <t>FLYBACK</t>
    </r>
  </si>
  <si>
    <r>
      <t>V</t>
    </r>
    <r>
      <rPr>
        <vertAlign val="subscript"/>
        <sz val="10"/>
        <color theme="1"/>
        <rFont val="Arial"/>
        <family val="2"/>
      </rPr>
      <t>SEC</t>
    </r>
  </si>
  <si>
    <r>
      <t>t</t>
    </r>
    <r>
      <rPr>
        <vertAlign val="subscript"/>
        <sz val="10"/>
        <color theme="1"/>
        <rFont val="Arial"/>
        <family val="2"/>
      </rPr>
      <t>ONestimated</t>
    </r>
  </si>
  <si>
    <r>
      <t>V</t>
    </r>
    <r>
      <rPr>
        <vertAlign val="subscript"/>
        <sz val="10"/>
        <rFont val="Arial"/>
        <family val="2"/>
      </rPr>
      <t>CCR_min</t>
    </r>
  </si>
  <si>
    <r>
      <t>V</t>
    </r>
    <r>
      <rPr>
        <vertAlign val="subscript"/>
        <sz val="10"/>
        <rFont val="Arial"/>
        <family val="2"/>
      </rPr>
      <t>CCR_nom</t>
    </r>
  </si>
  <si>
    <r>
      <t>V</t>
    </r>
    <r>
      <rPr>
        <vertAlign val="subscript"/>
        <sz val="10"/>
        <rFont val="Arial"/>
        <family val="2"/>
      </rPr>
      <t>CCR_max</t>
    </r>
  </si>
  <si>
    <r>
      <t>V</t>
    </r>
    <r>
      <rPr>
        <vertAlign val="subscript"/>
        <sz val="10"/>
        <color theme="1"/>
        <rFont val="Arial"/>
        <family val="2"/>
      </rPr>
      <t>CSTmax_min</t>
    </r>
  </si>
  <si>
    <r>
      <t>V</t>
    </r>
    <r>
      <rPr>
        <vertAlign val="subscript"/>
        <sz val="10"/>
        <color theme="1"/>
        <rFont val="Arial"/>
        <family val="2"/>
      </rPr>
      <t>CSTmax_nom</t>
    </r>
  </si>
  <si>
    <r>
      <t>V</t>
    </r>
    <r>
      <rPr>
        <vertAlign val="subscript"/>
        <sz val="10"/>
        <color theme="1"/>
        <rFont val="Arial"/>
        <family val="2"/>
      </rPr>
      <t>CSTmax_max</t>
    </r>
  </si>
  <si>
    <r>
      <t>I</t>
    </r>
    <r>
      <rPr>
        <vertAlign val="subscript"/>
        <sz val="10"/>
        <color theme="1"/>
        <rFont val="Arial"/>
        <family val="2"/>
      </rPr>
      <t>PPmin</t>
    </r>
  </si>
  <si>
    <r>
      <t>I</t>
    </r>
    <r>
      <rPr>
        <vertAlign val="subscript"/>
        <sz val="10"/>
        <color theme="1"/>
        <rFont val="Arial"/>
        <family val="2"/>
      </rPr>
      <t>PPnom</t>
    </r>
  </si>
  <si>
    <r>
      <t>I</t>
    </r>
    <r>
      <rPr>
        <vertAlign val="subscript"/>
        <sz val="10"/>
        <color theme="1"/>
        <rFont val="Arial"/>
        <family val="2"/>
      </rPr>
      <t>PPmax</t>
    </r>
  </si>
  <si>
    <r>
      <t>I</t>
    </r>
    <r>
      <rPr>
        <vertAlign val="subscript"/>
        <sz val="10"/>
        <color theme="1"/>
        <rFont val="Arial"/>
        <family val="2"/>
      </rPr>
      <t>OCC</t>
    </r>
  </si>
  <si>
    <r>
      <t>I</t>
    </r>
    <r>
      <rPr>
        <vertAlign val="subscript"/>
        <sz val="10"/>
        <color theme="1"/>
        <rFont val="Arial"/>
        <family val="2"/>
      </rPr>
      <t>OCCmax</t>
    </r>
  </si>
  <si>
    <r>
      <t>V</t>
    </r>
    <r>
      <rPr>
        <vertAlign val="subscript"/>
        <sz val="10"/>
        <color theme="1"/>
        <rFont val="Arial"/>
        <family val="2"/>
      </rPr>
      <t>VDD(OFF)_max</t>
    </r>
  </si>
  <si>
    <r>
      <t>V</t>
    </r>
    <r>
      <rPr>
        <vertAlign val="subscript"/>
        <sz val="10"/>
        <color theme="1"/>
        <rFont val="Arial"/>
        <family val="2"/>
      </rPr>
      <t>VDD(OFF)_min</t>
    </r>
  </si>
  <si>
    <r>
      <t>N</t>
    </r>
    <r>
      <rPr>
        <vertAlign val="subscript"/>
        <sz val="10"/>
        <color theme="1"/>
        <rFont val="Arial"/>
        <family val="2"/>
      </rPr>
      <t>AS_recommended</t>
    </r>
  </si>
  <si>
    <r>
      <t>N</t>
    </r>
    <r>
      <rPr>
        <vertAlign val="subscript"/>
        <sz val="10"/>
        <color theme="1"/>
        <rFont val="Arial"/>
        <family val="2"/>
      </rPr>
      <t>AS</t>
    </r>
  </si>
  <si>
    <r>
      <t>K</t>
    </r>
    <r>
      <rPr>
        <vertAlign val="subscript"/>
        <sz val="10"/>
        <color theme="1"/>
        <rFont val="Arial"/>
        <family val="2"/>
      </rPr>
      <t>AM_min</t>
    </r>
  </si>
  <si>
    <r>
      <t>K</t>
    </r>
    <r>
      <rPr>
        <vertAlign val="subscript"/>
        <sz val="10"/>
        <color theme="1"/>
        <rFont val="Arial"/>
        <family val="2"/>
      </rPr>
      <t>AM_nom</t>
    </r>
  </si>
  <si>
    <r>
      <t>K</t>
    </r>
    <r>
      <rPr>
        <vertAlign val="subscript"/>
        <sz val="10"/>
        <color theme="1"/>
        <rFont val="Arial"/>
        <family val="2"/>
      </rPr>
      <t>AM_max</t>
    </r>
  </si>
  <si>
    <r>
      <t>I</t>
    </r>
    <r>
      <rPr>
        <vertAlign val="subscript"/>
        <sz val="10"/>
        <color theme="1"/>
        <rFont val="Arial"/>
        <family val="2"/>
      </rPr>
      <t>PP_FMnom</t>
    </r>
  </si>
  <si>
    <r>
      <t>f</t>
    </r>
    <r>
      <rPr>
        <vertAlign val="subscript"/>
        <sz val="10"/>
        <color theme="1"/>
        <rFont val="Arial"/>
        <family val="2"/>
      </rPr>
      <t>MAXactual</t>
    </r>
  </si>
  <si>
    <r>
      <t>t</t>
    </r>
    <r>
      <rPr>
        <vertAlign val="subscript"/>
        <sz val="10"/>
        <color theme="1"/>
        <rFont val="Arial"/>
        <family val="2"/>
      </rPr>
      <t>SWactual</t>
    </r>
  </si>
  <si>
    <r>
      <t>t</t>
    </r>
    <r>
      <rPr>
        <vertAlign val="subscript"/>
        <sz val="10"/>
        <color theme="1"/>
        <rFont val="Arial"/>
        <family val="2"/>
      </rPr>
      <t>ONmax</t>
    </r>
  </si>
  <si>
    <r>
      <t>D</t>
    </r>
    <r>
      <rPr>
        <vertAlign val="subscript"/>
        <sz val="10"/>
        <color theme="1"/>
        <rFont val="Arial"/>
        <family val="2"/>
      </rPr>
      <t>MAX</t>
    </r>
    <r>
      <rPr>
        <sz val="10"/>
        <color theme="1"/>
        <rFont val="Arial"/>
        <family val="2"/>
      </rPr>
      <t xml:space="preserve"> </t>
    </r>
  </si>
  <si>
    <r>
      <t>t</t>
    </r>
    <r>
      <rPr>
        <vertAlign val="subscript"/>
        <sz val="10"/>
        <color theme="1"/>
        <rFont val="Arial"/>
        <family val="2"/>
      </rPr>
      <t>DEMAG</t>
    </r>
  </si>
  <si>
    <r>
      <t>I</t>
    </r>
    <r>
      <rPr>
        <vertAlign val="subscript"/>
        <sz val="10"/>
        <color theme="1"/>
        <rFont val="Arial"/>
        <family val="2"/>
      </rPr>
      <t>PRI_RMS</t>
    </r>
  </si>
  <si>
    <r>
      <t>I</t>
    </r>
    <r>
      <rPr>
        <vertAlign val="subscript"/>
        <sz val="10"/>
        <color theme="1"/>
        <rFont val="Arial"/>
        <family val="2"/>
      </rPr>
      <t>SPmax</t>
    </r>
  </si>
  <si>
    <r>
      <t>I</t>
    </r>
    <r>
      <rPr>
        <vertAlign val="subscript"/>
        <sz val="10"/>
        <color theme="1"/>
        <rFont val="Arial"/>
        <family val="2"/>
      </rPr>
      <t>SEC_RMS</t>
    </r>
  </si>
  <si>
    <r>
      <t>t</t>
    </r>
    <r>
      <rPr>
        <vertAlign val="subscript"/>
        <sz val="10"/>
        <color theme="1"/>
        <rFont val="Arial"/>
        <family val="2"/>
      </rPr>
      <t>ONmin</t>
    </r>
  </si>
  <si>
    <r>
      <t>t</t>
    </r>
    <r>
      <rPr>
        <vertAlign val="subscript"/>
        <sz val="10"/>
        <color theme="1"/>
        <rFont val="Arial"/>
        <family val="2"/>
      </rPr>
      <t>DEMAGmin</t>
    </r>
  </si>
  <si>
    <r>
      <t>CURRENT SENSE RESISTOR, R</t>
    </r>
    <r>
      <rPr>
        <b/>
        <i/>
        <vertAlign val="subscript"/>
        <sz val="10"/>
        <color theme="0"/>
        <rFont val="Arial"/>
        <family val="2"/>
      </rPr>
      <t>CS</t>
    </r>
  </si>
  <si>
    <r>
      <t>Power Dissipation of R</t>
    </r>
    <r>
      <rPr>
        <vertAlign val="subscript"/>
        <sz val="10"/>
        <color theme="1"/>
        <rFont val="Arial"/>
        <family val="2"/>
      </rPr>
      <t>CS</t>
    </r>
  </si>
  <si>
    <r>
      <t>P</t>
    </r>
    <r>
      <rPr>
        <vertAlign val="subscript"/>
        <sz val="10"/>
        <color theme="1"/>
        <rFont val="Arial"/>
        <family val="2"/>
      </rPr>
      <t>Rcs</t>
    </r>
  </si>
  <si>
    <r>
      <t>MOSFET SWITCH, M</t>
    </r>
    <r>
      <rPr>
        <b/>
        <i/>
        <vertAlign val="subscript"/>
        <sz val="10"/>
        <color theme="0"/>
        <rFont val="Arial"/>
        <family val="2"/>
      </rPr>
      <t>1</t>
    </r>
  </si>
  <si>
    <r>
      <t>V</t>
    </r>
    <r>
      <rPr>
        <vertAlign val="subscript"/>
        <sz val="10"/>
        <rFont val="Arial"/>
        <family val="2"/>
      </rPr>
      <t>LK</t>
    </r>
  </si>
  <si>
    <r>
      <t>V</t>
    </r>
    <r>
      <rPr>
        <vertAlign val="subscript"/>
        <sz val="10"/>
        <color theme="1"/>
        <rFont val="Arial"/>
        <family val="2"/>
      </rPr>
      <t>DS</t>
    </r>
  </si>
  <si>
    <r>
      <t>MOSFET V</t>
    </r>
    <r>
      <rPr>
        <vertAlign val="subscript"/>
        <sz val="10"/>
        <color theme="1"/>
        <rFont val="Arial"/>
        <family val="2"/>
      </rPr>
      <t>DS</t>
    </r>
    <r>
      <rPr>
        <sz val="10"/>
        <color theme="1"/>
        <rFont val="Arial"/>
        <family val="2"/>
      </rPr>
      <t xml:space="preserve"> Derating</t>
    </r>
  </si>
  <si>
    <r>
      <t>I</t>
    </r>
    <r>
      <rPr>
        <vertAlign val="subscript"/>
        <sz val="10"/>
        <color theme="1"/>
        <rFont val="Arial"/>
        <family val="2"/>
      </rPr>
      <t>DRAIN</t>
    </r>
  </si>
  <si>
    <r>
      <t>I</t>
    </r>
    <r>
      <rPr>
        <vertAlign val="subscript"/>
        <sz val="10"/>
        <color theme="1"/>
        <rFont val="Arial"/>
        <family val="2"/>
      </rPr>
      <t>PULSED</t>
    </r>
  </si>
  <si>
    <r>
      <t>P</t>
    </r>
    <r>
      <rPr>
        <vertAlign val="subscript"/>
        <sz val="10"/>
        <color theme="1"/>
        <rFont val="Arial"/>
        <family val="2"/>
      </rPr>
      <t>FETconduction</t>
    </r>
  </si>
  <si>
    <r>
      <t>P</t>
    </r>
    <r>
      <rPr>
        <vertAlign val="subscript"/>
        <sz val="10"/>
        <color theme="1"/>
        <rFont val="Arial"/>
        <family val="2"/>
      </rPr>
      <t>FETswitching</t>
    </r>
  </si>
  <si>
    <r>
      <t>P</t>
    </r>
    <r>
      <rPr>
        <vertAlign val="subscript"/>
        <sz val="10"/>
        <color theme="1"/>
        <rFont val="Arial"/>
        <family val="2"/>
      </rPr>
      <t>FET</t>
    </r>
  </si>
  <si>
    <r>
      <t>f</t>
    </r>
    <r>
      <rPr>
        <vertAlign val="subscript"/>
        <sz val="10"/>
        <color theme="1"/>
        <rFont val="Arial"/>
        <family val="2"/>
      </rPr>
      <t>RESapproximate</t>
    </r>
  </si>
  <si>
    <r>
      <t>V</t>
    </r>
    <r>
      <rPr>
        <vertAlign val="subscript"/>
        <sz val="10"/>
        <color theme="1"/>
        <rFont val="Arial"/>
        <family val="2"/>
      </rPr>
      <t>DRAINclamp</t>
    </r>
  </si>
  <si>
    <r>
      <t>OUTPUT DIODE, D</t>
    </r>
    <r>
      <rPr>
        <b/>
        <i/>
        <vertAlign val="subscript"/>
        <sz val="10"/>
        <color theme="0"/>
        <rFont val="Arial"/>
        <family val="2"/>
      </rPr>
      <t>S</t>
    </r>
  </si>
  <si>
    <r>
      <t>Forward Voltage Drop of Output Rectifier, V</t>
    </r>
    <r>
      <rPr>
        <vertAlign val="subscript"/>
        <sz val="10"/>
        <color theme="1"/>
        <rFont val="Arial"/>
        <family val="2"/>
      </rPr>
      <t>F</t>
    </r>
    <r>
      <rPr>
        <sz val="10"/>
        <color theme="1"/>
        <rFont val="Arial"/>
        <family val="2"/>
      </rPr>
      <t xml:space="preserve"> =</t>
    </r>
  </si>
  <si>
    <r>
      <t>V</t>
    </r>
    <r>
      <rPr>
        <vertAlign val="subscript"/>
        <sz val="10"/>
        <color theme="1"/>
        <rFont val="Arial"/>
        <family val="2"/>
      </rPr>
      <t>F</t>
    </r>
  </si>
  <si>
    <r>
      <t>V</t>
    </r>
    <r>
      <rPr>
        <vertAlign val="subscript"/>
        <sz val="10"/>
        <color theme="1"/>
        <rFont val="Arial"/>
        <family val="2"/>
      </rPr>
      <t>DOUT_blocking</t>
    </r>
  </si>
  <si>
    <r>
      <t>I</t>
    </r>
    <r>
      <rPr>
        <vertAlign val="subscript"/>
        <sz val="10"/>
        <color theme="1"/>
        <rFont val="Arial"/>
        <family val="2"/>
      </rPr>
      <t>dout</t>
    </r>
  </si>
  <si>
    <r>
      <t>Power Dissipation of D</t>
    </r>
    <r>
      <rPr>
        <vertAlign val="subscript"/>
        <sz val="10"/>
        <color theme="1"/>
        <rFont val="Arial"/>
        <family val="2"/>
      </rPr>
      <t>OUT</t>
    </r>
  </si>
  <si>
    <r>
      <t>P</t>
    </r>
    <r>
      <rPr>
        <vertAlign val="subscript"/>
        <sz val="10"/>
        <color theme="1"/>
        <rFont val="Arial"/>
        <family val="2"/>
      </rPr>
      <t>dout</t>
    </r>
  </si>
  <si>
    <r>
      <t>AUXILIARY WINDING DIODE, D</t>
    </r>
    <r>
      <rPr>
        <b/>
        <i/>
        <vertAlign val="subscript"/>
        <sz val="10"/>
        <color theme="0"/>
        <rFont val="Arial"/>
        <family val="2"/>
      </rPr>
      <t>A</t>
    </r>
  </si>
  <si>
    <r>
      <t xml:space="preserve"> V</t>
    </r>
    <r>
      <rPr>
        <vertAlign val="subscript"/>
        <sz val="10"/>
        <color theme="1"/>
        <rFont val="Arial"/>
        <family val="2"/>
      </rPr>
      <t>FA</t>
    </r>
  </si>
  <si>
    <r>
      <t>V</t>
    </r>
    <r>
      <rPr>
        <vertAlign val="subscript"/>
        <sz val="10"/>
        <color theme="1"/>
        <rFont val="Arial"/>
        <family val="2"/>
      </rPr>
      <t>DBIAS_blocking</t>
    </r>
  </si>
  <si>
    <r>
      <t>Minimum C</t>
    </r>
    <r>
      <rPr>
        <vertAlign val="subscript"/>
        <sz val="10"/>
        <color theme="1"/>
        <rFont val="Arial"/>
        <family val="2"/>
      </rPr>
      <t>OUT</t>
    </r>
    <r>
      <rPr>
        <sz val="10"/>
        <color theme="1"/>
        <rFont val="Arial"/>
        <family val="2"/>
      </rPr>
      <t xml:space="preserve"> Without Wake-Up Monitor During Transient</t>
    </r>
  </si>
  <si>
    <r>
      <t>C</t>
    </r>
    <r>
      <rPr>
        <vertAlign val="subscript"/>
        <sz val="10"/>
        <color theme="1"/>
        <rFont val="Arial"/>
        <family val="2"/>
      </rPr>
      <t>OUT(No_Wake)</t>
    </r>
  </si>
  <si>
    <r>
      <t>Minimum C</t>
    </r>
    <r>
      <rPr>
        <vertAlign val="subscript"/>
        <sz val="10"/>
        <color theme="1"/>
        <rFont val="Arial"/>
        <family val="2"/>
      </rPr>
      <t>OUT</t>
    </r>
    <r>
      <rPr>
        <sz val="10"/>
        <color theme="1"/>
        <rFont val="Arial"/>
        <family val="2"/>
      </rPr>
      <t xml:space="preserve"> With Wake-Up Monitor During Transient</t>
    </r>
  </si>
  <si>
    <r>
      <t>C</t>
    </r>
    <r>
      <rPr>
        <vertAlign val="subscript"/>
        <sz val="10"/>
        <color theme="1"/>
        <rFont val="Arial"/>
        <family val="2"/>
      </rPr>
      <t>OUT(Wake)</t>
    </r>
  </si>
  <si>
    <r>
      <t>Minimum C</t>
    </r>
    <r>
      <rPr>
        <vertAlign val="subscript"/>
        <sz val="10"/>
        <color theme="1"/>
        <rFont val="Arial"/>
        <family val="2"/>
      </rPr>
      <t>OUT</t>
    </r>
    <r>
      <rPr>
        <sz val="10"/>
        <color theme="1"/>
        <rFont val="Arial"/>
        <family val="2"/>
      </rPr>
      <t xml:space="preserve"> to Maintain 40 Degree Phase Margin</t>
    </r>
  </si>
  <si>
    <r>
      <t>Minimum C</t>
    </r>
    <r>
      <rPr>
        <vertAlign val="subscript"/>
        <sz val="10"/>
        <color theme="1"/>
        <rFont val="Arial"/>
        <family val="2"/>
      </rPr>
      <t>OUT</t>
    </r>
    <r>
      <rPr>
        <sz val="10"/>
        <color theme="1"/>
        <rFont val="Arial"/>
        <family val="2"/>
      </rPr>
      <t xml:space="preserve"> for V</t>
    </r>
    <r>
      <rPr>
        <vertAlign val="subscript"/>
        <sz val="10"/>
        <color theme="1"/>
        <rFont val="Arial"/>
        <family val="2"/>
      </rPr>
      <t>RIPPLE</t>
    </r>
  </si>
  <si>
    <r>
      <t>C</t>
    </r>
    <r>
      <rPr>
        <vertAlign val="subscript"/>
        <sz val="10"/>
        <color theme="1"/>
        <rFont val="Arial"/>
        <family val="2"/>
      </rPr>
      <t>OUT(Vripple)</t>
    </r>
  </si>
  <si>
    <r>
      <t>I</t>
    </r>
    <r>
      <rPr>
        <vertAlign val="subscript"/>
        <sz val="10"/>
        <rFont val="Arial"/>
        <family val="2"/>
      </rPr>
      <t>COUTrms</t>
    </r>
  </si>
  <si>
    <r>
      <rPr>
        <b/>
        <sz val="10"/>
        <rFont val="Arial"/>
        <family val="2"/>
      </rPr>
      <t>Recommended</t>
    </r>
    <r>
      <rPr>
        <sz val="10"/>
        <rFont val="Arial"/>
        <family val="2"/>
      </rPr>
      <t xml:space="preserve"> Maximum ESR</t>
    </r>
  </si>
  <si>
    <r>
      <t>ESR</t>
    </r>
    <r>
      <rPr>
        <vertAlign val="subscript"/>
        <sz val="10"/>
        <rFont val="Arial"/>
        <family val="2"/>
      </rPr>
      <t>Coutrecommended</t>
    </r>
  </si>
  <si>
    <r>
      <t>VDD CAPACITOR, C</t>
    </r>
    <r>
      <rPr>
        <b/>
        <i/>
        <vertAlign val="subscript"/>
        <sz val="10"/>
        <color theme="0"/>
        <rFont val="Arial"/>
        <family val="2"/>
      </rPr>
      <t>VDD</t>
    </r>
  </si>
  <si>
    <t>Target Cable Compensation Voltage At Full Load</t>
  </si>
  <si>
    <t>Minimum VDD Capacitor for Start Up</t>
  </si>
  <si>
    <t>Minimum VDD Capacitor for Target Ripple on VDD during Wait</t>
  </si>
  <si>
    <r>
      <t>C</t>
    </r>
    <r>
      <rPr>
        <vertAlign val="subscript"/>
        <sz val="10"/>
        <color theme="1"/>
        <rFont val="Arial"/>
        <family val="2"/>
      </rPr>
      <t>OUT(PhaseMargin)</t>
    </r>
  </si>
  <si>
    <r>
      <t>V</t>
    </r>
    <r>
      <rPr>
        <vertAlign val="subscript"/>
        <sz val="10"/>
        <color theme="1"/>
        <rFont val="Arial"/>
        <family val="2"/>
      </rPr>
      <t>OUT_CCmin</t>
    </r>
  </si>
  <si>
    <r>
      <t>I</t>
    </r>
    <r>
      <rPr>
        <vertAlign val="subscript"/>
        <sz val="10"/>
        <color theme="1"/>
        <rFont val="Arial"/>
        <family val="2"/>
      </rPr>
      <t>RUNmax</t>
    </r>
  </si>
  <si>
    <r>
      <t>VDD</t>
    </r>
    <r>
      <rPr>
        <vertAlign val="subscript"/>
        <sz val="10"/>
        <color theme="1"/>
        <rFont val="Arial"/>
        <family val="2"/>
      </rPr>
      <t>ONmax</t>
    </r>
  </si>
  <si>
    <r>
      <t>C</t>
    </r>
    <r>
      <rPr>
        <vertAlign val="subscript"/>
        <sz val="10"/>
        <color theme="1"/>
        <rFont val="Arial"/>
        <family val="2"/>
      </rPr>
      <t>VDD_startup</t>
    </r>
  </si>
  <si>
    <t>CVDD_startup</t>
  </si>
  <si>
    <r>
      <t>C</t>
    </r>
    <r>
      <rPr>
        <vertAlign val="subscript"/>
        <sz val="10"/>
        <color theme="1"/>
        <rFont val="Arial"/>
        <family val="2"/>
      </rPr>
      <t>VDD_Wait</t>
    </r>
  </si>
  <si>
    <t>CVDD_Wait</t>
  </si>
  <si>
    <t>Device Supply Current During Wait State</t>
  </si>
  <si>
    <r>
      <t>I</t>
    </r>
    <r>
      <rPr>
        <vertAlign val="subscript"/>
        <sz val="10"/>
        <color theme="1"/>
        <rFont val="Arial"/>
        <family val="2"/>
      </rPr>
      <t>WAITmax</t>
    </r>
  </si>
  <si>
    <t>µA</t>
  </si>
  <si>
    <t>CVDD_transient</t>
  </si>
  <si>
    <t xml:space="preserve">Minimum VDD Capacitor for </t>
  </si>
  <si>
    <r>
      <t>C</t>
    </r>
    <r>
      <rPr>
        <vertAlign val="subscript"/>
        <sz val="10"/>
        <color theme="1"/>
        <rFont val="Arial"/>
        <family val="2"/>
      </rPr>
      <t>VDD_Transient</t>
    </r>
  </si>
  <si>
    <r>
      <rPr>
        <sz val="10"/>
        <color theme="1"/>
        <rFont val="Calibri"/>
        <family val="2"/>
      </rPr>
      <t>µ</t>
    </r>
    <r>
      <rPr>
        <sz val="10"/>
        <color theme="1"/>
        <rFont val="Arial"/>
        <family val="2"/>
      </rPr>
      <t>A</t>
    </r>
  </si>
  <si>
    <r>
      <t>I</t>
    </r>
    <r>
      <rPr>
        <vertAlign val="subscript"/>
        <sz val="10"/>
        <color theme="1"/>
        <rFont val="Arial"/>
        <family val="2"/>
      </rPr>
      <t>VSL(run)_min</t>
    </r>
  </si>
  <si>
    <r>
      <t>I</t>
    </r>
    <r>
      <rPr>
        <vertAlign val="subscript"/>
        <sz val="10"/>
        <color theme="1"/>
        <rFont val="Arial"/>
        <family val="2"/>
      </rPr>
      <t>VSL(run)_nom</t>
    </r>
  </si>
  <si>
    <r>
      <t>I</t>
    </r>
    <r>
      <rPr>
        <vertAlign val="subscript"/>
        <sz val="10"/>
        <color theme="1"/>
        <rFont val="Arial"/>
        <family val="2"/>
      </rPr>
      <t>VSL(run)_max</t>
    </r>
  </si>
  <si>
    <r>
      <t>I</t>
    </r>
    <r>
      <rPr>
        <vertAlign val="subscript"/>
        <sz val="10"/>
        <color theme="1"/>
        <rFont val="Arial"/>
        <family val="2"/>
      </rPr>
      <t>VSL(stop)_min</t>
    </r>
  </si>
  <si>
    <r>
      <t>I</t>
    </r>
    <r>
      <rPr>
        <vertAlign val="subscript"/>
        <sz val="10"/>
        <color theme="1"/>
        <rFont val="Arial"/>
        <family val="2"/>
      </rPr>
      <t>VSL(stop)_nom</t>
    </r>
  </si>
  <si>
    <r>
      <t>I</t>
    </r>
    <r>
      <rPr>
        <vertAlign val="subscript"/>
        <sz val="10"/>
        <color theme="1"/>
        <rFont val="Arial"/>
        <family val="2"/>
      </rPr>
      <t>VSL(stop)_max</t>
    </r>
  </si>
  <si>
    <t xml:space="preserve">Resultant Turn Off Voltage at Full Load, Minimum </t>
  </si>
  <si>
    <t xml:space="preserve">Resultant Turn Off Voltage at Full Load, Nominal </t>
  </si>
  <si>
    <t xml:space="preserve">Resultant Turn Off Voltage at Full Load, Maximum </t>
  </si>
  <si>
    <t>VS Regulating Level, Minimum</t>
  </si>
  <si>
    <t>VS Regulating Level, Nominal</t>
  </si>
  <si>
    <t>VS Regulating Level, Maximum</t>
  </si>
  <si>
    <r>
      <t>V</t>
    </r>
    <r>
      <rPr>
        <vertAlign val="subscript"/>
        <sz val="10"/>
        <color theme="1"/>
        <rFont val="Arial"/>
        <family val="2"/>
      </rPr>
      <t>VSR(min)</t>
    </r>
  </si>
  <si>
    <r>
      <t>V</t>
    </r>
    <r>
      <rPr>
        <vertAlign val="subscript"/>
        <sz val="10"/>
        <color theme="1"/>
        <rFont val="Arial"/>
        <family val="2"/>
      </rPr>
      <t>VSR(nom)</t>
    </r>
  </si>
  <si>
    <r>
      <t>V</t>
    </r>
    <r>
      <rPr>
        <vertAlign val="subscript"/>
        <sz val="10"/>
        <color theme="1"/>
        <rFont val="Arial"/>
        <family val="2"/>
      </rPr>
      <t>VSR(max)</t>
    </r>
  </si>
  <si>
    <r>
      <t>Resultant Regulated V</t>
    </r>
    <r>
      <rPr>
        <vertAlign val="subscript"/>
        <sz val="10"/>
        <color theme="1"/>
        <rFont val="Arial"/>
        <family val="2"/>
      </rPr>
      <t>OUT</t>
    </r>
    <r>
      <rPr>
        <sz val="10"/>
        <color theme="1"/>
        <rFont val="Arial"/>
        <family val="2"/>
      </rPr>
      <t>, Constant Voltage Mode, Minimum</t>
    </r>
  </si>
  <si>
    <r>
      <t>Resultant Regulated V</t>
    </r>
    <r>
      <rPr>
        <vertAlign val="subscript"/>
        <sz val="10"/>
        <color theme="1"/>
        <rFont val="Arial"/>
        <family val="2"/>
      </rPr>
      <t>OUT</t>
    </r>
    <r>
      <rPr>
        <sz val="10"/>
        <color theme="1"/>
        <rFont val="Arial"/>
        <family val="2"/>
      </rPr>
      <t>, Constant Voltage Mode, Nominal</t>
    </r>
  </si>
  <si>
    <r>
      <t>Resultant Regulated V</t>
    </r>
    <r>
      <rPr>
        <vertAlign val="subscript"/>
        <sz val="10"/>
        <color theme="1"/>
        <rFont val="Arial"/>
        <family val="2"/>
      </rPr>
      <t>OUT</t>
    </r>
    <r>
      <rPr>
        <sz val="10"/>
        <color theme="1"/>
        <rFont val="Arial"/>
        <family val="2"/>
      </rPr>
      <t>, Constant Voltage Mode, Maximum</t>
    </r>
  </si>
  <si>
    <r>
      <t>V</t>
    </r>
    <r>
      <rPr>
        <vertAlign val="subscript"/>
        <sz val="10"/>
        <color theme="1"/>
        <rFont val="Arial"/>
        <family val="2"/>
      </rPr>
      <t>OCV(min)</t>
    </r>
  </si>
  <si>
    <r>
      <t>V</t>
    </r>
    <r>
      <rPr>
        <vertAlign val="subscript"/>
        <sz val="10"/>
        <color theme="1"/>
        <rFont val="Arial"/>
        <family val="2"/>
      </rPr>
      <t>OCV(nom)</t>
    </r>
  </si>
  <si>
    <r>
      <t>V</t>
    </r>
    <r>
      <rPr>
        <vertAlign val="subscript"/>
        <sz val="10"/>
        <color theme="1"/>
        <rFont val="Arial"/>
        <family val="2"/>
      </rPr>
      <t>OCV(max)</t>
    </r>
  </si>
  <si>
    <r>
      <t>V</t>
    </r>
    <r>
      <rPr>
        <vertAlign val="subscript"/>
        <sz val="10"/>
        <color theme="1"/>
        <rFont val="Arial"/>
        <family val="2"/>
      </rPr>
      <t>OVP(min)</t>
    </r>
  </si>
  <si>
    <r>
      <t>V</t>
    </r>
    <r>
      <rPr>
        <vertAlign val="subscript"/>
        <sz val="10"/>
        <color theme="1"/>
        <rFont val="Arial"/>
        <family val="2"/>
      </rPr>
      <t>OVP(nom)</t>
    </r>
  </si>
  <si>
    <r>
      <t>V</t>
    </r>
    <r>
      <rPr>
        <vertAlign val="subscript"/>
        <sz val="10"/>
        <color theme="1"/>
        <rFont val="Arial"/>
        <family val="2"/>
      </rPr>
      <t>OVP(max)</t>
    </r>
  </si>
  <si>
    <r>
      <t>V</t>
    </r>
    <r>
      <rPr>
        <vertAlign val="subscript"/>
        <sz val="10"/>
        <color theme="1"/>
        <rFont val="Arial"/>
        <family val="2"/>
      </rPr>
      <t>TURNON(min)</t>
    </r>
  </si>
  <si>
    <r>
      <t>V</t>
    </r>
    <r>
      <rPr>
        <vertAlign val="subscript"/>
        <sz val="10"/>
        <color theme="1"/>
        <rFont val="Arial"/>
        <family val="2"/>
      </rPr>
      <t>TURNON(nom)</t>
    </r>
  </si>
  <si>
    <r>
      <t>V</t>
    </r>
    <r>
      <rPr>
        <vertAlign val="subscript"/>
        <sz val="10"/>
        <color theme="1"/>
        <rFont val="Arial"/>
        <family val="2"/>
      </rPr>
      <t>TURNON(max)</t>
    </r>
  </si>
  <si>
    <r>
      <t>V</t>
    </r>
    <r>
      <rPr>
        <vertAlign val="subscript"/>
        <sz val="10"/>
        <color theme="1"/>
        <rFont val="Arial"/>
        <family val="2"/>
      </rPr>
      <t>TURNOFF(min)</t>
    </r>
  </si>
  <si>
    <r>
      <t>V</t>
    </r>
    <r>
      <rPr>
        <vertAlign val="subscript"/>
        <sz val="10"/>
        <color theme="1"/>
        <rFont val="Arial"/>
        <family val="2"/>
      </rPr>
      <t>TURNOFF(nom)</t>
    </r>
  </si>
  <si>
    <r>
      <t>V</t>
    </r>
    <r>
      <rPr>
        <vertAlign val="subscript"/>
        <sz val="10"/>
        <color theme="1"/>
        <rFont val="Arial"/>
        <family val="2"/>
      </rPr>
      <t>TURNOFF(max)</t>
    </r>
  </si>
  <si>
    <r>
      <t>V</t>
    </r>
    <r>
      <rPr>
        <vertAlign val="subscript"/>
        <sz val="10"/>
        <color theme="1"/>
        <rFont val="Arial"/>
        <family val="2"/>
      </rPr>
      <t>OUT_OVP(min)</t>
    </r>
  </si>
  <si>
    <r>
      <t>V</t>
    </r>
    <r>
      <rPr>
        <vertAlign val="subscript"/>
        <sz val="10"/>
        <color theme="1"/>
        <rFont val="Arial"/>
        <family val="2"/>
      </rPr>
      <t>OUT_OVP(nom)</t>
    </r>
  </si>
  <si>
    <r>
      <t>V</t>
    </r>
    <r>
      <rPr>
        <vertAlign val="subscript"/>
        <sz val="10"/>
        <color theme="1"/>
        <rFont val="Arial"/>
        <family val="2"/>
      </rPr>
      <t>OUT_OVP(max)</t>
    </r>
  </si>
  <si>
    <r>
      <t>OUTPUT CAPACITOR, C</t>
    </r>
    <r>
      <rPr>
        <b/>
        <i/>
        <vertAlign val="subscript"/>
        <sz val="10"/>
        <color theme="0"/>
        <rFont val="Arial"/>
        <family val="2"/>
      </rPr>
      <t>OUT</t>
    </r>
  </si>
  <si>
    <r>
      <t>INPUT CAPACITOR, C</t>
    </r>
    <r>
      <rPr>
        <b/>
        <i/>
        <vertAlign val="subscript"/>
        <sz val="11"/>
        <color theme="0"/>
        <rFont val="Arial"/>
        <family val="2"/>
      </rPr>
      <t xml:space="preserve">BULK </t>
    </r>
    <r>
      <rPr>
        <b/>
        <i/>
        <sz val="11"/>
        <color theme="0"/>
        <rFont val="Arial"/>
        <family val="2"/>
      </rPr>
      <t>= C</t>
    </r>
    <r>
      <rPr>
        <b/>
        <i/>
        <vertAlign val="subscript"/>
        <sz val="11"/>
        <color theme="0"/>
        <rFont val="Arial"/>
        <family val="2"/>
      </rPr>
      <t>B1</t>
    </r>
    <r>
      <rPr>
        <b/>
        <i/>
        <sz val="11"/>
        <color theme="0"/>
        <rFont val="Arial"/>
        <family val="2"/>
      </rPr>
      <t xml:space="preserve"> + C</t>
    </r>
    <r>
      <rPr>
        <b/>
        <i/>
        <vertAlign val="subscript"/>
        <sz val="11"/>
        <color theme="0"/>
        <rFont val="Arial"/>
        <family val="2"/>
      </rPr>
      <t>B2</t>
    </r>
  </si>
  <si>
    <r>
      <t>VS RESISTOR DIVIDER, R</t>
    </r>
    <r>
      <rPr>
        <b/>
        <i/>
        <vertAlign val="subscript"/>
        <sz val="12"/>
        <color theme="0"/>
        <rFont val="Arial"/>
        <family val="2"/>
      </rPr>
      <t>VS1</t>
    </r>
    <r>
      <rPr>
        <b/>
        <i/>
        <sz val="12"/>
        <color theme="0"/>
        <rFont val="Arial"/>
        <family val="2"/>
      </rPr>
      <t>, R</t>
    </r>
    <r>
      <rPr>
        <b/>
        <i/>
        <vertAlign val="subscript"/>
        <sz val="12"/>
        <color theme="0"/>
        <rFont val="Arial"/>
        <family val="2"/>
      </rPr>
      <t>VS2</t>
    </r>
  </si>
  <si>
    <r>
      <t>CABLE COMPENSATION, R</t>
    </r>
    <r>
      <rPr>
        <b/>
        <i/>
        <vertAlign val="subscript"/>
        <sz val="12"/>
        <color theme="0"/>
        <rFont val="Arial"/>
        <family val="2"/>
      </rPr>
      <t>CBC</t>
    </r>
  </si>
  <si>
    <r>
      <t>K</t>
    </r>
    <r>
      <rPr>
        <vertAlign val="subscript"/>
        <sz val="10"/>
        <color theme="1"/>
        <rFont val="Arial"/>
        <family val="2"/>
      </rPr>
      <t>LCnom</t>
    </r>
  </si>
  <si>
    <r>
      <t>t</t>
    </r>
    <r>
      <rPr>
        <vertAlign val="subscript"/>
        <sz val="10"/>
        <color theme="1"/>
        <rFont val="Arial"/>
        <family val="2"/>
      </rPr>
      <t>DELAY</t>
    </r>
  </si>
  <si>
    <t>Maximum Voltage at CBC at Full Load, Minimum</t>
  </si>
  <si>
    <t>Maximum Voltage at CBC at Full Load, Maximum</t>
  </si>
  <si>
    <t>Maximum Voltage at CBC at Full Load, Nominal</t>
  </si>
  <si>
    <r>
      <t>V</t>
    </r>
    <r>
      <rPr>
        <vertAlign val="subscript"/>
        <sz val="10"/>
        <color theme="1"/>
        <rFont val="Arial"/>
        <family val="2"/>
      </rPr>
      <t>CBC(max)_min</t>
    </r>
  </si>
  <si>
    <r>
      <t>V</t>
    </r>
    <r>
      <rPr>
        <vertAlign val="subscript"/>
        <sz val="10"/>
        <color theme="1"/>
        <rFont val="Arial"/>
        <family val="2"/>
      </rPr>
      <t>CBC(max)_nom</t>
    </r>
  </si>
  <si>
    <r>
      <t>V</t>
    </r>
    <r>
      <rPr>
        <vertAlign val="subscript"/>
        <sz val="10"/>
        <color theme="1"/>
        <rFont val="Arial"/>
        <family val="2"/>
      </rPr>
      <t>CBC(max)_max</t>
    </r>
  </si>
  <si>
    <r>
      <t>R</t>
    </r>
    <r>
      <rPr>
        <vertAlign val="subscript"/>
        <sz val="11"/>
        <color theme="1"/>
        <rFont val="Arial"/>
        <family val="2"/>
      </rPr>
      <t>CBC</t>
    </r>
  </si>
  <si>
    <t>Recommended Resistor Value for Cable Compensation</t>
  </si>
  <si>
    <t>VS WAKE-UP DETECTION</t>
  </si>
  <si>
    <t>UCC24650 Wake-Up Pulse Width</t>
  </si>
  <si>
    <t>Sufficient Amplitude at VS Input?</t>
  </si>
  <si>
    <t>Added Series Resistor on WAKE Pin</t>
  </si>
  <si>
    <t>Ω</t>
  </si>
  <si>
    <t>Initial Calculations with actual Cbulk:</t>
  </si>
  <si>
    <t>with Cbulk rcmd</t>
  </si>
  <si>
    <t>Recommended Minimum Input Bulk Capacitance</t>
  </si>
  <si>
    <t>Enter estimated resonant frequency</t>
  </si>
  <si>
    <t>Enter actual primary to secondary turns ratio</t>
  </si>
  <si>
    <t>Enter actual primary to auxiliary turns ratio</t>
  </si>
  <si>
    <t>Primary to Secondary Turns Ratio</t>
  </si>
  <si>
    <t>Current Sense Resistor</t>
  </si>
  <si>
    <t>Primary Inductance</t>
  </si>
  <si>
    <t>Primary to Auxillary Turns Ratio</t>
  </si>
  <si>
    <t>Current Sense Resistor Used</t>
  </si>
  <si>
    <r>
      <t>RCMD C</t>
    </r>
    <r>
      <rPr>
        <vertAlign val="subscript"/>
        <sz val="11"/>
        <color theme="1"/>
        <rFont val="Arial"/>
        <family val="2"/>
      </rPr>
      <t>OUT</t>
    </r>
    <r>
      <rPr>
        <sz val="11"/>
        <color theme="1"/>
        <rFont val="Arial"/>
        <family val="2"/>
      </rPr>
      <t xml:space="preserve"> Calculations:</t>
    </r>
  </si>
  <si>
    <r>
      <t>RCMD C</t>
    </r>
    <r>
      <rPr>
        <vertAlign val="subscript"/>
        <sz val="11"/>
        <color theme="1"/>
        <rFont val="Arial"/>
        <family val="2"/>
      </rPr>
      <t>VDD</t>
    </r>
    <r>
      <rPr>
        <sz val="11"/>
        <color theme="1"/>
        <rFont val="Arial"/>
        <family val="2"/>
      </rPr>
      <t xml:space="preserve"> Calculations:</t>
    </r>
  </si>
  <si>
    <r>
      <t>RCMD R</t>
    </r>
    <r>
      <rPr>
        <vertAlign val="subscript"/>
        <sz val="11"/>
        <color theme="1"/>
        <rFont val="Arial"/>
        <family val="2"/>
      </rPr>
      <t>VS1</t>
    </r>
    <r>
      <rPr>
        <sz val="11"/>
        <color theme="1"/>
        <rFont val="Arial"/>
        <family val="2"/>
      </rPr>
      <t>:</t>
    </r>
  </si>
  <si>
    <r>
      <t>f</t>
    </r>
    <r>
      <rPr>
        <vertAlign val="subscript"/>
        <sz val="10"/>
        <color theme="1"/>
        <rFont val="Arial"/>
        <family val="2"/>
      </rPr>
      <t>RES</t>
    </r>
    <r>
      <rPr>
        <sz val="10"/>
        <color theme="1"/>
        <rFont val="Arial"/>
        <family val="2"/>
      </rPr>
      <t xml:space="preserve"> ≥ 1/(4 x t</t>
    </r>
    <r>
      <rPr>
        <vertAlign val="subscript"/>
        <sz val="10"/>
        <color theme="1"/>
        <rFont val="Arial"/>
        <family val="2"/>
      </rPr>
      <t>WAKE</t>
    </r>
    <r>
      <rPr>
        <sz val="10"/>
        <color theme="1"/>
        <rFont val="Arial"/>
        <family val="2"/>
      </rPr>
      <t>) ?</t>
    </r>
  </si>
  <si>
    <r>
      <t>t</t>
    </r>
    <r>
      <rPr>
        <b/>
        <vertAlign val="subscript"/>
        <sz val="10"/>
        <color theme="1"/>
        <rFont val="Calibri"/>
        <family val="2"/>
        <scheme val="minor"/>
      </rPr>
      <t>WAKE</t>
    </r>
  </si>
  <si>
    <r>
      <t>C</t>
    </r>
    <r>
      <rPr>
        <b/>
        <vertAlign val="subscript"/>
        <sz val="11"/>
        <color theme="1"/>
        <rFont val="Arial"/>
        <family val="2"/>
      </rPr>
      <t>BULK</t>
    </r>
    <r>
      <rPr>
        <b/>
        <sz val="11"/>
        <color theme="1"/>
        <rFont val="Arial"/>
        <family val="2"/>
      </rPr>
      <t xml:space="preserve"> </t>
    </r>
  </si>
  <si>
    <r>
      <t>V</t>
    </r>
    <r>
      <rPr>
        <b/>
        <vertAlign val="subscript"/>
        <sz val="11"/>
        <color theme="1"/>
        <rFont val="Arial"/>
        <family val="2"/>
      </rPr>
      <t>F_BRIDGE</t>
    </r>
  </si>
  <si>
    <r>
      <t>Enter the V</t>
    </r>
    <r>
      <rPr>
        <b/>
        <vertAlign val="subscript"/>
        <sz val="11"/>
        <color rgb="FFFF0000"/>
        <rFont val="Arial"/>
        <family val="2"/>
      </rPr>
      <t>F</t>
    </r>
    <r>
      <rPr>
        <b/>
        <sz val="11"/>
        <color rgb="FFFF0000"/>
        <rFont val="Arial"/>
        <family val="2"/>
      </rPr>
      <t xml:space="preserve"> of the Bridge Rectifier</t>
    </r>
  </si>
  <si>
    <r>
      <t>V</t>
    </r>
    <r>
      <rPr>
        <b/>
        <vertAlign val="subscript"/>
        <sz val="11"/>
        <color theme="1"/>
        <rFont val="Arial"/>
        <family val="2"/>
      </rPr>
      <t>F</t>
    </r>
  </si>
  <si>
    <r>
      <t>Enter V</t>
    </r>
    <r>
      <rPr>
        <b/>
        <vertAlign val="subscript"/>
        <sz val="11"/>
        <color rgb="FFFF0000"/>
        <rFont val="Arial"/>
        <family val="2"/>
      </rPr>
      <t>F</t>
    </r>
    <r>
      <rPr>
        <b/>
        <sz val="11"/>
        <color rgb="FFFF0000"/>
        <rFont val="Arial"/>
        <family val="2"/>
      </rPr>
      <t xml:space="preserve"> at full load</t>
    </r>
  </si>
  <si>
    <r>
      <t>f</t>
    </r>
    <r>
      <rPr>
        <b/>
        <vertAlign val="subscript"/>
        <sz val="11"/>
        <color theme="1"/>
        <rFont val="Arial"/>
        <family val="2"/>
      </rPr>
      <t>RES</t>
    </r>
  </si>
  <si>
    <r>
      <t>N</t>
    </r>
    <r>
      <rPr>
        <b/>
        <vertAlign val="subscript"/>
        <sz val="11"/>
        <color theme="1"/>
        <rFont val="Arial"/>
        <family val="2"/>
      </rPr>
      <t>PS</t>
    </r>
  </si>
  <si>
    <r>
      <t>R</t>
    </r>
    <r>
      <rPr>
        <b/>
        <vertAlign val="subscript"/>
        <sz val="11"/>
        <color theme="1"/>
        <rFont val="Arial"/>
        <family val="2"/>
      </rPr>
      <t>CS</t>
    </r>
  </si>
  <si>
    <r>
      <t>L</t>
    </r>
    <r>
      <rPr>
        <b/>
        <vertAlign val="subscript"/>
        <sz val="11"/>
        <color theme="1"/>
        <rFont val="Arial"/>
        <family val="2"/>
      </rPr>
      <t>P</t>
    </r>
  </si>
  <si>
    <r>
      <t xml:space="preserve"> V</t>
    </r>
    <r>
      <rPr>
        <b/>
        <vertAlign val="subscript"/>
        <sz val="11"/>
        <color theme="1"/>
        <rFont val="Arial"/>
        <family val="2"/>
      </rPr>
      <t>FA</t>
    </r>
    <r>
      <rPr>
        <b/>
        <sz val="11"/>
        <color theme="1"/>
        <rFont val="Arial"/>
        <family val="2"/>
      </rPr>
      <t xml:space="preserve"> </t>
    </r>
  </si>
  <si>
    <r>
      <t>N</t>
    </r>
    <r>
      <rPr>
        <b/>
        <vertAlign val="subscript"/>
        <sz val="11"/>
        <color theme="1"/>
        <rFont val="Arial"/>
        <family val="2"/>
      </rPr>
      <t>PA</t>
    </r>
  </si>
  <si>
    <r>
      <t>R</t>
    </r>
    <r>
      <rPr>
        <vertAlign val="subscript"/>
        <sz val="11"/>
        <color theme="1"/>
        <rFont val="Arial"/>
        <family val="2"/>
      </rPr>
      <t>CS</t>
    </r>
  </si>
  <si>
    <r>
      <t>C</t>
    </r>
    <r>
      <rPr>
        <b/>
        <vertAlign val="subscript"/>
        <sz val="11"/>
        <color theme="1"/>
        <rFont val="Arial"/>
        <family val="2"/>
      </rPr>
      <t>OSS</t>
    </r>
  </si>
  <si>
    <r>
      <t>Enter C</t>
    </r>
    <r>
      <rPr>
        <b/>
        <vertAlign val="subscript"/>
        <sz val="11"/>
        <color rgb="FFFF0000"/>
        <rFont val="Arial"/>
        <family val="2"/>
      </rPr>
      <t>OSS</t>
    </r>
    <r>
      <rPr>
        <b/>
        <sz val="11"/>
        <color rgb="FFFF0000"/>
        <rFont val="Arial"/>
        <family val="2"/>
      </rPr>
      <t xml:space="preserve"> of selected MOSFET</t>
    </r>
  </si>
  <si>
    <r>
      <t>R</t>
    </r>
    <r>
      <rPr>
        <b/>
        <vertAlign val="subscript"/>
        <sz val="11"/>
        <color theme="1"/>
        <rFont val="Arial"/>
        <family val="2"/>
      </rPr>
      <t>DSon</t>
    </r>
  </si>
  <si>
    <r>
      <t>Enter R</t>
    </r>
    <r>
      <rPr>
        <b/>
        <vertAlign val="subscript"/>
        <sz val="11"/>
        <color rgb="FFFF0000"/>
        <rFont val="Arial"/>
        <family val="2"/>
      </rPr>
      <t>DSon</t>
    </r>
    <r>
      <rPr>
        <b/>
        <sz val="11"/>
        <color rgb="FFFF0000"/>
        <rFont val="Arial"/>
        <family val="2"/>
      </rPr>
      <t xml:space="preserve"> of selected MOSFET</t>
    </r>
  </si>
  <si>
    <r>
      <t>t</t>
    </r>
    <r>
      <rPr>
        <b/>
        <vertAlign val="subscript"/>
        <sz val="11"/>
        <color theme="1"/>
        <rFont val="Arial"/>
        <family val="2"/>
      </rPr>
      <t>f</t>
    </r>
  </si>
  <si>
    <r>
      <t>t</t>
    </r>
    <r>
      <rPr>
        <b/>
        <vertAlign val="subscript"/>
        <sz val="11"/>
        <color theme="1"/>
        <rFont val="Arial"/>
        <family val="2"/>
      </rPr>
      <t>Doff</t>
    </r>
  </si>
  <si>
    <r>
      <t>Q</t>
    </r>
    <r>
      <rPr>
        <b/>
        <vertAlign val="subscript"/>
        <sz val="11"/>
        <color theme="1"/>
        <rFont val="Arial"/>
        <family val="2"/>
      </rPr>
      <t>g</t>
    </r>
  </si>
  <si>
    <r>
      <rPr>
        <b/>
        <sz val="11"/>
        <color theme="1"/>
        <rFont val="Arial"/>
        <family val="2"/>
      </rPr>
      <t>Recommended</t>
    </r>
    <r>
      <rPr>
        <sz val="11"/>
        <color theme="1"/>
        <rFont val="Arial"/>
        <family val="2"/>
      </rPr>
      <t xml:space="preserve"> Output Capacitor to Meet Requirements</t>
    </r>
  </si>
  <si>
    <r>
      <t>C</t>
    </r>
    <r>
      <rPr>
        <b/>
        <vertAlign val="subscript"/>
        <sz val="11"/>
        <color theme="1"/>
        <rFont val="Arial"/>
        <family val="2"/>
      </rPr>
      <t>OUT</t>
    </r>
  </si>
  <si>
    <r>
      <t>I</t>
    </r>
    <r>
      <rPr>
        <b/>
        <vertAlign val="subscript"/>
        <sz val="11"/>
        <color theme="1"/>
        <rFont val="Arial"/>
        <family val="2"/>
      </rPr>
      <t>TRAN</t>
    </r>
  </si>
  <si>
    <r>
      <t>V</t>
    </r>
    <r>
      <rPr>
        <b/>
        <vertAlign val="subscript"/>
        <sz val="11"/>
        <color theme="1"/>
        <rFont val="Cambria"/>
        <family val="1"/>
      </rPr>
      <t>O∆</t>
    </r>
  </si>
  <si>
    <r>
      <t>C</t>
    </r>
    <r>
      <rPr>
        <b/>
        <vertAlign val="subscript"/>
        <sz val="11"/>
        <color theme="1"/>
        <rFont val="Arial"/>
        <family val="2"/>
      </rPr>
      <t>VDDrecommended</t>
    </r>
  </si>
  <si>
    <r>
      <rPr>
        <b/>
        <sz val="11"/>
        <color theme="1"/>
        <rFont val="Calibri"/>
        <family val="2"/>
      </rPr>
      <t>µ</t>
    </r>
    <r>
      <rPr>
        <b/>
        <sz val="11"/>
        <color theme="1"/>
        <rFont val="Arial"/>
        <family val="2"/>
      </rPr>
      <t>F</t>
    </r>
  </si>
  <si>
    <r>
      <rPr>
        <b/>
        <sz val="11"/>
        <color theme="1"/>
        <rFont val="Arial"/>
        <family val="2"/>
      </rPr>
      <t>Recommended</t>
    </r>
    <r>
      <rPr>
        <sz val="11"/>
        <color theme="1"/>
        <rFont val="Arial"/>
        <family val="2"/>
      </rPr>
      <t xml:space="preserve"> Value for R</t>
    </r>
    <r>
      <rPr>
        <vertAlign val="subscript"/>
        <sz val="11"/>
        <color theme="1"/>
        <rFont val="Arial"/>
        <family val="2"/>
      </rPr>
      <t>VS1</t>
    </r>
    <r>
      <rPr>
        <sz val="10"/>
        <color theme="1"/>
        <rFont val="Arial"/>
        <family val="2"/>
      </rPr>
      <t/>
    </r>
  </si>
  <si>
    <r>
      <t>R</t>
    </r>
    <r>
      <rPr>
        <b/>
        <vertAlign val="subscript"/>
        <sz val="11"/>
        <color theme="1"/>
        <rFont val="Arial"/>
        <family val="2"/>
      </rPr>
      <t>VS1</t>
    </r>
  </si>
  <si>
    <r>
      <rPr>
        <b/>
        <sz val="11"/>
        <color theme="1"/>
        <rFont val="Arial"/>
        <family val="2"/>
      </rPr>
      <t>Recommended</t>
    </r>
    <r>
      <rPr>
        <sz val="11"/>
        <color theme="1"/>
        <rFont val="Arial"/>
        <family val="2"/>
      </rPr>
      <t xml:space="preserve"> Value for R</t>
    </r>
    <r>
      <rPr>
        <vertAlign val="subscript"/>
        <sz val="11"/>
        <color theme="1"/>
        <rFont val="Arial"/>
        <family val="2"/>
      </rPr>
      <t>VS2</t>
    </r>
  </si>
  <si>
    <r>
      <t>R</t>
    </r>
    <r>
      <rPr>
        <b/>
        <vertAlign val="subscript"/>
        <sz val="11"/>
        <color theme="1"/>
        <rFont val="Arial"/>
        <family val="2"/>
      </rPr>
      <t>VS2</t>
    </r>
  </si>
  <si>
    <r>
      <t>R</t>
    </r>
    <r>
      <rPr>
        <b/>
        <vertAlign val="subscript"/>
        <sz val="11"/>
        <color theme="1"/>
        <rFont val="Arial"/>
        <family val="2"/>
      </rPr>
      <t>LC</t>
    </r>
  </si>
  <si>
    <r>
      <t>k</t>
    </r>
    <r>
      <rPr>
        <b/>
        <sz val="11"/>
        <color theme="1"/>
        <rFont val="Calibri"/>
        <family val="2"/>
      </rPr>
      <t>Ω</t>
    </r>
  </si>
  <si>
    <r>
      <t xml:space="preserve"> R</t>
    </r>
    <r>
      <rPr>
        <b/>
        <vertAlign val="subscript"/>
        <sz val="11"/>
        <color theme="1"/>
        <rFont val="Arial"/>
        <family val="2"/>
      </rPr>
      <t>CBC</t>
    </r>
  </si>
  <si>
    <r>
      <t>R</t>
    </r>
    <r>
      <rPr>
        <b/>
        <vertAlign val="subscript"/>
        <sz val="11"/>
        <color theme="1"/>
        <rFont val="Arial"/>
        <family val="2"/>
      </rPr>
      <t>WAKE</t>
    </r>
  </si>
  <si>
    <t>Enter total input bulk capacitor used, should be within 10% of rec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</si>
</sst>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E+00"/>
    <numFmt numFmtId="166" formatCode="0.0"/>
  </numFmts>
  <fonts count="41" x14ac:knownFonts="1">
    <font>
      <sz val="11"/>
      <color theme="1"/>
      <name val="Calibri"/>
      <family val="2"/>
      <scheme val="minor"/>
    </font>
    <font>
      <sz val="11"/>
      <color theme="1"/>
      <name val="Arial"/>
      <family val="2"/>
    </font>
    <font>
      <vertAlign val="subscript"/>
      <sz val="11"/>
      <color theme="1"/>
      <name val="Arial"/>
      <family val="2"/>
    </font>
    <font>
      <b/>
      <i/>
      <sz val="12"/>
      <color theme="0"/>
      <name val="Arial"/>
      <family val="2"/>
    </font>
    <font>
      <b/>
      <sz val="11"/>
      <color theme="1"/>
      <name val="Arial"/>
      <family val="2"/>
    </font>
    <font>
      <b/>
      <sz val="10"/>
      <color indexed="10"/>
      <name val="Arial"/>
      <family val="2"/>
    </font>
    <font>
      <sz val="11"/>
      <name val="Arial"/>
      <family val="2"/>
    </font>
    <font>
      <sz val="11"/>
      <color theme="1"/>
      <name val="Calibri"/>
      <family val="2"/>
    </font>
    <font>
      <b/>
      <i/>
      <vertAlign val="subscript"/>
      <sz val="12"/>
      <color theme="0"/>
      <name val="Arial"/>
      <family val="2"/>
    </font>
    <font>
      <b/>
      <sz val="11"/>
      <name val="Arial"/>
      <family val="2"/>
    </font>
    <font>
      <b/>
      <vertAlign val="subscript"/>
      <sz val="11"/>
      <color theme="1"/>
      <name val="Arial"/>
      <family val="2"/>
    </font>
    <font>
      <sz val="10"/>
      <name val="Arial"/>
      <family val="2"/>
    </font>
    <font>
      <sz val="10"/>
      <color theme="1"/>
      <name val="Arial"/>
      <family val="2"/>
    </font>
    <font>
      <b/>
      <sz val="11"/>
      <color rgb="FFFF0000"/>
      <name val="Arial"/>
      <family val="2"/>
    </font>
    <font>
      <b/>
      <sz val="11"/>
      <color indexed="8"/>
      <name val="Arial"/>
      <family val="2"/>
    </font>
    <font>
      <b/>
      <sz val="9"/>
      <name val="Arial"/>
      <family val="2"/>
    </font>
    <font>
      <b/>
      <sz val="9"/>
      <color rgb="FFFF0000"/>
      <name val="Arial"/>
      <family val="2"/>
    </font>
    <font>
      <b/>
      <sz val="11"/>
      <color theme="1"/>
      <name val="Calibri"/>
      <family val="2"/>
      <scheme val="minor"/>
    </font>
    <font>
      <b/>
      <sz val="10"/>
      <color theme="1"/>
      <name val="Arial"/>
      <family val="2"/>
    </font>
    <font>
      <vertAlign val="subscript"/>
      <sz val="10"/>
      <color theme="1"/>
      <name val="Arial"/>
      <family val="2"/>
    </font>
    <font>
      <sz val="10"/>
      <color theme="1"/>
      <name val="Calibri"/>
      <family val="2"/>
    </font>
    <font>
      <b/>
      <sz val="10"/>
      <color indexed="9"/>
      <name val="Arial"/>
      <family val="2"/>
    </font>
    <font>
      <b/>
      <sz val="10"/>
      <name val="Arial"/>
      <family val="2"/>
    </font>
    <font>
      <b/>
      <sz val="10"/>
      <color rgb="FFFF0000"/>
      <name val="Arial"/>
      <family val="2"/>
    </font>
    <font>
      <sz val="10"/>
      <color theme="1"/>
      <name val="Calibri"/>
      <family val="2"/>
      <scheme val="minor"/>
    </font>
    <font>
      <b/>
      <vertAlign val="subscript"/>
      <sz val="10"/>
      <name val="Arial"/>
      <family val="2"/>
    </font>
    <font>
      <b/>
      <vertAlign val="subscript"/>
      <sz val="10"/>
      <color theme="1"/>
      <name val="Arial"/>
      <family val="2"/>
    </font>
    <font>
      <vertAlign val="subscript"/>
      <sz val="10"/>
      <name val="Arial"/>
      <family val="2"/>
    </font>
    <font>
      <sz val="10"/>
      <color rgb="FFFF0000"/>
      <name val="Arial"/>
      <family val="2"/>
    </font>
    <font>
      <b/>
      <i/>
      <vertAlign val="subscript"/>
      <sz val="10"/>
      <color theme="0"/>
      <name val="Arial"/>
      <family val="2"/>
    </font>
    <font>
      <b/>
      <i/>
      <sz val="10"/>
      <color rgb="FFFF0000"/>
      <name val="Arial"/>
      <family val="2"/>
    </font>
    <font>
      <b/>
      <i/>
      <sz val="11"/>
      <color theme="0"/>
      <name val="Arial"/>
      <family val="2"/>
    </font>
    <font>
      <b/>
      <sz val="18"/>
      <name val="Arial"/>
      <family val="2"/>
    </font>
    <font>
      <b/>
      <i/>
      <vertAlign val="subscript"/>
      <sz val="11"/>
      <color theme="0"/>
      <name val="Arial"/>
      <family val="2"/>
    </font>
    <font>
      <b/>
      <i/>
      <sz val="14"/>
      <color theme="0"/>
      <name val="Arial"/>
      <family val="2"/>
    </font>
    <font>
      <b/>
      <sz val="8"/>
      <color rgb="FFFF0000"/>
      <name val="Arial"/>
      <family val="2"/>
    </font>
    <font>
      <b/>
      <vertAlign val="subscript"/>
      <sz val="10"/>
      <color theme="1"/>
      <name val="Calibri"/>
      <family val="2"/>
      <scheme val="minor"/>
    </font>
    <font>
      <b/>
      <vertAlign val="subscript"/>
      <sz val="11"/>
      <color rgb="FFFF0000"/>
      <name val="Arial"/>
      <family val="2"/>
    </font>
    <font>
      <sz val="11"/>
      <color rgb="FFFF0000"/>
      <name val="Arial"/>
      <family val="2"/>
    </font>
    <font>
      <b/>
      <vertAlign val="subscript"/>
      <sz val="11"/>
      <color theme="1"/>
      <name val="Cambria"/>
      <family val="1"/>
    </font>
    <font>
      <b/>
      <sz val="11"/>
      <color theme="1"/>
      <name val="Calibri"/>
      <family val="2"/>
    </font>
  </fonts>
  <fills count="6">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FFFF00"/>
        <bgColor indexed="64"/>
      </patternFill>
    </fill>
    <fill>
      <patternFill patternType="solid">
        <fgColor indexed="13"/>
        <bgColor indexed="64"/>
      </patternFill>
    </fill>
  </fills>
  <borders count="36">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cellStyleXfs>
  <cellXfs count="264">
    <xf numFmtId="0" fontId="0" fillId="0" borderId="0" xfId="0"/>
    <xf numFmtId="0" fontId="0" fillId="2" borderId="0" xfId="0" applyFill="1"/>
    <xf numFmtId="0" fontId="1" fillId="2" borderId="5" xfId="0" applyFont="1" applyFill="1" applyBorder="1"/>
    <xf numFmtId="0" fontId="1" fillId="2" borderId="0" xfId="0" applyFont="1" applyFill="1"/>
    <xf numFmtId="165" fontId="1" fillId="2" borderId="5" xfId="0" applyNumberFormat="1" applyFont="1" applyFill="1" applyBorder="1"/>
    <xf numFmtId="0" fontId="5" fillId="2" borderId="0" xfId="0" applyFont="1" applyFill="1" applyAlignment="1">
      <alignment horizontal="center" wrapText="1"/>
    </xf>
    <xf numFmtId="0" fontId="1" fillId="2" borderId="0" xfId="0" applyFont="1" applyFill="1" applyAlignment="1">
      <alignment horizontal="left"/>
    </xf>
    <xf numFmtId="0" fontId="1" fillId="2" borderId="0" xfId="0" applyFont="1" applyFill="1" applyAlignment="1">
      <alignment horizontal="right"/>
    </xf>
    <xf numFmtId="0" fontId="11" fillId="2" borderId="0" xfId="0" applyFont="1" applyFill="1" applyAlignment="1">
      <alignment vertical="center"/>
    </xf>
    <xf numFmtId="0" fontId="12" fillId="4" borderId="5" xfId="0" applyFont="1" applyFill="1" applyBorder="1" applyAlignment="1" applyProtection="1">
      <alignment horizontal="center" vertical="center"/>
      <protection locked="0"/>
    </xf>
    <xf numFmtId="0" fontId="12" fillId="0" borderId="5" xfId="0" applyFont="1" applyBorder="1" applyAlignment="1">
      <alignment horizontal="center" vertical="center"/>
    </xf>
    <xf numFmtId="0" fontId="12" fillId="2" borderId="5" xfId="0" applyFont="1" applyFill="1" applyBorder="1" applyAlignment="1">
      <alignment horizontal="center" vertical="center"/>
    </xf>
    <xf numFmtId="0" fontId="12" fillId="2" borderId="26" xfId="0" applyFont="1" applyFill="1" applyBorder="1" applyAlignment="1">
      <alignment horizontal="center" vertical="center"/>
    </xf>
    <xf numFmtId="0" fontId="12" fillId="2" borderId="5" xfId="0" applyFont="1" applyFill="1" applyBorder="1" applyAlignment="1">
      <alignment vertical="center"/>
    </xf>
    <xf numFmtId="0" fontId="12" fillId="2" borderId="5" xfId="0" applyFont="1" applyFill="1" applyBorder="1" applyAlignment="1">
      <alignment horizontal="center"/>
    </xf>
    <xf numFmtId="0" fontId="1" fillId="2" borderId="7" xfId="0" applyFont="1" applyFill="1" applyBorder="1"/>
    <xf numFmtId="0" fontId="0" fillId="2" borderId="7" xfId="0" applyFill="1" applyBorder="1"/>
    <xf numFmtId="0" fontId="1" fillId="2" borderId="2" xfId="0" applyFont="1" applyFill="1" applyBorder="1"/>
    <xf numFmtId="0" fontId="1" fillId="2" borderId="13" xfId="0" applyFont="1" applyFill="1" applyBorder="1"/>
    <xf numFmtId="0" fontId="1" fillId="2" borderId="14" xfId="0" applyFont="1" applyFill="1" applyBorder="1"/>
    <xf numFmtId="0" fontId="1" fillId="2" borderId="3" xfId="0" applyFont="1" applyFill="1" applyBorder="1"/>
    <xf numFmtId="0" fontId="1" fillId="2" borderId="15" xfId="0" applyFont="1" applyFill="1" applyBorder="1"/>
    <xf numFmtId="0" fontId="1" fillId="2" borderId="4" xfId="0" applyFont="1" applyFill="1" applyBorder="1"/>
    <xf numFmtId="0" fontId="12" fillId="2" borderId="0" xfId="0" applyFont="1" applyFill="1" applyAlignment="1">
      <alignment vertical="center"/>
    </xf>
    <xf numFmtId="0" fontId="22" fillId="2" borderId="3" xfId="0" applyFont="1" applyFill="1" applyBorder="1" applyAlignment="1">
      <alignment horizontal="right" vertical="center" wrapText="1"/>
    </xf>
    <xf numFmtId="0" fontId="22" fillId="2" borderId="15" xfId="0" applyFont="1" applyFill="1" applyBorder="1" applyAlignment="1">
      <alignment horizontal="right" vertical="center" wrapText="1"/>
    </xf>
    <xf numFmtId="0" fontId="22" fillId="2" borderId="15" xfId="0" applyFont="1" applyFill="1" applyBorder="1" applyAlignment="1">
      <alignment horizontal="center" vertical="center" wrapText="1"/>
    </xf>
    <xf numFmtId="0" fontId="22" fillId="2" borderId="15" xfId="0" applyFont="1" applyFill="1" applyBorder="1" applyAlignment="1">
      <alignment horizontal="left" vertical="center" wrapText="1"/>
    </xf>
    <xf numFmtId="0" fontId="21" fillId="2" borderId="4" xfId="0" applyFont="1" applyFill="1" applyBorder="1" applyAlignment="1">
      <alignment horizontal="center" vertical="center" wrapText="1"/>
    </xf>
    <xf numFmtId="0" fontId="24" fillId="2" borderId="0" xfId="0" applyFont="1" applyFill="1" applyAlignment="1">
      <alignment vertical="center"/>
    </xf>
    <xf numFmtId="0" fontId="22" fillId="2" borderId="13" xfId="0" applyFont="1" applyFill="1" applyBorder="1" applyAlignment="1">
      <alignment horizontal="center" vertical="center" wrapText="1"/>
    </xf>
    <xf numFmtId="0" fontId="22" fillId="2" borderId="0" xfId="0" applyFont="1" applyFill="1" applyAlignment="1">
      <alignment horizontal="center" vertical="center" wrapText="1"/>
    </xf>
    <xf numFmtId="0" fontId="22" fillId="2" borderId="0" xfId="0" applyFont="1" applyFill="1" applyAlignment="1">
      <alignment horizontal="left" vertical="center" wrapText="1"/>
    </xf>
    <xf numFmtId="0" fontId="22" fillId="2" borderId="14" xfId="0" applyFont="1" applyFill="1" applyBorder="1" applyAlignment="1">
      <alignment horizontal="center" vertical="center" wrapText="1"/>
    </xf>
    <xf numFmtId="0" fontId="22" fillId="0" borderId="5" xfId="0" applyFont="1" applyBorder="1" applyAlignment="1">
      <alignment horizontal="center" vertical="center"/>
    </xf>
    <xf numFmtId="0" fontId="22" fillId="0" borderId="5" xfId="0" applyFont="1" applyBorder="1" applyAlignment="1">
      <alignment horizontal="left" vertical="center"/>
    </xf>
    <xf numFmtId="0" fontId="22" fillId="0" borderId="9" xfId="0" applyFont="1" applyBorder="1" applyAlignment="1">
      <alignment horizontal="center" vertical="center"/>
    </xf>
    <xf numFmtId="0" fontId="12" fillId="2" borderId="8" xfId="0" applyFont="1" applyFill="1" applyBorder="1" applyAlignment="1">
      <alignment vertical="center"/>
    </xf>
    <xf numFmtId="0" fontId="12" fillId="2" borderId="9" xfId="0" applyFont="1" applyFill="1" applyBorder="1" applyAlignment="1">
      <alignment horizontal="left" vertical="center"/>
    </xf>
    <xf numFmtId="0" fontId="12" fillId="0" borderId="8" xfId="0" applyFont="1" applyBorder="1" applyAlignment="1">
      <alignment vertical="center" wrapText="1"/>
    </xf>
    <xf numFmtId="0" fontId="12" fillId="2" borderId="5" xfId="0" applyFont="1" applyFill="1" applyBorder="1" applyAlignment="1">
      <alignment horizontal="left" vertical="center"/>
    </xf>
    <xf numFmtId="0" fontId="18" fillId="2" borderId="5" xfId="0" applyFont="1" applyFill="1" applyBorder="1" applyAlignment="1">
      <alignment horizontal="center" vertical="center"/>
    </xf>
    <xf numFmtId="164" fontId="12" fillId="2" borderId="5" xfId="0" applyNumberFormat="1" applyFont="1" applyFill="1" applyBorder="1" applyAlignment="1">
      <alignment horizontal="center" vertical="center"/>
    </xf>
    <xf numFmtId="0" fontId="11" fillId="0" borderId="5" xfId="0" applyFont="1" applyBorder="1" applyAlignment="1">
      <alignment horizontal="center" vertical="center"/>
    </xf>
    <xf numFmtId="0" fontId="12" fillId="2" borderId="0" xfId="0" applyFont="1" applyFill="1" applyAlignment="1">
      <alignment horizontal="center" vertical="center"/>
    </xf>
    <xf numFmtId="0" fontId="12" fillId="2" borderId="8" xfId="0" applyFont="1" applyFill="1" applyBorder="1" applyAlignment="1">
      <alignment vertical="center" wrapText="1"/>
    </xf>
    <xf numFmtId="0" fontId="22" fillId="2" borderId="5" xfId="0" applyFont="1" applyFill="1" applyBorder="1" applyAlignment="1">
      <alignment horizontal="center" vertical="center" wrapText="1"/>
    </xf>
    <xf numFmtId="0" fontId="22" fillId="2" borderId="5" xfId="0" applyFont="1" applyFill="1" applyBorder="1" applyAlignment="1">
      <alignment horizontal="center" vertical="center"/>
    </xf>
    <xf numFmtId="0" fontId="12" fillId="2" borderId="10" xfId="0" applyFont="1" applyFill="1" applyBorder="1" applyAlignment="1">
      <alignment vertical="center"/>
    </xf>
    <xf numFmtId="0" fontId="12" fillId="2" borderId="11" xfId="0" applyFont="1" applyFill="1" applyBorder="1" applyAlignment="1">
      <alignment horizontal="center" vertical="center"/>
    </xf>
    <xf numFmtId="0" fontId="12" fillId="2" borderId="11" xfId="0" applyFont="1" applyFill="1" applyBorder="1" applyAlignment="1">
      <alignment horizontal="left" vertical="center"/>
    </xf>
    <xf numFmtId="0" fontId="12" fillId="2" borderId="12" xfId="0" applyFont="1" applyFill="1" applyBorder="1" applyAlignment="1">
      <alignment horizontal="left" vertical="center"/>
    </xf>
    <xf numFmtId="0" fontId="18" fillId="2" borderId="32" xfId="0" applyFont="1" applyFill="1" applyBorder="1" applyAlignment="1">
      <alignment horizontal="center" vertical="center"/>
    </xf>
    <xf numFmtId="0" fontId="12" fillId="2" borderId="25" xfId="0" applyFont="1" applyFill="1" applyBorder="1" applyAlignment="1">
      <alignment horizontal="left" vertical="center"/>
    </xf>
    <xf numFmtId="0" fontId="12" fillId="2" borderId="8" xfId="0" applyFont="1" applyFill="1" applyBorder="1" applyAlignment="1">
      <alignment horizontal="left" vertical="center"/>
    </xf>
    <xf numFmtId="164" fontId="12" fillId="2" borderId="11" xfId="0" applyNumberFormat="1" applyFont="1" applyFill="1" applyBorder="1" applyAlignment="1">
      <alignment horizontal="center" vertical="center"/>
    </xf>
    <xf numFmtId="0" fontId="0" fillId="2" borderId="0" xfId="0" applyFill="1" applyAlignment="1">
      <alignment horizontal="center"/>
    </xf>
    <xf numFmtId="0" fontId="0" fillId="2" borderId="0" xfId="0" applyFill="1" applyAlignment="1">
      <alignment horizontal="left"/>
    </xf>
    <xf numFmtId="0" fontId="18" fillId="4" borderId="5" xfId="0" applyFont="1" applyFill="1" applyBorder="1" applyAlignment="1">
      <alignment horizontal="center" vertical="center"/>
    </xf>
    <xf numFmtId="1" fontId="18" fillId="2" borderId="5" xfId="0" applyNumberFormat="1" applyFont="1" applyFill="1" applyBorder="1" applyAlignment="1">
      <alignment horizontal="center" vertical="center"/>
    </xf>
    <xf numFmtId="0" fontId="18" fillId="2" borderId="5" xfId="0" applyFont="1" applyFill="1" applyBorder="1" applyAlignment="1">
      <alignment horizontal="left" vertical="center"/>
    </xf>
    <xf numFmtId="0" fontId="12" fillId="2" borderId="28" xfId="0" applyFont="1" applyFill="1" applyBorder="1" applyAlignment="1">
      <alignment vertical="center"/>
    </xf>
    <xf numFmtId="0" fontId="12" fillId="2" borderId="23" xfId="0" applyFont="1" applyFill="1" applyBorder="1" applyAlignment="1">
      <alignment horizontal="center" vertical="center"/>
    </xf>
    <xf numFmtId="0" fontId="12" fillId="2" borderId="23" xfId="0" applyFont="1" applyFill="1" applyBorder="1" applyAlignment="1">
      <alignment horizontal="left" vertical="center"/>
    </xf>
    <xf numFmtId="0" fontId="11" fillId="2" borderId="8" xfId="0" applyFont="1" applyFill="1" applyBorder="1" applyAlignment="1">
      <alignment horizontal="left" vertical="center"/>
    </xf>
    <xf numFmtId="0" fontId="11" fillId="2" borderId="5" xfId="0" applyFont="1" applyFill="1" applyBorder="1" applyAlignment="1">
      <alignment horizontal="center" vertical="center"/>
    </xf>
    <xf numFmtId="0" fontId="11" fillId="2" borderId="5" xfId="0" applyFont="1" applyFill="1" applyBorder="1" applyAlignment="1">
      <alignment horizontal="left" vertical="center"/>
    </xf>
    <xf numFmtId="164" fontId="12" fillId="2" borderId="23" xfId="0" applyNumberFormat="1" applyFont="1" applyFill="1" applyBorder="1" applyAlignment="1">
      <alignment horizontal="center" vertical="center"/>
    </xf>
    <xf numFmtId="164" fontId="11" fillId="2" borderId="5" xfId="0" applyNumberFormat="1" applyFont="1" applyFill="1" applyBorder="1" applyAlignment="1">
      <alignment horizontal="center" vertical="center"/>
    </xf>
    <xf numFmtId="2" fontId="12" fillId="2" borderId="5" xfId="0" applyNumberFormat="1" applyFont="1" applyFill="1" applyBorder="1" applyAlignment="1">
      <alignment horizontal="center" vertical="center"/>
    </xf>
    <xf numFmtId="1" fontId="12" fillId="2" borderId="5" xfId="0" applyNumberFormat="1" applyFont="1" applyFill="1" applyBorder="1" applyAlignment="1">
      <alignment horizontal="center" vertical="center"/>
    </xf>
    <xf numFmtId="0" fontId="11" fillId="2" borderId="8" xfId="0" applyFont="1" applyFill="1" applyBorder="1" applyAlignment="1">
      <alignment horizontal="left" vertical="center" wrapText="1"/>
    </xf>
    <xf numFmtId="0" fontId="11" fillId="2" borderId="28" xfId="0" applyFont="1" applyFill="1" applyBorder="1" applyAlignment="1">
      <alignment horizontal="left" vertical="center"/>
    </xf>
    <xf numFmtId="0" fontId="11" fillId="2" borderId="23" xfId="0" applyFont="1" applyFill="1" applyBorder="1" applyAlignment="1">
      <alignment horizontal="center" vertical="center"/>
    </xf>
    <xf numFmtId="164" fontId="11" fillId="2" borderId="23" xfId="0" applyNumberFormat="1" applyFont="1" applyFill="1" applyBorder="1" applyAlignment="1">
      <alignment horizontal="center" vertical="center"/>
    </xf>
    <xf numFmtId="0" fontId="11" fillId="2" borderId="23" xfId="0" applyFont="1" applyFill="1" applyBorder="1" applyAlignment="1">
      <alignment horizontal="left" vertical="center"/>
    </xf>
    <xf numFmtId="0" fontId="12" fillId="2" borderId="8" xfId="0" applyFont="1" applyFill="1" applyBorder="1" applyAlignment="1">
      <alignment horizontal="left" vertical="center" wrapText="1"/>
    </xf>
    <xf numFmtId="164" fontId="12" fillId="2" borderId="5" xfId="0" applyNumberFormat="1" applyFont="1" applyFill="1" applyBorder="1" applyAlignment="1">
      <alignment horizontal="center" vertical="center" wrapText="1"/>
    </xf>
    <xf numFmtId="0" fontId="12" fillId="2" borderId="28" xfId="0" applyFont="1" applyFill="1" applyBorder="1" applyAlignment="1">
      <alignment horizontal="left" vertical="center" wrapText="1"/>
    </xf>
    <xf numFmtId="0" fontId="11" fillId="2" borderId="8" xfId="0" applyFont="1" applyFill="1" applyBorder="1" applyAlignment="1">
      <alignment vertical="center"/>
    </xf>
    <xf numFmtId="0" fontId="12" fillId="2" borderId="0" xfId="0" applyFont="1" applyFill="1" applyAlignment="1">
      <alignment horizontal="left" vertical="center"/>
    </xf>
    <xf numFmtId="0" fontId="24" fillId="2" borderId="0" xfId="0" applyFont="1" applyFill="1" applyAlignment="1">
      <alignment horizontal="center" vertical="center"/>
    </xf>
    <xf numFmtId="0" fontId="24" fillId="2" borderId="0" xfId="0" applyFont="1" applyFill="1" applyAlignment="1">
      <alignment horizontal="left" vertical="center"/>
    </xf>
    <xf numFmtId="1" fontId="18" fillId="4" borderId="5" xfId="0" applyNumberFormat="1" applyFont="1" applyFill="1" applyBorder="1" applyAlignment="1" applyProtection="1">
      <alignment horizontal="center" vertical="center"/>
      <protection locked="0"/>
    </xf>
    <xf numFmtId="0" fontId="4" fillId="2" borderId="8" xfId="0" applyFont="1" applyFill="1" applyBorder="1" applyAlignment="1">
      <alignment vertical="center"/>
    </xf>
    <xf numFmtId="0" fontId="4" fillId="4" borderId="5" xfId="0" applyFont="1" applyFill="1" applyBorder="1" applyAlignment="1">
      <alignment horizontal="center" vertical="center"/>
    </xf>
    <xf numFmtId="2" fontId="4" fillId="2" borderId="5" xfId="0" applyNumberFormat="1" applyFont="1" applyFill="1" applyBorder="1" applyAlignment="1">
      <alignment horizontal="center" vertical="center"/>
    </xf>
    <xf numFmtId="2" fontId="1" fillId="4" borderId="5" xfId="0" applyNumberFormat="1" applyFont="1" applyFill="1" applyBorder="1" applyAlignment="1" applyProtection="1">
      <alignment horizontal="center" vertical="center"/>
      <protection locked="0"/>
    </xf>
    <xf numFmtId="0" fontId="4" fillId="2" borderId="5" xfId="0" applyFont="1" applyFill="1" applyBorder="1" applyAlignment="1">
      <alignment horizontal="left" vertical="center"/>
    </xf>
    <xf numFmtId="0" fontId="1" fillId="2" borderId="0" xfId="0" applyFont="1" applyFill="1" applyAlignment="1">
      <alignment vertical="center"/>
    </xf>
    <xf numFmtId="0" fontId="1" fillId="2" borderId="8" xfId="0" applyFont="1" applyFill="1" applyBorder="1" applyAlignment="1">
      <alignment vertical="center"/>
    </xf>
    <xf numFmtId="164" fontId="4" fillId="2" borderId="5" xfId="0" applyNumberFormat="1" applyFont="1" applyFill="1" applyBorder="1" applyAlignment="1">
      <alignment horizontal="center" vertical="center"/>
    </xf>
    <xf numFmtId="164" fontId="1" fillId="4" borderId="5" xfId="0" applyNumberFormat="1" applyFont="1" applyFill="1" applyBorder="1" applyAlignment="1" applyProtection="1">
      <alignment horizontal="center" vertical="center"/>
      <protection locked="0"/>
    </xf>
    <xf numFmtId="164" fontId="9" fillId="2" borderId="5" xfId="0" applyNumberFormat="1" applyFont="1" applyFill="1" applyBorder="1" applyAlignment="1">
      <alignment horizontal="center" vertical="center"/>
    </xf>
    <xf numFmtId="0" fontId="1" fillId="4" borderId="5" xfId="0" applyFont="1" applyFill="1" applyBorder="1" applyAlignment="1" applyProtection="1">
      <alignment horizontal="center" vertical="center"/>
      <protection locked="0"/>
    </xf>
    <xf numFmtId="0" fontId="1" fillId="2" borderId="5" xfId="0" applyFont="1" applyFill="1" applyBorder="1" applyAlignment="1">
      <alignment horizontal="left" vertical="center"/>
    </xf>
    <xf numFmtId="0" fontId="1" fillId="2" borderId="8" xfId="0" applyFont="1" applyFill="1" applyBorder="1" applyAlignment="1">
      <alignment vertical="center" wrapText="1"/>
    </xf>
    <xf numFmtId="0" fontId="4" fillId="4" borderId="5" xfId="0" applyFont="1" applyFill="1" applyBorder="1" applyAlignment="1">
      <alignment horizontal="center" vertical="center" wrapText="1"/>
    </xf>
    <xf numFmtId="0" fontId="1" fillId="2" borderId="34" xfId="0" applyFont="1" applyFill="1" applyBorder="1" applyAlignment="1">
      <alignment vertical="center"/>
    </xf>
    <xf numFmtId="0" fontId="4" fillId="4" borderId="24" xfId="0" applyFont="1" applyFill="1" applyBorder="1" applyAlignment="1">
      <alignment horizontal="center" vertical="center"/>
    </xf>
    <xf numFmtId="164" fontId="4" fillId="2" borderId="24" xfId="0" applyNumberFormat="1" applyFont="1" applyFill="1" applyBorder="1" applyAlignment="1">
      <alignment horizontal="center" vertical="center"/>
    </xf>
    <xf numFmtId="164" fontId="1" fillId="4" borderId="24" xfId="0" applyNumberFormat="1" applyFont="1" applyFill="1" applyBorder="1" applyAlignment="1" applyProtection="1">
      <alignment horizontal="center" vertical="center"/>
      <protection locked="0"/>
    </xf>
    <xf numFmtId="0" fontId="4" fillId="2" borderId="24" xfId="0" applyFont="1" applyFill="1" applyBorder="1" applyAlignment="1">
      <alignment horizontal="left" vertical="center"/>
    </xf>
    <xf numFmtId="0" fontId="13" fillId="2" borderId="5" xfId="0" applyFont="1" applyFill="1" applyBorder="1" applyAlignment="1">
      <alignment vertical="center"/>
    </xf>
    <xf numFmtId="0" fontId="1" fillId="2" borderId="5" xfId="0" applyFont="1" applyFill="1" applyBorder="1" applyAlignment="1">
      <alignment vertical="center"/>
    </xf>
    <xf numFmtId="0" fontId="1" fillId="2" borderId="9" xfId="0" applyFont="1" applyFill="1" applyBorder="1" applyAlignment="1">
      <alignment vertical="center"/>
    </xf>
    <xf numFmtId="0" fontId="1" fillId="2" borderId="5" xfId="0" applyFont="1" applyFill="1" applyBorder="1" applyAlignment="1">
      <alignment horizontal="center" vertical="center"/>
    </xf>
    <xf numFmtId="164" fontId="1" fillId="2" borderId="5" xfId="0" applyNumberFormat="1" applyFont="1" applyFill="1" applyBorder="1" applyAlignment="1">
      <alignment horizontal="center" vertical="center"/>
    </xf>
    <xf numFmtId="0" fontId="4" fillId="2" borderId="5" xfId="0" applyFont="1" applyFill="1" applyBorder="1" applyAlignment="1">
      <alignment horizontal="center" vertical="center"/>
    </xf>
    <xf numFmtId="1" fontId="4" fillId="2" borderId="5" xfId="0" applyNumberFormat="1" applyFont="1" applyFill="1" applyBorder="1" applyAlignment="1">
      <alignment horizontal="center" vertical="center"/>
    </xf>
    <xf numFmtId="0" fontId="38" fillId="2" borderId="5" xfId="0" applyFont="1" applyFill="1" applyBorder="1" applyAlignment="1">
      <alignment vertical="center"/>
    </xf>
    <xf numFmtId="0" fontId="6" fillId="2" borderId="0" xfId="0" applyFont="1" applyFill="1" applyAlignment="1">
      <alignment vertical="center"/>
    </xf>
    <xf numFmtId="0" fontId="1" fillId="2" borderId="28" xfId="0" applyFont="1" applyFill="1" applyBorder="1" applyAlignment="1">
      <alignment vertical="center"/>
    </xf>
    <xf numFmtId="0" fontId="4" fillId="2" borderId="23" xfId="0" applyFont="1" applyFill="1" applyBorder="1" applyAlignment="1">
      <alignment horizontal="center" vertical="center"/>
    </xf>
    <xf numFmtId="164" fontId="4" fillId="2" borderId="23" xfId="0" applyNumberFormat="1" applyFont="1" applyFill="1" applyBorder="1" applyAlignment="1">
      <alignment horizontal="center" vertical="center"/>
    </xf>
    <xf numFmtId="164" fontId="1" fillId="2" borderId="23" xfId="0" applyNumberFormat="1" applyFont="1" applyFill="1" applyBorder="1" applyAlignment="1">
      <alignment horizontal="center" vertical="center"/>
    </xf>
    <xf numFmtId="0" fontId="4" fillId="2" borderId="23" xfId="0" applyFont="1" applyFill="1" applyBorder="1" applyAlignment="1">
      <alignment horizontal="left" vertical="center"/>
    </xf>
    <xf numFmtId="166" fontId="1" fillId="2" borderId="5" xfId="0" applyNumberFormat="1" applyFont="1" applyFill="1" applyBorder="1" applyAlignment="1">
      <alignment horizontal="center" vertical="center"/>
    </xf>
    <xf numFmtId="166" fontId="4" fillId="2" borderId="5" xfId="0" applyNumberFormat="1" applyFont="1" applyFill="1" applyBorder="1" applyAlignment="1">
      <alignment horizontal="center" vertical="center"/>
    </xf>
    <xf numFmtId="2" fontId="1" fillId="2" borderId="5" xfId="0" applyNumberFormat="1" applyFont="1" applyFill="1" applyBorder="1" applyAlignment="1">
      <alignment horizontal="center" vertical="center"/>
    </xf>
    <xf numFmtId="0" fontId="6" fillId="2" borderId="28" xfId="0" applyFont="1" applyFill="1" applyBorder="1" applyAlignment="1">
      <alignment vertical="center"/>
    </xf>
    <xf numFmtId="0" fontId="1" fillId="2" borderId="10" xfId="0" applyFont="1" applyFill="1" applyBorder="1" applyAlignment="1">
      <alignment vertical="center"/>
    </xf>
    <xf numFmtId="0" fontId="1" fillId="2" borderId="11" xfId="0" applyFont="1" applyFill="1" applyBorder="1" applyAlignment="1">
      <alignment horizontal="center" vertical="center"/>
    </xf>
    <xf numFmtId="0" fontId="4" fillId="2" borderId="11" xfId="0" applyFont="1" applyFill="1" applyBorder="1" applyAlignment="1">
      <alignment horizontal="center" vertical="center"/>
    </xf>
    <xf numFmtId="0" fontId="4" fillId="2" borderId="11" xfId="0" applyFont="1" applyFill="1" applyBorder="1" applyAlignment="1">
      <alignment horizontal="left" vertical="center"/>
    </xf>
    <xf numFmtId="0" fontId="4" fillId="4" borderId="5" xfId="0" applyFont="1" applyFill="1" applyBorder="1" applyAlignment="1" applyProtection="1">
      <alignment horizontal="center" vertical="center"/>
      <protection locked="0"/>
    </xf>
    <xf numFmtId="0" fontId="40" fillId="2" borderId="5" xfId="0" applyFont="1" applyFill="1" applyBorder="1" applyAlignment="1">
      <alignment horizontal="left" vertical="center"/>
    </xf>
    <xf numFmtId="0" fontId="4" fillId="2" borderId="0" xfId="0" applyFont="1" applyFill="1" applyAlignment="1">
      <alignment vertical="center"/>
    </xf>
    <xf numFmtId="0" fontId="17" fillId="2" borderId="0" xfId="0" applyFont="1" applyFill="1" applyAlignment="1">
      <alignment vertical="center"/>
    </xf>
    <xf numFmtId="0" fontId="11" fillId="4" borderId="5" xfId="0" applyFont="1" applyFill="1" applyBorder="1" applyAlignment="1" applyProtection="1">
      <alignment horizontal="center" vertical="center" wrapText="1"/>
      <protection locked="0"/>
    </xf>
    <xf numFmtId="0" fontId="11" fillId="2" borderId="5" xfId="0" applyFont="1" applyFill="1" applyBorder="1" applyAlignment="1">
      <alignment horizontal="center" vertical="center" wrapText="1"/>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3" fillId="3" borderId="34" xfId="0" applyFont="1" applyFill="1" applyBorder="1" applyAlignment="1">
      <alignment horizontal="left" vertical="center"/>
    </xf>
    <xf numFmtId="0" fontId="3" fillId="3" borderId="24" xfId="0" applyFont="1" applyFill="1" applyBorder="1" applyAlignment="1">
      <alignment horizontal="left" vertical="center"/>
    </xf>
    <xf numFmtId="0" fontId="3" fillId="3" borderId="35" xfId="0" applyFont="1" applyFill="1" applyBorder="1" applyAlignment="1">
      <alignment horizontal="left" vertical="center"/>
    </xf>
    <xf numFmtId="0" fontId="28" fillId="2" borderId="5" xfId="0" applyFont="1" applyFill="1" applyBorder="1" applyAlignment="1">
      <alignment horizontal="center" vertical="center"/>
    </xf>
    <xf numFmtId="0" fontId="28" fillId="2" borderId="9" xfId="0" applyFont="1" applyFill="1" applyBorder="1" applyAlignment="1">
      <alignment horizontal="center" vertical="center"/>
    </xf>
    <xf numFmtId="0" fontId="24" fillId="2" borderId="5" xfId="0" applyFont="1" applyFill="1" applyBorder="1" applyAlignment="1">
      <alignment horizontal="center" vertical="center"/>
    </xf>
    <xf numFmtId="0" fontId="24" fillId="2" borderId="9"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9" xfId="0" applyFont="1" applyFill="1" applyBorder="1" applyAlignment="1">
      <alignment horizontal="center" vertical="center"/>
    </xf>
    <xf numFmtId="0" fontId="4" fillId="2" borderId="5" xfId="0" applyFont="1" applyFill="1" applyBorder="1" applyAlignment="1">
      <alignment horizontal="center" vertical="center"/>
    </xf>
    <xf numFmtId="0" fontId="4" fillId="2" borderId="9" xfId="0" applyFont="1" applyFill="1" applyBorder="1" applyAlignment="1">
      <alignment horizontal="center" vertical="center"/>
    </xf>
    <xf numFmtId="0" fontId="12" fillId="2" borderId="11" xfId="0" applyFont="1" applyFill="1" applyBorder="1" applyAlignment="1">
      <alignment horizontal="center" vertical="center"/>
    </xf>
    <xf numFmtId="0" fontId="12" fillId="2" borderId="12" xfId="0" applyFont="1" applyFill="1" applyBorder="1" applyAlignment="1">
      <alignment horizontal="center" vertical="center"/>
    </xf>
    <xf numFmtId="0" fontId="3" fillId="3" borderId="25" xfId="0" applyFont="1" applyFill="1" applyBorder="1" applyAlignment="1">
      <alignment horizontal="left" vertical="center"/>
    </xf>
    <xf numFmtId="0" fontId="3" fillId="3" borderId="26" xfId="0" applyFont="1" applyFill="1" applyBorder="1" applyAlignment="1">
      <alignment horizontal="left" vertical="center"/>
    </xf>
    <xf numFmtId="0" fontId="3" fillId="3" borderId="27" xfId="0" applyFont="1" applyFill="1" applyBorder="1" applyAlignment="1">
      <alignment horizontal="left" vertical="center"/>
    </xf>
    <xf numFmtId="0" fontId="11" fillId="2" borderId="5" xfId="0" applyFont="1" applyFill="1" applyBorder="1" applyAlignment="1">
      <alignment horizontal="left" vertical="center" wrapText="1"/>
    </xf>
    <xf numFmtId="0" fontId="11" fillId="2" borderId="9" xfId="0" applyFont="1" applyFill="1" applyBorder="1" applyAlignment="1">
      <alignment horizontal="left" vertical="center" wrapText="1"/>
    </xf>
    <xf numFmtId="0" fontId="11" fillId="2" borderId="23" xfId="0" applyFont="1" applyFill="1" applyBorder="1" applyAlignment="1">
      <alignment horizontal="center" vertical="center"/>
    </xf>
    <xf numFmtId="0" fontId="11" fillId="2" borderId="29"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9" xfId="0" applyFont="1" applyFill="1" applyBorder="1" applyAlignment="1">
      <alignment horizontal="center" vertical="center"/>
    </xf>
    <xf numFmtId="0" fontId="6" fillId="2" borderId="5" xfId="0" applyFont="1" applyFill="1" applyBorder="1" applyAlignment="1">
      <alignment horizontal="center" vertical="center"/>
    </xf>
    <xf numFmtId="0" fontId="6" fillId="2" borderId="9" xfId="0" applyFont="1" applyFill="1" applyBorder="1" applyAlignment="1">
      <alignment horizontal="center" vertical="center"/>
    </xf>
    <xf numFmtId="0" fontId="6" fillId="2" borderId="23" xfId="0" applyFont="1" applyFill="1" applyBorder="1" applyAlignment="1">
      <alignment horizontal="center" vertical="center"/>
    </xf>
    <xf numFmtId="0" fontId="6" fillId="2" borderId="29"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23" xfId="0" applyFont="1" applyFill="1" applyBorder="1" applyAlignment="1">
      <alignment horizontal="center" vertical="center"/>
    </xf>
    <xf numFmtId="0" fontId="1" fillId="2" borderId="29" xfId="0" applyFont="1" applyFill="1" applyBorder="1" applyAlignment="1">
      <alignment horizontal="center" vertical="center"/>
    </xf>
    <xf numFmtId="0" fontId="13" fillId="2" borderId="5" xfId="0" applyFont="1" applyFill="1" applyBorder="1" applyAlignment="1">
      <alignment horizontal="left" vertical="center" wrapText="1"/>
    </xf>
    <xf numFmtId="0" fontId="13" fillId="2" borderId="9" xfId="0" applyFont="1" applyFill="1" applyBorder="1" applyAlignment="1">
      <alignment horizontal="left" vertical="center" wrapText="1"/>
    </xf>
    <xf numFmtId="0" fontId="12" fillId="2" borderId="23" xfId="0" applyFont="1" applyFill="1" applyBorder="1" applyAlignment="1">
      <alignment horizontal="center" vertical="center"/>
    </xf>
    <xf numFmtId="0" fontId="12" fillId="2" borderId="29" xfId="0" applyFont="1" applyFill="1" applyBorder="1" applyAlignment="1">
      <alignment horizontal="center" vertical="center"/>
    </xf>
    <xf numFmtId="0" fontId="28" fillId="2" borderId="18" xfId="0" applyFont="1" applyFill="1" applyBorder="1" applyAlignment="1">
      <alignment horizontal="left" vertical="center"/>
    </xf>
    <xf numFmtId="0" fontId="28" fillId="2" borderId="19" xfId="0" applyFont="1" applyFill="1" applyBorder="1" applyAlignment="1">
      <alignment horizontal="left" vertical="center"/>
    </xf>
    <xf numFmtId="0" fontId="28" fillId="2" borderId="21" xfId="0" applyFont="1" applyFill="1" applyBorder="1" applyAlignment="1">
      <alignment horizontal="left" vertical="center"/>
    </xf>
    <xf numFmtId="0" fontId="38" fillId="2" borderId="5" xfId="0" applyFont="1" applyFill="1" applyBorder="1" applyAlignment="1">
      <alignment horizontal="left" vertical="center"/>
    </xf>
    <xf numFmtId="0" fontId="38" fillId="2" borderId="9" xfId="0" applyFont="1" applyFill="1" applyBorder="1" applyAlignment="1">
      <alignment horizontal="left" vertical="center"/>
    </xf>
    <xf numFmtId="0" fontId="30" fillId="2" borderId="5" xfId="0" applyFont="1" applyFill="1" applyBorder="1" applyAlignment="1">
      <alignment horizontal="center" vertical="center" wrapText="1"/>
    </xf>
    <xf numFmtId="0" fontId="30" fillId="2" borderId="9" xfId="0" applyFont="1" applyFill="1" applyBorder="1" applyAlignment="1">
      <alignment horizontal="center" vertical="center" wrapText="1"/>
    </xf>
    <xf numFmtId="0" fontId="12" fillId="2" borderId="5" xfId="0" applyFont="1" applyFill="1" applyBorder="1" applyAlignment="1">
      <alignment horizontal="left" vertical="center"/>
    </xf>
    <xf numFmtId="0" fontId="12" fillId="2" borderId="9" xfId="0" applyFont="1" applyFill="1" applyBorder="1" applyAlignment="1">
      <alignment horizontal="left" vertical="center"/>
    </xf>
    <xf numFmtId="0" fontId="18" fillId="2" borderId="5" xfId="0" applyFont="1" applyFill="1" applyBorder="1" applyAlignment="1">
      <alignment horizontal="left" vertical="center"/>
    </xf>
    <xf numFmtId="0" fontId="18" fillId="2" borderId="9" xfId="0" applyFont="1" applyFill="1" applyBorder="1" applyAlignment="1">
      <alignment horizontal="left" vertical="center"/>
    </xf>
    <xf numFmtId="0" fontId="28" fillId="2" borderId="5" xfId="0" applyFont="1" applyFill="1" applyBorder="1" applyAlignment="1">
      <alignment horizontal="center" vertical="center" wrapText="1"/>
    </xf>
    <xf numFmtId="0" fontId="28" fillId="2" borderId="9" xfId="0" applyFont="1" applyFill="1" applyBorder="1" applyAlignment="1">
      <alignment horizontal="center" vertical="center" wrapText="1"/>
    </xf>
    <xf numFmtId="0" fontId="18" fillId="2" borderId="18" xfId="0" applyFont="1" applyFill="1" applyBorder="1" applyAlignment="1">
      <alignment horizontal="center" vertical="center"/>
    </xf>
    <xf numFmtId="0" fontId="18" fillId="2" borderId="19" xfId="0" applyFont="1" applyFill="1" applyBorder="1" applyAlignment="1">
      <alignment horizontal="center" vertical="center"/>
    </xf>
    <xf numFmtId="0" fontId="18" fillId="2" borderId="21" xfId="0" applyFont="1" applyFill="1" applyBorder="1" applyAlignment="1">
      <alignment horizontal="center" vertical="center"/>
    </xf>
    <xf numFmtId="0" fontId="18" fillId="2" borderId="5" xfId="0" applyFont="1" applyFill="1" applyBorder="1" applyAlignment="1">
      <alignment horizontal="center" vertical="center"/>
    </xf>
    <xf numFmtId="0" fontId="18" fillId="2" borderId="9" xfId="0" applyFont="1" applyFill="1" applyBorder="1" applyAlignment="1">
      <alignment horizontal="center" vertical="center"/>
    </xf>
    <xf numFmtId="0" fontId="13" fillId="2" borderId="33" xfId="0" applyFont="1" applyFill="1" applyBorder="1" applyAlignment="1">
      <alignment horizontal="left" vertical="center"/>
    </xf>
    <xf numFmtId="0" fontId="13" fillId="2" borderId="0" xfId="0" applyFont="1" applyFill="1" applyAlignment="1">
      <alignment horizontal="left" vertical="center"/>
    </xf>
    <xf numFmtId="0" fontId="13" fillId="2" borderId="14" xfId="0" applyFont="1" applyFill="1" applyBorder="1" applyAlignment="1">
      <alignment horizontal="left" vertical="center"/>
    </xf>
    <xf numFmtId="0" fontId="28" fillId="2" borderId="23" xfId="0" applyFont="1" applyFill="1" applyBorder="1" applyAlignment="1">
      <alignment horizontal="center" vertical="center" wrapText="1"/>
    </xf>
    <xf numFmtId="0" fontId="28" fillId="2" borderId="29" xfId="0" applyFont="1" applyFill="1" applyBorder="1" applyAlignment="1">
      <alignment horizontal="center" vertical="center" wrapText="1"/>
    </xf>
    <xf numFmtId="0" fontId="11" fillId="2" borderId="5" xfId="0" applyFont="1" applyFill="1" applyBorder="1" applyAlignment="1">
      <alignment vertical="center" wrapText="1"/>
    </xf>
    <xf numFmtId="0" fontId="11" fillId="2" borderId="9" xfId="0" applyFont="1" applyFill="1" applyBorder="1" applyAlignment="1">
      <alignment vertical="center" wrapText="1"/>
    </xf>
    <xf numFmtId="0" fontId="13" fillId="2" borderId="5" xfId="0" applyFont="1" applyFill="1" applyBorder="1" applyAlignment="1">
      <alignment vertical="center"/>
    </xf>
    <xf numFmtId="0" fontId="13" fillId="2" borderId="9" xfId="0" applyFont="1" applyFill="1" applyBorder="1" applyAlignment="1">
      <alignment vertical="center"/>
    </xf>
    <xf numFmtId="0" fontId="13" fillId="2" borderId="5" xfId="0" applyFont="1" applyFill="1" applyBorder="1" applyAlignment="1">
      <alignment horizontal="left" vertical="center"/>
    </xf>
    <xf numFmtId="0" fontId="13" fillId="2" borderId="9" xfId="0" applyFont="1" applyFill="1" applyBorder="1" applyAlignment="1">
      <alignment horizontal="left" vertical="center"/>
    </xf>
    <xf numFmtId="0" fontId="35" fillId="2" borderId="5" xfId="0" applyFont="1" applyFill="1" applyBorder="1" applyAlignment="1">
      <alignment vertical="center" wrapText="1"/>
    </xf>
    <xf numFmtId="0" fontId="35" fillId="2" borderId="9" xfId="0" applyFont="1" applyFill="1" applyBorder="1" applyAlignment="1">
      <alignment vertical="center" wrapText="1"/>
    </xf>
    <xf numFmtId="0" fontId="12" fillId="2" borderId="5" xfId="0" applyFont="1" applyFill="1" applyBorder="1" applyAlignment="1">
      <alignment vertical="center"/>
    </xf>
    <xf numFmtId="0" fontId="12" fillId="2" borderId="9" xfId="0" applyFont="1" applyFill="1" applyBorder="1" applyAlignment="1">
      <alignment vertical="center"/>
    </xf>
    <xf numFmtId="164" fontId="18" fillId="2" borderId="5" xfId="0" applyNumberFormat="1" applyFont="1" applyFill="1" applyBorder="1" applyAlignment="1">
      <alignment horizontal="center" vertical="center" wrapText="1"/>
    </xf>
    <xf numFmtId="164" fontId="18" fillId="2" borderId="23" xfId="0" applyNumberFormat="1" applyFont="1" applyFill="1" applyBorder="1" applyAlignment="1">
      <alignment horizontal="center" vertical="center" wrapText="1"/>
    </xf>
    <xf numFmtId="0" fontId="18" fillId="2" borderId="5" xfId="0" applyFont="1" applyFill="1" applyBorder="1" applyAlignment="1">
      <alignment horizontal="center" vertical="center" wrapText="1"/>
    </xf>
    <xf numFmtId="0" fontId="18" fillId="2" borderId="23" xfId="0" applyFont="1" applyFill="1" applyBorder="1" applyAlignment="1">
      <alignment horizontal="center" vertical="center" wrapText="1"/>
    </xf>
    <xf numFmtId="0" fontId="23" fillId="2" borderId="5" xfId="0" applyFont="1" applyFill="1" applyBorder="1" applyAlignment="1">
      <alignment horizontal="left" vertical="center" wrapText="1"/>
    </xf>
    <xf numFmtId="0" fontId="23" fillId="2" borderId="9" xfId="0" applyFont="1" applyFill="1" applyBorder="1" applyAlignment="1">
      <alignment horizontal="left" vertical="center" wrapText="1"/>
    </xf>
    <xf numFmtId="0" fontId="18" fillId="2" borderId="23" xfId="0" applyFont="1" applyFill="1" applyBorder="1" applyAlignment="1">
      <alignment horizontal="left" vertical="center"/>
    </xf>
    <xf numFmtId="0" fontId="18" fillId="2" borderId="23" xfId="0" applyFont="1" applyFill="1" applyBorder="1" applyAlignment="1">
      <alignment horizontal="center" vertical="center"/>
    </xf>
    <xf numFmtId="0" fontId="3" fillId="3" borderId="26" xfId="0" applyFont="1" applyFill="1" applyBorder="1" applyAlignment="1">
      <alignment horizontal="center" vertical="center"/>
    </xf>
    <xf numFmtId="0" fontId="3" fillId="3" borderId="27" xfId="0" applyFont="1" applyFill="1" applyBorder="1" applyAlignment="1">
      <alignment horizontal="center" vertical="center"/>
    </xf>
    <xf numFmtId="0" fontId="32" fillId="3" borderId="1" xfId="0" applyFont="1" applyFill="1" applyBorder="1" applyAlignment="1">
      <alignment horizontal="center" vertical="center" wrapText="1"/>
    </xf>
    <xf numFmtId="0" fontId="32" fillId="3" borderId="7" xfId="0" applyFont="1" applyFill="1" applyBorder="1" applyAlignment="1">
      <alignment horizontal="center" vertical="center" wrapText="1"/>
    </xf>
    <xf numFmtId="0" fontId="32" fillId="3" borderId="2" xfId="0" applyFont="1" applyFill="1" applyBorder="1" applyAlignment="1">
      <alignment horizontal="center" vertical="center" wrapText="1"/>
    </xf>
    <xf numFmtId="0" fontId="22" fillId="2" borderId="1" xfId="0" applyFont="1" applyFill="1" applyBorder="1" applyAlignment="1">
      <alignment horizontal="left" vertical="center"/>
    </xf>
    <xf numFmtId="0" fontId="22" fillId="2" borderId="7" xfId="0" applyFont="1" applyFill="1" applyBorder="1" applyAlignment="1">
      <alignment horizontal="left" vertical="center"/>
    </xf>
    <xf numFmtId="0" fontId="22" fillId="2" borderId="2" xfId="0" applyFont="1" applyFill="1" applyBorder="1" applyAlignment="1">
      <alignment horizontal="left" vertical="center"/>
    </xf>
    <xf numFmtId="0" fontId="18" fillId="2" borderId="32" xfId="0" applyFont="1" applyFill="1" applyBorder="1" applyAlignment="1">
      <alignment horizontal="center" vertical="center"/>
    </xf>
    <xf numFmtId="0" fontId="18" fillId="2" borderId="31" xfId="0" applyFont="1" applyFill="1" applyBorder="1" applyAlignment="1">
      <alignment horizontal="center" vertical="center"/>
    </xf>
    <xf numFmtId="0" fontId="22" fillId="0" borderId="8" xfId="0" applyFont="1" applyBorder="1" applyAlignment="1">
      <alignment horizontal="center" vertical="center"/>
    </xf>
    <xf numFmtId="0" fontId="22" fillId="0" borderId="5" xfId="0" applyFont="1" applyBorder="1" applyAlignment="1">
      <alignment horizontal="center" vertical="center"/>
    </xf>
    <xf numFmtId="0" fontId="18" fillId="2" borderId="30" xfId="0" applyFont="1" applyFill="1" applyBorder="1" applyAlignment="1">
      <alignment horizontal="left" vertical="center"/>
    </xf>
    <xf numFmtId="0" fontId="18" fillId="2" borderId="32" xfId="0" applyFont="1" applyFill="1" applyBorder="1" applyAlignment="1">
      <alignment horizontal="left" vertical="center"/>
    </xf>
    <xf numFmtId="0" fontId="23" fillId="2" borderId="0" xfId="0" applyFont="1" applyFill="1" applyAlignment="1">
      <alignment horizontal="center" vertical="center"/>
    </xf>
    <xf numFmtId="0" fontId="34" fillId="3" borderId="16" xfId="0" applyFont="1" applyFill="1" applyBorder="1" applyAlignment="1">
      <alignment horizontal="center" vertical="center"/>
    </xf>
    <xf numFmtId="0" fontId="34" fillId="3" borderId="17" xfId="0" applyFont="1" applyFill="1" applyBorder="1" applyAlignment="1">
      <alignment horizontal="center" vertical="center"/>
    </xf>
    <xf numFmtId="0" fontId="18" fillId="2" borderId="1" xfId="0" applyFont="1" applyFill="1" applyBorder="1" applyAlignment="1">
      <alignment horizontal="center" vertical="center" wrapText="1"/>
    </xf>
    <xf numFmtId="0" fontId="18" fillId="2" borderId="7" xfId="0" applyFont="1" applyFill="1" applyBorder="1" applyAlignment="1">
      <alignment horizontal="center" vertical="center" wrapText="1"/>
    </xf>
    <xf numFmtId="0" fontId="18" fillId="2" borderId="2" xfId="0" applyFont="1" applyFill="1" applyBorder="1" applyAlignment="1">
      <alignment horizontal="center" vertical="center" wrapText="1"/>
    </xf>
    <xf numFmtId="0" fontId="13" fillId="2" borderId="13" xfId="0" applyFont="1" applyFill="1" applyBorder="1" applyAlignment="1">
      <alignment horizontal="center" vertical="center"/>
    </xf>
    <xf numFmtId="0" fontId="13" fillId="2" borderId="0" xfId="0" applyFont="1" applyFill="1" applyAlignment="1">
      <alignment horizontal="center" vertical="center"/>
    </xf>
    <xf numFmtId="0" fontId="13" fillId="2" borderId="14" xfId="0" applyFont="1" applyFill="1" applyBorder="1" applyAlignment="1">
      <alignment horizontal="center" vertical="center"/>
    </xf>
    <xf numFmtId="0" fontId="14" fillId="5" borderId="13" xfId="0" applyFont="1" applyFill="1" applyBorder="1" applyAlignment="1">
      <alignment horizontal="center" vertical="center"/>
    </xf>
    <xf numFmtId="0" fontId="14" fillId="5" borderId="0" xfId="0" applyFont="1" applyFill="1" applyAlignment="1">
      <alignment horizontal="center" vertical="center"/>
    </xf>
    <xf numFmtId="0" fontId="14" fillId="5" borderId="14" xfId="0" applyFont="1" applyFill="1" applyBorder="1" applyAlignment="1">
      <alignment horizontal="center" vertical="center"/>
    </xf>
    <xf numFmtId="0" fontId="15" fillId="2" borderId="3" xfId="0" applyFont="1" applyFill="1" applyBorder="1" applyAlignment="1">
      <alignment horizontal="center" vertical="center" wrapText="1"/>
    </xf>
    <xf numFmtId="0" fontId="15" fillId="2" borderId="15"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12" fillId="2" borderId="13" xfId="0" applyFont="1" applyFill="1" applyBorder="1" applyAlignment="1">
      <alignment horizontal="left" vertical="center" wrapText="1"/>
    </xf>
    <xf numFmtId="0" fontId="12" fillId="2" borderId="0" xfId="0" applyFont="1" applyFill="1" applyAlignment="1">
      <alignment horizontal="left" vertical="center" wrapText="1"/>
    </xf>
    <xf numFmtId="0" fontId="12" fillId="2" borderId="14" xfId="0" applyFont="1" applyFill="1" applyBorder="1" applyAlignment="1">
      <alignment horizontal="left" vertical="center" wrapText="1"/>
    </xf>
    <xf numFmtId="0" fontId="12" fillId="2" borderId="3" xfId="0" applyFont="1" applyFill="1" applyBorder="1" applyAlignment="1">
      <alignment horizontal="left" vertical="center" wrapText="1"/>
    </xf>
    <xf numFmtId="0" fontId="12" fillId="2" borderId="15" xfId="0" applyFont="1" applyFill="1" applyBorder="1" applyAlignment="1">
      <alignment horizontal="left" vertical="center" wrapText="1"/>
    </xf>
    <xf numFmtId="0" fontId="12" fillId="2" borderId="4" xfId="0" applyFont="1" applyFill="1" applyBorder="1" applyAlignment="1">
      <alignment horizontal="left" vertical="center" wrapText="1"/>
    </xf>
    <xf numFmtId="0" fontId="28" fillId="2" borderId="26" xfId="0" applyFont="1" applyFill="1" applyBorder="1" applyAlignment="1">
      <alignment horizontal="left" vertical="center" wrapText="1"/>
    </xf>
    <xf numFmtId="0" fontId="28" fillId="2" borderId="27" xfId="0" applyFont="1" applyFill="1" applyBorder="1" applyAlignment="1">
      <alignment horizontal="left" vertical="center" wrapText="1"/>
    </xf>
    <xf numFmtId="0" fontId="28" fillId="2" borderId="5" xfId="0" applyFont="1" applyFill="1" applyBorder="1" applyAlignment="1">
      <alignment horizontal="left" vertical="center" wrapText="1"/>
    </xf>
    <xf numFmtId="0" fontId="28" fillId="2" borderId="9" xfId="0" applyFont="1" applyFill="1" applyBorder="1" applyAlignment="1">
      <alignment horizontal="left" vertical="center" wrapText="1"/>
    </xf>
    <xf numFmtId="0" fontId="12" fillId="2" borderId="18" xfId="0" applyFont="1" applyFill="1" applyBorder="1" applyAlignment="1">
      <alignment horizontal="center" vertical="center" wrapText="1"/>
    </xf>
    <xf numFmtId="0" fontId="12" fillId="2" borderId="19" xfId="0" applyFont="1" applyFill="1" applyBorder="1" applyAlignment="1">
      <alignment horizontal="center" vertical="center" wrapText="1"/>
    </xf>
    <xf numFmtId="0" fontId="12" fillId="2" borderId="21" xfId="0" applyFont="1" applyFill="1" applyBorder="1" applyAlignment="1">
      <alignment horizontal="center" vertical="center" wrapText="1"/>
    </xf>
    <xf numFmtId="0" fontId="12" fillId="2" borderId="18" xfId="0" applyFont="1" applyFill="1" applyBorder="1" applyAlignment="1">
      <alignment horizontal="center" vertical="center"/>
    </xf>
    <xf numFmtId="0" fontId="12" fillId="2" borderId="19" xfId="0" applyFont="1" applyFill="1" applyBorder="1" applyAlignment="1">
      <alignment horizontal="center" vertical="center"/>
    </xf>
    <xf numFmtId="0" fontId="12" fillId="2" borderId="21" xfId="0" applyFont="1" applyFill="1" applyBorder="1" applyAlignment="1">
      <alignment horizontal="center" vertical="center"/>
    </xf>
    <xf numFmtId="0" fontId="12" fillId="2" borderId="20"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2" xfId="0" applyFont="1" applyFill="1" applyBorder="1" applyAlignment="1">
      <alignment horizontal="center" vertical="center"/>
    </xf>
    <xf numFmtId="0" fontId="30" fillId="2" borderId="5" xfId="0" applyFont="1" applyFill="1" applyBorder="1" applyAlignment="1">
      <alignment horizontal="center" vertical="center"/>
    </xf>
    <xf numFmtId="0" fontId="30" fillId="2" borderId="9" xfId="0" applyFont="1" applyFill="1" applyBorder="1" applyAlignment="1">
      <alignment horizontal="center" vertical="center"/>
    </xf>
    <xf numFmtId="0" fontId="18" fillId="2" borderId="29" xfId="0" applyFont="1" applyFill="1" applyBorder="1" applyAlignment="1">
      <alignment horizontal="center" vertical="center"/>
    </xf>
    <xf numFmtId="0" fontId="1" fillId="2" borderId="0" xfId="0" applyFont="1" applyFill="1" applyAlignment="1">
      <alignment horizontal="center"/>
    </xf>
    <xf numFmtId="0" fontId="1" fillId="2" borderId="0" xfId="0" applyFont="1" applyFill="1" applyAlignment="1">
      <alignment horizontal="left"/>
    </xf>
    <xf numFmtId="0" fontId="1" fillId="2" borderId="1" xfId="0" applyFont="1" applyFill="1" applyBorder="1" applyAlignment="1">
      <alignment horizontal="center"/>
    </xf>
    <xf numFmtId="0" fontId="1" fillId="2" borderId="7" xfId="0" applyFont="1" applyFill="1" applyBorder="1" applyAlignment="1">
      <alignment horizontal="center"/>
    </xf>
    <xf numFmtId="0" fontId="4" fillId="2" borderId="0" xfId="0" applyFont="1" applyFill="1" applyAlignment="1">
      <alignment horizontal="center"/>
    </xf>
  </cellXfs>
  <cellStyles count="1">
    <cellStyle name="Normal" xfId="0" builtinId="0"/>
  </cellStyles>
  <dxfs count="0"/>
  <tableStyles count="0" defaultTableStyle="TableStyleMedium2" defaultPivotStyle="PivotStyleLight16"/>
  <colors>
    <mruColors>
      <color rgb="FFCCFFCC"/>
      <color rgb="FFDDFFDD"/>
      <color rgb="FF404F2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1104900</xdr:colOff>
      <xdr:row>10</xdr:row>
      <xdr:rowOff>47625</xdr:rowOff>
    </xdr:from>
    <xdr:to>
      <xdr:col>4</xdr:col>
      <xdr:colOff>561976</xdr:colOff>
      <xdr:row>23</xdr:row>
      <xdr:rowOff>9525</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2550" y="2752725"/>
          <a:ext cx="5457826" cy="3057525"/>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K221"/>
  <sheetViews>
    <sheetView tabSelected="1" zoomScale="115" zoomScaleNormal="115" workbookViewId="0">
      <selection activeCell="E56" sqref="E56"/>
    </sheetView>
  </sheetViews>
  <sheetFormatPr defaultColWidth="9.140625" defaultRowHeight="20.100000000000001" customHeight="1" x14ac:dyDescent="0.25"/>
  <cols>
    <col min="1" max="1" width="3.7109375" style="23" customWidth="1"/>
    <col min="2" max="2" width="57.85546875" style="23" customWidth="1"/>
    <col min="3" max="3" width="17.42578125" style="23" customWidth="1"/>
    <col min="4" max="5" width="14.7109375" style="44" customWidth="1"/>
    <col min="6" max="6" width="14.7109375" style="80" customWidth="1"/>
    <col min="7" max="9" width="9.7109375" style="23" customWidth="1"/>
    <col min="10" max="10" width="28.7109375" style="23" customWidth="1"/>
    <col min="11" max="16384" width="9.140625" style="23"/>
  </cols>
  <sheetData>
    <row r="1" spans="2:8" ht="27.75" customHeight="1" x14ac:dyDescent="0.25">
      <c r="B1" s="210" t="s">
        <v>177</v>
      </c>
      <c r="C1" s="211"/>
      <c r="D1" s="211"/>
      <c r="E1" s="211"/>
      <c r="F1" s="211"/>
      <c r="G1" s="212"/>
    </row>
    <row r="2" spans="2:8" ht="20.100000000000001" customHeight="1" thickBot="1" x14ac:dyDescent="0.3">
      <c r="B2" s="24" t="s">
        <v>159</v>
      </c>
      <c r="C2" s="25"/>
      <c r="D2" s="26" t="s">
        <v>216</v>
      </c>
      <c r="E2" s="26"/>
      <c r="F2" s="27"/>
      <c r="G2" s="28"/>
    </row>
    <row r="3" spans="2:8" ht="12.75" customHeight="1" x14ac:dyDescent="0.25">
      <c r="B3" s="213" t="s">
        <v>0</v>
      </c>
      <c r="C3" s="214"/>
      <c r="D3" s="214"/>
      <c r="E3" s="214"/>
      <c r="F3" s="214"/>
      <c r="G3" s="215"/>
    </row>
    <row r="4" spans="2:8" ht="20.100000000000001" customHeight="1" x14ac:dyDescent="0.25">
      <c r="B4" s="237" t="s">
        <v>1</v>
      </c>
      <c r="C4" s="238"/>
      <c r="D4" s="238"/>
      <c r="E4" s="238"/>
      <c r="F4" s="238"/>
      <c r="G4" s="239"/>
    </row>
    <row r="5" spans="2:8" ht="20.100000000000001" customHeight="1" thickBot="1" x14ac:dyDescent="0.3">
      <c r="B5" s="240"/>
      <c r="C5" s="241"/>
      <c r="D5" s="241"/>
      <c r="E5" s="241"/>
      <c r="F5" s="241"/>
      <c r="G5" s="242"/>
    </row>
    <row r="6" spans="2:8" ht="15" customHeight="1" x14ac:dyDescent="0.25">
      <c r="B6" s="225" t="s">
        <v>160</v>
      </c>
      <c r="C6" s="226"/>
      <c r="D6" s="226"/>
      <c r="E6" s="226"/>
      <c r="F6" s="226"/>
      <c r="G6" s="227"/>
    </row>
    <row r="7" spans="2:8" ht="19.5" customHeight="1" x14ac:dyDescent="0.25">
      <c r="B7" s="228" t="s">
        <v>2</v>
      </c>
      <c r="C7" s="229"/>
      <c r="D7" s="229"/>
      <c r="E7" s="229"/>
      <c r="F7" s="229"/>
      <c r="G7" s="230"/>
    </row>
    <row r="8" spans="2:8" ht="20.25" customHeight="1" x14ac:dyDescent="0.25">
      <c r="B8" s="231" t="s">
        <v>161</v>
      </c>
      <c r="C8" s="232"/>
      <c r="D8" s="232"/>
      <c r="E8" s="232"/>
      <c r="F8" s="232"/>
      <c r="G8" s="233"/>
    </row>
    <row r="9" spans="2:8" ht="40.5" customHeight="1" thickBot="1" x14ac:dyDescent="0.3">
      <c r="B9" s="234" t="s">
        <v>231</v>
      </c>
      <c r="C9" s="235"/>
      <c r="D9" s="235"/>
      <c r="E9" s="235"/>
      <c r="F9" s="235"/>
      <c r="G9" s="236"/>
      <c r="H9" s="29"/>
    </row>
    <row r="10" spans="2:8" ht="18.75" customHeight="1" x14ac:dyDescent="0.25">
      <c r="B10" s="30"/>
      <c r="C10" s="31"/>
      <c r="D10" s="31"/>
      <c r="E10" s="31"/>
      <c r="F10" s="32"/>
      <c r="G10" s="33"/>
      <c r="H10" s="29"/>
    </row>
    <row r="11" spans="2:8" ht="18.75" customHeight="1" x14ac:dyDescent="0.25">
      <c r="B11" s="30"/>
      <c r="C11" s="31"/>
      <c r="D11" s="31"/>
      <c r="E11" s="31"/>
      <c r="F11" s="32"/>
      <c r="G11" s="33"/>
      <c r="H11" s="29"/>
    </row>
    <row r="12" spans="2:8" ht="18.75" customHeight="1" x14ac:dyDescent="0.25">
      <c r="B12" s="30"/>
      <c r="C12" s="31"/>
      <c r="D12" s="31"/>
      <c r="E12" s="31"/>
      <c r="F12" s="32"/>
      <c r="G12" s="33"/>
      <c r="H12" s="29"/>
    </row>
    <row r="13" spans="2:8" ht="18.75" customHeight="1" x14ac:dyDescent="0.25">
      <c r="B13" s="30"/>
      <c r="C13" s="31"/>
      <c r="D13" s="31"/>
      <c r="E13" s="31"/>
      <c r="F13" s="32"/>
      <c r="G13" s="33"/>
      <c r="H13" s="29"/>
    </row>
    <row r="14" spans="2:8" ht="18.75" customHeight="1" x14ac:dyDescent="0.25">
      <c r="B14" s="30"/>
      <c r="C14" s="31"/>
      <c r="D14" s="31"/>
      <c r="E14" s="31"/>
      <c r="F14" s="32"/>
      <c r="G14" s="33"/>
      <c r="H14" s="29"/>
    </row>
    <row r="15" spans="2:8" ht="18.75" customHeight="1" x14ac:dyDescent="0.25">
      <c r="B15" s="30"/>
      <c r="C15" s="31"/>
      <c r="D15" s="31"/>
      <c r="E15" s="31"/>
      <c r="F15" s="32"/>
      <c r="G15" s="33"/>
      <c r="H15" s="29"/>
    </row>
    <row r="16" spans="2:8" ht="18.75" customHeight="1" x14ac:dyDescent="0.25">
      <c r="B16" s="30"/>
      <c r="C16" s="31"/>
      <c r="D16" s="31"/>
      <c r="E16" s="31"/>
      <c r="F16" s="32"/>
      <c r="G16" s="33"/>
      <c r="H16" s="29"/>
    </row>
    <row r="17" spans="2:9" ht="18.75" customHeight="1" x14ac:dyDescent="0.25">
      <c r="B17" s="30"/>
      <c r="C17" s="31"/>
      <c r="D17" s="31"/>
      <c r="E17" s="31"/>
      <c r="F17" s="32"/>
      <c r="G17" s="33"/>
      <c r="H17" s="29"/>
    </row>
    <row r="18" spans="2:9" ht="18.75" customHeight="1" x14ac:dyDescent="0.25">
      <c r="B18" s="30"/>
      <c r="C18" s="31"/>
      <c r="D18" s="31"/>
      <c r="E18" s="31"/>
      <c r="F18" s="32"/>
      <c r="G18" s="33"/>
      <c r="H18" s="29"/>
    </row>
    <row r="19" spans="2:9" ht="18.75" customHeight="1" x14ac:dyDescent="0.25">
      <c r="B19" s="30"/>
      <c r="C19" s="31"/>
      <c r="D19" s="31"/>
      <c r="E19" s="31"/>
      <c r="F19" s="32"/>
      <c r="G19" s="33"/>
      <c r="H19" s="29"/>
    </row>
    <row r="20" spans="2:9" ht="18.75" customHeight="1" x14ac:dyDescent="0.25">
      <c r="B20" s="30"/>
      <c r="C20" s="31"/>
      <c r="D20" s="31"/>
      <c r="E20" s="31"/>
      <c r="F20" s="32"/>
      <c r="G20" s="33"/>
      <c r="H20" s="29"/>
    </row>
    <row r="21" spans="2:9" ht="18.75" customHeight="1" x14ac:dyDescent="0.25">
      <c r="B21" s="30"/>
      <c r="C21" s="31"/>
      <c r="D21" s="31"/>
      <c r="E21" s="31"/>
      <c r="F21" s="32"/>
      <c r="G21" s="33"/>
      <c r="H21" s="29"/>
    </row>
    <row r="22" spans="2:9" ht="18.75" customHeight="1" x14ac:dyDescent="0.25">
      <c r="B22" s="30"/>
      <c r="C22" s="31"/>
      <c r="D22" s="31"/>
      <c r="E22" s="31"/>
      <c r="F22" s="32"/>
      <c r="G22" s="33"/>
      <c r="H22" s="29"/>
    </row>
    <row r="23" spans="2:9" ht="18.75" customHeight="1" x14ac:dyDescent="0.25">
      <c r="B23" s="30"/>
      <c r="C23" s="31"/>
      <c r="D23" s="31"/>
      <c r="E23" s="31"/>
      <c r="F23" s="32"/>
      <c r="G23" s="33"/>
      <c r="H23" s="29"/>
    </row>
    <row r="24" spans="2:9" ht="18.75" customHeight="1" thickBot="1" x14ac:dyDescent="0.3">
      <c r="B24" s="30"/>
      <c r="C24" s="31"/>
      <c r="D24" s="31"/>
      <c r="E24" s="31"/>
      <c r="F24" s="32"/>
      <c r="G24" s="33"/>
      <c r="H24" s="29"/>
    </row>
    <row r="25" spans="2:9" ht="18.75" customHeight="1" thickBot="1" x14ac:dyDescent="0.3">
      <c r="B25" s="223" t="s">
        <v>3</v>
      </c>
      <c r="C25" s="224"/>
      <c r="D25" s="224"/>
      <c r="E25" s="224"/>
      <c r="F25" s="224"/>
      <c r="G25" s="224"/>
      <c r="H25" s="29"/>
      <c r="I25" s="29"/>
    </row>
    <row r="26" spans="2:9" ht="18.75" customHeight="1" x14ac:dyDescent="0.25">
      <c r="B26" s="218" t="s">
        <v>166</v>
      </c>
      <c r="C26" s="219"/>
      <c r="D26" s="34" t="s">
        <v>163</v>
      </c>
      <c r="E26" s="34" t="s">
        <v>164</v>
      </c>
      <c r="F26" s="35" t="s">
        <v>165</v>
      </c>
      <c r="G26" s="36" t="s">
        <v>168</v>
      </c>
      <c r="H26" s="29"/>
      <c r="I26" s="29"/>
    </row>
    <row r="27" spans="2:9" ht="18.75" customHeight="1" x14ac:dyDescent="0.25">
      <c r="B27" s="37" t="s">
        <v>233</v>
      </c>
      <c r="C27" s="34" t="s">
        <v>234</v>
      </c>
      <c r="D27" s="9">
        <v>260</v>
      </c>
      <c r="E27" s="9">
        <v>265</v>
      </c>
      <c r="F27" s="9">
        <v>270</v>
      </c>
      <c r="G27" s="38" t="s">
        <v>162</v>
      </c>
      <c r="H27" s="29"/>
      <c r="I27" s="29"/>
    </row>
    <row r="28" spans="2:9" ht="18.75" customHeight="1" x14ac:dyDescent="0.25">
      <c r="B28" s="39" t="s">
        <v>235</v>
      </c>
      <c r="C28" s="34" t="s">
        <v>236</v>
      </c>
      <c r="D28" s="10">
        <f>Vocv*0.95</f>
        <v>11.399999999999999</v>
      </c>
      <c r="E28" s="9">
        <v>12</v>
      </c>
      <c r="F28" s="11">
        <f>Vocv*1.05</f>
        <v>12.600000000000001</v>
      </c>
      <c r="G28" s="38" t="s">
        <v>5</v>
      </c>
      <c r="H28" s="29"/>
      <c r="I28" s="29"/>
    </row>
    <row r="29" spans="2:9" ht="18.75" customHeight="1" x14ac:dyDescent="0.25">
      <c r="B29" s="37" t="s">
        <v>66</v>
      </c>
      <c r="C29" s="41" t="s">
        <v>237</v>
      </c>
      <c r="D29" s="42"/>
      <c r="E29" s="11"/>
      <c r="F29" s="9">
        <v>8</v>
      </c>
      <c r="G29" s="38" t="s">
        <v>7</v>
      </c>
      <c r="H29" s="29"/>
      <c r="I29" s="29"/>
    </row>
    <row r="30" spans="2:9" ht="18.75" customHeight="1" x14ac:dyDescent="0.25">
      <c r="B30" s="39" t="s">
        <v>238</v>
      </c>
      <c r="C30" s="43" t="s">
        <v>239</v>
      </c>
      <c r="D30" s="11">
        <f>E30*0.95</f>
        <v>0.6333333333333333</v>
      </c>
      <c r="E30" s="11">
        <f>Pout/Vocv</f>
        <v>0.66666666666666663</v>
      </c>
      <c r="F30" s="11">
        <f>Iocc_target*1.05</f>
        <v>0.7</v>
      </c>
      <c r="G30" s="38" t="s">
        <v>6</v>
      </c>
      <c r="H30" s="29"/>
      <c r="I30" s="29"/>
    </row>
    <row r="31" spans="2:9" ht="18.75" customHeight="1" x14ac:dyDescent="0.25">
      <c r="B31" s="39" t="s">
        <v>189</v>
      </c>
      <c r="C31" s="34" t="s">
        <v>240</v>
      </c>
      <c r="D31" s="9">
        <v>49</v>
      </c>
      <c r="E31" s="9">
        <v>50</v>
      </c>
      <c r="F31" s="9">
        <v>51</v>
      </c>
      <c r="G31" s="38" t="s">
        <v>36</v>
      </c>
      <c r="H31" s="29"/>
      <c r="I31" s="29"/>
    </row>
    <row r="32" spans="2:9" ht="18.75" customHeight="1" x14ac:dyDescent="0.25">
      <c r="B32" s="37" t="s">
        <v>67</v>
      </c>
      <c r="C32" s="11" t="s">
        <v>183</v>
      </c>
      <c r="D32" s="42">
        <f>IF(Vocv&lt;12,0.82,0.85)</f>
        <v>0.85</v>
      </c>
      <c r="E32" s="11"/>
      <c r="F32" s="11"/>
      <c r="G32" s="38"/>
      <c r="H32" s="29"/>
      <c r="I32" s="29"/>
    </row>
    <row r="33" spans="2:9" ht="18.75" customHeight="1" x14ac:dyDescent="0.25">
      <c r="B33" s="37" t="s">
        <v>232</v>
      </c>
      <c r="C33" s="34" t="s">
        <v>241</v>
      </c>
      <c r="E33" s="9">
        <v>85</v>
      </c>
      <c r="F33" s="11"/>
      <c r="G33" s="38" t="s">
        <v>162</v>
      </c>
      <c r="H33" s="29"/>
      <c r="I33" s="29"/>
    </row>
    <row r="34" spans="2:9" ht="18.75" customHeight="1" x14ac:dyDescent="0.25">
      <c r="B34" s="45" t="s">
        <v>167</v>
      </c>
      <c r="C34" s="46" t="s">
        <v>242</v>
      </c>
      <c r="D34" s="10"/>
      <c r="E34" s="11"/>
      <c r="F34" s="129">
        <v>10</v>
      </c>
      <c r="G34" s="38" t="s">
        <v>5</v>
      </c>
      <c r="H34" s="29"/>
      <c r="I34" s="29"/>
    </row>
    <row r="35" spans="2:9" ht="18.75" customHeight="1" x14ac:dyDescent="0.25">
      <c r="B35" s="45" t="s">
        <v>336</v>
      </c>
      <c r="C35" s="46" t="s">
        <v>243</v>
      </c>
      <c r="D35" s="10"/>
      <c r="E35" s="9">
        <v>0.2</v>
      </c>
      <c r="F35" s="130"/>
      <c r="G35" s="38" t="s">
        <v>5</v>
      </c>
      <c r="H35" s="29"/>
      <c r="I35" s="29"/>
    </row>
    <row r="36" spans="2:9" ht="18.75" customHeight="1" x14ac:dyDescent="0.25">
      <c r="B36" s="45" t="s">
        <v>68</v>
      </c>
      <c r="C36" s="47" t="s">
        <v>244</v>
      </c>
      <c r="D36" s="11"/>
      <c r="E36" s="11"/>
      <c r="F36" s="9">
        <v>50</v>
      </c>
      <c r="G36" s="38" t="s">
        <v>8</v>
      </c>
      <c r="H36" s="29"/>
      <c r="I36" s="29"/>
    </row>
    <row r="37" spans="2:9" ht="18.75" customHeight="1" x14ac:dyDescent="0.25">
      <c r="B37" s="37" t="s">
        <v>169</v>
      </c>
      <c r="C37" s="41" t="s">
        <v>245</v>
      </c>
      <c r="D37" s="11"/>
      <c r="E37" s="9">
        <v>80</v>
      </c>
      <c r="F37" s="11"/>
      <c r="G37" s="38" t="s">
        <v>9</v>
      </c>
      <c r="H37" s="29"/>
      <c r="I37" s="29"/>
    </row>
    <row r="38" spans="2:9" ht="18.75" customHeight="1" x14ac:dyDescent="0.25">
      <c r="B38" s="37" t="s">
        <v>137</v>
      </c>
      <c r="C38" s="47" t="s">
        <v>246</v>
      </c>
      <c r="D38" s="11"/>
      <c r="E38" s="11"/>
      <c r="F38" s="129">
        <v>13</v>
      </c>
      <c r="G38" s="38" t="s">
        <v>4</v>
      </c>
      <c r="H38" s="29"/>
      <c r="I38" s="29"/>
    </row>
    <row r="39" spans="2:9" ht="18.75" customHeight="1" thickBot="1" x14ac:dyDescent="0.3">
      <c r="B39" s="48" t="s">
        <v>170</v>
      </c>
      <c r="C39" s="49" t="s">
        <v>247</v>
      </c>
      <c r="D39" s="49"/>
      <c r="E39" s="49"/>
      <c r="F39" s="49">
        <v>5</v>
      </c>
      <c r="G39" s="51" t="s">
        <v>64</v>
      </c>
      <c r="H39" s="29"/>
      <c r="I39" s="29"/>
    </row>
    <row r="40" spans="2:9" ht="18.75" customHeight="1" thickBot="1" x14ac:dyDescent="0.3">
      <c r="B40" s="222"/>
      <c r="C40" s="222"/>
      <c r="D40" s="222"/>
      <c r="E40" s="222"/>
      <c r="F40" s="222"/>
      <c r="G40" s="222"/>
      <c r="I40" s="29"/>
    </row>
    <row r="41" spans="2:9" ht="18.75" customHeight="1" thickBot="1" x14ac:dyDescent="0.3">
      <c r="B41" s="223" t="s">
        <v>200</v>
      </c>
      <c r="C41" s="224"/>
      <c r="D41" s="224"/>
      <c r="E41" s="224"/>
      <c r="F41" s="224"/>
      <c r="G41" s="224"/>
      <c r="I41" s="29"/>
    </row>
    <row r="42" spans="2:9" ht="18.75" customHeight="1" thickBot="1" x14ac:dyDescent="0.3">
      <c r="B42" s="220" t="s">
        <v>62</v>
      </c>
      <c r="C42" s="221"/>
      <c r="D42" s="52" t="s">
        <v>171</v>
      </c>
      <c r="E42" s="52" t="s">
        <v>172</v>
      </c>
      <c r="F42" s="216" t="s">
        <v>24</v>
      </c>
      <c r="G42" s="217"/>
      <c r="I42" s="29"/>
    </row>
    <row r="43" spans="2:9" ht="18.75" customHeight="1" x14ac:dyDescent="0.25">
      <c r="B43" s="53" t="s">
        <v>187</v>
      </c>
      <c r="C43" s="12" t="s">
        <v>248</v>
      </c>
      <c r="D43" s="12">
        <v>83.3</v>
      </c>
      <c r="E43" s="12" t="s">
        <v>9</v>
      </c>
      <c r="F43" s="243" t="s">
        <v>135</v>
      </c>
      <c r="G43" s="244"/>
      <c r="I43" s="29"/>
    </row>
    <row r="44" spans="2:9" ht="18.75" customHeight="1" x14ac:dyDescent="0.25">
      <c r="B44" s="54" t="s">
        <v>188</v>
      </c>
      <c r="C44" s="11" t="s">
        <v>249</v>
      </c>
      <c r="D44" s="11">
        <v>3.2000000000000001E-2</v>
      </c>
      <c r="E44" s="43" t="s">
        <v>9</v>
      </c>
      <c r="F44" s="245" t="s">
        <v>135</v>
      </c>
      <c r="G44" s="246"/>
      <c r="I44" s="29"/>
    </row>
    <row r="45" spans="2:9" ht="18.75" customHeight="1" x14ac:dyDescent="0.25">
      <c r="B45" s="54" t="s">
        <v>190</v>
      </c>
      <c r="C45" s="11" t="s">
        <v>250</v>
      </c>
      <c r="D45" s="42">
        <f>(1/fline_min)/ms</f>
        <v>20.408163265306122</v>
      </c>
      <c r="E45" s="11" t="s">
        <v>15</v>
      </c>
      <c r="F45" s="178"/>
      <c r="G45" s="179"/>
      <c r="I45" s="29"/>
    </row>
    <row r="46" spans="2:9" ht="18.75" customHeight="1" x14ac:dyDescent="0.25">
      <c r="B46" s="37" t="s">
        <v>192</v>
      </c>
      <c r="C46" s="11" t="s">
        <v>251</v>
      </c>
      <c r="D46" s="11">
        <v>0.5</v>
      </c>
      <c r="E46" s="11"/>
      <c r="F46" s="183"/>
      <c r="G46" s="184"/>
      <c r="I46" s="29"/>
    </row>
    <row r="47" spans="2:9" ht="18.75" customHeight="1" thickBot="1" x14ac:dyDescent="0.3">
      <c r="B47" s="48" t="s">
        <v>173</v>
      </c>
      <c r="C47" s="49" t="s">
        <v>252</v>
      </c>
      <c r="D47" s="55">
        <f>(Vocv*Iocc_target*(4*fswmin*kHz))/(eff_sb*Kam_nom^2*fmax*kHz)/mW</f>
        <v>2.8635026453842793</v>
      </c>
      <c r="E47" s="49" t="s">
        <v>64</v>
      </c>
      <c r="F47" s="144"/>
      <c r="G47" s="145"/>
    </row>
    <row r="48" spans="2:9" s="1" customFormat="1" ht="18.75" customHeight="1" x14ac:dyDescent="0.25">
      <c r="D48" s="56"/>
      <c r="E48" s="56"/>
      <c r="F48" s="57"/>
    </row>
    <row r="49" spans="2:10" ht="18.75" customHeight="1" x14ac:dyDescent="0.25">
      <c r="B49" s="183" t="s">
        <v>62</v>
      </c>
      <c r="C49" s="183"/>
      <c r="D49" s="183" t="s">
        <v>171</v>
      </c>
      <c r="E49" s="183"/>
      <c r="F49" s="176" t="s">
        <v>172</v>
      </c>
      <c r="G49" s="183" t="s">
        <v>24</v>
      </c>
      <c r="H49" s="183"/>
      <c r="I49" s="183"/>
      <c r="J49" s="183"/>
    </row>
    <row r="50" spans="2:10" ht="18.75" customHeight="1" x14ac:dyDescent="0.25">
      <c r="B50" s="183"/>
      <c r="C50" s="183"/>
      <c r="D50" s="200" t="s">
        <v>227</v>
      </c>
      <c r="E50" s="202" t="s">
        <v>228</v>
      </c>
      <c r="F50" s="176"/>
      <c r="G50" s="183"/>
      <c r="H50" s="183"/>
      <c r="I50" s="183"/>
      <c r="J50" s="183"/>
    </row>
    <row r="51" spans="2:10" ht="18.75" customHeight="1" thickBot="1" x14ac:dyDescent="0.3">
      <c r="B51" s="207"/>
      <c r="C51" s="207"/>
      <c r="D51" s="201"/>
      <c r="E51" s="203"/>
      <c r="F51" s="206"/>
      <c r="G51" s="207"/>
      <c r="H51" s="207"/>
      <c r="I51" s="207"/>
      <c r="J51" s="207"/>
    </row>
    <row r="52" spans="2:10" ht="18.75" customHeight="1" x14ac:dyDescent="0.25">
      <c r="B52" s="146" t="s">
        <v>388</v>
      </c>
      <c r="C52" s="147"/>
      <c r="D52" s="147"/>
      <c r="E52" s="147"/>
      <c r="F52" s="147"/>
      <c r="G52" s="147"/>
      <c r="H52" s="147"/>
      <c r="I52" s="147"/>
      <c r="J52" s="148"/>
    </row>
    <row r="53" spans="2:10" ht="18.75" customHeight="1" x14ac:dyDescent="0.25">
      <c r="B53" s="37" t="s">
        <v>65</v>
      </c>
      <c r="C53" s="11" t="s">
        <v>253</v>
      </c>
      <c r="D53" s="42">
        <f>Vocv*Iocc_target_max/efficiency</f>
        <v>9.8823529411764692</v>
      </c>
      <c r="E53" s="42">
        <f>Pin</f>
        <v>9.8823529411764692</v>
      </c>
      <c r="F53" s="40" t="s">
        <v>7</v>
      </c>
      <c r="G53" s="140"/>
      <c r="H53" s="140"/>
      <c r="I53" s="140"/>
      <c r="J53" s="141"/>
    </row>
    <row r="54" spans="2:10" ht="18.75" customHeight="1" x14ac:dyDescent="0.25">
      <c r="B54" s="37" t="s">
        <v>197</v>
      </c>
      <c r="C54" s="58" t="s">
        <v>254</v>
      </c>
      <c r="D54" s="59">
        <f>E54</f>
        <v>0</v>
      </c>
      <c r="E54" s="83">
        <v>0</v>
      </c>
      <c r="F54" s="40"/>
      <c r="G54" s="204" t="s">
        <v>175</v>
      </c>
      <c r="H54" s="204"/>
      <c r="I54" s="204"/>
      <c r="J54" s="205"/>
    </row>
    <row r="55" spans="2:10" ht="18.75" customHeight="1" x14ac:dyDescent="0.25">
      <c r="B55" s="45" t="s">
        <v>174</v>
      </c>
      <c r="C55" s="11" t="s">
        <v>255</v>
      </c>
      <c r="D55" s="42">
        <f>Vin_min*SQRT(2)*0.55</f>
        <v>202.23253941935261</v>
      </c>
      <c r="E55" s="42">
        <f>Vbulk_valley_rcmd</f>
        <v>202.23253941935261</v>
      </c>
      <c r="F55" s="40" t="s">
        <v>4</v>
      </c>
      <c r="G55" s="149" t="s">
        <v>176</v>
      </c>
      <c r="H55" s="149"/>
      <c r="I55" s="149"/>
      <c r="J55" s="150"/>
    </row>
    <row r="56" spans="2:10" s="89" customFormat="1" ht="36" customHeight="1" x14ac:dyDescent="0.25">
      <c r="B56" s="84" t="s">
        <v>408</v>
      </c>
      <c r="C56" s="85" t="s">
        <v>422</v>
      </c>
      <c r="D56" s="86">
        <f>'LOOKUP TABLES AND DROPDOWN LIST'!J20</f>
        <v>1.5</v>
      </c>
      <c r="E56" s="87">
        <v>1.5</v>
      </c>
      <c r="F56" s="88" t="s">
        <v>14</v>
      </c>
      <c r="G56" s="163" t="s">
        <v>455</v>
      </c>
      <c r="H56" s="163"/>
      <c r="I56" s="163"/>
      <c r="J56" s="164"/>
    </row>
    <row r="57" spans="2:10" ht="18.75" customHeight="1" x14ac:dyDescent="0.25">
      <c r="B57" s="37" t="s">
        <v>69</v>
      </c>
      <c r="C57" s="11" t="s">
        <v>256</v>
      </c>
      <c r="D57" s="42">
        <f>'LOOKUP TABLES AND DROPDOWN LIST'!L48</f>
        <v>206.10269472065761</v>
      </c>
      <c r="E57" s="42">
        <f>Vbulkvalley</f>
        <v>206.10269472065761</v>
      </c>
      <c r="F57" s="40" t="s">
        <v>4</v>
      </c>
      <c r="G57" s="178"/>
      <c r="H57" s="178"/>
      <c r="I57" s="178"/>
      <c r="J57" s="179"/>
    </row>
    <row r="58" spans="2:10" ht="18.75" customHeight="1" x14ac:dyDescent="0.25">
      <c r="B58" s="37" t="s">
        <v>90</v>
      </c>
      <c r="C58" s="11" t="s">
        <v>257</v>
      </c>
      <c r="D58" s="42">
        <f>(2*(Pin)/Vbulkmin_rcmd)/SQRT('LOOKUP TABLES AND DROPDOWN LIST'!L47/(t_line*ms))</f>
        <v>0.24342941916364635</v>
      </c>
      <c r="E58" s="42">
        <f>(2*(E53)/Vbulk_min)/SQRT(tcharge_3/(t_line*ms))</f>
        <v>0.24342941916364635</v>
      </c>
      <c r="F58" s="40" t="s">
        <v>6</v>
      </c>
      <c r="G58" s="178"/>
      <c r="H58" s="178"/>
      <c r="I58" s="178"/>
      <c r="J58" s="179"/>
    </row>
    <row r="59" spans="2:10" ht="18.75" customHeight="1" x14ac:dyDescent="0.25">
      <c r="B59" s="37" t="s">
        <v>70</v>
      </c>
      <c r="C59" s="11" t="s">
        <v>258</v>
      </c>
      <c r="D59" s="42">
        <f>(((Cbulk_rcmd*uF)*((Vin_min*SQRT(2))-Vbulkmin_rcmd)/'LOOKUP TABLES AND DROPDOWN LIST'!L47)/SQRT(3))/mA</f>
        <v>44.185681363793606</v>
      </c>
      <c r="E59" s="42">
        <f>(((Cbulk*uF)*((Vin_min*SQRT(2))-Vbulk_min)/tcharge_3)/SQRT(3))/mA</f>
        <v>44.185681363793606</v>
      </c>
      <c r="F59" s="40" t="s">
        <v>22</v>
      </c>
      <c r="G59" s="178"/>
      <c r="H59" s="178"/>
      <c r="I59" s="178"/>
      <c r="J59" s="179"/>
    </row>
    <row r="60" spans="2:10" ht="18.75" customHeight="1" thickBot="1" x14ac:dyDescent="0.3">
      <c r="B60" s="61" t="s">
        <v>71</v>
      </c>
      <c r="C60" s="62" t="s">
        <v>259</v>
      </c>
      <c r="D60" s="62">
        <f>MROUND(Vin_max*SQRT(2),100)</f>
        <v>400</v>
      </c>
      <c r="E60" s="62">
        <f>Vcin_rated</f>
        <v>400</v>
      </c>
      <c r="F60" s="63" t="s">
        <v>4</v>
      </c>
      <c r="G60" s="188"/>
      <c r="H60" s="188"/>
      <c r="I60" s="188"/>
      <c r="J60" s="189"/>
    </row>
    <row r="61" spans="2:10" ht="18.75" customHeight="1" x14ac:dyDescent="0.25">
      <c r="B61" s="146" t="s">
        <v>89</v>
      </c>
      <c r="C61" s="147"/>
      <c r="D61" s="147"/>
      <c r="E61" s="147"/>
      <c r="F61" s="147"/>
      <c r="G61" s="208"/>
      <c r="H61" s="208"/>
      <c r="I61" s="208"/>
      <c r="J61" s="209"/>
    </row>
    <row r="62" spans="2:10" ht="18.75" customHeight="1" x14ac:dyDescent="0.25">
      <c r="B62" s="64" t="s">
        <v>179</v>
      </c>
      <c r="C62" s="65" t="s">
        <v>260</v>
      </c>
      <c r="D62" s="65">
        <f>MROUND(Vin_max,50)</f>
        <v>250</v>
      </c>
      <c r="E62" s="11">
        <f>Vfuse</f>
        <v>250</v>
      </c>
      <c r="F62" s="66" t="s">
        <v>162</v>
      </c>
      <c r="G62" s="153"/>
      <c r="H62" s="153"/>
      <c r="I62" s="153"/>
      <c r="J62" s="154"/>
    </row>
    <row r="63" spans="2:10" ht="18.75" customHeight="1" thickBot="1" x14ac:dyDescent="0.3">
      <c r="B63" s="61" t="s">
        <v>178</v>
      </c>
      <c r="C63" s="62" t="s">
        <v>257</v>
      </c>
      <c r="D63" s="67">
        <f>(2*(Pin)/Vbulkmin_rcmd)/(SQRT('LOOKUP TABLES AND DROPDOWN LIST'!L47/(t_line*ms)))</f>
        <v>0.24342941916364635</v>
      </c>
      <c r="E63" s="67">
        <f>(2*(E53)/Vbulk_min)/(SQRT(tcharge_3/(t_line*ms)))</f>
        <v>0.24342941916364635</v>
      </c>
      <c r="F63" s="63" t="s">
        <v>6</v>
      </c>
      <c r="G63" s="165"/>
      <c r="H63" s="165"/>
      <c r="I63" s="165"/>
      <c r="J63" s="166"/>
    </row>
    <row r="64" spans="2:10" ht="18.75" customHeight="1" x14ac:dyDescent="0.25">
      <c r="B64" s="146" t="s">
        <v>102</v>
      </c>
      <c r="C64" s="147"/>
      <c r="D64" s="147"/>
      <c r="E64" s="147"/>
      <c r="F64" s="147"/>
      <c r="G64" s="208"/>
      <c r="H64" s="208"/>
      <c r="I64" s="208"/>
      <c r="J64" s="209"/>
    </row>
    <row r="65" spans="2:10" ht="18.75" customHeight="1" x14ac:dyDescent="0.25">
      <c r="B65" s="37" t="s">
        <v>180</v>
      </c>
      <c r="C65" s="11" t="s">
        <v>261</v>
      </c>
      <c r="D65" s="11">
        <f>MROUND(Vin_max*SQRT(2),100)</f>
        <v>400</v>
      </c>
      <c r="E65" s="11">
        <f>Vbridge</f>
        <v>400</v>
      </c>
      <c r="F65" s="40" t="s">
        <v>4</v>
      </c>
      <c r="G65" s="140"/>
      <c r="H65" s="140"/>
      <c r="I65" s="140"/>
      <c r="J65" s="141"/>
    </row>
    <row r="66" spans="2:10" ht="18.75" customHeight="1" x14ac:dyDescent="0.25">
      <c r="B66" s="37" t="s">
        <v>181</v>
      </c>
      <c r="C66" s="11" t="s">
        <v>262</v>
      </c>
      <c r="D66" s="42">
        <f>2*(Pin)/Vbulkmin_rcmd</f>
        <v>9.5897367616377543E-2</v>
      </c>
      <c r="E66" s="42">
        <f>2*(E53)/Vbulk_min</f>
        <v>9.5897367616377543E-2</v>
      </c>
      <c r="F66" s="40" t="s">
        <v>6</v>
      </c>
      <c r="G66" s="140"/>
      <c r="H66" s="140"/>
      <c r="I66" s="140"/>
      <c r="J66" s="141"/>
    </row>
    <row r="67" spans="2:10" s="89" customFormat="1" ht="18.75" customHeight="1" x14ac:dyDescent="0.25">
      <c r="B67" s="90" t="s">
        <v>182</v>
      </c>
      <c r="C67" s="85" t="s">
        <v>423</v>
      </c>
      <c r="D67" s="91">
        <v>0.9</v>
      </c>
      <c r="E67" s="92">
        <v>0.86</v>
      </c>
      <c r="F67" s="88" t="s">
        <v>4</v>
      </c>
      <c r="G67" s="163" t="s">
        <v>424</v>
      </c>
      <c r="H67" s="163"/>
      <c r="I67" s="163"/>
      <c r="J67" s="164"/>
    </row>
    <row r="68" spans="2:10" ht="18.75" customHeight="1" thickBot="1" x14ac:dyDescent="0.3">
      <c r="B68" s="61" t="s">
        <v>103</v>
      </c>
      <c r="C68" s="62" t="s">
        <v>263</v>
      </c>
      <c r="D68" s="67">
        <f>2*Vf_bridge_rcmd*Icin_rcmd*mA</f>
        <v>7.9534226454828494E-2</v>
      </c>
      <c r="E68" s="67">
        <f>2*Vf_bridge*Icin*mA</f>
        <v>7.5999371945725008E-2</v>
      </c>
      <c r="F68" s="63" t="s">
        <v>7</v>
      </c>
      <c r="G68" s="165"/>
      <c r="H68" s="165"/>
      <c r="I68" s="165"/>
      <c r="J68" s="166"/>
    </row>
    <row r="69" spans="2:10" ht="18.75" customHeight="1" x14ac:dyDescent="0.25">
      <c r="B69" s="146" t="s">
        <v>184</v>
      </c>
      <c r="C69" s="147"/>
      <c r="D69" s="147"/>
      <c r="E69" s="147"/>
      <c r="F69" s="147"/>
      <c r="G69" s="147"/>
      <c r="H69" s="147"/>
      <c r="I69" s="147"/>
      <c r="J69" s="148"/>
    </row>
    <row r="70" spans="2:10" s="89" customFormat="1" ht="18.75" customHeight="1" x14ac:dyDescent="0.25">
      <c r="B70" s="90" t="s">
        <v>185</v>
      </c>
      <c r="C70" s="85" t="s">
        <v>425</v>
      </c>
      <c r="D70" s="93">
        <v>0.44</v>
      </c>
      <c r="E70" s="94">
        <v>0.22</v>
      </c>
      <c r="F70" s="95" t="s">
        <v>4</v>
      </c>
      <c r="G70" s="163" t="s">
        <v>426</v>
      </c>
      <c r="H70" s="163"/>
      <c r="I70" s="163"/>
      <c r="J70" s="164"/>
    </row>
    <row r="71" spans="2:10" ht="18.75" customHeight="1" x14ac:dyDescent="0.25">
      <c r="B71" s="37" t="s">
        <v>72</v>
      </c>
      <c r="C71" s="11" t="s">
        <v>264</v>
      </c>
      <c r="D71" s="11">
        <v>0.432</v>
      </c>
      <c r="E71" s="11">
        <f>Ddemag_cc</f>
        <v>0.432</v>
      </c>
      <c r="F71" s="40"/>
      <c r="G71" s="149" t="s">
        <v>135</v>
      </c>
      <c r="H71" s="149"/>
      <c r="I71" s="149"/>
      <c r="J71" s="150"/>
    </row>
    <row r="72" spans="2:10" ht="18.75" customHeight="1" x14ac:dyDescent="0.25">
      <c r="B72" s="37" t="s">
        <v>73</v>
      </c>
      <c r="C72" s="11" t="s">
        <v>265</v>
      </c>
      <c r="D72" s="68">
        <f>(1/(fmax*kHz))/us</f>
        <v>12.500000000000002</v>
      </c>
      <c r="E72" s="68">
        <f>tsw_target</f>
        <v>12.500000000000002</v>
      </c>
      <c r="F72" s="40" t="s">
        <v>23</v>
      </c>
      <c r="G72" s="140"/>
      <c r="H72" s="140"/>
      <c r="I72" s="140"/>
      <c r="J72" s="141"/>
    </row>
    <row r="73" spans="2:10" s="89" customFormat="1" ht="18.75" customHeight="1" x14ac:dyDescent="0.25">
      <c r="B73" s="90" t="s">
        <v>214</v>
      </c>
      <c r="C73" s="85" t="s">
        <v>427</v>
      </c>
      <c r="D73" s="91">
        <v>0.5</v>
      </c>
      <c r="E73" s="92">
        <v>0.5</v>
      </c>
      <c r="F73" s="88" t="s">
        <v>104</v>
      </c>
      <c r="G73" s="194" t="s">
        <v>409</v>
      </c>
      <c r="H73" s="194"/>
      <c r="I73" s="194"/>
      <c r="J73" s="195"/>
    </row>
    <row r="74" spans="2:10" ht="18.75" customHeight="1" x14ac:dyDescent="0.25">
      <c r="B74" s="37" t="s">
        <v>74</v>
      </c>
      <c r="C74" s="11" t="s">
        <v>266</v>
      </c>
      <c r="D74" s="42">
        <f>1/(fres_rcmd*MHz)/us</f>
        <v>2</v>
      </c>
      <c r="E74" s="42">
        <f>1/(fres*MHz)/us</f>
        <v>2</v>
      </c>
      <c r="F74" s="40" t="s">
        <v>23</v>
      </c>
      <c r="G74" s="140"/>
      <c r="H74" s="140"/>
      <c r="I74" s="140"/>
      <c r="J74" s="141"/>
    </row>
    <row r="75" spans="2:10" ht="18.75" customHeight="1" x14ac:dyDescent="0.25">
      <c r="B75" s="37" t="s">
        <v>75</v>
      </c>
      <c r="C75" s="11" t="s">
        <v>267</v>
      </c>
      <c r="D75" s="42">
        <f>1-Ddemag_cc-(((tr_rcmd*us)/2)*(fmax*kHz))</f>
        <v>0.48800000000000004</v>
      </c>
      <c r="E75" s="11">
        <f>1-Ddemag_cc-(((tr*us)/2)*(fmax*kHz))</f>
        <v>0.48800000000000004</v>
      </c>
      <c r="F75" s="40"/>
      <c r="G75" s="140"/>
      <c r="H75" s="140"/>
      <c r="I75" s="140"/>
      <c r="J75" s="141"/>
    </row>
    <row r="76" spans="2:10" s="89" customFormat="1" ht="18.75" customHeight="1" x14ac:dyDescent="0.25">
      <c r="B76" s="96" t="s">
        <v>412</v>
      </c>
      <c r="C76" s="97" t="s">
        <v>428</v>
      </c>
      <c r="D76" s="91">
        <f>(Dmax_target_rcmd*Vbulkmin_rcmd)/(Ddemag_cc*(Vocv+Vf_rcmd+Vocbc))</f>
        <v>18.419280910044709</v>
      </c>
      <c r="E76" s="92">
        <v>18</v>
      </c>
      <c r="F76" s="88"/>
      <c r="G76" s="163" t="s">
        <v>410</v>
      </c>
      <c r="H76" s="163"/>
      <c r="I76" s="163"/>
      <c r="J76" s="164"/>
    </row>
    <row r="77" spans="2:10" ht="18.75" customHeight="1" x14ac:dyDescent="0.25">
      <c r="B77" s="37" t="s">
        <v>191</v>
      </c>
      <c r="C77" s="11" t="s">
        <v>268</v>
      </c>
      <c r="D77" s="11">
        <v>0.91</v>
      </c>
      <c r="E77" s="11">
        <f>eff_xfmr</f>
        <v>0.91</v>
      </c>
      <c r="F77" s="40"/>
      <c r="G77" s="140"/>
      <c r="H77" s="140"/>
      <c r="I77" s="140"/>
      <c r="J77" s="141"/>
    </row>
    <row r="78" spans="2:10" ht="18.75" customHeight="1" x14ac:dyDescent="0.25">
      <c r="B78" s="37" t="s">
        <v>193</v>
      </c>
      <c r="C78" s="11" t="s">
        <v>269</v>
      </c>
      <c r="D78" s="42">
        <f>Nps_ideal*(Vocv+Vf_rcmd+Vocbc)</f>
        <v>232.8197107029651</v>
      </c>
      <c r="E78" s="11">
        <f>Nps*(Vocv+Vf+Vocbc)</f>
        <v>223.56</v>
      </c>
      <c r="F78" s="40" t="s">
        <v>4</v>
      </c>
      <c r="G78" s="140"/>
      <c r="H78" s="140"/>
      <c r="I78" s="140"/>
      <c r="J78" s="141"/>
    </row>
    <row r="79" spans="2:10" ht="18.75" customHeight="1" x14ac:dyDescent="0.25">
      <c r="B79" s="45" t="s">
        <v>186</v>
      </c>
      <c r="C79" s="11" t="s">
        <v>270</v>
      </c>
      <c r="D79" s="42">
        <f>(Vocv+(Vin_max*SQRT(2))/Nps_ideal)*1.3</f>
        <v>42.549421251415815</v>
      </c>
      <c r="E79" s="42">
        <f>(Vocv+(Vin_max*SQRT(2))/Nps)*1.3</f>
        <v>43.177164466275357</v>
      </c>
      <c r="F79" s="40" t="s">
        <v>4</v>
      </c>
      <c r="G79" s="196" t="str">
        <f>IF(D79&gt;50,"","UCC24610 SR Controller Can Be Used to Further Improve Efficiency")</f>
        <v>UCC24610 SR Controller Can Be Used to Further Improve Efficiency</v>
      </c>
      <c r="H79" s="196"/>
      <c r="I79" s="196"/>
      <c r="J79" s="197"/>
    </row>
    <row r="80" spans="2:10" ht="18.75" customHeight="1" x14ac:dyDescent="0.25">
      <c r="B80" s="37" t="s">
        <v>78</v>
      </c>
      <c r="C80" s="11" t="s">
        <v>271</v>
      </c>
      <c r="D80" s="42">
        <f>(((Vocv+Vf_rcmd+Vocbc)*Nps_ideal*((1/(fmax*kHz))-((tr_rcmd*us)/2)))/(Vbulkmin_rcmd+((Vocv+Vf_rcmd+Vocbc)*Nps_ideal)))/us</f>
        <v>6.1000000000000005</v>
      </c>
      <c r="E80" s="42">
        <f>(((Vocv+Vf+Vocbc)*Nps*((1/(fmax*kHz))-((tr*us)/2)))/(Vbulk_min+((Vocv+Vf+Vocbc)*Nps)))/us</f>
        <v>5.9836239719891893</v>
      </c>
      <c r="F80" s="40" t="s">
        <v>23</v>
      </c>
      <c r="G80" s="198"/>
      <c r="H80" s="198"/>
      <c r="I80" s="198"/>
      <c r="J80" s="199"/>
    </row>
    <row r="81" spans="2:10" ht="18.75" customHeight="1" x14ac:dyDescent="0.25">
      <c r="B81" s="64" t="s">
        <v>95</v>
      </c>
      <c r="C81" s="65" t="s">
        <v>272</v>
      </c>
      <c r="D81" s="65">
        <v>310</v>
      </c>
      <c r="E81" s="65">
        <f>Vccr_min</f>
        <v>310</v>
      </c>
      <c r="F81" s="66" t="s">
        <v>8</v>
      </c>
      <c r="G81" s="190" t="s">
        <v>135</v>
      </c>
      <c r="H81" s="190"/>
      <c r="I81" s="190"/>
      <c r="J81" s="191"/>
    </row>
    <row r="82" spans="2:10" ht="18.75" customHeight="1" x14ac:dyDescent="0.25">
      <c r="B82" s="64" t="s">
        <v>96</v>
      </c>
      <c r="C82" s="65" t="s">
        <v>273</v>
      </c>
      <c r="D82" s="65">
        <v>319</v>
      </c>
      <c r="E82" s="65">
        <f>Vccr_nom</f>
        <v>319</v>
      </c>
      <c r="F82" s="66" t="s">
        <v>8</v>
      </c>
      <c r="G82" s="190" t="s">
        <v>135</v>
      </c>
      <c r="H82" s="190"/>
      <c r="I82" s="190"/>
      <c r="J82" s="191"/>
    </row>
    <row r="83" spans="2:10" ht="18.75" customHeight="1" x14ac:dyDescent="0.25">
      <c r="B83" s="64" t="s">
        <v>95</v>
      </c>
      <c r="C83" s="65" t="s">
        <v>274</v>
      </c>
      <c r="D83" s="65">
        <v>329</v>
      </c>
      <c r="E83" s="65">
        <f>Vccr_max</f>
        <v>329</v>
      </c>
      <c r="F83" s="66" t="s">
        <v>8</v>
      </c>
      <c r="G83" s="190" t="s">
        <v>135</v>
      </c>
      <c r="H83" s="190"/>
      <c r="I83" s="190"/>
      <c r="J83" s="191"/>
    </row>
    <row r="84" spans="2:10" s="89" customFormat="1" ht="18.75" customHeight="1" x14ac:dyDescent="0.25">
      <c r="B84" s="90" t="s">
        <v>413</v>
      </c>
      <c r="C84" s="85" t="s">
        <v>429</v>
      </c>
      <c r="D84" s="91">
        <f>Vccr_min*mV*Nps_ideal*SQRT(eff_xfmr)/(2*Iocc_target_max)</f>
        <v>3.8906935555862554</v>
      </c>
      <c r="E84" s="92">
        <v>3.891</v>
      </c>
      <c r="F84" s="88" t="s">
        <v>31</v>
      </c>
      <c r="G84" s="192" t="s">
        <v>199</v>
      </c>
      <c r="H84" s="192"/>
      <c r="I84" s="192"/>
      <c r="J84" s="193"/>
    </row>
    <row r="85" spans="2:10" ht="18.75" customHeight="1" x14ac:dyDescent="0.25">
      <c r="B85" s="37" t="s">
        <v>91</v>
      </c>
      <c r="C85" s="11" t="s">
        <v>275</v>
      </c>
      <c r="D85" s="11">
        <v>710</v>
      </c>
      <c r="E85" s="11">
        <f>Vcstmax_min</f>
        <v>710</v>
      </c>
      <c r="F85" s="40" t="s">
        <v>8</v>
      </c>
      <c r="G85" s="149" t="s">
        <v>135</v>
      </c>
      <c r="H85" s="149"/>
      <c r="I85" s="149"/>
      <c r="J85" s="150"/>
    </row>
    <row r="86" spans="2:10" ht="18.75" customHeight="1" x14ac:dyDescent="0.25">
      <c r="B86" s="37" t="s">
        <v>79</v>
      </c>
      <c r="C86" s="11" t="s">
        <v>276</v>
      </c>
      <c r="D86" s="11">
        <v>740</v>
      </c>
      <c r="E86" s="11">
        <f>Vcstmax_nom</f>
        <v>740</v>
      </c>
      <c r="F86" s="40" t="s">
        <v>8</v>
      </c>
      <c r="G86" s="149" t="s">
        <v>135</v>
      </c>
      <c r="H86" s="149"/>
      <c r="I86" s="149"/>
      <c r="J86" s="150"/>
    </row>
    <row r="87" spans="2:10" ht="18.75" customHeight="1" x14ac:dyDescent="0.25">
      <c r="B87" s="37" t="s">
        <v>80</v>
      </c>
      <c r="C87" s="11" t="s">
        <v>277</v>
      </c>
      <c r="D87" s="11">
        <v>770</v>
      </c>
      <c r="E87" s="11">
        <f>Vcstmax_max</f>
        <v>770</v>
      </c>
      <c r="F87" s="40" t="s">
        <v>8</v>
      </c>
      <c r="G87" s="149" t="s">
        <v>135</v>
      </c>
      <c r="H87" s="149"/>
      <c r="I87" s="149"/>
      <c r="J87" s="150"/>
    </row>
    <row r="88" spans="2:10" ht="18.75" customHeight="1" x14ac:dyDescent="0.25">
      <c r="B88" s="37" t="s">
        <v>92</v>
      </c>
      <c r="C88" s="11" t="s">
        <v>278</v>
      </c>
      <c r="D88" s="42">
        <f>Vcstmax_min*mV/Rcs_rcmd</f>
        <v>0.18248674429282213</v>
      </c>
      <c r="E88" s="42">
        <f>Vcstmax_min*mV/Rcs</f>
        <v>0.18247237214083781</v>
      </c>
      <c r="F88" s="40" t="s">
        <v>6</v>
      </c>
      <c r="G88" s="174"/>
      <c r="H88" s="174"/>
      <c r="I88" s="174"/>
      <c r="J88" s="175"/>
    </row>
    <row r="89" spans="2:10" ht="18.75" customHeight="1" x14ac:dyDescent="0.25">
      <c r="B89" s="37" t="s">
        <v>93</v>
      </c>
      <c r="C89" s="11" t="s">
        <v>279</v>
      </c>
      <c r="D89" s="42">
        <f>Vcstmax_nom*mV/Rcs_rcmd</f>
        <v>0.19019745179815264</v>
      </c>
      <c r="E89" s="42">
        <f>Vcstmax_nom*mV/Rcs</f>
        <v>0.19018247237214084</v>
      </c>
      <c r="F89" s="40" t="s">
        <v>6</v>
      </c>
      <c r="G89" s="176"/>
      <c r="H89" s="176"/>
      <c r="I89" s="176"/>
      <c r="J89" s="177"/>
    </row>
    <row r="90" spans="2:10" ht="18.75" customHeight="1" x14ac:dyDescent="0.25">
      <c r="B90" s="37" t="s">
        <v>94</v>
      </c>
      <c r="C90" s="11" t="s">
        <v>280</v>
      </c>
      <c r="D90" s="42">
        <f>Vcstmax_max*mV/Rcs_rcmd</f>
        <v>0.19790815930348318</v>
      </c>
      <c r="E90" s="42">
        <f>Vcstmax_max*mV/Rcs</f>
        <v>0.19789257260344384</v>
      </c>
      <c r="F90" s="40" t="s">
        <v>6</v>
      </c>
      <c r="G90" s="140"/>
      <c r="H90" s="140"/>
      <c r="I90" s="140"/>
      <c r="J90" s="141"/>
    </row>
    <row r="91" spans="2:10" ht="18.75" customHeight="1" x14ac:dyDescent="0.25">
      <c r="B91" s="37" t="s">
        <v>212</v>
      </c>
      <c r="C91" s="11" t="s">
        <v>281</v>
      </c>
      <c r="D91" s="42">
        <f>(Ipp_nom_rcmd/2)*Nps_ideal*Ddemag_cc</f>
        <v>0.75671286329769005</v>
      </c>
      <c r="E91" s="42">
        <f>(Ipp_nom/2)*Nps*Ddemag_cc</f>
        <v>0.73942945258288351</v>
      </c>
      <c r="F91" s="40" t="s">
        <v>6</v>
      </c>
      <c r="G91" s="140"/>
      <c r="H91" s="140"/>
      <c r="I91" s="140"/>
      <c r="J91" s="141"/>
    </row>
    <row r="92" spans="2:10" ht="18.75" customHeight="1" x14ac:dyDescent="0.25">
      <c r="B92" s="37" t="s">
        <v>198</v>
      </c>
      <c r="C92" s="11" t="s">
        <v>282</v>
      </c>
      <c r="D92" s="42">
        <f>Ipp_max_rcmd*Nps_ideal*Ddemag_cc/2</f>
        <v>0.78739041180975877</v>
      </c>
      <c r="E92" s="42">
        <f>Ipp_max*Nps*Ddemag_cc/2</f>
        <v>0.76940632228218964</v>
      </c>
      <c r="F92" s="40" t="s">
        <v>6</v>
      </c>
      <c r="G92" s="183"/>
      <c r="H92" s="183"/>
      <c r="I92" s="183"/>
      <c r="J92" s="184"/>
    </row>
    <row r="93" spans="2:10" s="89" customFormat="1" ht="18.75" customHeight="1" x14ac:dyDescent="0.25">
      <c r="B93" s="98" t="s">
        <v>414</v>
      </c>
      <c r="C93" s="99" t="s">
        <v>430</v>
      </c>
      <c r="D93" s="100">
        <f>((2*(Vocv+Vf_rcmd+Vocbc)*Iocc_target_max)/((Ipp_nom_rcmd^2)*(fmax*kHz)*eff_xfmr))/uH</f>
        <v>6719.4595220259198</v>
      </c>
      <c r="E93" s="101">
        <v>6600</v>
      </c>
      <c r="F93" s="102" t="s">
        <v>33</v>
      </c>
      <c r="G93" s="185" t="s">
        <v>201</v>
      </c>
      <c r="H93" s="186"/>
      <c r="I93" s="186"/>
      <c r="J93" s="187"/>
    </row>
    <row r="94" spans="2:10" ht="18.75" customHeight="1" x14ac:dyDescent="0.25">
      <c r="B94" s="37" t="s">
        <v>110</v>
      </c>
      <c r="C94" s="11" t="s">
        <v>283</v>
      </c>
      <c r="D94" s="42">
        <v>8.1</v>
      </c>
      <c r="E94" s="42">
        <f>VDDoff_max</f>
        <v>8.1</v>
      </c>
      <c r="F94" s="40" t="s">
        <v>4</v>
      </c>
      <c r="G94" s="149" t="s">
        <v>135</v>
      </c>
      <c r="H94" s="149"/>
      <c r="I94" s="149"/>
      <c r="J94" s="150"/>
    </row>
    <row r="95" spans="2:10" ht="18.75" customHeight="1" x14ac:dyDescent="0.25">
      <c r="B95" s="37" t="s">
        <v>111</v>
      </c>
      <c r="C95" s="11" t="s">
        <v>284</v>
      </c>
      <c r="D95" s="42">
        <v>7.3</v>
      </c>
      <c r="E95" s="42">
        <f>VDDoff_min</f>
        <v>7.3</v>
      </c>
      <c r="F95" s="40" t="s">
        <v>4</v>
      </c>
      <c r="G95" s="149" t="s">
        <v>135</v>
      </c>
      <c r="H95" s="149"/>
      <c r="I95" s="149"/>
      <c r="J95" s="150"/>
    </row>
    <row r="96" spans="2:10" s="89" customFormat="1" ht="18.75" customHeight="1" x14ac:dyDescent="0.25">
      <c r="B96" s="90" t="s">
        <v>107</v>
      </c>
      <c r="C96" s="85" t="s">
        <v>431</v>
      </c>
      <c r="D96" s="91">
        <v>0.7</v>
      </c>
      <c r="E96" s="92">
        <v>0.7</v>
      </c>
      <c r="F96" s="88" t="s">
        <v>4</v>
      </c>
      <c r="G96" s="103" t="s">
        <v>203</v>
      </c>
      <c r="H96" s="104"/>
      <c r="I96" s="104"/>
      <c r="J96" s="105"/>
    </row>
    <row r="97" spans="2:10" ht="18.75" customHeight="1" x14ac:dyDescent="0.25">
      <c r="B97" s="37" t="s">
        <v>226</v>
      </c>
      <c r="C97" s="11" t="s">
        <v>285</v>
      </c>
      <c r="D97" s="42">
        <f>(VDDoff_max+Vfa_rcmd)/(Vocc+Vf_rcmd)</f>
        <v>0.84291187739463591</v>
      </c>
      <c r="E97" s="42">
        <f>(VDDoff_max+Vfa)/(Vocc+Vf)</f>
        <v>0.86105675146771021</v>
      </c>
      <c r="F97" s="60"/>
      <c r="G97" s="183"/>
      <c r="H97" s="183"/>
      <c r="I97" s="183"/>
      <c r="J97" s="184"/>
    </row>
    <row r="98" spans="2:10" s="89" customFormat="1" ht="18.75" customHeight="1" x14ac:dyDescent="0.25">
      <c r="B98" s="90" t="s">
        <v>415</v>
      </c>
      <c r="C98" s="85" t="s">
        <v>432</v>
      </c>
      <c r="D98" s="91">
        <f>Nps_ideal/((VDDoff_max+Vfa_rcmd)/(Vocc+Vf_rcmd+Vocbc))</f>
        <v>22.270585100326784</v>
      </c>
      <c r="E98" s="92">
        <v>18</v>
      </c>
      <c r="F98" s="95"/>
      <c r="G98" s="163" t="s">
        <v>411</v>
      </c>
      <c r="H98" s="163"/>
      <c r="I98" s="163"/>
      <c r="J98" s="164"/>
    </row>
    <row r="99" spans="2:10" ht="18.75" customHeight="1" x14ac:dyDescent="0.25">
      <c r="B99" s="37" t="s">
        <v>202</v>
      </c>
      <c r="C99" s="11" t="s">
        <v>286</v>
      </c>
      <c r="D99" s="42">
        <f>Nps_ideal/Npa_rcmd</f>
        <v>0.82706766917293228</v>
      </c>
      <c r="E99" s="42">
        <f>Nps/Npa</f>
        <v>1</v>
      </c>
      <c r="F99" s="40"/>
      <c r="G99" s="180"/>
      <c r="H99" s="181"/>
      <c r="I99" s="181"/>
      <c r="J99" s="182"/>
    </row>
    <row r="100" spans="2:10" ht="18.75" customHeight="1" x14ac:dyDescent="0.25">
      <c r="B100" s="37" t="s">
        <v>194</v>
      </c>
      <c r="C100" s="11" t="s">
        <v>287</v>
      </c>
      <c r="D100" s="11">
        <v>2.75</v>
      </c>
      <c r="E100" s="11">
        <f>Kam_min</f>
        <v>2.75</v>
      </c>
      <c r="F100" s="40"/>
      <c r="G100" s="149" t="s">
        <v>135</v>
      </c>
      <c r="H100" s="149"/>
      <c r="I100" s="149"/>
      <c r="J100" s="150"/>
    </row>
    <row r="101" spans="2:10" ht="18.75" customHeight="1" x14ac:dyDescent="0.3">
      <c r="B101" s="37" t="s">
        <v>195</v>
      </c>
      <c r="C101" s="14" t="s">
        <v>288</v>
      </c>
      <c r="D101" s="14">
        <v>2.99</v>
      </c>
      <c r="E101" s="11">
        <f>Kam_nom</f>
        <v>2.99</v>
      </c>
      <c r="F101" s="40"/>
      <c r="G101" s="149" t="s">
        <v>135</v>
      </c>
      <c r="H101" s="149"/>
      <c r="I101" s="149"/>
      <c r="J101" s="150"/>
    </row>
    <row r="102" spans="2:10" ht="18.75" customHeight="1" x14ac:dyDescent="0.25">
      <c r="B102" s="37" t="s">
        <v>196</v>
      </c>
      <c r="C102" s="11" t="s">
        <v>289</v>
      </c>
      <c r="D102" s="69">
        <v>3.2</v>
      </c>
      <c r="E102" s="69">
        <f>Kam_max</f>
        <v>3.2</v>
      </c>
      <c r="F102" s="40"/>
      <c r="G102" s="149" t="s">
        <v>135</v>
      </c>
      <c r="H102" s="149"/>
      <c r="I102" s="149"/>
      <c r="J102" s="150"/>
    </row>
    <row r="103" spans="2:10" ht="18.75" customHeight="1" x14ac:dyDescent="0.25">
      <c r="B103" s="37" t="s">
        <v>211</v>
      </c>
      <c r="C103" s="11" t="s">
        <v>290</v>
      </c>
      <c r="D103" s="42">
        <f>Ipp_nom_rcmd/Kam_nom</f>
        <v>6.3611187892358742E-2</v>
      </c>
      <c r="E103" s="42">
        <f>Ipp_nom/Kam_nom</f>
        <v>6.3606178050883214E-2</v>
      </c>
      <c r="F103" s="40" t="s">
        <v>6</v>
      </c>
      <c r="G103" s="178"/>
      <c r="H103" s="178"/>
      <c r="I103" s="178"/>
      <c r="J103" s="179"/>
    </row>
    <row r="104" spans="2:10" ht="18.75" customHeight="1" x14ac:dyDescent="0.25">
      <c r="B104" s="37" t="s">
        <v>81</v>
      </c>
      <c r="C104" s="11" t="s">
        <v>291</v>
      </c>
      <c r="D104" s="42">
        <f>(Nps_ideal*Ddemag_cc*(Vocv+Vf_rcmd+Vocbc)/(Lp_rcmd*uH*Ipp_nom_rcmd)/kHz)</f>
        <v>78.69813778295979</v>
      </c>
      <c r="E104" s="42">
        <f>(Nps*Ddemag_cc*(Vocv+Vf+Vocbc)/(Lp*uH*Ipp_nom)/kHz)</f>
        <v>76.941991547911542</v>
      </c>
      <c r="F104" s="40" t="s">
        <v>9</v>
      </c>
      <c r="G104" s="140"/>
      <c r="H104" s="140"/>
      <c r="I104" s="140"/>
      <c r="J104" s="141"/>
    </row>
    <row r="105" spans="2:10" ht="18.75" customHeight="1" x14ac:dyDescent="0.25">
      <c r="B105" s="37" t="s">
        <v>82</v>
      </c>
      <c r="C105" s="11" t="s">
        <v>292</v>
      </c>
      <c r="D105" s="42">
        <f>(1/fmax_actual_rcmd*kHz)</f>
        <v>12.706780975655134</v>
      </c>
      <c r="E105" s="42">
        <f>(1/fmax_actual*kHz)</f>
        <v>12.996804214215109</v>
      </c>
      <c r="F105" s="40" t="s">
        <v>23</v>
      </c>
      <c r="G105" s="140"/>
      <c r="H105" s="140"/>
      <c r="I105" s="140"/>
      <c r="J105" s="141"/>
    </row>
    <row r="106" spans="2:10" ht="18.75" customHeight="1" x14ac:dyDescent="0.25">
      <c r="B106" s="37" t="s">
        <v>83</v>
      </c>
      <c r="C106" s="11" t="s">
        <v>293</v>
      </c>
      <c r="D106" s="42">
        <f>Ipp_nom_rcmd*Lp_rcmd/Vbulkmin_rcmd</f>
        <v>6.2009091161197061</v>
      </c>
      <c r="E106" s="42">
        <f>Ipp_nom*Lp/Vbulk_min</f>
        <v>6.090188773889528</v>
      </c>
      <c r="F106" s="40" t="s">
        <v>23</v>
      </c>
      <c r="G106" s="140"/>
      <c r="H106" s="140"/>
      <c r="I106" s="140"/>
      <c r="J106" s="141"/>
    </row>
    <row r="107" spans="2:10" ht="18.75" customHeight="1" x14ac:dyDescent="0.25">
      <c r="B107" s="37" t="s">
        <v>87</v>
      </c>
      <c r="C107" s="11" t="s">
        <v>294</v>
      </c>
      <c r="D107" s="11">
        <f>(ton_max_rcmd*us)*(fmax_actual_rcmd*kHz)</f>
        <v>0.48800000000000004</v>
      </c>
      <c r="E107" s="42">
        <f>(ton_max*us)*(fmax_actual*kHz)</f>
        <v>0.46859125316579375</v>
      </c>
      <c r="F107" s="40"/>
      <c r="G107" s="140"/>
      <c r="H107" s="140"/>
      <c r="I107" s="140"/>
      <c r="J107" s="141"/>
    </row>
    <row r="108" spans="2:10" ht="18.75" customHeight="1" x14ac:dyDescent="0.25">
      <c r="B108" s="37" t="s">
        <v>88</v>
      </c>
      <c r="C108" s="11" t="s">
        <v>295</v>
      </c>
      <c r="D108" s="42">
        <f>(Lp_rcmd*uH)*Ipp_nom_rcmd/(Nps_ideal*(Vocv+Vf_rcmd+Vocbc))/us</f>
        <v>5.4893293814830191</v>
      </c>
      <c r="E108" s="42">
        <f>(Lp*uH)*Ipp_nom/(Nps*(Vocv+Vf+Vocbc))/us</f>
        <v>5.6146194205409268</v>
      </c>
      <c r="F108" s="40" t="s">
        <v>23</v>
      </c>
      <c r="G108" s="140"/>
      <c r="H108" s="140"/>
      <c r="I108" s="140"/>
      <c r="J108" s="141"/>
    </row>
    <row r="109" spans="2:10" ht="18.75" customHeight="1" x14ac:dyDescent="0.25">
      <c r="B109" s="37" t="s">
        <v>84</v>
      </c>
      <c r="C109" s="11" t="s">
        <v>296</v>
      </c>
      <c r="D109" s="42">
        <f>(Ipp_nom_rcmd/SQRT(3))*(SQRT(ton_max_rcmd/tsw_actual_rcmd))</f>
        <v>7.6710352380907884E-2</v>
      </c>
      <c r="E109" s="42">
        <f>(Ipp_nom/SQRT(3))*(SQRT(ton_max/tsw_actual))</f>
        <v>7.5163492302754806E-2</v>
      </c>
      <c r="F109" s="40" t="s">
        <v>6</v>
      </c>
      <c r="G109" s="140"/>
      <c r="H109" s="140"/>
      <c r="I109" s="140"/>
      <c r="J109" s="141"/>
    </row>
    <row r="110" spans="2:10" ht="18.75" customHeight="1" x14ac:dyDescent="0.25">
      <c r="B110" s="37" t="s">
        <v>85</v>
      </c>
      <c r="C110" s="11" t="s">
        <v>297</v>
      </c>
      <c r="D110" s="42">
        <f>Ipp_nom_rcmd*Nps_ideal</f>
        <v>3.5033002930448616</v>
      </c>
      <c r="E110" s="42">
        <f>Ipp_nom*Nps</f>
        <v>3.423284502698535</v>
      </c>
      <c r="F110" s="40" t="s">
        <v>6</v>
      </c>
      <c r="G110" s="140"/>
      <c r="H110" s="140"/>
      <c r="I110" s="140"/>
      <c r="J110" s="141"/>
    </row>
    <row r="111" spans="2:10" ht="18.75" customHeight="1" x14ac:dyDescent="0.25">
      <c r="B111" s="37" t="s">
        <v>86</v>
      </c>
      <c r="C111" s="11" t="s">
        <v>298</v>
      </c>
      <c r="D111" s="42">
        <f>Isp_max_rcmd*SQRT(Ddemag_cc/3)</f>
        <v>1.3294089904268522</v>
      </c>
      <c r="E111" s="42">
        <f>Isp_max*SQRT(Ddemag_cc/3)</f>
        <v>1.2990451328741035</v>
      </c>
      <c r="F111" s="40" t="s">
        <v>6</v>
      </c>
      <c r="G111" s="140"/>
      <c r="H111" s="140"/>
      <c r="I111" s="140"/>
      <c r="J111" s="141"/>
    </row>
    <row r="112" spans="2:10" ht="18.75" customHeight="1" x14ac:dyDescent="0.25">
      <c r="B112" s="37" t="s">
        <v>108</v>
      </c>
      <c r="C112" s="11" t="s">
        <v>204</v>
      </c>
      <c r="D112" s="42">
        <f>((Vocv+Vf_rcmd+Vocbc)*Nps_ideal-Vfa_rcmd*Npa_rcmd)/Npa_rcmd</f>
        <v>9.7541353383458631</v>
      </c>
      <c r="E112" s="42">
        <f>((Vocv+Vf+Vocbc)*Nps-Vfa*Npa)/Npa</f>
        <v>11.72</v>
      </c>
      <c r="F112" s="40" t="s">
        <v>4</v>
      </c>
      <c r="G112" s="183"/>
      <c r="H112" s="183"/>
      <c r="I112" s="183"/>
      <c r="J112" s="184"/>
    </row>
    <row r="113" spans="2:10" ht="18.75" customHeight="1" x14ac:dyDescent="0.25">
      <c r="B113" s="37" t="s">
        <v>116</v>
      </c>
      <c r="C113" s="11" t="s">
        <v>299</v>
      </c>
      <c r="D113" s="70">
        <f>((Lp_rcmd*uH*Ipp_nom_rcmd)/((Vin_max*SQRT(2))*Kam_nom))/ns</f>
        <v>1119.4097515948331</v>
      </c>
      <c r="E113" s="70">
        <f>((Lp*uH*Ipp_nom)/((Vin_max*SQRT(2))*Kam_nom))/ns</f>
        <v>1099.4221290589401</v>
      </c>
      <c r="F113" s="40" t="s">
        <v>35</v>
      </c>
      <c r="G113" s="256"/>
      <c r="H113" s="256"/>
      <c r="I113" s="256"/>
      <c r="J113" s="257"/>
    </row>
    <row r="114" spans="2:10" ht="18.75" customHeight="1" x14ac:dyDescent="0.25">
      <c r="B114" s="37" t="s">
        <v>118</v>
      </c>
      <c r="C114" s="11" t="s">
        <v>300</v>
      </c>
      <c r="D114" s="42">
        <f>((ton_min_rcmd*ns)*(Vin_max*SQRT(2)))/(Nps_ideal*(Vocv+Vf_rcmd))/us</f>
        <v>1.8654121289062509</v>
      </c>
      <c r="E114" s="42">
        <f>((ton_min*ns)*(Vin_max*SQRT(2)))/(Nps*(Vocv+Vf))/us</f>
        <v>1.9085323474078433</v>
      </c>
      <c r="F114" s="40" t="s">
        <v>23</v>
      </c>
      <c r="G114" s="140"/>
      <c r="H114" s="140"/>
      <c r="I114" s="140"/>
      <c r="J114" s="141"/>
    </row>
    <row r="115" spans="2:10" ht="18.75" customHeight="1" thickBot="1" x14ac:dyDescent="0.3">
      <c r="B115" s="61" t="s">
        <v>109</v>
      </c>
      <c r="C115" s="62" t="s">
        <v>340</v>
      </c>
      <c r="D115" s="67">
        <f>((VDDoff_min+Vfa_rcmd)/Nas_rec)-Vf_rcmd-Vocbc</f>
        <v>9.0327272727272749</v>
      </c>
      <c r="E115" s="67">
        <f>((VDDoff_min+Vfa)/Nas)-Vf-Vocbc</f>
        <v>7.58</v>
      </c>
      <c r="F115" s="63" t="s">
        <v>4</v>
      </c>
      <c r="G115" s="207"/>
      <c r="H115" s="207"/>
      <c r="I115" s="207"/>
      <c r="J115" s="258"/>
    </row>
    <row r="116" spans="2:10" ht="18.75" customHeight="1" x14ac:dyDescent="0.25">
      <c r="B116" s="146" t="s">
        <v>301</v>
      </c>
      <c r="C116" s="147"/>
      <c r="D116" s="147"/>
      <c r="E116" s="147"/>
      <c r="F116" s="147"/>
      <c r="G116" s="147"/>
      <c r="H116" s="147"/>
      <c r="I116" s="147"/>
      <c r="J116" s="148"/>
    </row>
    <row r="117" spans="2:10" s="89" customFormat="1" ht="18.75" customHeight="1" x14ac:dyDescent="0.25">
      <c r="B117" s="90" t="s">
        <v>416</v>
      </c>
      <c r="C117" s="106" t="s">
        <v>433</v>
      </c>
      <c r="D117" s="107">
        <f>Rcs_rcmd</f>
        <v>3.8906935555862554</v>
      </c>
      <c r="E117" s="106">
        <f>Rcs</f>
        <v>3.891</v>
      </c>
      <c r="F117" s="95" t="s">
        <v>31</v>
      </c>
      <c r="G117" s="170" t="s">
        <v>213</v>
      </c>
      <c r="H117" s="170"/>
      <c r="I117" s="170"/>
      <c r="J117" s="171"/>
    </row>
    <row r="118" spans="2:10" ht="18.75" customHeight="1" thickBot="1" x14ac:dyDescent="0.3">
      <c r="B118" s="61" t="s">
        <v>302</v>
      </c>
      <c r="C118" s="62" t="s">
        <v>303</v>
      </c>
      <c r="D118" s="67">
        <f>(Ipri_RMS_rcmd^2)*Rcs_rcmd/mW</f>
        <v>22.894701264449637</v>
      </c>
      <c r="E118" s="67">
        <f>(Ipri_RMS^2)*Rcs/mW</f>
        <v>21.982401287894177</v>
      </c>
      <c r="F118" s="63" t="s">
        <v>64</v>
      </c>
      <c r="G118" s="165"/>
      <c r="H118" s="165"/>
      <c r="I118" s="165"/>
      <c r="J118" s="166"/>
    </row>
    <row r="119" spans="2:10" ht="18.75" customHeight="1" x14ac:dyDescent="0.25">
      <c r="B119" s="146" t="s">
        <v>304</v>
      </c>
      <c r="C119" s="147"/>
      <c r="D119" s="147"/>
      <c r="E119" s="147"/>
      <c r="F119" s="147"/>
      <c r="G119" s="147"/>
      <c r="H119" s="147"/>
      <c r="I119" s="147"/>
      <c r="J119" s="148"/>
    </row>
    <row r="120" spans="2:10" ht="18.75" customHeight="1" x14ac:dyDescent="0.25">
      <c r="B120" s="64" t="s">
        <v>206</v>
      </c>
      <c r="C120" s="65" t="s">
        <v>305</v>
      </c>
      <c r="D120" s="68">
        <f>((Vin_max*SQRT(2))+(Vout_max+Vf_rcmd+Vocbc)*Nps_ideal)*0.3</f>
        <v>187.7126823269183</v>
      </c>
      <c r="E120" s="68">
        <f>((Vin_max*SQRT(2))+(Vout_max+Vf+Vocbc)*Nps)*0.3</f>
        <v>184.85929855222071</v>
      </c>
      <c r="F120" s="66" t="s">
        <v>4</v>
      </c>
      <c r="G120" s="153"/>
      <c r="H120" s="153"/>
      <c r="I120" s="153"/>
      <c r="J120" s="154"/>
    </row>
    <row r="121" spans="2:10" ht="18.75" customHeight="1" x14ac:dyDescent="0.25">
      <c r="B121" s="37" t="s">
        <v>205</v>
      </c>
      <c r="C121" s="11" t="s">
        <v>306</v>
      </c>
      <c r="D121" s="11">
        <f>MROUND(((Vin_max*SQRT(2))+(Vout_max+Vf_rcmd+Vocbc)*Nps_ideal+E120),50)</f>
        <v>800</v>
      </c>
      <c r="E121" s="11">
        <f>MROUND(((Vin_max*SQRT(2))+(Vout_max+Vf+Vocbc)*Nps+E120),50)</f>
        <v>800</v>
      </c>
      <c r="F121" s="40" t="s">
        <v>4</v>
      </c>
      <c r="G121" s="172"/>
      <c r="H121" s="172"/>
      <c r="I121" s="172"/>
      <c r="J121" s="173"/>
    </row>
    <row r="122" spans="2:10" s="89" customFormat="1" ht="18.75" customHeight="1" x14ac:dyDescent="0.25">
      <c r="B122" s="90" t="s">
        <v>77</v>
      </c>
      <c r="C122" s="85" t="s">
        <v>434</v>
      </c>
      <c r="D122" s="106">
        <v>24.6</v>
      </c>
      <c r="E122" s="94">
        <v>6</v>
      </c>
      <c r="F122" s="88" t="s">
        <v>16</v>
      </c>
      <c r="G122" s="163" t="s">
        <v>435</v>
      </c>
      <c r="H122" s="163"/>
      <c r="I122" s="163"/>
      <c r="J122" s="164"/>
    </row>
    <row r="123" spans="2:10" s="89" customFormat="1" ht="18.75" customHeight="1" x14ac:dyDescent="0.25">
      <c r="B123" s="90" t="s">
        <v>76</v>
      </c>
      <c r="C123" s="85" t="s">
        <v>436</v>
      </c>
      <c r="D123" s="106">
        <v>0.84</v>
      </c>
      <c r="E123" s="94">
        <v>0.84</v>
      </c>
      <c r="F123" s="88" t="s">
        <v>31</v>
      </c>
      <c r="G123" s="163" t="s">
        <v>437</v>
      </c>
      <c r="H123" s="163"/>
      <c r="I123" s="163"/>
      <c r="J123" s="164"/>
    </row>
    <row r="124" spans="2:10" s="89" customFormat="1" ht="18.75" customHeight="1" x14ac:dyDescent="0.25">
      <c r="B124" s="90" t="s">
        <v>99</v>
      </c>
      <c r="C124" s="85" t="s">
        <v>438</v>
      </c>
      <c r="D124" s="106">
        <v>12</v>
      </c>
      <c r="E124" s="94">
        <v>5</v>
      </c>
      <c r="F124" s="88" t="s">
        <v>35</v>
      </c>
      <c r="G124" s="163" t="s">
        <v>209</v>
      </c>
      <c r="H124" s="163"/>
      <c r="I124" s="163"/>
      <c r="J124" s="164"/>
    </row>
    <row r="125" spans="2:10" s="89" customFormat="1" ht="18.75" customHeight="1" x14ac:dyDescent="0.25">
      <c r="B125" s="90" t="s">
        <v>143</v>
      </c>
      <c r="C125" s="85" t="s">
        <v>439</v>
      </c>
      <c r="D125" s="106">
        <v>26</v>
      </c>
      <c r="E125" s="94">
        <v>42</v>
      </c>
      <c r="F125" s="88" t="s">
        <v>35</v>
      </c>
      <c r="G125" s="163" t="s">
        <v>207</v>
      </c>
      <c r="H125" s="163"/>
      <c r="I125" s="163"/>
      <c r="J125" s="164"/>
    </row>
    <row r="126" spans="2:10" s="89" customFormat="1" ht="18.75" customHeight="1" x14ac:dyDescent="0.25">
      <c r="B126" s="90" t="s">
        <v>149</v>
      </c>
      <c r="C126" s="85" t="s">
        <v>440</v>
      </c>
      <c r="D126" s="106">
        <v>14</v>
      </c>
      <c r="E126" s="94">
        <v>6</v>
      </c>
      <c r="F126" s="88" t="s">
        <v>146</v>
      </c>
      <c r="G126" s="163" t="s">
        <v>208</v>
      </c>
      <c r="H126" s="163"/>
      <c r="I126" s="163"/>
      <c r="J126" s="164"/>
    </row>
    <row r="127" spans="2:10" ht="18.75" customHeight="1" x14ac:dyDescent="0.25">
      <c r="B127" s="37" t="s">
        <v>307</v>
      </c>
      <c r="C127" s="11" t="s">
        <v>210</v>
      </c>
      <c r="D127" s="42">
        <f>((Vin_max*SQRT(2))+(Nps_ideal*(Vocv+Vf_rcmd+Vocbc)))/Vds_rcmd</f>
        <v>0.76832171567962604</v>
      </c>
      <c r="E127" s="42">
        <f>((Vin_max*SQRT(2))+(Nps*(Vocv+Vf+Vocbc)))/Vds</f>
        <v>0.75674707730091972</v>
      </c>
      <c r="F127" s="40"/>
      <c r="G127" s="140"/>
      <c r="H127" s="140"/>
      <c r="I127" s="140"/>
      <c r="J127" s="141"/>
    </row>
    <row r="128" spans="2:10" ht="18.75" customHeight="1" x14ac:dyDescent="0.25">
      <c r="B128" s="37" t="s">
        <v>113</v>
      </c>
      <c r="C128" s="11" t="s">
        <v>308</v>
      </c>
      <c r="D128" s="42">
        <f>((Ipp_max_rcmd/SQRT(3))*(SQRT(ton_max_rcmd/tsw_actual_rcmd)))*10</f>
        <v>0.79820231531485231</v>
      </c>
      <c r="E128" s="42">
        <f>((Ipp_max/SQRT(3))*(SQRT(ton_max/tsw_actual)))*10</f>
        <v>0.78210660909623242</v>
      </c>
      <c r="F128" s="40" t="s">
        <v>6</v>
      </c>
      <c r="G128" s="140"/>
      <c r="H128" s="140"/>
      <c r="I128" s="140"/>
      <c r="J128" s="141"/>
    </row>
    <row r="129" spans="2:10" ht="18.75" customHeight="1" x14ac:dyDescent="0.25">
      <c r="B129" s="37" t="s">
        <v>114</v>
      </c>
      <c r="C129" s="11" t="s">
        <v>309</v>
      </c>
      <c r="D129" s="42">
        <f>Ipp_max_rcmd*10</f>
        <v>1.9790815930348318</v>
      </c>
      <c r="E129" s="42">
        <f>Ipp_max*10</f>
        <v>1.9789257260344384</v>
      </c>
      <c r="F129" s="40" t="s">
        <v>6</v>
      </c>
      <c r="G129" s="140"/>
      <c r="H129" s="140"/>
      <c r="I129" s="140"/>
      <c r="J129" s="141"/>
    </row>
    <row r="130" spans="2:10" ht="18.75" customHeight="1" x14ac:dyDescent="0.25">
      <c r="B130" s="37" t="s">
        <v>97</v>
      </c>
      <c r="C130" s="11" t="s">
        <v>310</v>
      </c>
      <c r="D130" s="42">
        <f>(Ipri_RMS_rcmd^2)*Rdson_rcmd</f>
        <v>4.9429616564185706E-3</v>
      </c>
      <c r="E130" s="42">
        <f>(Ipri_RMS^2)*Rdson</f>
        <v>4.7456224831228756E-3</v>
      </c>
      <c r="F130" s="40" t="s">
        <v>7</v>
      </c>
      <c r="G130" s="140"/>
      <c r="H130" s="140"/>
      <c r="I130" s="140"/>
      <c r="J130" s="141"/>
    </row>
    <row r="131" spans="2:10" ht="18.75" customHeight="1" x14ac:dyDescent="0.25">
      <c r="B131" s="37" t="s">
        <v>98</v>
      </c>
      <c r="C131" s="11" t="s">
        <v>311</v>
      </c>
      <c r="D131" s="42">
        <f>fmax_actual_rcmd*kHz*((((Coss_rcmd*pF)*((Vin_max*SQRT(2))-Vflyback_rcmd)^2)/2)+((((Vin_max*SQRT(2))+Vflyback_rcmd)*Ipp_nom_rcmd*tf_rcmd*ns)/2))</f>
        <v>7.6697292559911187E-2</v>
      </c>
      <c r="E131" s="42">
        <f>fmax_actual*kHz*((((Coss*pF)*((Vin_max*SQRT(2))-Vflyback)^2)/2)+((((Vin_max*SQRT(2))+Vflyback)*Ipp_nom*tf*ns)/2))</f>
        <v>2.7929597843695263E-2</v>
      </c>
      <c r="F131" s="40" t="s">
        <v>7</v>
      </c>
      <c r="G131" s="140"/>
      <c r="H131" s="140"/>
      <c r="I131" s="140"/>
      <c r="J131" s="141"/>
    </row>
    <row r="132" spans="2:10" ht="18.75" customHeight="1" x14ac:dyDescent="0.25">
      <c r="B132" s="37" t="s">
        <v>101</v>
      </c>
      <c r="C132" s="11" t="s">
        <v>312</v>
      </c>
      <c r="D132" s="42">
        <f>Pfet_cond_rcmd+Pfet_switching_rcmd</f>
        <v>8.1640254216329755E-2</v>
      </c>
      <c r="E132" s="42">
        <f>Pfet_cond+Pfet_switching</f>
        <v>3.267522032681814E-2</v>
      </c>
      <c r="F132" s="40" t="s">
        <v>7</v>
      </c>
      <c r="G132" s="140"/>
      <c r="H132" s="140"/>
      <c r="I132" s="140"/>
      <c r="J132" s="141"/>
    </row>
    <row r="133" spans="2:10" ht="18.75" customHeight="1" thickBot="1" x14ac:dyDescent="0.3">
      <c r="B133" s="61" t="s">
        <v>106</v>
      </c>
      <c r="C133" s="62" t="s">
        <v>314</v>
      </c>
      <c r="D133" s="67">
        <f>(0.95*Vds_rcmd)-((Vin_max*SQRT(2))+Nps_ideal*(Vocv+Vf_rcmd+Vocbc))</f>
        <v>145.34262745629917</v>
      </c>
      <c r="E133" s="67">
        <f>(0.95*Vds)-((Vin_max*SQRT(2))+Nps*(Vocv+Vf+Vocbc))</f>
        <v>154.60233815926426</v>
      </c>
      <c r="F133" s="63" t="s">
        <v>4</v>
      </c>
      <c r="G133" s="165"/>
      <c r="H133" s="165"/>
      <c r="I133" s="165"/>
      <c r="J133" s="166"/>
    </row>
    <row r="134" spans="2:10" ht="18.75" customHeight="1" x14ac:dyDescent="0.25">
      <c r="B134" s="146" t="s">
        <v>315</v>
      </c>
      <c r="C134" s="147"/>
      <c r="D134" s="147"/>
      <c r="E134" s="147"/>
      <c r="F134" s="147"/>
      <c r="G134" s="147"/>
      <c r="H134" s="147"/>
      <c r="I134" s="147"/>
      <c r="J134" s="148"/>
    </row>
    <row r="135" spans="2:10" ht="18.75" customHeight="1" x14ac:dyDescent="0.25">
      <c r="B135" s="37" t="s">
        <v>316</v>
      </c>
      <c r="C135" s="11" t="s">
        <v>317</v>
      </c>
      <c r="D135" s="11">
        <f>Vf_rcmd</f>
        <v>0.44</v>
      </c>
      <c r="E135" s="42">
        <f>Vf</f>
        <v>0.22</v>
      </c>
      <c r="F135" s="40" t="s">
        <v>4</v>
      </c>
      <c r="G135" s="167" t="s">
        <v>213</v>
      </c>
      <c r="H135" s="168"/>
      <c r="I135" s="168"/>
      <c r="J135" s="169"/>
    </row>
    <row r="136" spans="2:10" ht="18.75" customHeight="1" x14ac:dyDescent="0.25">
      <c r="B136" s="37" t="s">
        <v>112</v>
      </c>
      <c r="C136" s="11" t="s">
        <v>318</v>
      </c>
      <c r="D136" s="42">
        <f>(((Vin_max*SQRT(2)))/Nps_ideal)+Vout_ovp</f>
        <v>33.730324039550624</v>
      </c>
      <c r="E136" s="42">
        <f>(((Vin_max*SQRT(2)))/Nps)+Vout_ovp</f>
        <v>34.213203435596427</v>
      </c>
      <c r="F136" s="40" t="s">
        <v>4</v>
      </c>
      <c r="G136" s="247"/>
      <c r="H136" s="248"/>
      <c r="I136" s="248"/>
      <c r="J136" s="249"/>
    </row>
    <row r="137" spans="2:10" ht="18.75" customHeight="1" x14ac:dyDescent="0.25">
      <c r="B137" s="37" t="s">
        <v>115</v>
      </c>
      <c r="C137" s="11" t="s">
        <v>319</v>
      </c>
      <c r="D137" s="42">
        <f>Isec_rms_rcmd</f>
        <v>1.3294089904268522</v>
      </c>
      <c r="E137" s="42">
        <f>Isec_rms</f>
        <v>1.2990451328741035</v>
      </c>
      <c r="F137" s="40" t="s">
        <v>6</v>
      </c>
      <c r="G137" s="250"/>
      <c r="H137" s="251"/>
      <c r="I137" s="251"/>
      <c r="J137" s="252"/>
    </row>
    <row r="138" spans="2:10" ht="18.75" customHeight="1" thickBot="1" x14ac:dyDescent="0.3">
      <c r="B138" s="61" t="s">
        <v>320</v>
      </c>
      <c r="C138" s="62" t="s">
        <v>321</v>
      </c>
      <c r="D138" s="67">
        <f>Vf_rcmd*Iocc_rcmd</f>
        <v>0.33295365985098363</v>
      </c>
      <c r="E138" s="67">
        <f>Vf*Iocc</f>
        <v>0.16267447956823436</v>
      </c>
      <c r="F138" s="63" t="s">
        <v>7</v>
      </c>
      <c r="G138" s="253"/>
      <c r="H138" s="254"/>
      <c r="I138" s="254"/>
      <c r="J138" s="255"/>
    </row>
    <row r="139" spans="2:10" ht="18.75" customHeight="1" x14ac:dyDescent="0.25">
      <c r="B139" s="146" t="s">
        <v>322</v>
      </c>
      <c r="C139" s="147"/>
      <c r="D139" s="147"/>
      <c r="E139" s="147"/>
      <c r="F139" s="147"/>
      <c r="G139" s="147"/>
      <c r="H139" s="147"/>
      <c r="I139" s="147"/>
      <c r="J139" s="148"/>
    </row>
    <row r="140" spans="2:10" ht="18.75" customHeight="1" x14ac:dyDescent="0.25">
      <c r="B140" s="37" t="s">
        <v>107</v>
      </c>
      <c r="C140" s="11" t="s">
        <v>323</v>
      </c>
      <c r="D140" s="42">
        <f>Vfa_rcmd</f>
        <v>0.7</v>
      </c>
      <c r="E140" s="11">
        <f>Vfa</f>
        <v>0.7</v>
      </c>
      <c r="F140" s="40" t="s">
        <v>4</v>
      </c>
      <c r="G140" s="167" t="s">
        <v>213</v>
      </c>
      <c r="H140" s="168"/>
      <c r="I140" s="168"/>
      <c r="J140" s="169"/>
    </row>
    <row r="141" spans="2:10" ht="18.75" customHeight="1" thickBot="1" x14ac:dyDescent="0.3">
      <c r="B141" s="61" t="s">
        <v>112</v>
      </c>
      <c r="C141" s="62" t="s">
        <v>324</v>
      </c>
      <c r="D141" s="67">
        <f>(Vocv*Nps_ideal/Npa_rcmd)+((Vin_max*SQRT(2))/Npa_rcmd)+VDD_rcmd</f>
        <v>36.824328153011791</v>
      </c>
      <c r="E141" s="67">
        <f>(Vocv*Nps/Npa)+((Vin_max*SQRT(2))/Npa)+VDD</f>
        <v>44.933203435596425</v>
      </c>
      <c r="F141" s="63" t="s">
        <v>4</v>
      </c>
      <c r="G141" s="165"/>
      <c r="H141" s="165"/>
      <c r="I141" s="165"/>
      <c r="J141" s="166"/>
    </row>
    <row r="142" spans="2:10" ht="18.75" customHeight="1" x14ac:dyDescent="0.25">
      <c r="B142" s="146" t="s">
        <v>387</v>
      </c>
      <c r="C142" s="147"/>
      <c r="D142" s="147"/>
      <c r="E142" s="147"/>
      <c r="F142" s="147"/>
      <c r="G142" s="147"/>
      <c r="H142" s="147"/>
      <c r="I142" s="147"/>
      <c r="J142" s="148"/>
    </row>
    <row r="143" spans="2:10" s="111" customFormat="1" ht="18.75" customHeight="1" x14ac:dyDescent="0.25">
      <c r="B143" s="90" t="s">
        <v>217</v>
      </c>
      <c r="C143" s="85" t="s">
        <v>443</v>
      </c>
      <c r="D143" s="107">
        <v>0.5</v>
      </c>
      <c r="E143" s="92">
        <v>0.1</v>
      </c>
      <c r="F143" s="88" t="s">
        <v>6</v>
      </c>
      <c r="G143" s="163" t="s">
        <v>218</v>
      </c>
      <c r="H143" s="163"/>
      <c r="I143" s="163"/>
      <c r="J143" s="164"/>
    </row>
    <row r="144" spans="2:10" s="111" customFormat="1" ht="18.75" customHeight="1" x14ac:dyDescent="0.25">
      <c r="B144" s="90" t="s">
        <v>220</v>
      </c>
      <c r="C144" s="85" t="s">
        <v>444</v>
      </c>
      <c r="D144" s="107">
        <v>4.0999999999999996</v>
      </c>
      <c r="E144" s="92">
        <v>10</v>
      </c>
      <c r="F144" s="88" t="s">
        <v>4</v>
      </c>
      <c r="G144" s="163" t="s">
        <v>221</v>
      </c>
      <c r="H144" s="163"/>
      <c r="I144" s="163"/>
      <c r="J144" s="164"/>
    </row>
    <row r="145" spans="2:10" ht="18.75" customHeight="1" x14ac:dyDescent="0.25">
      <c r="B145" s="37" t="s">
        <v>325</v>
      </c>
      <c r="C145" s="11" t="s">
        <v>326</v>
      </c>
      <c r="D145" s="11">
        <f>'LOOKUP TABLES AND DROPDOWN LIST'!W31</f>
        <v>1800</v>
      </c>
      <c r="E145" s="11">
        <f>'LOOKUP TABLES AND DROPDOWN LIST'!W20</f>
        <v>1500</v>
      </c>
      <c r="F145" s="40" t="s">
        <v>14</v>
      </c>
      <c r="G145" s="136"/>
      <c r="H145" s="136"/>
      <c r="I145" s="136"/>
      <c r="J145" s="137"/>
    </row>
    <row r="146" spans="2:10" ht="18.75" customHeight="1" x14ac:dyDescent="0.25">
      <c r="B146" s="37" t="s">
        <v>327</v>
      </c>
      <c r="C146" s="11" t="s">
        <v>328</v>
      </c>
      <c r="D146" s="11">
        <f>'LOOKUP TABLES AND DROPDOWN LIST'!T36</f>
        <v>150</v>
      </c>
      <c r="E146" s="11">
        <f>'LOOKUP TABLES AND DROPDOWN LIST'!T25</f>
        <v>33</v>
      </c>
      <c r="F146" s="40" t="s">
        <v>14</v>
      </c>
      <c r="G146" s="140"/>
      <c r="H146" s="140"/>
      <c r="I146" s="140"/>
      <c r="J146" s="141"/>
    </row>
    <row r="147" spans="2:10" ht="18.75" customHeight="1" x14ac:dyDescent="0.25">
      <c r="B147" s="37" t="s">
        <v>329</v>
      </c>
      <c r="C147" s="11" t="s">
        <v>339</v>
      </c>
      <c r="D147" s="11">
        <f>'LOOKUP TABLES AND DROPDOWN LIST'!W36</f>
        <v>82</v>
      </c>
      <c r="E147" s="11">
        <f>'LOOKUP TABLES AND DROPDOWN LIST'!W25</f>
        <v>82</v>
      </c>
      <c r="F147" s="40" t="s">
        <v>14</v>
      </c>
      <c r="G147" s="140"/>
      <c r="H147" s="140"/>
      <c r="I147" s="140"/>
      <c r="J147" s="141"/>
    </row>
    <row r="148" spans="2:10" ht="18.75" customHeight="1" x14ac:dyDescent="0.25">
      <c r="B148" s="37" t="s">
        <v>330</v>
      </c>
      <c r="C148" s="11" t="s">
        <v>331</v>
      </c>
      <c r="D148" s="11">
        <f>'LOOKUP TABLES AND DROPDOWN LIST'!Z36</f>
        <v>560</v>
      </c>
      <c r="E148" s="11">
        <f>'LOOKUP TABLES AND DROPDOWN LIST'!Z25</f>
        <v>560</v>
      </c>
      <c r="F148" s="40" t="s">
        <v>14</v>
      </c>
      <c r="G148" s="140"/>
      <c r="H148" s="140"/>
      <c r="I148" s="140"/>
      <c r="J148" s="141"/>
    </row>
    <row r="149" spans="2:10" s="89" customFormat="1" ht="18.75" customHeight="1" x14ac:dyDescent="0.25">
      <c r="B149" s="90" t="s">
        <v>441</v>
      </c>
      <c r="C149" s="108" t="s">
        <v>442</v>
      </c>
      <c r="D149" s="108">
        <f>'LOOKUP TABLES AND DROPDOWN LIST'!T31</f>
        <v>560</v>
      </c>
      <c r="E149" s="109">
        <f>'LOOKUP TABLES AND DROPDOWN LIST'!T20</f>
        <v>560</v>
      </c>
      <c r="F149" s="88" t="s">
        <v>14</v>
      </c>
      <c r="G149" s="110" t="s">
        <v>222</v>
      </c>
      <c r="H149" s="104"/>
      <c r="I149" s="104"/>
      <c r="J149" s="105"/>
    </row>
    <row r="150" spans="2:10" ht="18.75" customHeight="1" x14ac:dyDescent="0.25">
      <c r="B150" s="71" t="s">
        <v>117</v>
      </c>
      <c r="C150" s="65" t="s">
        <v>332</v>
      </c>
      <c r="D150" s="68">
        <f>SQRT((Iocc_rcmd^2)+((Lp_rcmd*uH*Ipp_nom_rcmd*fmax_actual_rcmd*kHz/Vbulkmin_rcmd)*((Isp_max_rcmd^2/3)-Isp_max_rcmd*Iocc_rcmd)))</f>
        <v>1.1293168025226537</v>
      </c>
      <c r="E150" s="68">
        <f>SQRT((Iocc^2)+((Lp*uH*Ipp_nom*fmax_actual*kHz/Vbulk_min)*((Isp_max^2/3)-Isp_max*Iocc)))</f>
        <v>1.0913642193792619</v>
      </c>
      <c r="F150" s="66" t="s">
        <v>6</v>
      </c>
      <c r="G150" s="153"/>
      <c r="H150" s="153"/>
      <c r="I150" s="153"/>
      <c r="J150" s="154"/>
    </row>
    <row r="151" spans="2:10" ht="18.75" customHeight="1" thickBot="1" x14ac:dyDescent="0.3">
      <c r="B151" s="72" t="s">
        <v>333</v>
      </c>
      <c r="C151" s="73" t="s">
        <v>334</v>
      </c>
      <c r="D151" s="74">
        <f>(((0.33*Vripple_target*mV)/Isp_max_rcmd)*0.5)/mOhms</f>
        <v>2.3549223046562151</v>
      </c>
      <c r="E151" s="74">
        <f>(((0.33*Vripple_target*mV)/Isp_max)*0.5)/mOhms</f>
        <v>2.4099662162162163</v>
      </c>
      <c r="F151" s="75" t="s">
        <v>37</v>
      </c>
      <c r="G151" s="151"/>
      <c r="H151" s="151"/>
      <c r="I151" s="151"/>
      <c r="J151" s="152"/>
    </row>
    <row r="152" spans="2:10" ht="18.75" customHeight="1" x14ac:dyDescent="0.25">
      <c r="B152" s="146" t="s">
        <v>335</v>
      </c>
      <c r="C152" s="147"/>
      <c r="D152" s="147"/>
      <c r="E152" s="147"/>
      <c r="F152" s="147"/>
      <c r="G152" s="147"/>
      <c r="H152" s="147"/>
      <c r="I152" s="147"/>
      <c r="J152" s="148"/>
    </row>
    <row r="153" spans="2:10" ht="18.75" customHeight="1" x14ac:dyDescent="0.25">
      <c r="B153" s="37" t="s">
        <v>148</v>
      </c>
      <c r="C153" s="11" t="s">
        <v>341</v>
      </c>
      <c r="D153" s="11">
        <v>2.65</v>
      </c>
      <c r="E153" s="11">
        <f>Irun</f>
        <v>2.65</v>
      </c>
      <c r="F153" s="40" t="s">
        <v>22</v>
      </c>
      <c r="G153" s="149" t="s">
        <v>135</v>
      </c>
      <c r="H153" s="149"/>
      <c r="I153" s="149"/>
      <c r="J153" s="150"/>
    </row>
    <row r="154" spans="2:10" ht="18.75" customHeight="1" x14ac:dyDescent="0.25">
      <c r="B154" s="37" t="s">
        <v>229</v>
      </c>
      <c r="C154" s="11" t="s">
        <v>342</v>
      </c>
      <c r="D154" s="11">
        <v>23</v>
      </c>
      <c r="E154" s="11">
        <f>VDDon</f>
        <v>23</v>
      </c>
      <c r="F154" s="40" t="s">
        <v>4</v>
      </c>
      <c r="G154" s="149" t="s">
        <v>135</v>
      </c>
      <c r="H154" s="149"/>
      <c r="I154" s="149"/>
      <c r="J154" s="150"/>
    </row>
    <row r="155" spans="2:10" ht="18.75" customHeight="1" x14ac:dyDescent="0.25">
      <c r="B155" s="37" t="s">
        <v>347</v>
      </c>
      <c r="C155" s="11" t="s">
        <v>348</v>
      </c>
      <c r="D155" s="11">
        <v>75</v>
      </c>
      <c r="E155" s="11">
        <f>Iwait</f>
        <v>75</v>
      </c>
      <c r="F155" s="40" t="s">
        <v>349</v>
      </c>
      <c r="G155" s="149" t="s">
        <v>135</v>
      </c>
      <c r="H155" s="149"/>
      <c r="I155" s="149"/>
      <c r="J155" s="150"/>
    </row>
    <row r="156" spans="2:10" ht="18.75" customHeight="1" x14ac:dyDescent="0.25">
      <c r="B156" s="37" t="s">
        <v>337</v>
      </c>
      <c r="C156" s="11" t="s">
        <v>343</v>
      </c>
      <c r="D156" s="11">
        <f>'LOOKUP TABLES AND DROPDOWN LIST'!Q34</f>
        <v>1.7999999999999998</v>
      </c>
      <c r="E156" s="42">
        <f>Cvdd1</f>
        <v>1.7999999999999998</v>
      </c>
      <c r="F156" s="40" t="s">
        <v>230</v>
      </c>
      <c r="G156" s="140"/>
      <c r="H156" s="140"/>
      <c r="I156" s="140"/>
      <c r="J156" s="141"/>
    </row>
    <row r="157" spans="2:10" ht="18.75" customHeight="1" x14ac:dyDescent="0.25">
      <c r="B157" s="37" t="s">
        <v>338</v>
      </c>
      <c r="C157" s="11" t="s">
        <v>345</v>
      </c>
      <c r="D157" s="11">
        <f>'LOOKUP TABLES AND DROPDOWN LIST'!Q38</f>
        <v>2.1999999999999997</v>
      </c>
      <c r="E157" s="42">
        <f>'LOOKUP TABLES AND DROPDOWN LIST'!Q24</f>
        <v>2.1999999999999997</v>
      </c>
      <c r="F157" s="40" t="s">
        <v>230</v>
      </c>
      <c r="G157" s="140"/>
      <c r="H157" s="140"/>
      <c r="I157" s="140"/>
      <c r="J157" s="141"/>
    </row>
    <row r="158" spans="2:10" ht="18.75" customHeight="1" x14ac:dyDescent="0.25">
      <c r="B158" s="37" t="s">
        <v>351</v>
      </c>
      <c r="C158" s="11" t="s">
        <v>352</v>
      </c>
      <c r="D158" s="11">
        <f>'LOOKUP TABLES AND DROPDOWN LIST'!Q42</f>
        <v>18</v>
      </c>
      <c r="E158" s="42">
        <f>'LOOKUP TABLES AND DROPDOWN LIST'!Q28</f>
        <v>12</v>
      </c>
      <c r="F158" s="40" t="s">
        <v>230</v>
      </c>
      <c r="G158" s="140"/>
      <c r="H158" s="140"/>
      <c r="I158" s="140"/>
      <c r="J158" s="141"/>
    </row>
    <row r="159" spans="2:10" s="89" customFormat="1" ht="18.75" customHeight="1" thickBot="1" x14ac:dyDescent="0.3">
      <c r="B159" s="112" t="s">
        <v>151</v>
      </c>
      <c r="C159" s="113" t="s">
        <v>445</v>
      </c>
      <c r="D159" s="114">
        <f>MAX(D156:D158)</f>
        <v>18</v>
      </c>
      <c r="E159" s="115">
        <f>MAX(E156:E158)</f>
        <v>12</v>
      </c>
      <c r="F159" s="116" t="s">
        <v>446</v>
      </c>
      <c r="G159" s="161"/>
      <c r="H159" s="161"/>
      <c r="I159" s="161"/>
      <c r="J159" s="162"/>
    </row>
    <row r="160" spans="2:10" ht="18.75" customHeight="1" x14ac:dyDescent="0.25">
      <c r="B160" s="146" t="s">
        <v>389</v>
      </c>
      <c r="C160" s="147"/>
      <c r="D160" s="147"/>
      <c r="E160" s="147"/>
      <c r="F160" s="147"/>
      <c r="G160" s="147"/>
      <c r="H160" s="147"/>
      <c r="I160" s="147"/>
      <c r="J160" s="148"/>
    </row>
    <row r="161" spans="2:10" ht="18.75" customHeight="1" x14ac:dyDescent="0.25">
      <c r="B161" s="37" t="s">
        <v>120</v>
      </c>
      <c r="C161" s="11" t="s">
        <v>354</v>
      </c>
      <c r="D161" s="11">
        <v>190</v>
      </c>
      <c r="E161" s="11">
        <f>Ivslrun_min</f>
        <v>190</v>
      </c>
      <c r="F161" s="40" t="s">
        <v>353</v>
      </c>
      <c r="G161" s="149" t="s">
        <v>135</v>
      </c>
      <c r="H161" s="149"/>
      <c r="I161" s="149"/>
      <c r="J161" s="150"/>
    </row>
    <row r="162" spans="2:10" ht="18.75" customHeight="1" x14ac:dyDescent="0.25">
      <c r="B162" s="37" t="s">
        <v>125</v>
      </c>
      <c r="C162" s="11" t="s">
        <v>355</v>
      </c>
      <c r="D162" s="11">
        <v>225</v>
      </c>
      <c r="E162" s="11">
        <f>Ivslrun_nom</f>
        <v>225</v>
      </c>
      <c r="F162" s="40" t="s">
        <v>353</v>
      </c>
      <c r="G162" s="149" t="s">
        <v>135</v>
      </c>
      <c r="H162" s="149"/>
      <c r="I162" s="149"/>
      <c r="J162" s="150"/>
    </row>
    <row r="163" spans="2:10" ht="18.75" customHeight="1" x14ac:dyDescent="0.25">
      <c r="B163" s="37" t="s">
        <v>121</v>
      </c>
      <c r="C163" s="11" t="s">
        <v>356</v>
      </c>
      <c r="D163" s="11">
        <v>275</v>
      </c>
      <c r="E163" s="11">
        <f>Ivslrun_max</f>
        <v>275</v>
      </c>
      <c r="F163" s="40" t="s">
        <v>353</v>
      </c>
      <c r="G163" s="149" t="s">
        <v>135</v>
      </c>
      <c r="H163" s="149"/>
      <c r="I163" s="149"/>
      <c r="J163" s="150"/>
    </row>
    <row r="164" spans="2:10" ht="18.75" customHeight="1" x14ac:dyDescent="0.25">
      <c r="B164" s="37" t="s">
        <v>130</v>
      </c>
      <c r="C164" s="11" t="s">
        <v>357</v>
      </c>
      <c r="D164" s="11">
        <v>70</v>
      </c>
      <c r="E164" s="11">
        <f>Ivslstop_min</f>
        <v>70</v>
      </c>
      <c r="F164" s="40" t="s">
        <v>353</v>
      </c>
      <c r="G164" s="149" t="s">
        <v>135</v>
      </c>
      <c r="H164" s="149"/>
      <c r="I164" s="149"/>
      <c r="J164" s="150"/>
    </row>
    <row r="165" spans="2:10" ht="18.75" customHeight="1" x14ac:dyDescent="0.25">
      <c r="B165" s="37" t="s">
        <v>129</v>
      </c>
      <c r="C165" s="11" t="s">
        <v>358</v>
      </c>
      <c r="D165" s="11">
        <v>80</v>
      </c>
      <c r="E165" s="11">
        <f>Ivslstop_nom</f>
        <v>80</v>
      </c>
      <c r="F165" s="40" t="s">
        <v>353</v>
      </c>
      <c r="G165" s="149" t="s">
        <v>135</v>
      </c>
      <c r="H165" s="149"/>
      <c r="I165" s="149"/>
      <c r="J165" s="150"/>
    </row>
    <row r="166" spans="2:10" ht="18.75" customHeight="1" x14ac:dyDescent="0.25">
      <c r="B166" s="37" t="s">
        <v>131</v>
      </c>
      <c r="C166" s="11" t="s">
        <v>359</v>
      </c>
      <c r="D166" s="11">
        <v>100</v>
      </c>
      <c r="E166" s="11">
        <f>Ivslstop_max</f>
        <v>100</v>
      </c>
      <c r="F166" s="40" t="s">
        <v>353</v>
      </c>
      <c r="G166" s="149" t="s">
        <v>135</v>
      </c>
      <c r="H166" s="149"/>
      <c r="I166" s="149"/>
      <c r="J166" s="150"/>
    </row>
    <row r="167" spans="2:10" s="89" customFormat="1" ht="18.75" customHeight="1" x14ac:dyDescent="0.25">
      <c r="B167" s="90" t="s">
        <v>447</v>
      </c>
      <c r="C167" s="108" t="s">
        <v>448</v>
      </c>
      <c r="D167" s="117">
        <f>'LOOKUP TABLES AND DROPDOWN LIST'!K54</f>
        <v>19.600000000000001</v>
      </c>
      <c r="E167" s="118">
        <f>'LOOKUP TABLES AND DROPDOWN LIST'!H54</f>
        <v>23.7</v>
      </c>
      <c r="F167" s="88" t="s">
        <v>136</v>
      </c>
      <c r="G167" s="159"/>
      <c r="H167" s="159"/>
      <c r="I167" s="159"/>
      <c r="J167" s="160"/>
    </row>
    <row r="168" spans="2:10" ht="18.75" customHeight="1" x14ac:dyDescent="0.25">
      <c r="B168" s="76" t="s">
        <v>127</v>
      </c>
      <c r="C168" s="11" t="s">
        <v>378</v>
      </c>
      <c r="D168" s="77">
        <f>(Rvs_1_rcmd*kOhms*Npa_rcmd*Ivslrun_min*uA)/SQRT(2)</f>
        <v>58.644366819993067</v>
      </c>
      <c r="E168" s="77">
        <f>(Rvs_1*kOhms*Npa*Ivslrun_min*uA)/SQRT(2)</f>
        <v>57.313833042294419</v>
      </c>
      <c r="F168" s="13" t="s">
        <v>162</v>
      </c>
      <c r="G168" s="153"/>
      <c r="H168" s="153"/>
      <c r="I168" s="153"/>
      <c r="J168" s="154"/>
    </row>
    <row r="169" spans="2:10" ht="18.75" customHeight="1" x14ac:dyDescent="0.25">
      <c r="B169" s="37" t="s">
        <v>126</v>
      </c>
      <c r="C169" s="11" t="s">
        <v>379</v>
      </c>
      <c r="D169" s="42">
        <f>(Rvs_1_rcmd*kOhms*Npa_rcmd*Ivslrun_nom*uA)/SQRT(2)</f>
        <v>69.447276497360207</v>
      </c>
      <c r="E169" s="42">
        <f>(Rvs_1*kOhms*Npa*Ivslrun_nom*uA)/SQRT(2)</f>
        <v>67.87164439219076</v>
      </c>
      <c r="F169" s="13" t="s">
        <v>162</v>
      </c>
      <c r="G169" s="153"/>
      <c r="H169" s="153"/>
      <c r="I169" s="153"/>
      <c r="J169" s="154"/>
    </row>
    <row r="170" spans="2:10" ht="18.75" customHeight="1" x14ac:dyDescent="0.25">
      <c r="B170" s="76" t="s">
        <v>128</v>
      </c>
      <c r="C170" s="11" t="s">
        <v>380</v>
      </c>
      <c r="D170" s="77">
        <f>(Rvs_1_rcmd*kOhms*Npa_rcmd*Ivslrun_max*uA)/SQRT(2)</f>
        <v>84.880004607884715</v>
      </c>
      <c r="E170" s="77">
        <f>(Rvs_1*kOhms*Npa*Ivslrun_max*uA)/SQRT(2)</f>
        <v>82.954232034899817</v>
      </c>
      <c r="F170" s="13" t="s">
        <v>162</v>
      </c>
      <c r="G170" s="153"/>
      <c r="H170" s="153"/>
      <c r="I170" s="153"/>
      <c r="J170" s="154"/>
    </row>
    <row r="171" spans="2:10" ht="18.75" customHeight="1" x14ac:dyDescent="0.25">
      <c r="B171" s="76" t="s">
        <v>360</v>
      </c>
      <c r="C171" s="11" t="s">
        <v>381</v>
      </c>
      <c r="D171" s="42">
        <f>((Rvs_1_rcmd*kOhms*Npa_rcmd*Ivslstop_min*uA)+((Vin_min*SQRT(2))-Vbulkmin_rcmd))/SQRT(2)</f>
        <v>135.86920629693645</v>
      </c>
      <c r="E171" s="42">
        <f>((Rvs1_rcmd*kOhms*Npa*Ivslstop_min*uA)+((Vin_min*SQRT(2))-Vbulk_min))/SQRT(2)</f>
        <v>135.37900964199483</v>
      </c>
      <c r="F171" s="13" t="s">
        <v>162</v>
      </c>
      <c r="G171" s="153"/>
      <c r="H171" s="153"/>
      <c r="I171" s="153"/>
      <c r="J171" s="154"/>
    </row>
    <row r="172" spans="2:10" ht="18.75" customHeight="1" x14ac:dyDescent="0.25">
      <c r="B172" s="37" t="s">
        <v>361</v>
      </c>
      <c r="C172" s="11" t="s">
        <v>382</v>
      </c>
      <c r="D172" s="42">
        <f>((Rvs_1_rcmd*kOhms*Npa_rcmd*Ivslstop_nom*uA)+((Vin_min*SQRT(2))-Vbulkmin_rcmd))/SQRT(2)</f>
        <v>138.95575191904135</v>
      </c>
      <c r="E172" s="42">
        <f>((Rvs1_rcmd*kOhms*Npa*Ivslstop_nom*uA)+((Vin_min*SQRT(2))-Vbulk_min))/SQRT(2)</f>
        <v>138.39552717053664</v>
      </c>
      <c r="F172" s="13" t="s">
        <v>162</v>
      </c>
      <c r="G172" s="153"/>
      <c r="H172" s="153"/>
      <c r="I172" s="153"/>
      <c r="J172" s="154"/>
    </row>
    <row r="173" spans="2:10" ht="18.75" customHeight="1" x14ac:dyDescent="0.25">
      <c r="B173" s="76" t="s">
        <v>362</v>
      </c>
      <c r="C173" s="11" t="s">
        <v>383</v>
      </c>
      <c r="D173" s="42">
        <f>((Rvs_1_rcmd*kOhms*Npa_rcmd*Ivslstop_max*uA)+((Vin_min*SQRT(2))-Vbulkmin_rcmd))/SQRT(2)</f>
        <v>145.12884316325113</v>
      </c>
      <c r="E173" s="42">
        <f>((Rvs1_rcmd*kOhms*Npa*Ivslstop_max*uA)+((Vin_min*SQRT(2))-Vbulk_min))/SQRT(2)</f>
        <v>144.42856222762026</v>
      </c>
      <c r="F173" s="13" t="s">
        <v>162</v>
      </c>
      <c r="G173" s="153"/>
      <c r="H173" s="153"/>
      <c r="I173" s="153"/>
      <c r="J173" s="154"/>
    </row>
    <row r="174" spans="2:10" ht="18.75" customHeight="1" x14ac:dyDescent="0.25">
      <c r="B174" s="37" t="s">
        <v>363</v>
      </c>
      <c r="C174" s="11" t="s">
        <v>366</v>
      </c>
      <c r="D174" s="69">
        <v>4</v>
      </c>
      <c r="E174" s="69">
        <f>Vvsr_min</f>
        <v>4</v>
      </c>
      <c r="F174" s="40" t="s">
        <v>4</v>
      </c>
      <c r="G174" s="149" t="s">
        <v>135</v>
      </c>
      <c r="H174" s="149"/>
      <c r="I174" s="149"/>
      <c r="J174" s="150"/>
    </row>
    <row r="175" spans="2:10" ht="18.75" customHeight="1" x14ac:dyDescent="0.25">
      <c r="B175" s="37" t="s">
        <v>364</v>
      </c>
      <c r="C175" s="11" t="s">
        <v>367</v>
      </c>
      <c r="D175" s="69">
        <v>4.04</v>
      </c>
      <c r="E175" s="11">
        <f>Vvsr_nom</f>
        <v>4.04</v>
      </c>
      <c r="F175" s="40" t="s">
        <v>4</v>
      </c>
      <c r="G175" s="149" t="s">
        <v>135</v>
      </c>
      <c r="H175" s="149"/>
      <c r="I175" s="149"/>
      <c r="J175" s="150"/>
    </row>
    <row r="176" spans="2:10" ht="18.75" customHeight="1" x14ac:dyDescent="0.25">
      <c r="B176" s="37" t="s">
        <v>365</v>
      </c>
      <c r="C176" s="11" t="s">
        <v>368</v>
      </c>
      <c r="D176" s="69">
        <v>4.08</v>
      </c>
      <c r="E176" s="11">
        <f>Vvsr_max</f>
        <v>4.08</v>
      </c>
      <c r="F176" s="40" t="s">
        <v>4</v>
      </c>
      <c r="G176" s="149" t="s">
        <v>135</v>
      </c>
      <c r="H176" s="149"/>
      <c r="I176" s="149"/>
      <c r="J176" s="150"/>
    </row>
    <row r="177" spans="2:10" s="89" customFormat="1" ht="18.75" customHeight="1" x14ac:dyDescent="0.25">
      <c r="B177" s="96" t="s">
        <v>449</v>
      </c>
      <c r="C177" s="108" t="s">
        <v>450</v>
      </c>
      <c r="D177" s="119">
        <f>'LOOKUP TABLES AND DROPDOWN LIST'!K57</f>
        <v>13.3</v>
      </c>
      <c r="E177" s="86">
        <f>'LOOKUP TABLES AND DROPDOWN LIST'!H57</f>
        <v>12.7</v>
      </c>
      <c r="F177" s="88" t="s">
        <v>136</v>
      </c>
      <c r="G177" s="155"/>
      <c r="H177" s="155"/>
      <c r="I177" s="155"/>
      <c r="J177" s="156"/>
    </row>
    <row r="178" spans="2:10" ht="18.75" customHeight="1" x14ac:dyDescent="0.25">
      <c r="B178" s="39" t="s">
        <v>369</v>
      </c>
      <c r="C178" s="11" t="s">
        <v>372</v>
      </c>
      <c r="D178" s="69">
        <f>((Vvsr_min+((Rvs_1_rcmd*kOhms)*Vvsr_min)/(Rvs_2_rcmd*kOhms))/Nas_rec)-Vf_rcmd</f>
        <v>11.523636363636365</v>
      </c>
      <c r="E178" s="69">
        <f>((Vvsr_min+((Rvs_1*kOhms)*Vvsr_min)/(Rvs_2*kOhms))/Nas)-Vf</f>
        <v>11.244566929133859</v>
      </c>
      <c r="F178" s="40" t="s">
        <v>4</v>
      </c>
      <c r="G178" s="153"/>
      <c r="H178" s="153"/>
      <c r="I178" s="153"/>
      <c r="J178" s="154"/>
    </row>
    <row r="179" spans="2:10" ht="18.75" customHeight="1" x14ac:dyDescent="0.25">
      <c r="B179" s="39" t="s">
        <v>370</v>
      </c>
      <c r="C179" s="11" t="s">
        <v>373</v>
      </c>
      <c r="D179" s="69">
        <f>((Vvsr_nom+((Rvs_1_rcmd*kOhms)*Vvsr_nom)/(Rvs_2_rcmd*kOhms))/Nas_rec)-Vf_rcmd</f>
        <v>11.643272727272727</v>
      </c>
      <c r="E179" s="69">
        <f>((Vvsr_nom+((Rvs_1*kOhms)*Vvsr_nom)/(Rvs_2*kOhms))/Nas)-Vf</f>
        <v>11.359212598425197</v>
      </c>
      <c r="F179" s="40" t="s">
        <v>4</v>
      </c>
      <c r="G179" s="153"/>
      <c r="H179" s="153"/>
      <c r="I179" s="153"/>
      <c r="J179" s="154"/>
    </row>
    <row r="180" spans="2:10" ht="18.75" customHeight="1" x14ac:dyDescent="0.25">
      <c r="B180" s="39" t="s">
        <v>371</v>
      </c>
      <c r="C180" s="11" t="s">
        <v>374</v>
      </c>
      <c r="D180" s="69">
        <f>((Vvsr_max+((Rvs_1_rcmd*kOhms)*Vvsr_max)/(Rvs_2_rcmd*kOhms))/Nas_rec)-Vf_rcmd</f>
        <v>11.762909090909092</v>
      </c>
      <c r="E180" s="69">
        <f>((Vvsr_max+((Rvs_1*kOhms)*Vvsr_max)/(Rvs_2*kOhms))/Nas)-Vf</f>
        <v>11.473858267716535</v>
      </c>
      <c r="F180" s="40" t="s">
        <v>4</v>
      </c>
      <c r="G180" s="153"/>
      <c r="H180" s="153"/>
      <c r="I180" s="153"/>
      <c r="J180" s="154"/>
    </row>
    <row r="181" spans="2:10" ht="18.75" customHeight="1" x14ac:dyDescent="0.25">
      <c r="B181" s="37" t="s">
        <v>132</v>
      </c>
      <c r="C181" s="11" t="s">
        <v>375</v>
      </c>
      <c r="D181" s="11">
        <v>4.5199999999999996</v>
      </c>
      <c r="E181" s="11">
        <f>Vovp_min</f>
        <v>4.5199999999999996</v>
      </c>
      <c r="F181" s="40" t="s">
        <v>4</v>
      </c>
      <c r="G181" s="149" t="s">
        <v>135</v>
      </c>
      <c r="H181" s="149"/>
      <c r="I181" s="149"/>
      <c r="J181" s="150"/>
    </row>
    <row r="182" spans="2:10" ht="18.75" customHeight="1" x14ac:dyDescent="0.25">
      <c r="B182" s="76" t="s">
        <v>133</v>
      </c>
      <c r="C182" s="11" t="s">
        <v>376</v>
      </c>
      <c r="D182" s="69">
        <v>4.62</v>
      </c>
      <c r="E182" s="11">
        <f>Vovp_nom</f>
        <v>4.62</v>
      </c>
      <c r="F182" s="40" t="s">
        <v>4</v>
      </c>
      <c r="G182" s="149" t="s">
        <v>135</v>
      </c>
      <c r="H182" s="149"/>
      <c r="I182" s="149"/>
      <c r="J182" s="150"/>
    </row>
    <row r="183" spans="2:10" ht="18.75" customHeight="1" x14ac:dyDescent="0.25">
      <c r="B183" s="76" t="s">
        <v>134</v>
      </c>
      <c r="C183" s="11" t="s">
        <v>377</v>
      </c>
      <c r="D183" s="69">
        <v>4.71</v>
      </c>
      <c r="E183" s="11">
        <f>Vovp_max</f>
        <v>4.71</v>
      </c>
      <c r="F183" s="40" t="s">
        <v>4</v>
      </c>
      <c r="G183" s="149" t="s">
        <v>135</v>
      </c>
      <c r="H183" s="149"/>
      <c r="I183" s="149"/>
      <c r="J183" s="150"/>
    </row>
    <row r="184" spans="2:10" ht="18.75" customHeight="1" x14ac:dyDescent="0.25">
      <c r="B184" s="76" t="s">
        <v>138</v>
      </c>
      <c r="C184" s="11" t="s">
        <v>384</v>
      </c>
      <c r="D184" s="42">
        <f>((Vovp_min+((Rvs_1_rcmd*kOhms)*Vovp_min)/(Rvs_2_rcmd*kOhms))/Nas_rec)-Vf_rcmd</f>
        <v>13.078909090909091</v>
      </c>
      <c r="E184" s="42">
        <f>((Vovp_min+((Rvs_1*kOhms)*Vovp_min)/(Rvs_2*kOhms))/Nas)-Vf</f>
        <v>12.734960629921257</v>
      </c>
      <c r="F184" s="40" t="s">
        <v>4</v>
      </c>
      <c r="G184" s="153"/>
      <c r="H184" s="153"/>
      <c r="I184" s="153"/>
      <c r="J184" s="154"/>
    </row>
    <row r="185" spans="2:10" ht="18.75" customHeight="1" x14ac:dyDescent="0.25">
      <c r="B185" s="76" t="s">
        <v>139</v>
      </c>
      <c r="C185" s="11" t="s">
        <v>385</v>
      </c>
      <c r="D185" s="42">
        <f>((Rvs_1_rcmd*kOhms*Vovp_nom)/(Rvs_2_rcmd*kOhms)+Vovp_nom)/Nas_rec-Vf_rcmd</f>
        <v>13.378000000000002</v>
      </c>
      <c r="E185" s="42">
        <f>((Rvs_1*kOhms*Vovp_nom)/(Rvs_2*kOhms)+Vovp_nom)/Nas-Vf</f>
        <v>13.021574803149607</v>
      </c>
      <c r="F185" s="40" t="s">
        <v>4</v>
      </c>
      <c r="G185" s="153"/>
      <c r="H185" s="153"/>
      <c r="I185" s="153"/>
      <c r="J185" s="154"/>
    </row>
    <row r="186" spans="2:10" ht="18.75" customHeight="1" thickBot="1" x14ac:dyDescent="0.3">
      <c r="B186" s="78" t="s">
        <v>140</v>
      </c>
      <c r="C186" s="62" t="s">
        <v>386</v>
      </c>
      <c r="D186" s="67">
        <f>((Rvs_1_rcmd*kOhms*Vovp_max)/(Rvs_2_rcmd*kOhms)+Vovp_max)/Nas_rec-Vf_rcmd</f>
        <v>13.647181818181819</v>
      </c>
      <c r="E186" s="67">
        <f>((Rvs_1*kOhms*Vovp_max)/(Rvs_2*kOhms)+Vovp_max)/Nas-Vf</f>
        <v>13.279527559055117</v>
      </c>
      <c r="F186" s="63" t="s">
        <v>4</v>
      </c>
      <c r="G186" s="151"/>
      <c r="H186" s="151"/>
      <c r="I186" s="151"/>
      <c r="J186" s="152"/>
    </row>
    <row r="187" spans="2:10" ht="18.75" customHeight="1" x14ac:dyDescent="0.25">
      <c r="B187" s="146" t="s">
        <v>119</v>
      </c>
      <c r="C187" s="147"/>
      <c r="D187" s="147"/>
      <c r="E187" s="147"/>
      <c r="F187" s="147"/>
      <c r="G187" s="147"/>
      <c r="H187" s="147"/>
      <c r="I187" s="147"/>
      <c r="J187" s="148"/>
    </row>
    <row r="188" spans="2:10" ht="18.75" customHeight="1" x14ac:dyDescent="0.25">
      <c r="B188" s="79" t="s">
        <v>142</v>
      </c>
      <c r="C188" s="11" t="s">
        <v>391</v>
      </c>
      <c r="D188" s="11">
        <v>25.3</v>
      </c>
      <c r="E188" s="11">
        <f>Klc</f>
        <v>25.3</v>
      </c>
      <c r="F188" s="40" t="s">
        <v>141</v>
      </c>
      <c r="G188" s="149" t="s">
        <v>135</v>
      </c>
      <c r="H188" s="149"/>
      <c r="I188" s="149"/>
      <c r="J188" s="150"/>
    </row>
    <row r="189" spans="2:10" ht="18.75" customHeight="1" x14ac:dyDescent="0.25">
      <c r="B189" s="79" t="s">
        <v>144</v>
      </c>
      <c r="C189" s="11" t="s">
        <v>392</v>
      </c>
      <c r="D189" s="11">
        <f>tdoff+50</f>
        <v>92</v>
      </c>
      <c r="E189" s="11">
        <f>tdelay</f>
        <v>92</v>
      </c>
      <c r="F189" s="40" t="s">
        <v>35</v>
      </c>
      <c r="G189" s="153"/>
      <c r="H189" s="153"/>
      <c r="I189" s="153"/>
      <c r="J189" s="154"/>
    </row>
    <row r="190" spans="2:10" s="89" customFormat="1" ht="18.75" customHeight="1" thickBot="1" x14ac:dyDescent="0.3">
      <c r="B190" s="120" t="s">
        <v>145</v>
      </c>
      <c r="C190" s="113" t="s">
        <v>451</v>
      </c>
      <c r="D190" s="115">
        <f>'LOOKUP TABLES AND DROPDOWN LIST'!K60</f>
        <v>0.59</v>
      </c>
      <c r="E190" s="114">
        <f>'LOOKUP TABLES AND DROPDOWN LIST'!H60</f>
        <v>0.59</v>
      </c>
      <c r="F190" s="116" t="s">
        <v>452</v>
      </c>
      <c r="G190" s="157"/>
      <c r="H190" s="157"/>
      <c r="I190" s="157"/>
      <c r="J190" s="158"/>
    </row>
    <row r="191" spans="2:10" ht="18.75" customHeight="1" x14ac:dyDescent="0.25">
      <c r="B191" s="146" t="s">
        <v>390</v>
      </c>
      <c r="C191" s="147"/>
      <c r="D191" s="147"/>
      <c r="E191" s="147"/>
      <c r="F191" s="147"/>
      <c r="G191" s="147"/>
      <c r="H191" s="147"/>
      <c r="I191" s="147"/>
      <c r="J191" s="148"/>
    </row>
    <row r="192" spans="2:10" ht="18.75" customHeight="1" x14ac:dyDescent="0.25">
      <c r="B192" s="79" t="s">
        <v>393</v>
      </c>
      <c r="C192" s="11" t="s">
        <v>396</v>
      </c>
      <c r="D192" s="11">
        <v>2.9</v>
      </c>
      <c r="E192" s="11">
        <f>Vcbc_min</f>
        <v>2.9</v>
      </c>
      <c r="F192" s="40" t="s">
        <v>4</v>
      </c>
      <c r="G192" s="149" t="s">
        <v>135</v>
      </c>
      <c r="H192" s="149"/>
      <c r="I192" s="149"/>
      <c r="J192" s="150"/>
    </row>
    <row r="193" spans="2:11" ht="18.75" customHeight="1" x14ac:dyDescent="0.25">
      <c r="B193" s="79" t="s">
        <v>395</v>
      </c>
      <c r="C193" s="11" t="s">
        <v>397</v>
      </c>
      <c r="D193" s="11">
        <v>3.13</v>
      </c>
      <c r="E193" s="11">
        <f>Vcbc_nom</f>
        <v>3.13</v>
      </c>
      <c r="F193" s="40" t="s">
        <v>4</v>
      </c>
      <c r="G193" s="149" t="s">
        <v>135</v>
      </c>
      <c r="H193" s="149"/>
      <c r="I193" s="149"/>
      <c r="J193" s="150"/>
    </row>
    <row r="194" spans="2:11" ht="18.75" customHeight="1" x14ac:dyDescent="0.25">
      <c r="B194" s="79" t="s">
        <v>394</v>
      </c>
      <c r="C194" s="11" t="s">
        <v>398</v>
      </c>
      <c r="D194" s="11">
        <v>3.5</v>
      </c>
      <c r="E194" s="11">
        <f>Vcbc_max</f>
        <v>3.5</v>
      </c>
      <c r="F194" s="40" t="s">
        <v>4</v>
      </c>
      <c r="G194" s="149" t="s">
        <v>135</v>
      </c>
      <c r="H194" s="149"/>
      <c r="I194" s="149"/>
      <c r="J194" s="150"/>
    </row>
    <row r="195" spans="2:11" s="89" customFormat="1" ht="18.75" customHeight="1" thickBot="1" x14ac:dyDescent="0.3">
      <c r="B195" s="121" t="s">
        <v>400</v>
      </c>
      <c r="C195" s="123" t="s">
        <v>453</v>
      </c>
      <c r="D195" s="122">
        <f>'LOOKUP TABLES AND DROPDOWN LIST'!K63</f>
        <v>115</v>
      </c>
      <c r="E195" s="123">
        <f>'LOOKUP TABLES AND DROPDOWN LIST'!H63</f>
        <v>115</v>
      </c>
      <c r="F195" s="124" t="s">
        <v>452</v>
      </c>
      <c r="G195" s="131"/>
      <c r="H195" s="131"/>
      <c r="I195" s="131"/>
      <c r="J195" s="132"/>
    </row>
    <row r="196" spans="2:11" s="29" customFormat="1" ht="18.75" customHeight="1" x14ac:dyDescent="0.25">
      <c r="B196" s="133" t="s">
        <v>401</v>
      </c>
      <c r="C196" s="134"/>
      <c r="D196" s="134"/>
      <c r="E196" s="134"/>
      <c r="F196" s="134"/>
      <c r="G196" s="134"/>
      <c r="H196" s="134"/>
      <c r="I196" s="134"/>
      <c r="J196" s="135"/>
    </row>
    <row r="197" spans="2:11" s="29" customFormat="1" ht="18.75" customHeight="1" x14ac:dyDescent="0.25">
      <c r="B197" s="37" t="s">
        <v>215</v>
      </c>
      <c r="C197" s="11" t="s">
        <v>313</v>
      </c>
      <c r="D197" s="42">
        <f>(1/(2*PI()*SQRT(Lp_rcmd*uH*((Coss_rcmd+50)*pF))))/kHz</f>
        <v>224.79339523118307</v>
      </c>
      <c r="E197" s="42">
        <f>(1/(2*PI()*SQRT(Lp*uH*((Coss+50)*pF))))/kHz</f>
        <v>261.79066142134525</v>
      </c>
      <c r="F197" s="40" t="s">
        <v>9</v>
      </c>
      <c r="G197" s="136"/>
      <c r="H197" s="136"/>
      <c r="I197" s="136"/>
      <c r="J197" s="137"/>
    </row>
    <row r="198" spans="2:11" s="29" customFormat="1" ht="18.75" customHeight="1" x14ac:dyDescent="0.25">
      <c r="B198" s="37" t="s">
        <v>402</v>
      </c>
      <c r="C198" s="58" t="s">
        <v>421</v>
      </c>
      <c r="D198" s="11">
        <v>1</v>
      </c>
      <c r="E198" s="9">
        <v>1</v>
      </c>
      <c r="F198" s="60" t="s">
        <v>23</v>
      </c>
      <c r="G198" s="138"/>
      <c r="H198" s="138"/>
      <c r="I198" s="138"/>
      <c r="J198" s="139"/>
    </row>
    <row r="199" spans="2:11" s="29" customFormat="1" ht="18.75" customHeight="1" x14ac:dyDescent="0.25">
      <c r="B199" s="37" t="s">
        <v>420</v>
      </c>
      <c r="C199" s="11"/>
      <c r="D199" s="11" t="str">
        <f>IF((D197*kHz&gt;=(1/(4*D198*us))),"TRUE","FALSE")</f>
        <v>FALSE</v>
      </c>
      <c r="E199" s="11" t="str">
        <f>IF((fres_approx*kHz&gt;=(1/(4*E198*us))),"TRUE","FALSE")</f>
        <v>TRUE</v>
      </c>
      <c r="F199" s="40"/>
      <c r="G199" s="140"/>
      <c r="H199" s="140"/>
      <c r="I199" s="140"/>
      <c r="J199" s="141"/>
      <c r="K199" s="23"/>
    </row>
    <row r="200" spans="2:11" s="128" customFormat="1" ht="18.75" customHeight="1" x14ac:dyDescent="0.25">
      <c r="B200" s="84" t="s">
        <v>404</v>
      </c>
      <c r="C200" s="85" t="s">
        <v>454</v>
      </c>
      <c r="D200" s="108">
        <v>0</v>
      </c>
      <c r="E200" s="125">
        <v>0</v>
      </c>
      <c r="F200" s="126" t="s">
        <v>405</v>
      </c>
      <c r="G200" s="142"/>
      <c r="H200" s="142"/>
      <c r="I200" s="142"/>
      <c r="J200" s="143"/>
      <c r="K200" s="127"/>
    </row>
    <row r="201" spans="2:11" s="29" customFormat="1" ht="18.75" customHeight="1" thickBot="1" x14ac:dyDescent="0.3">
      <c r="B201" s="48" t="s">
        <v>403</v>
      </c>
      <c r="C201" s="49"/>
      <c r="D201" s="49" t="str">
        <f>IF((SQRT(Lp_rcmd*uH/((Coss_rcmd*pF)+(50*pF))))&gt;=((0+0.2)*(Nps_ideal^2)/(((Vocv*Nas_rcmd)/(((57*mV)+(15*mV))*((Rvs_1_rcmd/Rvs_2_rcmd)+1)))-1)),"TRUE","FALSE")</f>
        <v>TRUE</v>
      </c>
      <c r="E201" s="49" t="str">
        <f>IF((SQRT(Lp*uH/((Coss*pF)+(50*pF))))&gt;=((0+0.2)*(Nps^2)/(((Vocv*Nas)/(((57*mV)+(15*mV))*((Rvs_1/Rvs_2)+1)))-1)),"TRUE","FALSE")</f>
        <v>TRUE</v>
      </c>
      <c r="F201" s="50"/>
      <c r="G201" s="144"/>
      <c r="H201" s="144"/>
      <c r="I201" s="144"/>
      <c r="J201" s="145"/>
      <c r="K201" s="23"/>
    </row>
    <row r="202" spans="2:11" s="29" customFormat="1" ht="18.75" customHeight="1" x14ac:dyDescent="0.25">
      <c r="B202" s="23"/>
      <c r="C202" s="23"/>
      <c r="D202" s="44"/>
      <c r="E202" s="44"/>
      <c r="F202" s="80"/>
      <c r="G202" s="23"/>
      <c r="H202" s="23"/>
      <c r="I202" s="23"/>
      <c r="J202" s="23"/>
      <c r="K202" s="23"/>
    </row>
    <row r="203" spans="2:11" s="29" customFormat="1" ht="18.75" customHeight="1" x14ac:dyDescent="0.25">
      <c r="B203" s="23"/>
      <c r="C203" s="23"/>
      <c r="D203" s="44"/>
      <c r="E203" s="44"/>
      <c r="F203" s="80"/>
      <c r="G203" s="23"/>
      <c r="H203" s="23"/>
      <c r="I203" s="23"/>
      <c r="J203" s="23"/>
      <c r="K203" s="23"/>
    </row>
    <row r="204" spans="2:11" s="29" customFormat="1" ht="18.75" customHeight="1" x14ac:dyDescent="0.25">
      <c r="B204" s="23"/>
      <c r="C204" s="23"/>
      <c r="D204" s="44"/>
      <c r="E204" s="44"/>
      <c r="F204" s="80"/>
      <c r="G204" s="23"/>
      <c r="H204" s="23"/>
      <c r="I204" s="23"/>
      <c r="J204" s="23"/>
      <c r="K204" s="23"/>
    </row>
    <row r="205" spans="2:11" s="29" customFormat="1" ht="18.75" customHeight="1" x14ac:dyDescent="0.25">
      <c r="B205" s="23"/>
      <c r="C205" s="23"/>
      <c r="D205" s="44"/>
      <c r="E205" s="44"/>
      <c r="F205" s="80"/>
      <c r="G205" s="23"/>
      <c r="H205" s="23"/>
      <c r="I205" s="23"/>
      <c r="J205" s="23"/>
      <c r="K205" s="23"/>
    </row>
    <row r="206" spans="2:11" s="29" customFormat="1" ht="18.75" customHeight="1" x14ac:dyDescent="0.25">
      <c r="B206" s="23"/>
      <c r="C206" s="23"/>
      <c r="D206" s="44"/>
      <c r="E206" s="44"/>
      <c r="F206" s="80"/>
      <c r="G206" s="23"/>
      <c r="H206" s="23"/>
      <c r="I206" s="23"/>
      <c r="J206" s="23"/>
      <c r="K206" s="23"/>
    </row>
    <row r="207" spans="2:11" s="29" customFormat="1" ht="18.75" customHeight="1" x14ac:dyDescent="0.25">
      <c r="B207" s="23"/>
      <c r="C207" s="23"/>
      <c r="D207" s="44"/>
      <c r="E207" s="44"/>
      <c r="F207" s="80"/>
      <c r="G207" s="23"/>
      <c r="H207" s="23"/>
      <c r="I207" s="23"/>
      <c r="J207" s="23"/>
      <c r="K207" s="23"/>
    </row>
    <row r="208" spans="2:11" s="29" customFormat="1" ht="18.75" customHeight="1" x14ac:dyDescent="0.25">
      <c r="B208" s="23"/>
      <c r="C208" s="23"/>
      <c r="D208" s="44"/>
      <c r="E208" s="44"/>
      <c r="F208" s="80"/>
      <c r="G208" s="23"/>
      <c r="H208" s="23"/>
      <c r="I208" s="23"/>
      <c r="J208" s="23"/>
      <c r="K208" s="23"/>
    </row>
    <row r="209" spans="2:11" s="29" customFormat="1" ht="18.75" customHeight="1" x14ac:dyDescent="0.25">
      <c r="B209" s="23"/>
      <c r="C209" s="23"/>
      <c r="D209" s="44"/>
      <c r="E209" s="44"/>
      <c r="F209" s="80"/>
      <c r="G209" s="23"/>
      <c r="H209" s="23"/>
      <c r="I209" s="23"/>
      <c r="J209" s="23"/>
      <c r="K209" s="23"/>
    </row>
    <row r="210" spans="2:11" s="29" customFormat="1" ht="18.75" customHeight="1" x14ac:dyDescent="0.25">
      <c r="B210" s="23"/>
      <c r="C210" s="23"/>
      <c r="D210" s="44"/>
      <c r="E210" s="44"/>
      <c r="F210" s="80"/>
      <c r="G210" s="23"/>
      <c r="H210" s="23"/>
      <c r="I210" s="23"/>
      <c r="J210" s="23"/>
      <c r="K210" s="23"/>
    </row>
    <row r="211" spans="2:11" s="29" customFormat="1" ht="18.75" customHeight="1" x14ac:dyDescent="0.25">
      <c r="B211" s="23"/>
      <c r="C211" s="23"/>
      <c r="D211" s="44"/>
      <c r="E211" s="44"/>
      <c r="F211" s="80"/>
      <c r="G211" s="23"/>
      <c r="H211" s="23"/>
      <c r="I211" s="23"/>
      <c r="J211" s="23"/>
      <c r="K211" s="23"/>
    </row>
    <row r="212" spans="2:11" s="29" customFormat="1" ht="18.75" customHeight="1" x14ac:dyDescent="0.25">
      <c r="B212" s="23"/>
      <c r="C212" s="23"/>
      <c r="D212" s="44"/>
      <c r="E212" s="44"/>
      <c r="F212" s="80"/>
      <c r="G212" s="23"/>
      <c r="H212" s="23"/>
      <c r="I212" s="23"/>
      <c r="J212" s="23"/>
      <c r="K212" s="23"/>
    </row>
    <row r="213" spans="2:11" s="29" customFormat="1" ht="18.75" customHeight="1" x14ac:dyDescent="0.25">
      <c r="B213" s="23"/>
      <c r="C213" s="23"/>
      <c r="D213" s="44"/>
      <c r="E213" s="44"/>
      <c r="F213" s="80"/>
      <c r="G213" s="23"/>
      <c r="H213" s="23"/>
      <c r="I213" s="23"/>
      <c r="J213" s="23"/>
      <c r="K213" s="23"/>
    </row>
    <row r="214" spans="2:11" s="29" customFormat="1" ht="18.75" customHeight="1" x14ac:dyDescent="0.25">
      <c r="B214" s="23"/>
      <c r="C214" s="23"/>
      <c r="D214" s="44"/>
      <c r="E214" s="44"/>
      <c r="F214" s="80"/>
      <c r="G214" s="23"/>
      <c r="H214" s="23"/>
      <c r="I214" s="23"/>
      <c r="J214" s="23"/>
      <c r="K214" s="23"/>
    </row>
    <row r="215" spans="2:11" s="29" customFormat="1" ht="18.75" customHeight="1" x14ac:dyDescent="0.25">
      <c r="B215" s="23"/>
      <c r="C215" s="23"/>
      <c r="D215" s="44"/>
      <c r="E215" s="44"/>
      <c r="F215" s="80"/>
      <c r="G215" s="23"/>
      <c r="H215" s="23"/>
      <c r="I215" s="23"/>
      <c r="J215" s="23"/>
      <c r="K215" s="23"/>
    </row>
    <row r="216" spans="2:11" s="29" customFormat="1" ht="18.75" customHeight="1" x14ac:dyDescent="0.25">
      <c r="B216" s="23"/>
      <c r="C216" s="23"/>
      <c r="D216" s="44"/>
      <c r="E216" s="44"/>
      <c r="F216" s="80"/>
      <c r="G216" s="23"/>
      <c r="H216" s="23"/>
      <c r="I216" s="23"/>
      <c r="J216" s="23"/>
      <c r="K216" s="23"/>
    </row>
    <row r="217" spans="2:11" s="29" customFormat="1" ht="18.75" customHeight="1" x14ac:dyDescent="0.25">
      <c r="B217" s="23"/>
      <c r="C217" s="23"/>
      <c r="D217" s="44"/>
      <c r="E217" s="44"/>
      <c r="F217" s="80"/>
      <c r="G217" s="23"/>
      <c r="H217" s="23"/>
      <c r="I217" s="23"/>
      <c r="J217" s="23"/>
      <c r="K217" s="23"/>
    </row>
    <row r="218" spans="2:11" s="29" customFormat="1" ht="18.75" customHeight="1" x14ac:dyDescent="0.25">
      <c r="B218" s="23"/>
      <c r="C218" s="23"/>
      <c r="D218" s="44"/>
      <c r="E218" s="44"/>
      <c r="F218" s="80"/>
      <c r="G218" s="23"/>
      <c r="H218" s="23"/>
      <c r="I218" s="23"/>
      <c r="J218" s="23"/>
      <c r="K218" s="23"/>
    </row>
    <row r="219" spans="2:11" s="29" customFormat="1" ht="18.75" customHeight="1" x14ac:dyDescent="0.25">
      <c r="D219" s="81"/>
      <c r="E219" s="81"/>
      <c r="F219" s="82"/>
    </row>
    <row r="220" spans="2:11" s="29" customFormat="1" ht="20.100000000000001" customHeight="1" x14ac:dyDescent="0.25">
      <c r="D220" s="81"/>
      <c r="E220" s="81"/>
      <c r="F220" s="82"/>
    </row>
    <row r="221" spans="2:11" s="29" customFormat="1" ht="20.100000000000001" customHeight="1" x14ac:dyDescent="0.25">
      <c r="B221" s="23"/>
      <c r="D221" s="81"/>
      <c r="E221" s="81"/>
      <c r="F221" s="82"/>
    </row>
  </sheetData>
  <sheetProtection password="EC5D" sheet="1" objects="1" scenarios="1" selectLockedCells="1"/>
  <mergeCells count="174">
    <mergeCell ref="G132:J132"/>
    <mergeCell ref="G133:J133"/>
    <mergeCell ref="B134:J134"/>
    <mergeCell ref="G135:J135"/>
    <mergeCell ref="G136:J136"/>
    <mergeCell ref="G137:J137"/>
    <mergeCell ref="G138:J138"/>
    <mergeCell ref="G94:J94"/>
    <mergeCell ref="G95:J95"/>
    <mergeCell ref="G100:J100"/>
    <mergeCell ref="G101:J101"/>
    <mergeCell ref="G102:J102"/>
    <mergeCell ref="G97:J97"/>
    <mergeCell ref="G98:J98"/>
    <mergeCell ref="G130:J130"/>
    <mergeCell ref="G131:J131"/>
    <mergeCell ref="G107:J107"/>
    <mergeCell ref="G108:J108"/>
    <mergeCell ref="G110:J110"/>
    <mergeCell ref="G109:J109"/>
    <mergeCell ref="G111:J111"/>
    <mergeCell ref="G112:J112"/>
    <mergeCell ref="G113:J113"/>
    <mergeCell ref="G115:J115"/>
    <mergeCell ref="B1:G1"/>
    <mergeCell ref="B3:G3"/>
    <mergeCell ref="F42:G42"/>
    <mergeCell ref="B26:C26"/>
    <mergeCell ref="B42:C42"/>
    <mergeCell ref="F47:G47"/>
    <mergeCell ref="B40:G40"/>
    <mergeCell ref="B41:G41"/>
    <mergeCell ref="B6:G6"/>
    <mergeCell ref="B7:G7"/>
    <mergeCell ref="B8:G8"/>
    <mergeCell ref="B9:G9"/>
    <mergeCell ref="B4:G5"/>
    <mergeCell ref="F43:G43"/>
    <mergeCell ref="F44:G44"/>
    <mergeCell ref="F45:G45"/>
    <mergeCell ref="F46:G46"/>
    <mergeCell ref="B25:G25"/>
    <mergeCell ref="D50:D51"/>
    <mergeCell ref="E50:E51"/>
    <mergeCell ref="D49:E49"/>
    <mergeCell ref="G54:J54"/>
    <mergeCell ref="F49:F51"/>
    <mergeCell ref="B49:C51"/>
    <mergeCell ref="B64:F64"/>
    <mergeCell ref="B61:F61"/>
    <mergeCell ref="G71:J71"/>
    <mergeCell ref="G61:J61"/>
    <mergeCell ref="G62:J62"/>
    <mergeCell ref="G63:J63"/>
    <mergeCell ref="G67:J67"/>
    <mergeCell ref="G64:J64"/>
    <mergeCell ref="G65:J65"/>
    <mergeCell ref="G66:J66"/>
    <mergeCell ref="G68:J68"/>
    <mergeCell ref="G70:J70"/>
    <mergeCell ref="B69:J69"/>
    <mergeCell ref="G49:J51"/>
    <mergeCell ref="B52:J52"/>
    <mergeCell ref="G53:J53"/>
    <mergeCell ref="G55:J55"/>
    <mergeCell ref="G56:J56"/>
    <mergeCell ref="G57:J57"/>
    <mergeCell ref="G58:J58"/>
    <mergeCell ref="G59:J59"/>
    <mergeCell ref="G60:J60"/>
    <mergeCell ref="G82:J82"/>
    <mergeCell ref="G83:J83"/>
    <mergeCell ref="G84:J84"/>
    <mergeCell ref="G85:J85"/>
    <mergeCell ref="G72:J72"/>
    <mergeCell ref="G73:J73"/>
    <mergeCell ref="G74:J74"/>
    <mergeCell ref="G75:J75"/>
    <mergeCell ref="G76:J76"/>
    <mergeCell ref="G79:J79"/>
    <mergeCell ref="G78:J78"/>
    <mergeCell ref="G77:J77"/>
    <mergeCell ref="G80:J80"/>
    <mergeCell ref="G81:J81"/>
    <mergeCell ref="G86:J86"/>
    <mergeCell ref="G87:J87"/>
    <mergeCell ref="G88:J88"/>
    <mergeCell ref="G89:J89"/>
    <mergeCell ref="G90:J90"/>
    <mergeCell ref="G103:J103"/>
    <mergeCell ref="G104:J104"/>
    <mergeCell ref="G105:J105"/>
    <mergeCell ref="G106:J106"/>
    <mergeCell ref="G99:J99"/>
    <mergeCell ref="G91:J91"/>
    <mergeCell ref="G92:J92"/>
    <mergeCell ref="G93:J93"/>
    <mergeCell ref="G114:J114"/>
    <mergeCell ref="B116:J116"/>
    <mergeCell ref="G118:J118"/>
    <mergeCell ref="G117:J117"/>
    <mergeCell ref="G120:J120"/>
    <mergeCell ref="B119:J119"/>
    <mergeCell ref="G121:J121"/>
    <mergeCell ref="G122:J122"/>
    <mergeCell ref="G123:J123"/>
    <mergeCell ref="G124:J124"/>
    <mergeCell ref="G125:J125"/>
    <mergeCell ref="G126:J126"/>
    <mergeCell ref="G127:J127"/>
    <mergeCell ref="G128:J128"/>
    <mergeCell ref="G129:J129"/>
    <mergeCell ref="G155:J155"/>
    <mergeCell ref="G161:J161"/>
    <mergeCell ref="G162:J162"/>
    <mergeCell ref="B139:J139"/>
    <mergeCell ref="G141:J141"/>
    <mergeCell ref="B142:J142"/>
    <mergeCell ref="G140:J140"/>
    <mergeCell ref="G143:J143"/>
    <mergeCell ref="G144:J144"/>
    <mergeCell ref="G145:J145"/>
    <mergeCell ref="G146:J146"/>
    <mergeCell ref="G147:J147"/>
    <mergeCell ref="G148:J148"/>
    <mergeCell ref="G150:J150"/>
    <mergeCell ref="G151:J151"/>
    <mergeCell ref="B152:J152"/>
    <mergeCell ref="G153:J153"/>
    <mergeCell ref="G154:J154"/>
    <mergeCell ref="G163:J163"/>
    <mergeCell ref="G164:J164"/>
    <mergeCell ref="G165:J165"/>
    <mergeCell ref="G166:J166"/>
    <mergeCell ref="G156:J156"/>
    <mergeCell ref="G157:J157"/>
    <mergeCell ref="G158:J158"/>
    <mergeCell ref="G159:J159"/>
    <mergeCell ref="B160:J160"/>
    <mergeCell ref="G186:J186"/>
    <mergeCell ref="G185:J185"/>
    <mergeCell ref="G184:J184"/>
    <mergeCell ref="G177:J177"/>
    <mergeCell ref="G189:J189"/>
    <mergeCell ref="G190:J190"/>
    <mergeCell ref="B187:J187"/>
    <mergeCell ref="G167:J167"/>
    <mergeCell ref="G174:J174"/>
    <mergeCell ref="G175:J175"/>
    <mergeCell ref="G176:J176"/>
    <mergeCell ref="G181:J181"/>
    <mergeCell ref="G182:J182"/>
    <mergeCell ref="G183:J183"/>
    <mergeCell ref="G188:J188"/>
    <mergeCell ref="G168:J168"/>
    <mergeCell ref="G171:J171"/>
    <mergeCell ref="G172:J172"/>
    <mergeCell ref="G173:J173"/>
    <mergeCell ref="G169:J169"/>
    <mergeCell ref="G170:J170"/>
    <mergeCell ref="G178:J178"/>
    <mergeCell ref="G179:J179"/>
    <mergeCell ref="G180:J180"/>
    <mergeCell ref="G195:J195"/>
    <mergeCell ref="B196:J196"/>
    <mergeCell ref="G197:J197"/>
    <mergeCell ref="G198:J198"/>
    <mergeCell ref="G199:J199"/>
    <mergeCell ref="G200:J200"/>
    <mergeCell ref="G201:J201"/>
    <mergeCell ref="B191:J191"/>
    <mergeCell ref="G193:J193"/>
    <mergeCell ref="G194:J194"/>
    <mergeCell ref="G192:J192"/>
  </mergeCells>
  <dataValidations xWindow="1367" yWindow="349" count="8">
    <dataValidation type="decimal" operator="lessThan" allowBlank="1" showInputMessage="1" showErrorMessage="1" errorTitle="Min Vstart" error="Low-line start-up voltage must be less than the minimum input voltage" sqref="E33" xr:uid="{00000000-0002-0000-0000-000000000000}">
      <formula1>D27</formula1>
    </dataValidation>
    <dataValidation type="decimal" operator="lessThan" allowBlank="1" showInputMessage="1" showErrorMessage="1" errorTitle="Vout CC mode" error="Minimum output voltage in CC mode must be less than regulated output voltage" sqref="F34:F35" xr:uid="{00000000-0002-0000-0000-000001000000}">
      <formula1>D28</formula1>
    </dataValidation>
    <dataValidation type="decimal" errorStyle="warning" operator="greaterThanOrEqual" allowBlank="1" showInputMessage="1" showErrorMessage="1" errorTitle="Cbulk" error="A larger Bulk Capacitor is needed." sqref="E56" xr:uid="{00000000-0002-0000-0000-000002000000}">
      <formula1>D56*0.8</formula1>
    </dataValidation>
    <dataValidation type="decimal" allowBlank="1" showErrorMessage="1" errorTitle="Switching Frequency" error="Selected switching frequency MUST be greater than 0.13 kHz and less than 83 kHz" sqref="E37" xr:uid="{00000000-0002-0000-0000-000003000000}">
      <formula1>4*D44</formula1>
      <formula2>D43</formula2>
    </dataValidation>
    <dataValidation type="decimal" errorStyle="warning" operator="lessThan" allowBlank="1" showInputMessage="1" showErrorMessage="1" errorTitle="VDS derating" error="Choose a MOSFET with a higher Vds rating." sqref="E127" xr:uid="{00000000-0002-0000-0000-000004000000}">
      <formula1>0.9</formula1>
    </dataValidation>
    <dataValidation type="decimal" operator="greaterThan" allowBlank="1" showInputMessage="1" showErrorMessage="1" errorTitle="OVP" error="Vout OVP must be greater than Vout_cv+ Vocbc" sqref="F38" xr:uid="{00000000-0002-0000-0000-000005000000}">
      <formula1>F28+E35</formula1>
    </dataValidation>
    <dataValidation type="decimal" operator="lessThanOrEqual" allowBlank="1" showInputMessage="1" showErrorMessage="1" errorTitle="Vocbc" error="Maximum cable compensation must not be greater than 8% of Vocv" sqref="E35" xr:uid="{00000000-0002-0000-0000-000006000000}">
      <formula1>0.08*E28</formula1>
    </dataValidation>
    <dataValidation type="decimal" errorStyle="information" allowBlank="1" showInputMessage="1" showErrorMessage="1" errorTitle="Nps" error="Using Nps &gt; Nps(ideal) will result in limited output Power at Vin(min) and increased line frequency ripple.  Using Nps &lt; Nps(ideal) increases conduction losses." sqref="E76" xr:uid="{00000000-0002-0000-0000-000007000000}">
      <formula1>(D76*0.95)</formula1>
      <formula2>(D76*1.05)</formula2>
    </dataValidation>
  </dataValidations>
  <pageMargins left="0.7" right="0.7" top="0.75" bottom="0.75" header="0.3" footer="0.3"/>
  <pageSetup scale="47"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B244"/>
  <sheetViews>
    <sheetView topLeftCell="G1" zoomScaleNormal="100" workbookViewId="0">
      <selection activeCell="G30" sqref="G30"/>
    </sheetView>
  </sheetViews>
  <sheetFormatPr defaultColWidth="9.140625" defaultRowHeight="14.25" x14ac:dyDescent="0.2"/>
  <cols>
    <col min="1" max="1" width="11.85546875" style="3" customWidth="1"/>
    <col min="2" max="2" width="10.5703125" style="3" customWidth="1"/>
    <col min="3" max="3" width="9.140625" style="3"/>
    <col min="4" max="4" width="46.28515625" style="3" customWidth="1"/>
    <col min="5" max="6" width="9.28515625" style="3" bestFit="1" customWidth="1"/>
    <col min="7" max="7" width="45.7109375" style="3" customWidth="1"/>
    <col min="8" max="8" width="9.140625" style="3"/>
    <col min="9" max="9" width="14.140625" style="3" customWidth="1"/>
    <col min="10" max="10" width="43.85546875" style="3" customWidth="1"/>
    <col min="11" max="11" width="9.140625" style="3"/>
    <col min="12" max="12" width="14.140625" style="3" bestFit="1" customWidth="1"/>
    <col min="13" max="13" width="10.140625" style="3" bestFit="1" customWidth="1"/>
    <col min="14" max="14" width="9.140625" style="3"/>
    <col min="15" max="15" width="6.28515625" style="3" customWidth="1"/>
    <col min="16" max="16" width="18.5703125" style="3" customWidth="1"/>
    <col min="17" max="17" width="10.140625" style="3" bestFit="1" customWidth="1"/>
    <col min="18" max="18" width="9.42578125" style="3" bestFit="1" customWidth="1"/>
    <col min="19" max="19" width="13.5703125" style="3" customWidth="1"/>
    <col min="20" max="20" width="12.42578125" style="3" bestFit="1" customWidth="1"/>
    <col min="21" max="21" width="9.140625" style="3"/>
    <col min="22" max="22" width="14.42578125" style="3" customWidth="1"/>
    <col min="23" max="24" width="13.7109375" style="3" bestFit="1" customWidth="1"/>
    <col min="25" max="25" width="14.28515625" style="3" customWidth="1"/>
    <col min="26" max="27" width="12.42578125" style="3" bestFit="1" customWidth="1"/>
    <col min="28" max="16384" width="9.140625" style="3"/>
  </cols>
  <sheetData>
    <row r="1" spans="1:25" ht="15" x14ac:dyDescent="0.25">
      <c r="A1" s="2" t="s">
        <v>25</v>
      </c>
      <c r="B1" s="4">
        <f>10^-3</f>
        <v>1E-3</v>
      </c>
      <c r="D1" s="1"/>
      <c r="E1" s="1"/>
      <c r="F1" s="1"/>
      <c r="G1" s="1"/>
      <c r="H1"/>
    </row>
    <row r="2" spans="1:25" ht="15" x14ac:dyDescent="0.25">
      <c r="A2" s="2" t="s">
        <v>26</v>
      </c>
      <c r="B2" s="4">
        <f>(10^-6)</f>
        <v>9.9999999999999995E-7</v>
      </c>
      <c r="D2" s="1"/>
      <c r="E2" s="1"/>
      <c r="F2" s="1"/>
      <c r="G2" s="1"/>
    </row>
    <row r="3" spans="1:25" ht="15" x14ac:dyDescent="0.25">
      <c r="A3" s="2" t="s">
        <v>27</v>
      </c>
      <c r="B3" s="4">
        <f>10^3</f>
        <v>1000</v>
      </c>
      <c r="D3" s="1"/>
      <c r="E3" s="1"/>
      <c r="F3" s="1"/>
      <c r="G3" s="1"/>
    </row>
    <row r="4" spans="1:25" ht="15" x14ac:dyDescent="0.25">
      <c r="A4" s="2" t="s">
        <v>38</v>
      </c>
      <c r="B4" s="4">
        <f>10^-3</f>
        <v>1E-3</v>
      </c>
      <c r="D4" s="1"/>
      <c r="E4" s="1"/>
      <c r="F4" s="1"/>
      <c r="G4" s="1"/>
    </row>
    <row r="5" spans="1:25" ht="15" x14ac:dyDescent="0.25">
      <c r="A5" s="2" t="s">
        <v>28</v>
      </c>
      <c r="B5" s="4">
        <f>10^-3</f>
        <v>1E-3</v>
      </c>
      <c r="D5" s="1"/>
      <c r="E5" s="1"/>
      <c r="F5" s="1"/>
      <c r="G5" s="1"/>
    </row>
    <row r="6" spans="1:25" ht="15" x14ac:dyDescent="0.25">
      <c r="A6" s="2" t="s">
        <v>29</v>
      </c>
      <c r="B6" s="4">
        <f>10^-3</f>
        <v>1E-3</v>
      </c>
      <c r="D6" s="1"/>
      <c r="E6" s="1"/>
      <c r="F6" s="1"/>
      <c r="G6" s="1"/>
    </row>
    <row r="7" spans="1:25" x14ac:dyDescent="0.2">
      <c r="A7" s="2" t="s">
        <v>30</v>
      </c>
      <c r="B7" s="4">
        <f>10^-6</f>
        <v>9.9999999999999995E-7</v>
      </c>
    </row>
    <row r="8" spans="1:25" x14ac:dyDescent="0.2">
      <c r="A8" s="2" t="s">
        <v>32</v>
      </c>
      <c r="B8" s="4">
        <f>10^-6</f>
        <v>9.9999999999999995E-7</v>
      </c>
    </row>
    <row r="9" spans="1:25" x14ac:dyDescent="0.2">
      <c r="A9" s="2" t="s">
        <v>34</v>
      </c>
      <c r="B9" s="4">
        <f>10^-9</f>
        <v>1.0000000000000001E-9</v>
      </c>
    </row>
    <row r="10" spans="1:25" x14ac:dyDescent="0.2">
      <c r="A10" s="2" t="s">
        <v>63</v>
      </c>
      <c r="B10" s="4">
        <f>10^-3</f>
        <v>1E-3</v>
      </c>
    </row>
    <row r="11" spans="1:25" x14ac:dyDescent="0.2">
      <c r="A11" s="2" t="s">
        <v>100</v>
      </c>
      <c r="B11" s="4">
        <f>10^-12</f>
        <v>9.9999999999999998E-13</v>
      </c>
      <c r="O11" s="3">
        <f>(Qg*nC*fswmin*kHz)*10^3</f>
        <v>1.9200000000000003E-4</v>
      </c>
    </row>
    <row r="12" spans="1:25" x14ac:dyDescent="0.2">
      <c r="A12" s="2" t="s">
        <v>105</v>
      </c>
      <c r="B12" s="4">
        <f>10^6</f>
        <v>1000000</v>
      </c>
    </row>
    <row r="13" spans="1:25" x14ac:dyDescent="0.2">
      <c r="A13" s="2" t="s">
        <v>122</v>
      </c>
      <c r="B13" s="4">
        <f>10^-6</f>
        <v>9.9999999999999995E-7</v>
      </c>
    </row>
    <row r="14" spans="1:25" ht="15" x14ac:dyDescent="0.25">
      <c r="A14" s="2" t="s">
        <v>123</v>
      </c>
      <c r="B14" s="4">
        <f>10^3</f>
        <v>1000</v>
      </c>
    </row>
    <row r="15" spans="1:25" x14ac:dyDescent="0.2">
      <c r="A15" s="2" t="s">
        <v>147</v>
      </c>
      <c r="B15" s="4">
        <f>10^-9</f>
        <v>1.0000000000000001E-9</v>
      </c>
    </row>
    <row r="16" spans="1:25" ht="15" x14ac:dyDescent="0.25">
      <c r="A16" s="2" t="s">
        <v>157</v>
      </c>
      <c r="B16" s="4">
        <f>10^-9</f>
        <v>1.0000000000000001E-9</v>
      </c>
      <c r="V16" s="1"/>
      <c r="W16" s="1"/>
      <c r="X16" s="1"/>
      <c r="Y16" s="1"/>
    </row>
    <row r="17" spans="1:28" ht="15.75" thickBot="1" x14ac:dyDescent="0.3">
      <c r="A17" s="2" t="s">
        <v>158</v>
      </c>
      <c r="B17" s="4">
        <f>10^-6</f>
        <v>9.9999999999999995E-7</v>
      </c>
      <c r="V17" s="1"/>
      <c r="W17" s="1"/>
      <c r="X17" s="1"/>
      <c r="Y17" s="1"/>
    </row>
    <row r="18" spans="1:28" ht="18.75" x14ac:dyDescent="0.35">
      <c r="I18" s="3" t="s">
        <v>39</v>
      </c>
      <c r="P18" s="259" t="s">
        <v>150</v>
      </c>
      <c r="Q18" s="259"/>
      <c r="S18" s="261" t="s">
        <v>152</v>
      </c>
      <c r="T18" s="262"/>
      <c r="U18" s="15"/>
      <c r="V18" s="16"/>
      <c r="W18" s="16"/>
      <c r="X18" s="16"/>
      <c r="Y18" s="16"/>
      <c r="Z18" s="15"/>
      <c r="AA18" s="15"/>
      <c r="AB18" s="17"/>
    </row>
    <row r="19" spans="1:28" ht="18.75" x14ac:dyDescent="0.35">
      <c r="A19" s="263" t="s">
        <v>10</v>
      </c>
      <c r="B19" s="263"/>
      <c r="C19" s="263"/>
      <c r="E19" s="259" t="s">
        <v>11</v>
      </c>
      <c r="F19" s="259"/>
      <c r="G19" s="259"/>
      <c r="I19" s="3" t="s">
        <v>40</v>
      </c>
      <c r="J19" s="3">
        <f>(((2*Pin)*(0.25+(0.5*Nhc)+(((1/(2*PI()))*ASIN(Vbulk_valley_rcmd/(Vin_min*SQRT(2)))))))/((((Vin_min*SQRT(2))^2)-(Vbulk_valley_rcmd^2))*fline_min))*10^12</f>
        <v>1465783.8122581174</v>
      </c>
      <c r="K19" s="3" t="s">
        <v>16</v>
      </c>
      <c r="P19" s="3" t="s">
        <v>344</v>
      </c>
      <c r="Q19" s="3">
        <f>((Irun*mA+1*mA)*(Cout*uF*Vocc/Iocc))/(VDDon-(VDDoff_max+1))*10^12</f>
        <v>1988700.3310264698</v>
      </c>
      <c r="R19" s="3" t="s">
        <v>16</v>
      </c>
      <c r="S19" s="18" t="s">
        <v>153</v>
      </c>
      <c r="T19" s="3">
        <f>MAX(AA19:AA21)</f>
        <v>582437565.17842364</v>
      </c>
      <c r="U19" s="3" t="s">
        <v>16</v>
      </c>
      <c r="V19" s="3" t="s">
        <v>219</v>
      </c>
      <c r="W19" s="3">
        <f>(Itran*((1/(fswmin*kHz))+150*us)/(Vocv-Vo_delta))*10^12</f>
        <v>1570000000</v>
      </c>
      <c r="X19" s="1" t="s">
        <v>16</v>
      </c>
      <c r="Z19" s="3" t="s">
        <v>223</v>
      </c>
      <c r="AA19" s="3">
        <f>(1.2*Itran/3700)*10^12</f>
        <v>32432432.432432428</v>
      </c>
      <c r="AB19" s="19"/>
    </row>
    <row r="20" spans="1:28" ht="18.75" x14ac:dyDescent="0.35">
      <c r="A20" s="5">
        <v>100</v>
      </c>
      <c r="B20" s="5">
        <v>105</v>
      </c>
      <c r="E20" s="259" t="s">
        <v>12</v>
      </c>
      <c r="F20" s="259"/>
      <c r="G20" s="259"/>
      <c r="I20" s="3" t="s">
        <v>41</v>
      </c>
      <c r="J20" s="3">
        <f>(IF(Cbulk_initial&lt;10000,J21*10^INT(LOG(Cbulk_initial)),J22*10^INT(LOG(Cbulk_initial))))*10^-6</f>
        <v>1.5</v>
      </c>
      <c r="K20" s="3" t="s">
        <v>14</v>
      </c>
      <c r="Q20" s="3">
        <f>(IF(Q19&lt;10000,Q21*10^INT(LOG(Q19)),Q22*10^INT(LOG(Q19))))*10^-6</f>
        <v>1.7999999999999998</v>
      </c>
      <c r="R20" s="3" t="s">
        <v>14</v>
      </c>
      <c r="S20" s="18"/>
      <c r="T20" s="3">
        <f>(IF(T19&lt;10000,T21*10^INT(LOG(T19)),T22*10^INT(LOG(T19))))*10^-6</f>
        <v>560</v>
      </c>
      <c r="U20" s="3" t="s">
        <v>14</v>
      </c>
      <c r="V20" s="1"/>
      <c r="W20" s="1">
        <f>(IF(W19&lt;10000,W21*10^INT(LOG(W19)),W22*10^INT(LOG(W19))))*10^-6</f>
        <v>1500</v>
      </c>
      <c r="X20" s="3" t="s">
        <v>14</v>
      </c>
      <c r="Z20" s="3" t="s">
        <v>224</v>
      </c>
      <c r="AA20" s="3">
        <f>((100*Iocc)/(Vocv*fmax_actual*kHz))*10^12</f>
        <v>80085165.212033257</v>
      </c>
      <c r="AB20" s="19"/>
    </row>
    <row r="21" spans="1:28" ht="15" x14ac:dyDescent="0.25">
      <c r="A21" s="5">
        <v>105</v>
      </c>
      <c r="B21" s="5">
        <v>110</v>
      </c>
      <c r="E21" s="3">
        <v>1</v>
      </c>
      <c r="F21" s="3">
        <v>1.2</v>
      </c>
      <c r="J21" s="3">
        <f>IF((10^(LOG(Cbulk_initial)-INT(LOG(Cbulk_initial))))-VLOOKUP((10^(LOG(Cbulk_initial)-INT(LOG(Cbulk_initial)))),C_s1:C_f1,1)&lt;VLOOKUP((10^(LOG(Cbulk_initial)-INT(LOG(Cbulk_initial)))),C_s1:C_f1,2)-(10^(LOG(Cbulk_initial)-INT(LOG(Cbulk_initial)))),VLOOKUP((10^(LOG(Cbulk_initial)-INT(LOG(Cbulk_initial)))),C_s1:C_f1,1),VLOOKUP((10^(LOG(Cbulk_initial)-INT(LOG(Cbulk_initial)))),C_s1:C_f1,2))</f>
        <v>1.5</v>
      </c>
      <c r="Q21" s="3">
        <f>IF((10^(LOG(Q19)-INT(LOG(Q19))))-VLOOKUP((10^(LOG(Q19)-INT(LOG(Q19)))),C_s1:C_f1,1)&lt;VLOOKUP((10^(LOG(Q19)-INT(LOG(Q19)))),C_s1:C_f1,2)-(10^(LOG(Q19)-INT(LOG(Q19)))),VLOOKUP((10^(LOG(Q19)-INT(LOG(Q19)))),C_s1:C_f1,1),VLOOKUP((10^(LOG(Q19)-INT(LOG(Q19)))),C_s1:C_f1,2))</f>
        <v>1.8</v>
      </c>
      <c r="S21" s="18"/>
      <c r="T21" s="3">
        <f>IF((10^(LOG(T19)-INT(LOG(T19))))-VLOOKUP((10^(LOG(T19)-INT(LOG(T19)))),C_s1:C_f1,1)&lt;VLOOKUP((10^(LOG(T19)-INT(LOG(T19)))),C_s1:C_f1,2)-(10^(LOG(T19)-INT(LOG(T19)))),VLOOKUP((10^(LOG(T19)-INT(LOG(T19)))),C_s1:C_f1,1),VLOOKUP((10^(LOG(T19)-INT(LOG(T19)))),C_s1:C_f1,2))</f>
        <v>5.6</v>
      </c>
      <c r="V21" s="1"/>
      <c r="W21" s="1">
        <f>IF((10^(LOG(W19)-INT(LOG(W19))))-VLOOKUP((10^(LOG(W19)-INT(LOG(W19)))),C_s1:C_f1,1)&lt;VLOOKUP((10^(LOG(W19)-INT(LOG(W19)))),C_s1:C_f1,2)-(10^(LOG(W19)-INT(LOG(W19)))),VLOOKUP((10^(LOG(W19)-INT(LOG(W19)))),C_s1:C_f1,1),VLOOKUP((10^(LOG(W19)-INT(LOG(W19)))),C_s1:C_f1,2))</f>
        <v>1.5</v>
      </c>
      <c r="X21" s="1"/>
      <c r="Z21" s="3" t="s">
        <v>225</v>
      </c>
      <c r="AA21" s="3">
        <f>(Iocc/((0.33*Vripple_target*mV)*fmax_actual*kHz))*10^12</f>
        <v>582437565.17842364</v>
      </c>
      <c r="AB21" s="19"/>
    </row>
    <row r="22" spans="1:28" ht="15" x14ac:dyDescent="0.25">
      <c r="A22" s="5">
        <v>110</v>
      </c>
      <c r="B22" s="5">
        <v>115</v>
      </c>
      <c r="E22" s="3">
        <v>1.2</v>
      </c>
      <c r="F22" s="3">
        <v>1.5</v>
      </c>
      <c r="J22" s="3">
        <f>IF((10^(LOG(Cbulk_initial)-INT(LOG(Cbulk_initial))))-VLOOKUP((10^(LOG(Cbulk_initial)-INT(LOG(Cbulk_initial)))),C_s2:C_f2,1)&lt;VLOOKUP((10^(LOG(Cbulk_initial)-INT(LOG(Cbulk_initial)))),C_s2:C_f2,2)-(10^(LOG(Cbulk_initial)-INT(LOG(Cbulk_initial)))),VLOOKUP((10^(LOG(Cbulk_initial)-INT(LOG(Cbulk_initial)))),C_s2:C_f2,1),VLOOKUP((10^(LOG(Cbulk_initial)-INT(LOG(Cbulk_initial)))),C_s2:C_f2,2))</f>
        <v>1.5</v>
      </c>
      <c r="Q22" s="3">
        <f>IF((10^(LOG(Q19)-INT(LOG(Q19))))-VLOOKUP((10^(LOG(Q19)-INT(LOG(Q19)))),C_s2:C_f2,1)&lt;VLOOKUP((10^(LOG(Q19)-INT(LOG(Q19)))),C_s2:C_f2,2)-(10^(LOG(Q19)-INT(LOG(Q19)))),VLOOKUP((10^(LOG(Q19)-INT(LOG(Q19)))),C_s2:C_f2,1),VLOOKUP((10^(LOG(Q19)-INT(LOG(Q19)))),C_s2:C_f2,2))</f>
        <v>1.8</v>
      </c>
      <c r="S22" s="18"/>
      <c r="T22" s="3">
        <f>IF((10^(LOG(T19)-INT(LOG(T19))))-VLOOKUP((10^(LOG(T19)-INT(LOG(T19)))),C_s2:C_f2,1)&lt;VLOOKUP((10^(LOG(T19)-INT(LOG(T19)))),C_s2:C_f2,2)-(10^(LOG(T19)-INT(LOG(T19)))),VLOOKUP((10^(LOG(T19)-INT(LOG(T19)))),C_s2:C_f2,1),VLOOKUP((10^(LOG(T19)-INT(LOG(T19)))),C_s2:C_f2,2))</f>
        <v>5.6</v>
      </c>
      <c r="V22" s="1"/>
      <c r="W22" s="1">
        <f>IF((10^(LOG(W19)-INT(LOG(W19))))-VLOOKUP((10^(LOG(W19)-INT(LOG(W19)))),C_s2:C_f2,1)&lt;VLOOKUP((10^(LOG(W19)-INT(LOG(W19)))),C_s2:C_f2,2)-(10^(LOG(W19)-INT(LOG(W19)))),VLOOKUP((10^(LOG(W19)-INT(LOG(W19)))),C_s2:C_f2,1),VLOOKUP((10^(LOG(W19)-INT(LOG(W19)))),C_s2:C_f2,2))</f>
        <v>1.5</v>
      </c>
      <c r="X22" s="1"/>
      <c r="AB22" s="19"/>
    </row>
    <row r="23" spans="1:28" ht="15" x14ac:dyDescent="0.25">
      <c r="A23" s="5">
        <v>115</v>
      </c>
      <c r="B23" s="5">
        <v>121</v>
      </c>
      <c r="E23" s="3">
        <v>1.5</v>
      </c>
      <c r="F23" s="3">
        <v>1.8</v>
      </c>
      <c r="I23" s="260" t="s">
        <v>17</v>
      </c>
      <c r="J23" s="260"/>
      <c r="K23" s="260"/>
      <c r="P23" s="3" t="s">
        <v>346</v>
      </c>
      <c r="Q23" s="3">
        <f>(Iwait*uA)/(0.9*fswmin*kHz)*10^12</f>
        <v>2604166.666666666</v>
      </c>
      <c r="R23" s="3" t="s">
        <v>16</v>
      </c>
      <c r="S23" s="18"/>
      <c r="V23" s="1"/>
      <c r="W23" s="1"/>
      <c r="X23" s="1"/>
      <c r="Y23" s="1"/>
      <c r="AB23" s="19"/>
    </row>
    <row r="24" spans="1:28" x14ac:dyDescent="0.2">
      <c r="A24" s="5">
        <v>121</v>
      </c>
      <c r="B24" s="5">
        <v>127</v>
      </c>
      <c r="E24" s="3">
        <v>1.8</v>
      </c>
      <c r="F24" s="3">
        <v>2.2000000000000002</v>
      </c>
      <c r="Q24" s="3">
        <f>(IF(Q23&lt;10000,Q25*10^INT(LOG(Q23)),Q26*10^INT(LOG(Q23))))*10^-6</f>
        <v>2.1999999999999997</v>
      </c>
      <c r="R24" s="3" t="s">
        <v>14</v>
      </c>
      <c r="S24" s="18" t="s">
        <v>223</v>
      </c>
      <c r="T24" s="3">
        <f>AA19</f>
        <v>32432432.432432428</v>
      </c>
      <c r="U24" s="3" t="s">
        <v>16</v>
      </c>
      <c r="V24" s="3" t="s">
        <v>224</v>
      </c>
      <c r="W24" s="3">
        <f>AA20</f>
        <v>80085165.212033257</v>
      </c>
      <c r="X24" s="3" t="s">
        <v>16</v>
      </c>
      <c r="Y24" s="3" t="s">
        <v>225</v>
      </c>
      <c r="Z24" s="3">
        <f>AA21</f>
        <v>582437565.17842364</v>
      </c>
      <c r="AA24" s="3" t="s">
        <v>16</v>
      </c>
      <c r="AB24" s="19"/>
    </row>
    <row r="25" spans="1:28" x14ac:dyDescent="0.2">
      <c r="A25" s="5">
        <v>127</v>
      </c>
      <c r="B25" s="5">
        <v>133</v>
      </c>
      <c r="E25" s="3">
        <v>2.2000000000000002</v>
      </c>
      <c r="F25" s="3">
        <v>2.7</v>
      </c>
      <c r="I25" s="260" t="s">
        <v>406</v>
      </c>
      <c r="J25" s="260"/>
      <c r="K25" s="260"/>
      <c r="L25" s="3" t="s">
        <v>407</v>
      </c>
      <c r="Q25" s="3">
        <f>IF((10^(LOG(Q23)-INT(LOG(Q23))))-VLOOKUP((10^(LOG(Q23)-INT(LOG(Q23)))),C_s1:C_f1,1)&lt;VLOOKUP((10^(LOG(Q23)-INT(LOG(Q23)))),C_s1:C_f1,2)-(10^(LOG(Q23)-INT(LOG(Q23)))),VLOOKUP((10^(LOG(Q23)-INT(LOG(Q23)))),C_s1:C_f1,1),VLOOKUP((10^(LOG(Q23)-INT(LOG(Q23)))),C_s1:C_f1,2))</f>
        <v>2.7</v>
      </c>
      <c r="S25" s="18"/>
      <c r="T25" s="3">
        <f>(IF(T24&lt;10000,T26*10^INT(LOG(T24)),T27*10^INT(LOG(T24))))*10^-6</f>
        <v>33</v>
      </c>
      <c r="U25" s="3" t="s">
        <v>14</v>
      </c>
      <c r="W25" s="3">
        <f>(IF(W24&lt;10000,W26*10^INT(LOG(W24)),W27*10^INT(LOG(W24))))*10^-6</f>
        <v>82</v>
      </c>
      <c r="X25" s="3" t="s">
        <v>14</v>
      </c>
      <c r="Z25" s="3">
        <f>(IF(Z24&lt;10000,Z26*10^INT(LOG(Z24)),Z27*10^INT(LOG(Z24))))*10^-6</f>
        <v>560</v>
      </c>
      <c r="AA25" s="3" t="s">
        <v>14</v>
      </c>
      <c r="AB25" s="19"/>
    </row>
    <row r="26" spans="1:28" ht="18.75" x14ac:dyDescent="0.35">
      <c r="A26" s="5">
        <v>133</v>
      </c>
      <c r="B26" s="5">
        <v>140</v>
      </c>
      <c r="E26" s="3">
        <v>2.7</v>
      </c>
      <c r="F26" s="3">
        <v>3.3</v>
      </c>
      <c r="I26" s="3" t="s">
        <v>42</v>
      </c>
      <c r="J26" s="3">
        <f>(1/fline_min)/(2*PI())*ASIN((Vbulk_valley_rcmd)/(Vin_min*SQRT(2)))</f>
        <v>1.8915540231990789E-3</v>
      </c>
      <c r="K26" s="3" t="s">
        <v>18</v>
      </c>
      <c r="L26" s="3">
        <f>(1/fline_min)/(2*PI())*ASIN((Vbulk_valley_rcmd)/(Vin_min*SQRT(2)))</f>
        <v>1.8915540231990789E-3</v>
      </c>
      <c r="Q26" s="3">
        <f>IF((10^(LOG(Q23)-INT(LOG(Q23))))-VLOOKUP((10^(LOG(Q23)-INT(LOG(Q23)))),C_s2:C_f2,1)&lt;VLOOKUP((10^(LOG(Q23)-INT(LOG(Q23)))),C_s2:C_f2,2)-(10^(LOG(Q23)-INT(LOG(Q23)))),VLOOKUP((10^(LOG(Q23)-INT(LOG(Q23)))),C_s2:C_f2,1),VLOOKUP((10^(LOG(Q23)-INT(LOG(Q23)))),C_s2:C_f2,2))</f>
        <v>2.2000000000000002</v>
      </c>
      <c r="S26" s="18"/>
      <c r="T26" s="3">
        <f>IF((10^(LOG(T24)-INT(LOG(T24))))-VLOOKUP((10^(LOG(T24)-INT(LOG(T24)))),C_s1:C_f1,1)&lt;VLOOKUP((10^(LOG(T24)-INT(LOG(T24)))),C_s1:C_f1,2)-(10^(LOG(T19)-INT(LOG(T24)))),VLOOKUP((10^(LOG(T24)-INT(LOG(T24)))),C_s1:C_f1,1),VLOOKUP((10^(LOG(T24)-INT(LOG(T24)))),C_s1:C_f1,2))</f>
        <v>3.3</v>
      </c>
      <c r="W26" s="3">
        <f>IF((10^(LOG(W24)-INT(LOG(W24))))-VLOOKUP((10^(LOG(W24)-INT(LOG(W24)))),C_s1:C_f1,1)&lt;VLOOKUP((10^(LOG(W24)-INT(LOG(W24)))),C_s1:C_f1,2)-(10^(LOG(W24)-INT(LOG(W24)))),VLOOKUP((10^(LOG(W24)-INT(LOG(W24)))),C_s1:C_f1,1),VLOOKUP((10^(LOG(W24)-INT(LOG(W24)))),C_s1:C_f1,2))</f>
        <v>8.1999999999999993</v>
      </c>
      <c r="Z26" s="3">
        <f>IF((10^(LOG(Z24)-INT(LOG(Z24))))-VLOOKUP((10^(LOG(Z24)-INT(LOG(Z24)))),C_s1:C_f1,1)&lt;VLOOKUP((10^(LOG(Z24)-INT(LOG(Z24)))),C_s1:C_f1,2)-(10^(LOG(Z24)-INT(LOG(Z24)))),VLOOKUP((10^(LOG(Z24)-INT(LOG(Z24)))),C_s1:C_f1,1),VLOOKUP((10^(LOG(Z24)-INT(LOG(Z24)))),C_s1:C_f1,2))</f>
        <v>5.6</v>
      </c>
      <c r="AB26" s="19"/>
    </row>
    <row r="27" spans="1:28" ht="19.5" thickBot="1" x14ac:dyDescent="0.4">
      <c r="A27" s="5">
        <v>140</v>
      </c>
      <c r="B27" s="5">
        <v>147</v>
      </c>
      <c r="E27" s="3">
        <v>3.3</v>
      </c>
      <c r="F27" s="3">
        <v>3.9</v>
      </c>
      <c r="I27" s="3" t="s">
        <v>43</v>
      </c>
      <c r="J27" s="3">
        <f>((1/fline_min)/2)+t_1</f>
        <v>1.2095635655852139E-2</v>
      </c>
      <c r="K27" s="3" t="s">
        <v>18</v>
      </c>
      <c r="L27" s="3">
        <f>((1/fline_min)/2)+t_1</f>
        <v>1.2095635655852139E-2</v>
      </c>
      <c r="P27" s="3" t="s">
        <v>350</v>
      </c>
      <c r="Q27" s="3">
        <f>((2*(Irun*mA+Qg*nC)*(20*ms))/((VDD*1.5)-(VDDoff_max+1)))*10^12</f>
        <v>12500028.301886788</v>
      </c>
      <c r="R27" s="3" t="s">
        <v>16</v>
      </c>
      <c r="S27" s="20"/>
      <c r="T27" s="21">
        <f>IF((10^(LOG(T24)-INT(LOG(T24))))-VLOOKUP((10^(LOG(T24)-INT(LOG(T24)))),C_s2:C_f2,1)&lt;VLOOKUP((10^(LOG(T24)-INT(LOG(T24)))),C_s2:C_f2,2)-(10^(LOG(T24)-INT(LOG(T24)))),VLOOKUP((10^(LOG(T24)-INT(LOG(T24)))),C_s2:C_f2,1),VLOOKUP((10^(LOG(T24)-INT(LOG(T24)))),C_s2:C_f2,2))</f>
        <v>3.3</v>
      </c>
      <c r="U27" s="21"/>
      <c r="V27" s="21"/>
      <c r="W27" s="21">
        <f>IF((10^(LOG(W24)-INT(LOG(W24))))-VLOOKUP((10^(LOG(W24)-INT(LOG(W24)))),C_s2:C_f2,1)&lt;VLOOKUP((10^(LOG(W24)-INT(LOG(W24)))),C_s2:C_f2,2)-(10^(LOG(W24)-INT(LOG(W24)))),VLOOKUP((10^(LOG(W24)-INT(LOG(W24)))),C_s2:C_f2,1),VLOOKUP((10^(LOG(W24)-INT(LOG(W24)))),C_s2:C_f2,2))</f>
        <v>8.1999999999999993</v>
      </c>
      <c r="X27" s="21"/>
      <c r="Y27" s="21"/>
      <c r="Z27" s="21">
        <f>IF((10^(LOG(Z24)-INT(LOG(Z24))))-VLOOKUP((10^(LOG(Z24)-INT(LOG(Z24)))),C_s2:C_f2,1)&lt;VLOOKUP((10^(LOG(Z24)-INT(LOG(Z24)))),C_s2:C_f2,2)-(10^(LOG(Z24)-INT(LOG(Z24)))),VLOOKUP((10^(LOG(Z24)-INT(LOG(Z24)))),C_s2:C_f2,1),VLOOKUP((10^(LOG(Z24)-INT(LOG(Z24)))),C_s2:C_f2,2))</f>
        <v>5.6</v>
      </c>
      <c r="AA27" s="21"/>
      <c r="AB27" s="22"/>
    </row>
    <row r="28" spans="1:28" ht="19.5" thickBot="1" x14ac:dyDescent="0.4">
      <c r="A28" s="5">
        <v>147</v>
      </c>
      <c r="B28" s="5">
        <v>154</v>
      </c>
      <c r="E28" s="3">
        <v>3.9</v>
      </c>
      <c r="F28" s="3">
        <v>4.7</v>
      </c>
      <c r="I28" s="3" t="s">
        <v>44</v>
      </c>
      <c r="J28" s="3">
        <f>((0.25+0.5*Nhc+(1/(2*PI()))*ASIN(Vbulk_valley_rcmd/((SQRT(2))*Vin_min))))/fline_min</f>
        <v>6.9935948395256102E-3</v>
      </c>
      <c r="K28" s="3" t="s">
        <v>18</v>
      </c>
      <c r="L28" s="3">
        <f>((0.25+0.5*Nhc+(1/(2*PI()))*ASIN(Vbulk_valley_rcmd/((SQRT(2))*Vin_min))))/fline_min</f>
        <v>6.9935948395256102E-3</v>
      </c>
      <c r="Q28" s="3">
        <f>(IF(Q27&lt;10000,Q29*10^INT(LOG(Q27)),Q30*10^INT(LOG(Q27))))*10^-6</f>
        <v>12</v>
      </c>
      <c r="R28" s="3" t="s">
        <v>14</v>
      </c>
    </row>
    <row r="29" spans="1:28" ht="18.75" x14ac:dyDescent="0.35">
      <c r="A29" s="5">
        <v>154</v>
      </c>
      <c r="B29" s="5">
        <v>162</v>
      </c>
      <c r="E29" s="3">
        <v>4.7</v>
      </c>
      <c r="F29" s="3">
        <v>5.6</v>
      </c>
      <c r="I29" s="3" t="s">
        <v>45</v>
      </c>
      <c r="J29" s="3">
        <f>((t_line*10^-3)/4)-t_1</f>
        <v>3.2104867931274511E-3</v>
      </c>
      <c r="K29" s="3" t="s">
        <v>18</v>
      </c>
      <c r="L29" s="3">
        <f>((t_line*10^-3)/4)-t_1</f>
        <v>3.2104867931274511E-3</v>
      </c>
      <c r="Q29" s="3">
        <f>IF((10^(LOG(Q27)-INT(LOG(Q27))))-VLOOKUP((10^(LOG(Q27)-INT(LOG(Q27)))),C_s1:C_f1,1)&lt;VLOOKUP((10^(LOG(Q27)-INT(LOG(Q27)))),C_s1:C_f1,2)-(10^(LOG(Q27)-INT(LOG(Q27)))),VLOOKUP((10^(LOG(Q27)-INT(LOG(Q27)))),C_s1:C_f1,1),VLOOKUP((10^(LOG(Q27)-INT(LOG(Q27)))),C_s1:C_f1,2))</f>
        <v>1.2</v>
      </c>
      <c r="S29" s="261" t="s">
        <v>417</v>
      </c>
      <c r="T29" s="262"/>
      <c r="U29" s="15"/>
      <c r="V29" s="16"/>
      <c r="W29" s="16"/>
      <c r="X29" s="16"/>
      <c r="Y29" s="16"/>
      <c r="Z29" s="15"/>
      <c r="AA29" s="15"/>
      <c r="AB29" s="17"/>
    </row>
    <row r="30" spans="1:28" ht="18.75" x14ac:dyDescent="0.35">
      <c r="A30" s="5">
        <v>162</v>
      </c>
      <c r="B30" s="5">
        <v>169</v>
      </c>
      <c r="E30" s="3">
        <v>5.6</v>
      </c>
      <c r="F30" s="3">
        <v>6.8</v>
      </c>
      <c r="I30" s="3" t="s">
        <v>46</v>
      </c>
      <c r="J30" s="3">
        <f>(1/(Cbulk*uF))*(SQRT(2*(Cbulk*uF)*(((Cbulk*uF)*Vin_min^2)-Pin*t_discharge)))</f>
        <v>207.48277829968606</v>
      </c>
      <c r="K30" s="3" t="s">
        <v>4</v>
      </c>
      <c r="L30" s="3">
        <f>(1/(Cbulk_rcmd*uF))*(SQRT(2*(Cbulk_rcmd*uF)*(((Cbulk_rcmd*uF)*Vin_min^2)-Pin*t_discharge)))</f>
        <v>207.48277829968606</v>
      </c>
      <c r="Q30" s="3">
        <f>IF((10^(LOG(Q27)-INT(LOG(Q27))))-VLOOKUP((10^(LOG(Q27)-INT(LOG(Q27)))),C_s2:C_f2,1)&lt;VLOOKUP((10^(LOG(Q27)-INT(LOG(Q27)))),C_s2:C_f2,2)-(10^(LOG(Q27)-INT(LOG(Q27)))),VLOOKUP((10^(LOG(Q27)-INT(LOG(Q27)))),C_s2:C_f2,1),VLOOKUP((10^(LOG(Q27)-INT(LOG(Q27)))),C_s2:C_f2,2))</f>
        <v>1.2</v>
      </c>
      <c r="S30" s="18" t="s">
        <v>153</v>
      </c>
      <c r="T30" s="3">
        <f>MAX(AA30:AA32)</f>
        <v>582750582.75058246</v>
      </c>
      <c r="U30" s="3" t="s">
        <v>16</v>
      </c>
      <c r="V30" s="3" t="s">
        <v>219</v>
      </c>
      <c r="W30" s="3">
        <f>(Itran_rcmd*((1/(fswmin*kHz))+150*us)/(Vocv-Vo_delta_rcmd))*10^12</f>
        <v>1987341772.1518986</v>
      </c>
      <c r="X30" s="1" t="s">
        <v>16</v>
      </c>
      <c r="Z30" s="3" t="s">
        <v>223</v>
      </c>
      <c r="AA30" s="3">
        <f>(1.2*Itran_rcmd/3700)*10^12</f>
        <v>162162162.16216215</v>
      </c>
      <c r="AB30" s="19"/>
    </row>
    <row r="31" spans="1:28" ht="15" x14ac:dyDescent="0.25">
      <c r="A31" s="5">
        <v>169</v>
      </c>
      <c r="B31" s="5">
        <v>178</v>
      </c>
      <c r="E31" s="3">
        <v>6.8</v>
      </c>
      <c r="F31" s="3">
        <v>8.1999999999999993</v>
      </c>
      <c r="I31" s="260" t="s">
        <v>19</v>
      </c>
      <c r="J31" s="260"/>
      <c r="K31" s="260"/>
      <c r="S31" s="18"/>
      <c r="T31" s="3">
        <f>(IF(T30&lt;10000,T32*10^INT(LOG(T30)),T33*10^INT(LOG(T30))))*10^-6</f>
        <v>560</v>
      </c>
      <c r="U31" s="3" t="s">
        <v>14</v>
      </c>
      <c r="V31" s="1"/>
      <c r="W31" s="1">
        <f>(IF(W30&lt;10000,W32*10^INT(LOG(W30)),W33*10^INT(LOG(W30))))*10^-6</f>
        <v>1800</v>
      </c>
      <c r="X31" s="3" t="s">
        <v>14</v>
      </c>
      <c r="Z31" s="3" t="s">
        <v>224</v>
      </c>
      <c r="AA31" s="3">
        <f>((100*Iocc_rcmd)/(Vocv*fmax_actual_rcmd*kHz))*10^12</f>
        <v>80128205.128205121</v>
      </c>
      <c r="AB31" s="19"/>
    </row>
    <row r="32" spans="1:28" ht="18.75" x14ac:dyDescent="0.35">
      <c r="A32" s="5">
        <v>178</v>
      </c>
      <c r="B32" s="5">
        <v>187</v>
      </c>
      <c r="E32" s="3">
        <v>8.1999999999999993</v>
      </c>
      <c r="F32" s="3">
        <v>10</v>
      </c>
      <c r="I32" s="3" t="s">
        <v>47</v>
      </c>
      <c r="J32" s="3">
        <f>(1/fline_min)/(2*PI())*ASIN((Vbulkvalley_1)/(Vin_min*SQRT(2)))</f>
        <v>1.9474049096962493E-3</v>
      </c>
      <c r="K32" s="3" t="s">
        <v>18</v>
      </c>
      <c r="L32" s="3">
        <f>(1/fline_min)/(2*PI())*ASIN((L30)/(Vin_min*SQRT(2)))</f>
        <v>1.9474049096962493E-3</v>
      </c>
      <c r="P32" s="259" t="s">
        <v>418</v>
      </c>
      <c r="Q32" s="259"/>
      <c r="S32" s="18"/>
      <c r="T32" s="3">
        <f>IF((10^(LOG(T30)-INT(LOG(T30))))-VLOOKUP((10^(LOG(T30)-INT(LOG(T30)))),C_s1:C_f1,1)&lt;VLOOKUP((10^(LOG(T30)-INT(LOG(T30)))),C_s1:C_f1,2)-(10^(LOG(T30)-INT(LOG(T30)))),VLOOKUP((10^(LOG(T30)-INT(LOG(T30)))),C_s1:C_f1,1),VLOOKUP((10^(LOG(T30)-INT(LOG(T30)))),C_s1:C_f1,2))</f>
        <v>5.6</v>
      </c>
      <c r="V32" s="1"/>
      <c r="W32" s="1">
        <f>IF((10^(LOG(W30)-INT(LOG(W30))))-VLOOKUP((10^(LOG(W30)-INT(LOG(W30)))),C_s1:C_f1,1)&lt;VLOOKUP((10^(LOG(W30)-INT(LOG(W30)))),C_s1:C_f1,2)-(10^(LOG(W30)-INT(LOG(W30)))),VLOOKUP((10^(LOG(W30)-INT(LOG(W30)))),C_s1:C_f1,1),VLOOKUP((10^(LOG(W30)-INT(LOG(W30)))),C_s1:C_f1,2))</f>
        <v>1.8</v>
      </c>
      <c r="X32" s="1"/>
      <c r="Z32" s="3" t="s">
        <v>225</v>
      </c>
      <c r="AA32" s="3">
        <f>(Iocc_rcmd/((0.33*Vripple_target*mV)*fmax_actual_rcmd*kHz))*10^12</f>
        <v>582750582.75058246</v>
      </c>
      <c r="AB32" s="19"/>
    </row>
    <row r="33" spans="1:28" ht="18.75" x14ac:dyDescent="0.35">
      <c r="A33" s="5">
        <v>187</v>
      </c>
      <c r="B33" s="5">
        <v>196</v>
      </c>
      <c r="E33" s="259" t="s">
        <v>13</v>
      </c>
      <c r="F33" s="259"/>
      <c r="G33" s="259"/>
      <c r="I33" s="3" t="s">
        <v>48</v>
      </c>
      <c r="J33" s="3">
        <f>((t_line*10^-3)/2)+t1_1</f>
        <v>1.2151486542349309E-2</v>
      </c>
      <c r="K33" s="3" t="s">
        <v>18</v>
      </c>
      <c r="L33" s="3">
        <f>((t_line*10^-3)/2)+L32</f>
        <v>1.2151486542349309E-2</v>
      </c>
      <c r="P33" s="3" t="s">
        <v>344</v>
      </c>
      <c r="Q33" s="3">
        <f>((Irun*mA+1*mA)*(Cout_rcmd*uF*Vocc/Iocc_rcmd))/(VDDon-(VDDoff_max+1))*10^12</f>
        <v>1943278.1817847961</v>
      </c>
      <c r="R33" s="3" t="s">
        <v>16</v>
      </c>
      <c r="S33" s="18"/>
      <c r="T33" s="3">
        <f>IF((10^(LOG(T30)-INT(LOG(T30))))-VLOOKUP((10^(LOG(T30)-INT(LOG(T30)))),C_s2:C_f2,1)&lt;VLOOKUP((10^(LOG(T30)-INT(LOG(T30)))),C_s2:C_f2,2)-(10^(LOG(T30)-INT(LOG(T30)))),VLOOKUP((10^(LOG(T30)-INT(LOG(T30)))),C_s2:C_f2,1),VLOOKUP((10^(LOG(T30)-INT(LOG(T30)))),C_s2:C_f2,2))</f>
        <v>5.6</v>
      </c>
      <c r="V33" s="1"/>
      <c r="W33" s="1">
        <f>IF((10^(LOG(W30)-INT(LOG(W30))))-VLOOKUP((10^(LOG(W30)-INT(LOG(W30)))),C_s2:C_f2,1)&lt;VLOOKUP((10^(LOG(W30)-INT(LOG(W30)))),C_s2:C_f2,2)-(10^(LOG(W30)-INT(LOG(W30)))),VLOOKUP((10^(LOG(W30)-INT(LOG(W30)))),C_s2:C_f2,1),VLOOKUP((10^(LOG(W30)-INT(LOG(W30)))),C_s2:C_f2,2))</f>
        <v>1.8</v>
      </c>
      <c r="X33" s="1"/>
      <c r="AB33" s="19"/>
    </row>
    <row r="34" spans="1:28" ht="18.75" x14ac:dyDescent="0.35">
      <c r="A34" s="5">
        <v>196</v>
      </c>
      <c r="B34" s="5">
        <v>205</v>
      </c>
      <c r="E34" s="3">
        <v>1</v>
      </c>
      <c r="F34" s="3">
        <v>1.2</v>
      </c>
      <c r="I34" s="3" t="s">
        <v>49</v>
      </c>
      <c r="J34" s="3">
        <f>((0.25+0.5*Nhc+(1/(2*PI()))*ASIN(Vbulkvalley_1/((SQRT(2))*Vin_min))))/fline_min</f>
        <v>7.0494457260227806E-3</v>
      </c>
      <c r="K34" s="3" t="s">
        <v>18</v>
      </c>
      <c r="L34" s="3">
        <f>((0.25+0.5*Nhc+(1/(2*PI()))*ASIN(L30/((SQRT(2))*Vin_min))))/fline_min</f>
        <v>7.0494457260227806E-3</v>
      </c>
      <c r="Q34" s="3">
        <f>(IF(Q33&lt;10000,Q35*10^INT(LOG(Q33)),Q36*10^INT(LOG(Q33))))*10^-6</f>
        <v>1.7999999999999998</v>
      </c>
      <c r="R34" s="3" t="s">
        <v>14</v>
      </c>
      <c r="S34" s="18"/>
      <c r="V34" s="1"/>
      <c r="W34" s="1"/>
      <c r="X34" s="1"/>
      <c r="Y34" s="1"/>
      <c r="AB34" s="19"/>
    </row>
    <row r="35" spans="1:28" ht="18.75" x14ac:dyDescent="0.35">
      <c r="A35" s="5">
        <v>205</v>
      </c>
      <c r="B35" s="5">
        <v>215</v>
      </c>
      <c r="E35" s="3">
        <v>1.2</v>
      </c>
      <c r="F35" s="3">
        <v>1.5</v>
      </c>
      <c r="I35" s="3" t="s">
        <v>50</v>
      </c>
      <c r="J35" s="3">
        <f>((t_line*10^-3)/4)-t1_1</f>
        <v>3.1546359066302807E-3</v>
      </c>
      <c r="K35" s="3" t="s">
        <v>18</v>
      </c>
      <c r="L35" s="3">
        <f>((t_line*10^-3)/4)-L32</f>
        <v>3.1546359066302807E-3</v>
      </c>
      <c r="Q35" s="3">
        <f>IF((10^(LOG(Q33)-INT(LOG(Q33))))-VLOOKUP((10^(LOG(Q33)-INT(LOG(Q33)))),C_s1:C_f1,1)&lt;VLOOKUP((10^(LOG(Q33)-INT(LOG(Q33)))),C_s1:C_f1,2)-(10^(LOG(Q33)-INT(LOG(Q33)))),VLOOKUP((10^(LOG(Q33)-INT(LOG(Q33)))),C_s1:C_f1,1),VLOOKUP((10^(LOG(Q33)-INT(LOG(Q33)))),C_s1:C_f1,2))</f>
        <v>1.8</v>
      </c>
      <c r="S35" s="18" t="s">
        <v>223</v>
      </c>
      <c r="T35" s="3">
        <f>AA30</f>
        <v>162162162.16216215</v>
      </c>
      <c r="U35" s="3" t="s">
        <v>16</v>
      </c>
      <c r="V35" s="3" t="s">
        <v>224</v>
      </c>
      <c r="W35" s="3">
        <f>AA31</f>
        <v>80128205.128205121</v>
      </c>
      <c r="X35" s="3" t="s">
        <v>16</v>
      </c>
      <c r="Y35" s="3" t="s">
        <v>225</v>
      </c>
      <c r="Z35" s="3">
        <f>AA32</f>
        <v>582750582.75058246</v>
      </c>
      <c r="AA35" s="3" t="s">
        <v>16</v>
      </c>
      <c r="AB35" s="19"/>
    </row>
    <row r="36" spans="1:28" ht="18.75" x14ac:dyDescent="0.35">
      <c r="A36" s="5">
        <v>215</v>
      </c>
      <c r="B36" s="5">
        <v>226</v>
      </c>
      <c r="E36" s="3">
        <v>1.5</v>
      </c>
      <c r="F36" s="3">
        <v>1.8</v>
      </c>
      <c r="I36" s="3" t="s">
        <v>51</v>
      </c>
      <c r="J36" s="3">
        <f>SQRT((2*Cbulk*uF)*(((Cbulk*uF)*(Vin_min^2))-(Pin*tdischarge_1)))/(Cbulk*uF)</f>
        <v>205.70169111531354</v>
      </c>
      <c r="K36" s="3" t="s">
        <v>4</v>
      </c>
      <c r="L36" s="3">
        <f>SQRT((2*Cbulk_rcmd*uF)*(((Cbulk_rcmd*uF)*(Vin_min^2))-(Pin*L34)))/(Cbulk_rcmd*uF)</f>
        <v>205.70169111531354</v>
      </c>
      <c r="Q36" s="3">
        <f>IF((10^(LOG(Q33)-INT(LOG(Q33))))-VLOOKUP((10^(LOG(Q33)-INT(LOG(Q33)))),C_s2:C_f2,1)&lt;VLOOKUP((10^(LOG(Q33)-INT(LOG(Q33)))),C_s2:C_f2,2)-(10^(LOG(Q33)-INT(LOG(Q33)))),VLOOKUP((10^(LOG(Q33)-INT(LOG(Q33)))),C_s2:C_f2,1),VLOOKUP((10^(LOG(Q33)-INT(LOG(Q33)))),C_s2:C_f2,2))</f>
        <v>1.8</v>
      </c>
      <c r="S36" s="18"/>
      <c r="T36" s="3">
        <f>(IF(T35&lt;10000,T37*10^INT(LOG(T35)),T38*10^INT(LOG(T35))))*10^-6</f>
        <v>150</v>
      </c>
      <c r="U36" s="3" t="s">
        <v>14</v>
      </c>
      <c r="W36" s="3">
        <f>(IF(W35&lt;10000,W37*10^INT(LOG(W35)),W38*10^INT(LOG(W35))))*10^-6</f>
        <v>82</v>
      </c>
      <c r="X36" s="3" t="s">
        <v>14</v>
      </c>
      <c r="Z36" s="3">
        <f>(IF(Z35&lt;10000,Z37*10^INT(LOG(Z35)),Z38*10^INT(LOG(Z35))))*10^-6</f>
        <v>560</v>
      </c>
      <c r="AA36" s="3" t="s">
        <v>14</v>
      </c>
      <c r="AB36" s="19"/>
    </row>
    <row r="37" spans="1:28" x14ac:dyDescent="0.2">
      <c r="A37" s="5">
        <v>226</v>
      </c>
      <c r="B37" s="5">
        <v>237</v>
      </c>
      <c r="E37" s="3">
        <v>1.8</v>
      </c>
      <c r="F37" s="3">
        <v>2.2000000000000002</v>
      </c>
      <c r="I37" s="6" t="s">
        <v>20</v>
      </c>
      <c r="P37" s="3" t="s">
        <v>346</v>
      </c>
      <c r="Q37" s="3">
        <f>(Iwait*uA)/(0.9*fswmin*kHz)*10^12</f>
        <v>2604166.666666666</v>
      </c>
      <c r="R37" s="3" t="s">
        <v>16</v>
      </c>
      <c r="S37" s="18"/>
      <c r="T37" s="3">
        <f>IF((10^(LOG(T35)-INT(LOG(T35))))-VLOOKUP((10^(LOG(T35)-INT(LOG(T35)))),C_s1:C_f1,1)&lt;VLOOKUP((10^(LOG(T35)-INT(LOG(T35)))),C_s1:C_f1,2)-(10^(LOG(T30)-INT(LOG(T35)))),VLOOKUP((10^(LOG(T35)-INT(LOG(T35)))),C_s1:C_f1,1),VLOOKUP((10^(LOG(T35)-INT(LOG(T35)))),C_s1:C_f1,2))</f>
        <v>1.8</v>
      </c>
      <c r="W37" s="3">
        <f>IF((10^(LOG(W35)-INT(LOG(W35))))-VLOOKUP((10^(LOG(W35)-INT(LOG(W35)))),C_s1:C_f1,1)&lt;VLOOKUP((10^(LOG(W35)-INT(LOG(W35)))),C_s1:C_f1,2)-(10^(LOG(W35)-INT(LOG(W35)))),VLOOKUP((10^(LOG(W35)-INT(LOG(W35)))),C_s1:C_f1,1),VLOOKUP((10^(LOG(W35)-INT(LOG(W35)))),C_s1:C_f1,2))</f>
        <v>8.1999999999999993</v>
      </c>
      <c r="Z37" s="3">
        <f>IF((10^(LOG(Z35)-INT(LOG(Z35))))-VLOOKUP((10^(LOG(Z35)-INT(LOG(Z35)))),C_s1:C_f1,1)&lt;VLOOKUP((10^(LOG(Z35)-INT(LOG(Z35)))),C_s1:C_f1,2)-(10^(LOG(Z35)-INT(LOG(Z35)))),VLOOKUP((10^(LOG(Z35)-INT(LOG(Z35)))),C_s1:C_f1,1),VLOOKUP((10^(LOG(Z35)-INT(LOG(Z35)))),C_s1:C_f1,2))</f>
        <v>5.6</v>
      </c>
      <c r="AB37" s="19"/>
    </row>
    <row r="38" spans="1:28" ht="19.5" thickBot="1" x14ac:dyDescent="0.4">
      <c r="A38" s="5">
        <v>237</v>
      </c>
      <c r="B38" s="5">
        <v>249</v>
      </c>
      <c r="E38" s="3">
        <v>2.2000000000000002</v>
      </c>
      <c r="F38" s="3">
        <v>3.3</v>
      </c>
      <c r="I38" s="3" t="s">
        <v>52</v>
      </c>
      <c r="J38" s="3">
        <f>(1/fline_min)/(2*PI())*ASIN(Vbulkvalley_2/(Vin_min*SQRT(2)))</f>
        <v>1.9283856450168526E-3</v>
      </c>
      <c r="K38" s="3" t="s">
        <v>18</v>
      </c>
      <c r="L38" s="3">
        <f>(1/fline_min)/(2*PI())*ASIN(L36/(Vin_min*SQRT(2)))</f>
        <v>1.9283856450168526E-3</v>
      </c>
      <c r="Q38" s="3">
        <f>(IF(Q37&lt;10000,Q39*10^INT(LOG(Q37)),Q40*10^INT(LOG(Q37))))*10^-6</f>
        <v>2.1999999999999997</v>
      </c>
      <c r="R38" s="3" t="s">
        <v>14</v>
      </c>
      <c r="S38" s="20"/>
      <c r="T38" s="21">
        <f>IF((10^(LOG(T35)-INT(LOG(T35))))-VLOOKUP((10^(LOG(T35)-INT(LOG(T35)))),C_s2:C_f2,1)&lt;VLOOKUP((10^(LOG(T35)-INT(LOG(T35)))),C_s2:C_f2,2)-(10^(LOG(T35)-INT(LOG(T35)))),VLOOKUP((10^(LOG(T35)-INT(LOG(T35)))),C_s2:C_f2,1),VLOOKUP((10^(LOG(T35)-INT(LOG(T35)))),C_s2:C_f2,2))</f>
        <v>1.5</v>
      </c>
      <c r="U38" s="21"/>
      <c r="V38" s="21"/>
      <c r="W38" s="21">
        <f>IF((10^(LOG(W35)-INT(LOG(W35))))-VLOOKUP((10^(LOG(W35)-INT(LOG(W35)))),C_s2:C_f2,1)&lt;VLOOKUP((10^(LOG(W35)-INT(LOG(W35)))),C_s2:C_f2,2)-(10^(LOG(W35)-INT(LOG(W35)))),VLOOKUP((10^(LOG(W35)-INT(LOG(W35)))),C_s2:C_f2,1),VLOOKUP((10^(LOG(W35)-INT(LOG(W35)))),C_s2:C_f2,2))</f>
        <v>8.1999999999999993</v>
      </c>
      <c r="X38" s="21"/>
      <c r="Y38" s="21"/>
      <c r="Z38" s="21">
        <f>IF((10^(LOG(Z35)-INT(LOG(Z35))))-VLOOKUP((10^(LOG(Z35)-INT(LOG(Z35)))),C_s2:C_f2,1)&lt;VLOOKUP((10^(LOG(Z35)-INT(LOG(Z35)))),C_s2:C_f2,2)-(10^(LOG(Z35)-INT(LOG(Z35)))),VLOOKUP((10^(LOG(Z35)-INT(LOG(Z35)))),C_s2:C_f2,1),VLOOKUP((10^(LOG(Z35)-INT(LOG(Z35)))),C_s2:C_f2,2))</f>
        <v>5.6</v>
      </c>
      <c r="AA38" s="21"/>
      <c r="AB38" s="22"/>
    </row>
    <row r="39" spans="1:28" ht="18.75" x14ac:dyDescent="0.35">
      <c r="A39" s="5">
        <v>249</v>
      </c>
      <c r="B39" s="5">
        <v>261</v>
      </c>
      <c r="E39" s="3">
        <v>3.3</v>
      </c>
      <c r="F39" s="3">
        <v>3.9</v>
      </c>
      <c r="I39" s="3" t="s">
        <v>53</v>
      </c>
      <c r="J39" s="3">
        <f>((t_line*10^-3)/2)+t1_2</f>
        <v>1.2132467277669912E-2</v>
      </c>
      <c r="K39" s="3" t="s">
        <v>18</v>
      </c>
      <c r="L39" s="3">
        <f>((t_line*10^-3)/2)+L38</f>
        <v>1.2132467277669912E-2</v>
      </c>
      <c r="Q39" s="3">
        <f>IF((10^(LOG(Q37)-INT(LOG(Q37))))-VLOOKUP((10^(LOG(Q37)-INT(LOG(Q37)))),C_s1:C_f1,1)&lt;VLOOKUP((10^(LOG(Q37)-INT(LOG(Q37)))),C_s1:C_f1,2)-(10^(LOG(Q37)-INT(LOG(Q37)))),VLOOKUP((10^(LOG(Q37)-INT(LOG(Q37)))),C_s1:C_f1,1),VLOOKUP((10^(LOG(Q37)-INT(LOG(Q37)))),C_s1:C_f1,2))</f>
        <v>2.7</v>
      </c>
    </row>
    <row r="40" spans="1:28" ht="18.75" x14ac:dyDescent="0.35">
      <c r="A40" s="5">
        <v>261</v>
      </c>
      <c r="B40" s="5">
        <v>274</v>
      </c>
      <c r="E40" s="3">
        <v>3.9</v>
      </c>
      <c r="F40" s="3">
        <v>4.7</v>
      </c>
      <c r="I40" s="3" t="s">
        <v>54</v>
      </c>
      <c r="J40" s="3">
        <f>((0.25+0.5*Nhc+(1/(2*PI()))*ASIN(Vbulkvalley_2/((SQRT(2))*Vin_min))))/fline_min</f>
        <v>7.030426461343383E-3</v>
      </c>
      <c r="K40" s="3" t="s">
        <v>18</v>
      </c>
      <c r="L40" s="3">
        <f>((0.25+0.5*Nhc+(1/(2*PI()))*ASIN(L36/((SQRT(2))*Vin_min))))/fline_min</f>
        <v>7.030426461343383E-3</v>
      </c>
      <c r="Q40" s="3">
        <f>IF((10^(LOG(Q37)-INT(LOG(Q37))))-VLOOKUP((10^(LOG(Q37)-INT(LOG(Q37)))),C_s2:C_f2,1)&lt;VLOOKUP((10^(LOG(Q37)-INT(LOG(Q37)))),C_s2:C_f2,2)-(10^(LOG(Q37)-INT(LOG(Q37)))),VLOOKUP((10^(LOG(Q37)-INT(LOG(Q37)))),C_s2:C_f2,1),VLOOKUP((10^(LOG(Q37)-INT(LOG(Q37)))),C_s2:C_f2,2))</f>
        <v>2.2000000000000002</v>
      </c>
    </row>
    <row r="41" spans="1:28" ht="18.75" x14ac:dyDescent="0.35">
      <c r="A41" s="5">
        <v>274</v>
      </c>
      <c r="B41" s="5">
        <v>287</v>
      </c>
      <c r="E41" s="3">
        <v>4.7</v>
      </c>
      <c r="F41" s="3">
        <v>5.6</v>
      </c>
      <c r="I41" s="3" t="s">
        <v>55</v>
      </c>
      <c r="J41" s="3">
        <f>((t_line*10^-3)/4)-t1_2</f>
        <v>3.1736551713096774E-3</v>
      </c>
      <c r="K41" s="3" t="s">
        <v>18</v>
      </c>
      <c r="L41" s="3">
        <f>((t_line*10^-3)/4)-L38</f>
        <v>3.1736551713096774E-3</v>
      </c>
      <c r="P41" s="3" t="s">
        <v>350</v>
      </c>
      <c r="Q41" s="3">
        <f>((2*(Irun*mA+Qg_rcmd*nC)*(20*ms))/((VDD_rcmd*1.5)-(VDDoff_max+1)))*10^12</f>
        <v>19164105.865561072</v>
      </c>
      <c r="R41" s="3" t="s">
        <v>16</v>
      </c>
    </row>
    <row r="42" spans="1:28" ht="18.75" x14ac:dyDescent="0.35">
      <c r="A42" s="5">
        <v>287</v>
      </c>
      <c r="B42" s="5">
        <v>301</v>
      </c>
      <c r="E42" s="3">
        <v>5.6</v>
      </c>
      <c r="F42" s="3">
        <v>6.8</v>
      </c>
      <c r="I42" s="3" t="s">
        <v>56</v>
      </c>
      <c r="J42" s="3">
        <f>SQRT((2*Cbulk*uF)*(((Cbulk*uF)*(Vin_min^2))-(Pin*tdischarge_2)))/(Cbulk*uF)</f>
        <v>206.30994282718854</v>
      </c>
      <c r="K42" s="3" t="s">
        <v>4</v>
      </c>
      <c r="L42" s="3">
        <f>SQRT((2*Cbulk_rcmd*uF)*(((Cbulk_rcmd*uF)*(Vin_min^2))-(Pin*L40)))/(Cbulk_rcmd*uF)</f>
        <v>206.30994282718854</v>
      </c>
      <c r="Q42" s="3">
        <f>(IF(Q41&lt;10000,Q43*10^INT(LOG(Q41)),Q44*10^INT(LOG(Q41))))*10^-6</f>
        <v>18</v>
      </c>
      <c r="R42" s="3" t="s">
        <v>14</v>
      </c>
    </row>
    <row r="43" spans="1:28" x14ac:dyDescent="0.2">
      <c r="A43" s="5">
        <v>301</v>
      </c>
      <c r="B43" s="5">
        <v>316</v>
      </c>
      <c r="E43" s="3">
        <v>6.8</v>
      </c>
      <c r="F43" s="3">
        <v>8.1999999999999993</v>
      </c>
      <c r="I43" s="6" t="s">
        <v>21</v>
      </c>
      <c r="Q43" s="3">
        <f>IF((10^(LOG(Q41)-INT(LOG(Q41))))-VLOOKUP((10^(LOG(Q41)-INT(LOG(Q41)))),C_s1:C_f1,1)&lt;VLOOKUP((10^(LOG(Q41)-INT(LOG(Q41)))),C_s1:C_f1,2)-(10^(LOG(Q41)-INT(LOG(Q41)))),VLOOKUP((10^(LOG(Q41)-INT(LOG(Q41)))),C_s1:C_f1,1),VLOOKUP((10^(LOG(Q41)-INT(LOG(Q41)))),C_s1:C_f1,2))</f>
        <v>1.8</v>
      </c>
    </row>
    <row r="44" spans="1:28" ht="18.75" x14ac:dyDescent="0.35">
      <c r="A44" s="5">
        <v>316</v>
      </c>
      <c r="B44" s="5">
        <v>332</v>
      </c>
      <c r="E44" s="3">
        <v>8.1999999999999993</v>
      </c>
      <c r="F44" s="3">
        <v>10</v>
      </c>
      <c r="I44" s="3" t="s">
        <v>57</v>
      </c>
      <c r="J44" s="3">
        <f>(1/fline_min)/(2*PI())*ASIN(Vbulkvalley_3/(Vin_min*SQRT(2)))</f>
        <v>1.9348723394369436E-3</v>
      </c>
      <c r="K44" s="3" t="s">
        <v>18</v>
      </c>
      <c r="L44" s="3">
        <f>(1/fline_min)/(2*PI())*ASIN(L42/(Vin_min*SQRT(2)))</f>
        <v>1.9348723394369436E-3</v>
      </c>
      <c r="Q44" s="3">
        <f>IF((10^(LOG(Q41)-INT(LOG(Q41))))-VLOOKUP((10^(LOG(Q41)-INT(LOG(Q41)))),C_s2:C_f2,1)&lt;VLOOKUP((10^(LOG(Q41)-INT(LOG(Q41)))),C_s2:C_f2,2)-(10^(LOG(Q41)-INT(LOG(Q41)))),VLOOKUP((10^(LOG(Q41)-INT(LOG(Q41)))),C_s2:C_f2,1),VLOOKUP((10^(LOG(Q41)-INT(LOG(Q41)))),C_s2:C_f2,2))</f>
        <v>1.8</v>
      </c>
    </row>
    <row r="45" spans="1:28" ht="18.75" x14ac:dyDescent="0.35">
      <c r="A45" s="5">
        <v>332</v>
      </c>
      <c r="B45" s="5">
        <v>348</v>
      </c>
      <c r="I45" s="3" t="s">
        <v>58</v>
      </c>
      <c r="J45" s="3">
        <f>((t_line*10^-3)/2)+t1_3</f>
        <v>1.2138953972090003E-2</v>
      </c>
      <c r="K45" s="3" t="s">
        <v>18</v>
      </c>
      <c r="L45" s="3">
        <f>((t_line*10^-3)/2)+L44</f>
        <v>1.2138953972090003E-2</v>
      </c>
    </row>
    <row r="46" spans="1:28" ht="18.75" x14ac:dyDescent="0.35">
      <c r="A46" s="5">
        <v>348</v>
      </c>
      <c r="B46" s="5">
        <v>365</v>
      </c>
      <c r="I46" s="3" t="s">
        <v>59</v>
      </c>
      <c r="J46" s="3">
        <f>((0.25+0.5*Nhc+(1/(2*PI()))*ASIN(Vbulkvalley_3/((SQRT(2))*Vin_min))))/fline_min</f>
        <v>7.0369131557634738E-3</v>
      </c>
      <c r="K46" s="3" t="s">
        <v>18</v>
      </c>
      <c r="L46" s="3">
        <f>((0.25+0.5*Nhc+(1/(2*PI()))*ASIN(L42/((SQRT(2))*Vin_min))))/fline_min</f>
        <v>7.0369131557634738E-3</v>
      </c>
    </row>
    <row r="47" spans="1:28" ht="18.75" x14ac:dyDescent="0.35">
      <c r="A47" s="5">
        <v>365</v>
      </c>
      <c r="B47" s="5">
        <v>383</v>
      </c>
      <c r="I47" s="3" t="s">
        <v>60</v>
      </c>
      <c r="J47" s="3">
        <f>((t_line*10^-3)/4)-t1_3</f>
        <v>3.1671684768895866E-3</v>
      </c>
      <c r="K47" s="3" t="s">
        <v>18</v>
      </c>
      <c r="L47" s="3">
        <f>((t_line*10^-3)/4)-L44</f>
        <v>3.1671684768895866E-3</v>
      </c>
    </row>
    <row r="48" spans="1:28" ht="18.75" x14ac:dyDescent="0.35">
      <c r="A48" s="5">
        <v>383</v>
      </c>
      <c r="B48" s="5">
        <v>402</v>
      </c>
      <c r="I48" s="3" t="s">
        <v>61</v>
      </c>
      <c r="J48" s="3">
        <f>(SQRT((2*Cbulk*uF)*(((Cbulk*uF)*(Vin_min^2))-(Pin*tdischarge_3))))/(Cbulk*uF)</f>
        <v>206.10269472065761</v>
      </c>
      <c r="K48" s="3" t="s">
        <v>4</v>
      </c>
      <c r="L48" s="3">
        <f>(SQRT((2*Cbulk_rcmd*uF)*(((Cbulk_rcmd*uF)*(Vin_min^2))-(Pin*L46))))/(Cbulk_rcmd*uF)</f>
        <v>206.10269472065761</v>
      </c>
    </row>
    <row r="49" spans="1:12" x14ac:dyDescent="0.2">
      <c r="A49" s="5">
        <v>402</v>
      </c>
      <c r="B49" s="5">
        <v>422</v>
      </c>
    </row>
    <row r="50" spans="1:12" x14ac:dyDescent="0.2">
      <c r="A50" s="5">
        <v>422</v>
      </c>
      <c r="B50" s="5">
        <v>442</v>
      </c>
    </row>
    <row r="51" spans="1:12" x14ac:dyDescent="0.2">
      <c r="A51" s="5">
        <v>442</v>
      </c>
      <c r="B51" s="5">
        <v>464</v>
      </c>
    </row>
    <row r="52" spans="1:12" x14ac:dyDescent="0.2">
      <c r="A52" s="5">
        <v>464</v>
      </c>
      <c r="B52" s="5">
        <v>487</v>
      </c>
    </row>
    <row r="53" spans="1:12" ht="18.75" x14ac:dyDescent="0.35">
      <c r="A53" s="5">
        <v>487</v>
      </c>
      <c r="B53" s="5">
        <v>511</v>
      </c>
      <c r="G53" s="7" t="s">
        <v>154</v>
      </c>
      <c r="H53" s="3">
        <f>(Vin_run*SQRT(2))/(Npa*Ivslrun_max*uA)/kOhms</f>
        <v>24.284475313477394</v>
      </c>
      <c r="I53" s="3" t="s">
        <v>124</v>
      </c>
      <c r="J53" s="7" t="s">
        <v>419</v>
      </c>
      <c r="K53" s="3">
        <f>(Vin_run*SQRT(2))/(Npa_rcmd*Ivslrun_max*uA)/kOhms</f>
        <v>19.627708642292429</v>
      </c>
      <c r="L53" s="3" t="s">
        <v>124</v>
      </c>
    </row>
    <row r="54" spans="1:12" ht="15" x14ac:dyDescent="0.25">
      <c r="A54" s="5">
        <v>511</v>
      </c>
      <c r="B54" s="5">
        <v>536</v>
      </c>
      <c r="H54" s="3">
        <f>(IF((10^(LOG(H53)-INT(LOG(H53)))*100)-VLOOKUP((10^(LOG(H53)-INT(LOG(H53)))*100),E_48s:E_48f,1)&lt;VLOOKUP((10^(LOG(H53)-INT(LOG(H53)))*100),E_48s:E_48f,2)-(10^(LOG(H53)-INT(LOG(H53)))*100),VLOOKUP((10^(LOG(H53)-INT(LOG(H53)))*100),E_48s:E_48f,1),VLOOKUP((10^(LOG(H53)-INT(LOG(H53)))*100),E_48s:E_48f,2)))*10^INT(LOG(H53))/100</f>
        <v>23.7</v>
      </c>
      <c r="I54" s="3" t="s">
        <v>124</v>
      </c>
      <c r="K54" s="3">
        <f>(IF((10^(LOG(K53)-INT(LOG(K53)))*100)-VLOOKUP((10^(LOG(K53)-INT(LOG(K53)))*100),E_48s:E_48f,1)&lt;VLOOKUP((10^(LOG(K53)-INT(LOG(K53)))*100),E_48s:E_48f,2)-(10^(LOG(K53)-INT(LOG(K53)))*100),VLOOKUP((10^(LOG(K53)-INT(LOG(K53)))*100),E_48s:E_48f,1),VLOOKUP((10^(LOG(K53)-INT(LOG(K53)))*100),E_48s:E_48f,2)))*10^INT(LOG(K53))/100</f>
        <v>19.600000000000001</v>
      </c>
      <c r="L54" s="3" t="s">
        <v>124</v>
      </c>
    </row>
    <row r="55" spans="1:12" x14ac:dyDescent="0.2">
      <c r="A55" s="5">
        <v>536</v>
      </c>
      <c r="B55" s="5">
        <v>562</v>
      </c>
    </row>
    <row r="56" spans="1:12" ht="18.75" x14ac:dyDescent="0.35">
      <c r="A56" s="5">
        <v>562</v>
      </c>
      <c r="B56" s="5">
        <v>590</v>
      </c>
      <c r="G56" s="7" t="s">
        <v>155</v>
      </c>
      <c r="H56" s="3">
        <f>Rvs_1*kOhms*Vovp_nom/(Nas*(Vout_ovp+Vf+Vocbc)-Vovp_nom)/kOhms</f>
        <v>12.442499999999999</v>
      </c>
      <c r="I56" s="3" t="s">
        <v>124</v>
      </c>
      <c r="J56" s="7" t="s">
        <v>155</v>
      </c>
      <c r="K56" s="3">
        <f>Rvs_1_rcmd*kOhms*Vovp_nom/(Nas_rec*(Vout_ovp+Vf_rcmd+Vocbc)-Vovp_nom)/kOhms</f>
        <v>13.593940898932209</v>
      </c>
      <c r="L56" s="3" t="s">
        <v>124</v>
      </c>
    </row>
    <row r="57" spans="1:12" ht="15" x14ac:dyDescent="0.25">
      <c r="A57" s="5">
        <v>590</v>
      </c>
      <c r="B57" s="5">
        <v>619</v>
      </c>
      <c r="H57" s="3">
        <f>(IF((10^(LOG(H56)-INT(LOG(H56)))*100)-VLOOKUP((10^(LOG(H56)-INT(LOG(H56)))*100),E_48s:E_48f,1)&lt;VLOOKUP((10^(LOG(H56)-INT(LOG(H56)))*100),E_48s:E_48f,2)-(10^(LOG(H56)-INT(LOG(H56)))*100),VLOOKUP((10^(LOG(H56)-INT(LOG(H56)))*100),E_48s:E_48f,1),VLOOKUP((10^(LOG(H56)-INT(LOG(H56)))*100),E_48s:E_48f,2)))*10^INT(LOG(H56))/100</f>
        <v>12.7</v>
      </c>
      <c r="I57" s="3" t="s">
        <v>124</v>
      </c>
      <c r="K57" s="3">
        <f>(IF((10^(LOG(K56)-INT(LOG(K56)))*100)-VLOOKUP((10^(LOG(K56)-INT(LOG(K56)))*100),E_48s:E_48f,1)&lt;VLOOKUP((10^(LOG(K56)-INT(LOG(K56)))*100),E_48s:E_48f,2)-(10^(LOG(K56)-INT(LOG(K56)))*100),VLOOKUP((10^(LOG(K56)-INT(LOG(K56)))*100),E_48s:E_48f,1),VLOOKUP((10^(LOG(K56)-INT(LOG(K56)))*100),E_48s:E_48f,2)))*10^INT(LOG(K56))/100</f>
        <v>13.3</v>
      </c>
      <c r="L57" s="3" t="s">
        <v>124</v>
      </c>
    </row>
    <row r="58" spans="1:12" x14ac:dyDescent="0.2">
      <c r="A58" s="5">
        <v>619</v>
      </c>
      <c r="B58" s="5">
        <v>649</v>
      </c>
    </row>
    <row r="59" spans="1:12" ht="18.75" x14ac:dyDescent="0.35">
      <c r="A59" s="5">
        <v>649</v>
      </c>
      <c r="B59" s="5">
        <v>681</v>
      </c>
      <c r="G59" s="7" t="s">
        <v>156</v>
      </c>
      <c r="H59" s="3">
        <f>((Klc*Rvs_1*kOhms*Rcs*tdelay*ns*Npa)/(Lp*uH))/kOhms</f>
        <v>0.58539161159999997</v>
      </c>
      <c r="I59" s="3" t="s">
        <v>124</v>
      </c>
      <c r="J59" s="7" t="s">
        <v>156</v>
      </c>
      <c r="K59" s="3">
        <f>((Klc*Rvs_1_rcmd*kOhms*Rcs_rcmd*tdelay*ns*Npa_rcmd)/(Lp_rcmd*uH))/kOhms</f>
        <v>0.58828629438772906</v>
      </c>
      <c r="L59" s="3" t="s">
        <v>124</v>
      </c>
    </row>
    <row r="60" spans="1:12" ht="15" x14ac:dyDescent="0.25">
      <c r="A60" s="5">
        <v>681</v>
      </c>
      <c r="B60" s="5">
        <v>715</v>
      </c>
      <c r="H60" s="3">
        <f>(IF((10^(LOG(H59)-INT(LOG(H59)))*100)-VLOOKUP((10^(LOG(H59)-INT(LOG(H59)))*100),E_48s:E_48f,1)&lt;VLOOKUP((10^(LOG(H59)-INT(LOG(H59)))*100),E_48s:E_48f,2)-(10^(LOG(H59)-INT(LOG(H59)))*100),VLOOKUP((10^(LOG(H59)-INT(LOG(H59)))*100),E_48s:E_48f,1),VLOOKUP((10^(LOG(H59)-INT(LOG(H59)))*100),E_48s:E_48f,2)))*10^INT(LOG(H59))/100</f>
        <v>0.59</v>
      </c>
      <c r="I60" s="3" t="s">
        <v>124</v>
      </c>
      <c r="K60" s="3">
        <f>(IF((10^(LOG(K59)-INT(LOG(K59)))*100)-VLOOKUP((10^(LOG(K59)-INT(LOG(K59)))*100),E_48s:E_48f,1)&lt;VLOOKUP((10^(LOG(K59)-INT(LOG(K59)))*100),E_48s:E_48f,2)-(10^(LOG(K59)-INT(LOG(K59)))*100),VLOOKUP((10^(LOG(K59)-INT(LOG(K59)))*100),E_48s:E_48f,1),VLOOKUP((10^(LOG(K59)-INT(LOG(K59)))*100),E_48s:E_48f,2)))*10^INT(LOG(K59))/100</f>
        <v>0.59</v>
      </c>
      <c r="L60" s="3" t="s">
        <v>124</v>
      </c>
    </row>
    <row r="61" spans="1:12" ht="18.75" x14ac:dyDescent="0.35">
      <c r="A61" s="5">
        <v>715</v>
      </c>
      <c r="B61" s="5">
        <v>750</v>
      </c>
      <c r="G61" s="7" t="s">
        <v>399</v>
      </c>
      <c r="J61" s="7" t="s">
        <v>399</v>
      </c>
    </row>
    <row r="62" spans="1:12" ht="15" x14ac:dyDescent="0.25">
      <c r="A62" s="5">
        <v>750</v>
      </c>
      <c r="B62" s="5">
        <v>787</v>
      </c>
      <c r="G62" s="1"/>
      <c r="H62" s="3">
        <f>IF(Vocbc=0,"OPEN",IF(Vocbc&gt;=0.08*Vocv,"SHORT TO GND",(Vcbc_nom/(Vocbc*(Vvsr_nom/(Vocv+Vf))))*(3*kOhms)-(28*kOhms)))/kOhms</f>
        <v>114.01212871287129</v>
      </c>
      <c r="I62" s="3" t="s">
        <v>124</v>
      </c>
      <c r="J62" s="1"/>
      <c r="K62" s="3">
        <f>IF(Vocbc=0,"OPEN",IF(Vocbc&gt;=0.08*Vocv,"SHORT TO GND",(Vcbc_nom/(Vocbc*(Vvsr_nom/(Vocv+Vf_rcmd))))*(3*kOhms)-(28*kOhms)))/kOhms</f>
        <v>116.56881188118807</v>
      </c>
      <c r="L62" s="3" t="s">
        <v>124</v>
      </c>
    </row>
    <row r="63" spans="1:12" ht="15" x14ac:dyDescent="0.25">
      <c r="A63" s="5">
        <v>787</v>
      </c>
      <c r="B63" s="5">
        <v>825</v>
      </c>
      <c r="G63" s="1"/>
      <c r="H63" s="1">
        <f>IF(H62="OPEN","OPEN",IF(H62="SHORT TO GND","SHORT TO GND",(IF((10^(LOG(H62)-INT(LOG(H62)))*100)-VLOOKUP((10^(LOG(H62)-INT(LOG(H62)))*100),E_48s:E_48f,1)&lt;VLOOKUP((10^(LOG(H62)-INT(LOG(H62)))*100),E_48s:E_48f,2)-(10^(LOG(H62)-INT(LOG(H62)))*100),VLOOKUP((10^(LOG(H62)-INT(LOG(H62)))*100),E_48s:E_48f,1),VLOOKUP((10^(LOG(H62)-INT(LOG(H62)))*100),E_48s:E_48f,2)))*10^INT(LOG(H62))/100))</f>
        <v>115</v>
      </c>
      <c r="I63" s="3" t="s">
        <v>124</v>
      </c>
      <c r="J63" s="1"/>
      <c r="K63" s="1">
        <f>IF(K62="OPEN","OPEN",IF(K62="SHORT TO GND","SHORT TO GND",(IF((10^(LOG(K62)-INT(LOG(K62)))*100)-VLOOKUP((10^(LOG(K62)-INT(LOG(K62)))*100),E_48s:E_48f,1)&lt;VLOOKUP((10^(LOG(K62)-INT(LOG(K62)))*100),E_48s:E_48f,2)-(10^(LOG(K62)-INT(LOG(K62)))*100),VLOOKUP((10^(LOG(K62)-INT(LOG(K62)))*100),E_48s:E_48f,1),VLOOKUP((10^(LOG(K62)-INT(LOG(K62)))*100),E_48s:E_48f,2)))*10^INT(LOG(K62))/100))</f>
        <v>115</v>
      </c>
      <c r="L63" s="3" t="s">
        <v>124</v>
      </c>
    </row>
    <row r="64" spans="1:12" ht="15" x14ac:dyDescent="0.25">
      <c r="A64" s="5">
        <v>825</v>
      </c>
      <c r="B64" s="5">
        <v>866</v>
      </c>
      <c r="G64" s="1"/>
      <c r="H64" s="1"/>
      <c r="I64" s="1"/>
    </row>
    <row r="65" spans="1:9" ht="15" x14ac:dyDescent="0.25">
      <c r="A65" s="5">
        <v>866</v>
      </c>
      <c r="B65" s="5">
        <v>909</v>
      </c>
      <c r="G65" s="1"/>
      <c r="H65" s="1"/>
      <c r="I65" s="1"/>
    </row>
    <row r="66" spans="1:9" ht="15" x14ac:dyDescent="0.25">
      <c r="A66" s="5">
        <v>909</v>
      </c>
      <c r="B66" s="5">
        <v>953</v>
      </c>
      <c r="G66" s="1"/>
      <c r="H66" s="1"/>
      <c r="I66" s="1"/>
    </row>
    <row r="67" spans="1:9" x14ac:dyDescent="0.2">
      <c r="A67" s="5">
        <v>953</v>
      </c>
      <c r="B67" s="5">
        <v>1000</v>
      </c>
    </row>
    <row r="71" spans="1:9" x14ac:dyDescent="0.2">
      <c r="A71" s="8"/>
    </row>
    <row r="72" spans="1:9" x14ac:dyDescent="0.2">
      <c r="A72" s="8"/>
    </row>
    <row r="73" spans="1:9" x14ac:dyDescent="0.2">
      <c r="A73" s="8"/>
    </row>
    <row r="74" spans="1:9" x14ac:dyDescent="0.2">
      <c r="A74" s="8"/>
    </row>
    <row r="75" spans="1:9" x14ac:dyDescent="0.2">
      <c r="A75" s="8"/>
    </row>
    <row r="76" spans="1:9" x14ac:dyDescent="0.2">
      <c r="A76" s="8"/>
    </row>
    <row r="77" spans="1:9" x14ac:dyDescent="0.2">
      <c r="A77" s="8"/>
    </row>
    <row r="78" spans="1:9" x14ac:dyDescent="0.2">
      <c r="A78" s="8"/>
    </row>
    <row r="79" spans="1:9" x14ac:dyDescent="0.2">
      <c r="A79" s="8"/>
    </row>
    <row r="80" spans="1:9" x14ac:dyDescent="0.2">
      <c r="A80" s="8"/>
    </row>
    <row r="81" spans="1:1" x14ac:dyDescent="0.2">
      <c r="A81" s="8"/>
    </row>
    <row r="82" spans="1:1" x14ac:dyDescent="0.2">
      <c r="A82" s="8"/>
    </row>
    <row r="83" spans="1:1" x14ac:dyDescent="0.2">
      <c r="A83" s="8"/>
    </row>
    <row r="84" spans="1:1" x14ac:dyDescent="0.2">
      <c r="A84" s="8"/>
    </row>
    <row r="85" spans="1:1" x14ac:dyDescent="0.2">
      <c r="A85" s="8"/>
    </row>
    <row r="86" spans="1:1" x14ac:dyDescent="0.2">
      <c r="A86" s="8"/>
    </row>
    <row r="87" spans="1:1" x14ac:dyDescent="0.2">
      <c r="A87" s="8"/>
    </row>
    <row r="88" spans="1:1" x14ac:dyDescent="0.2">
      <c r="A88" s="8"/>
    </row>
    <row r="112" spans="3:9" ht="15" x14ac:dyDescent="0.25">
      <c r="C112"/>
      <c r="D112"/>
      <c r="E112"/>
      <c r="F112"/>
      <c r="G112"/>
      <c r="H112"/>
      <c r="I112"/>
    </row>
    <row r="113" spans="3:9" ht="15" x14ac:dyDescent="0.25">
      <c r="C113"/>
      <c r="D113"/>
      <c r="E113"/>
      <c r="F113"/>
      <c r="G113"/>
      <c r="H113"/>
      <c r="I113"/>
    </row>
    <row r="114" spans="3:9" ht="15" x14ac:dyDescent="0.25">
      <c r="C114"/>
      <c r="D114"/>
      <c r="E114"/>
      <c r="F114"/>
      <c r="G114"/>
      <c r="H114"/>
      <c r="I114"/>
    </row>
    <row r="115" spans="3:9" ht="15" x14ac:dyDescent="0.25">
      <c r="C115"/>
      <c r="D115"/>
      <c r="E115"/>
      <c r="F115"/>
      <c r="G115"/>
      <c r="H115"/>
      <c r="I115"/>
    </row>
    <row r="116" spans="3:9" ht="15" x14ac:dyDescent="0.25">
      <c r="C116"/>
      <c r="D116"/>
      <c r="E116"/>
      <c r="F116"/>
      <c r="G116"/>
      <c r="H116"/>
      <c r="I116"/>
    </row>
    <row r="117" spans="3:9" ht="15" x14ac:dyDescent="0.25">
      <c r="C117"/>
      <c r="D117"/>
      <c r="E117"/>
      <c r="F117"/>
      <c r="G117"/>
      <c r="H117"/>
      <c r="I117"/>
    </row>
    <row r="118" spans="3:9" ht="15" x14ac:dyDescent="0.25">
      <c r="C118"/>
      <c r="D118"/>
      <c r="E118"/>
      <c r="F118"/>
      <c r="G118"/>
      <c r="H118"/>
      <c r="I118"/>
    </row>
    <row r="119" spans="3:9" ht="15" x14ac:dyDescent="0.25">
      <c r="C119"/>
      <c r="D119"/>
      <c r="E119"/>
      <c r="F119"/>
      <c r="G119"/>
      <c r="H119"/>
      <c r="I119"/>
    </row>
    <row r="120" spans="3:9" ht="15" x14ac:dyDescent="0.25">
      <c r="C120"/>
      <c r="D120"/>
      <c r="E120"/>
      <c r="F120"/>
      <c r="G120"/>
      <c r="H120"/>
      <c r="I120"/>
    </row>
    <row r="121" spans="3:9" ht="15" x14ac:dyDescent="0.25">
      <c r="C121"/>
      <c r="D121"/>
      <c r="E121"/>
      <c r="F121"/>
      <c r="G121"/>
      <c r="H121"/>
      <c r="I121"/>
    </row>
    <row r="122" spans="3:9" ht="15" x14ac:dyDescent="0.25">
      <c r="C122"/>
      <c r="D122"/>
      <c r="E122"/>
      <c r="F122"/>
      <c r="G122"/>
      <c r="H122"/>
      <c r="I122"/>
    </row>
    <row r="123" spans="3:9" ht="15" x14ac:dyDescent="0.25">
      <c r="C123"/>
      <c r="D123"/>
      <c r="E123"/>
      <c r="F123"/>
      <c r="G123"/>
      <c r="H123"/>
      <c r="I123"/>
    </row>
    <row r="124" spans="3:9" ht="15" x14ac:dyDescent="0.25">
      <c r="C124"/>
      <c r="D124"/>
      <c r="E124"/>
      <c r="F124"/>
      <c r="G124"/>
      <c r="H124"/>
      <c r="I124"/>
    </row>
    <row r="125" spans="3:9" ht="15" x14ac:dyDescent="0.25">
      <c r="C125"/>
      <c r="D125"/>
      <c r="E125"/>
      <c r="F125"/>
      <c r="G125"/>
      <c r="H125"/>
      <c r="I125"/>
    </row>
    <row r="126" spans="3:9" ht="15" x14ac:dyDescent="0.25">
      <c r="C126"/>
      <c r="D126"/>
      <c r="E126"/>
      <c r="F126"/>
      <c r="G126"/>
      <c r="H126"/>
      <c r="I126"/>
    </row>
    <row r="127" spans="3:9" ht="15" x14ac:dyDescent="0.25">
      <c r="C127"/>
      <c r="D127"/>
      <c r="E127"/>
      <c r="F127"/>
      <c r="G127"/>
      <c r="H127"/>
      <c r="I127"/>
    </row>
    <row r="128" spans="3:9" ht="15" x14ac:dyDescent="0.25">
      <c r="C128"/>
      <c r="D128"/>
      <c r="E128"/>
      <c r="F128"/>
      <c r="G128"/>
      <c r="H128"/>
      <c r="I128"/>
    </row>
    <row r="129" spans="3:9" ht="15" x14ac:dyDescent="0.25">
      <c r="C129"/>
      <c r="D129"/>
      <c r="E129"/>
      <c r="F129"/>
      <c r="G129"/>
      <c r="H129"/>
      <c r="I129"/>
    </row>
    <row r="130" spans="3:9" ht="15" x14ac:dyDescent="0.25">
      <c r="C130"/>
      <c r="D130"/>
      <c r="E130"/>
      <c r="F130"/>
      <c r="G130"/>
      <c r="H130"/>
      <c r="I130"/>
    </row>
    <row r="131" spans="3:9" ht="15" x14ac:dyDescent="0.25">
      <c r="C131"/>
      <c r="D131"/>
      <c r="E131"/>
      <c r="F131"/>
      <c r="G131"/>
      <c r="H131"/>
      <c r="I131"/>
    </row>
    <row r="132" spans="3:9" ht="15" x14ac:dyDescent="0.25">
      <c r="C132"/>
      <c r="D132"/>
      <c r="E132"/>
      <c r="F132"/>
      <c r="G132"/>
      <c r="H132"/>
      <c r="I132"/>
    </row>
    <row r="133" spans="3:9" ht="15" x14ac:dyDescent="0.25">
      <c r="C133"/>
      <c r="D133"/>
      <c r="E133"/>
      <c r="F133"/>
      <c r="G133"/>
      <c r="H133"/>
      <c r="I133"/>
    </row>
    <row r="134" spans="3:9" ht="15" x14ac:dyDescent="0.25">
      <c r="C134"/>
      <c r="D134"/>
      <c r="E134"/>
      <c r="F134"/>
      <c r="G134"/>
      <c r="H134"/>
      <c r="I134"/>
    </row>
    <row r="135" spans="3:9" ht="15" x14ac:dyDescent="0.25">
      <c r="C135"/>
      <c r="D135"/>
      <c r="E135"/>
      <c r="F135"/>
      <c r="G135"/>
      <c r="H135"/>
      <c r="I135"/>
    </row>
    <row r="136" spans="3:9" ht="15" x14ac:dyDescent="0.25">
      <c r="C136"/>
      <c r="D136"/>
      <c r="E136"/>
      <c r="F136"/>
      <c r="G136"/>
      <c r="H136"/>
      <c r="I136"/>
    </row>
    <row r="137" spans="3:9" ht="15" x14ac:dyDescent="0.25">
      <c r="C137"/>
      <c r="D137"/>
      <c r="E137"/>
      <c r="F137"/>
      <c r="G137"/>
      <c r="H137"/>
      <c r="I137"/>
    </row>
    <row r="138" spans="3:9" ht="15" x14ac:dyDescent="0.25">
      <c r="C138"/>
      <c r="D138"/>
      <c r="E138"/>
      <c r="F138"/>
      <c r="G138"/>
      <c r="H138"/>
      <c r="I138"/>
    </row>
    <row r="139" spans="3:9" ht="15" x14ac:dyDescent="0.25">
      <c r="C139"/>
      <c r="D139"/>
      <c r="E139"/>
      <c r="F139"/>
      <c r="G139"/>
      <c r="H139"/>
      <c r="I139"/>
    </row>
    <row r="140" spans="3:9" ht="15" x14ac:dyDescent="0.25">
      <c r="C140"/>
      <c r="D140"/>
      <c r="E140"/>
      <c r="F140"/>
      <c r="G140"/>
      <c r="H140"/>
      <c r="I140"/>
    </row>
    <row r="141" spans="3:9" ht="15" x14ac:dyDescent="0.25">
      <c r="C141"/>
      <c r="D141"/>
      <c r="E141"/>
      <c r="F141"/>
      <c r="G141"/>
      <c r="H141"/>
      <c r="I141"/>
    </row>
    <row r="142" spans="3:9" ht="15" x14ac:dyDescent="0.25">
      <c r="C142"/>
      <c r="D142"/>
      <c r="E142"/>
      <c r="F142"/>
      <c r="G142"/>
      <c r="H142"/>
      <c r="I142"/>
    </row>
    <row r="143" spans="3:9" ht="15" x14ac:dyDescent="0.25">
      <c r="C143"/>
      <c r="D143"/>
      <c r="E143"/>
      <c r="F143"/>
      <c r="G143"/>
      <c r="H143"/>
      <c r="I143"/>
    </row>
    <row r="144" spans="3:9" ht="15" x14ac:dyDescent="0.25">
      <c r="C144"/>
      <c r="D144"/>
      <c r="E144"/>
      <c r="F144"/>
      <c r="G144"/>
      <c r="H144"/>
      <c r="I144"/>
    </row>
    <row r="145" spans="3:9" ht="15" x14ac:dyDescent="0.25">
      <c r="C145"/>
      <c r="D145"/>
      <c r="E145"/>
      <c r="F145"/>
      <c r="G145"/>
      <c r="H145"/>
      <c r="I145"/>
    </row>
    <row r="146" spans="3:9" ht="15" x14ac:dyDescent="0.25">
      <c r="C146"/>
      <c r="D146"/>
      <c r="E146"/>
      <c r="F146"/>
      <c r="G146"/>
      <c r="H146"/>
      <c r="I146"/>
    </row>
    <row r="147" spans="3:9" ht="15" x14ac:dyDescent="0.25">
      <c r="C147"/>
      <c r="D147"/>
      <c r="E147"/>
      <c r="F147"/>
      <c r="G147"/>
      <c r="H147"/>
      <c r="I147"/>
    </row>
    <row r="148" spans="3:9" ht="15" x14ac:dyDescent="0.25">
      <c r="C148"/>
      <c r="D148"/>
      <c r="E148"/>
      <c r="F148"/>
      <c r="G148"/>
      <c r="H148"/>
      <c r="I148"/>
    </row>
    <row r="149" spans="3:9" ht="15" x14ac:dyDescent="0.25">
      <c r="C149"/>
      <c r="D149"/>
      <c r="E149"/>
      <c r="F149"/>
      <c r="G149"/>
      <c r="H149"/>
      <c r="I149"/>
    </row>
    <row r="150" spans="3:9" ht="15" x14ac:dyDescent="0.25">
      <c r="C150"/>
      <c r="D150"/>
      <c r="E150"/>
      <c r="F150"/>
      <c r="G150"/>
      <c r="H150"/>
      <c r="I150"/>
    </row>
    <row r="151" spans="3:9" ht="15" x14ac:dyDescent="0.25">
      <c r="C151"/>
      <c r="D151"/>
      <c r="E151"/>
      <c r="F151"/>
      <c r="G151"/>
      <c r="H151"/>
      <c r="I151"/>
    </row>
    <row r="152" spans="3:9" ht="15" x14ac:dyDescent="0.25">
      <c r="C152"/>
      <c r="D152"/>
      <c r="E152"/>
      <c r="F152"/>
      <c r="G152"/>
      <c r="H152"/>
      <c r="I152"/>
    </row>
    <row r="153" spans="3:9" ht="15" x14ac:dyDescent="0.25">
      <c r="C153"/>
      <c r="D153"/>
      <c r="E153"/>
      <c r="F153"/>
      <c r="G153"/>
      <c r="H153"/>
      <c r="I153"/>
    </row>
    <row r="154" spans="3:9" ht="15" x14ac:dyDescent="0.25">
      <c r="C154"/>
      <c r="D154"/>
      <c r="E154"/>
      <c r="F154"/>
      <c r="G154"/>
      <c r="H154"/>
      <c r="I154"/>
    </row>
    <row r="155" spans="3:9" ht="15" x14ac:dyDescent="0.25">
      <c r="C155"/>
      <c r="D155"/>
      <c r="E155"/>
      <c r="F155"/>
      <c r="G155"/>
      <c r="H155"/>
      <c r="I155"/>
    </row>
    <row r="156" spans="3:9" ht="15" x14ac:dyDescent="0.25">
      <c r="C156"/>
      <c r="D156"/>
      <c r="E156"/>
      <c r="F156"/>
      <c r="G156"/>
      <c r="H156"/>
      <c r="I156"/>
    </row>
    <row r="157" spans="3:9" ht="15" x14ac:dyDescent="0.25">
      <c r="C157"/>
      <c r="D157"/>
      <c r="E157"/>
      <c r="F157"/>
      <c r="G157"/>
      <c r="H157"/>
      <c r="I157"/>
    </row>
    <row r="158" spans="3:9" ht="15" x14ac:dyDescent="0.25">
      <c r="C158"/>
      <c r="D158"/>
      <c r="E158"/>
      <c r="F158"/>
      <c r="G158"/>
      <c r="H158"/>
      <c r="I158"/>
    </row>
    <row r="159" spans="3:9" ht="15" x14ac:dyDescent="0.25">
      <c r="C159"/>
      <c r="D159"/>
      <c r="E159"/>
      <c r="F159"/>
      <c r="G159"/>
      <c r="H159"/>
      <c r="I159"/>
    </row>
    <row r="160" spans="3:9" ht="15" x14ac:dyDescent="0.25">
      <c r="C160"/>
      <c r="D160"/>
      <c r="E160"/>
      <c r="F160"/>
      <c r="G160"/>
      <c r="H160"/>
      <c r="I160"/>
    </row>
    <row r="161" spans="3:9" ht="15" x14ac:dyDescent="0.25">
      <c r="C161"/>
      <c r="D161"/>
      <c r="E161"/>
      <c r="F161"/>
      <c r="G161"/>
      <c r="H161"/>
      <c r="I161"/>
    </row>
    <row r="162" spans="3:9" ht="15" x14ac:dyDescent="0.25">
      <c r="C162"/>
      <c r="D162"/>
      <c r="E162"/>
      <c r="F162"/>
      <c r="G162"/>
      <c r="H162"/>
      <c r="I162"/>
    </row>
    <row r="163" spans="3:9" ht="15" x14ac:dyDescent="0.25">
      <c r="C163"/>
      <c r="D163"/>
      <c r="E163"/>
      <c r="F163"/>
      <c r="G163"/>
      <c r="H163"/>
      <c r="I163"/>
    </row>
    <row r="164" spans="3:9" ht="15" x14ac:dyDescent="0.25">
      <c r="C164"/>
      <c r="D164"/>
      <c r="E164"/>
      <c r="F164"/>
      <c r="G164"/>
      <c r="H164"/>
      <c r="I164"/>
    </row>
    <row r="165" spans="3:9" ht="15" x14ac:dyDescent="0.25">
      <c r="C165"/>
      <c r="D165"/>
      <c r="E165"/>
      <c r="F165"/>
      <c r="G165"/>
      <c r="H165"/>
      <c r="I165"/>
    </row>
    <row r="166" spans="3:9" ht="15" x14ac:dyDescent="0.25">
      <c r="C166"/>
      <c r="D166"/>
      <c r="E166"/>
      <c r="F166"/>
      <c r="G166"/>
      <c r="H166"/>
      <c r="I166"/>
    </row>
    <row r="167" spans="3:9" ht="15" x14ac:dyDescent="0.25">
      <c r="C167"/>
      <c r="D167"/>
      <c r="E167"/>
      <c r="F167"/>
      <c r="G167"/>
      <c r="H167"/>
      <c r="I167"/>
    </row>
    <row r="168" spans="3:9" ht="15" x14ac:dyDescent="0.25">
      <c r="C168"/>
      <c r="D168"/>
      <c r="E168"/>
      <c r="F168"/>
      <c r="G168"/>
      <c r="H168"/>
      <c r="I168"/>
    </row>
    <row r="169" spans="3:9" ht="15" x14ac:dyDescent="0.25">
      <c r="C169"/>
      <c r="D169"/>
      <c r="E169"/>
      <c r="F169"/>
      <c r="G169"/>
      <c r="H169"/>
      <c r="I169"/>
    </row>
    <row r="170" spans="3:9" ht="15" x14ac:dyDescent="0.25">
      <c r="C170"/>
      <c r="D170"/>
      <c r="E170"/>
      <c r="F170"/>
      <c r="G170"/>
      <c r="H170"/>
      <c r="I170"/>
    </row>
    <row r="171" spans="3:9" ht="15" x14ac:dyDescent="0.25">
      <c r="C171"/>
      <c r="D171"/>
      <c r="E171"/>
      <c r="F171"/>
      <c r="G171"/>
      <c r="H171"/>
      <c r="I171"/>
    </row>
    <row r="172" spans="3:9" ht="15" x14ac:dyDescent="0.25">
      <c r="C172"/>
      <c r="D172"/>
      <c r="E172"/>
      <c r="F172"/>
      <c r="G172"/>
      <c r="H172"/>
      <c r="I172"/>
    </row>
    <row r="173" spans="3:9" ht="15" x14ac:dyDescent="0.25">
      <c r="C173"/>
      <c r="D173"/>
      <c r="E173"/>
      <c r="F173"/>
      <c r="G173"/>
      <c r="H173"/>
      <c r="I173"/>
    </row>
    <row r="174" spans="3:9" ht="15" x14ac:dyDescent="0.25">
      <c r="C174"/>
      <c r="D174"/>
      <c r="E174"/>
      <c r="F174"/>
      <c r="G174"/>
      <c r="H174"/>
      <c r="I174"/>
    </row>
    <row r="175" spans="3:9" ht="15" x14ac:dyDescent="0.25">
      <c r="C175"/>
      <c r="D175"/>
      <c r="E175"/>
      <c r="F175"/>
      <c r="G175"/>
      <c r="H175"/>
      <c r="I175"/>
    </row>
    <row r="176" spans="3:9" ht="15" x14ac:dyDescent="0.25">
      <c r="C176"/>
      <c r="D176"/>
      <c r="E176"/>
      <c r="F176"/>
      <c r="G176"/>
      <c r="H176"/>
      <c r="I176"/>
    </row>
    <row r="177" spans="3:9" ht="15" x14ac:dyDescent="0.25">
      <c r="C177"/>
      <c r="D177"/>
      <c r="E177"/>
      <c r="F177"/>
      <c r="G177"/>
      <c r="H177"/>
      <c r="I177"/>
    </row>
    <row r="178" spans="3:9" ht="15" x14ac:dyDescent="0.25">
      <c r="C178"/>
      <c r="D178"/>
      <c r="E178"/>
      <c r="F178"/>
      <c r="G178"/>
      <c r="H178"/>
      <c r="I178"/>
    </row>
    <row r="179" spans="3:9" ht="15" x14ac:dyDescent="0.25">
      <c r="C179"/>
      <c r="D179"/>
      <c r="E179"/>
      <c r="F179"/>
      <c r="G179"/>
      <c r="H179"/>
      <c r="I179"/>
    </row>
    <row r="180" spans="3:9" ht="15" x14ac:dyDescent="0.25">
      <c r="C180"/>
      <c r="D180"/>
      <c r="E180"/>
      <c r="F180"/>
      <c r="G180"/>
      <c r="H180"/>
      <c r="I180"/>
    </row>
    <row r="181" spans="3:9" ht="15" x14ac:dyDescent="0.25">
      <c r="C181"/>
      <c r="D181"/>
      <c r="E181"/>
      <c r="F181"/>
      <c r="G181"/>
      <c r="H181"/>
      <c r="I181"/>
    </row>
    <row r="182" spans="3:9" ht="15" x14ac:dyDescent="0.25">
      <c r="C182"/>
      <c r="D182"/>
      <c r="E182"/>
      <c r="F182"/>
      <c r="G182"/>
      <c r="H182"/>
      <c r="I182"/>
    </row>
    <row r="183" spans="3:9" ht="15" x14ac:dyDescent="0.25">
      <c r="C183"/>
      <c r="D183"/>
      <c r="E183"/>
      <c r="F183"/>
      <c r="G183"/>
      <c r="H183"/>
      <c r="I183"/>
    </row>
    <row r="184" spans="3:9" ht="15" x14ac:dyDescent="0.25">
      <c r="C184"/>
      <c r="D184"/>
      <c r="E184"/>
      <c r="F184"/>
      <c r="G184"/>
      <c r="H184"/>
      <c r="I184"/>
    </row>
    <row r="185" spans="3:9" ht="15" x14ac:dyDescent="0.25">
      <c r="C185"/>
      <c r="D185"/>
      <c r="E185"/>
      <c r="F185"/>
      <c r="G185"/>
      <c r="H185"/>
      <c r="I185"/>
    </row>
    <row r="186" spans="3:9" ht="15" x14ac:dyDescent="0.25">
      <c r="C186"/>
      <c r="D186"/>
      <c r="E186"/>
      <c r="F186"/>
      <c r="G186"/>
      <c r="H186"/>
      <c r="I186"/>
    </row>
    <row r="187" spans="3:9" ht="15" x14ac:dyDescent="0.25">
      <c r="C187"/>
      <c r="D187"/>
      <c r="E187"/>
      <c r="F187"/>
      <c r="G187"/>
      <c r="H187"/>
      <c r="I187"/>
    </row>
    <row r="188" spans="3:9" ht="15" x14ac:dyDescent="0.25">
      <c r="C188"/>
      <c r="D188"/>
      <c r="E188"/>
      <c r="F188"/>
      <c r="G188"/>
      <c r="H188"/>
      <c r="I188"/>
    </row>
    <row r="189" spans="3:9" ht="15" x14ac:dyDescent="0.25">
      <c r="C189"/>
      <c r="D189"/>
      <c r="E189"/>
      <c r="F189"/>
      <c r="G189"/>
      <c r="H189"/>
      <c r="I189"/>
    </row>
    <row r="190" spans="3:9" ht="15" x14ac:dyDescent="0.25">
      <c r="C190"/>
      <c r="D190"/>
      <c r="E190"/>
      <c r="F190"/>
      <c r="G190"/>
      <c r="H190"/>
      <c r="I190"/>
    </row>
    <row r="191" spans="3:9" ht="15" x14ac:dyDescent="0.25">
      <c r="C191"/>
      <c r="D191"/>
      <c r="E191"/>
      <c r="F191"/>
      <c r="G191"/>
      <c r="H191"/>
      <c r="I191"/>
    </row>
    <row r="192" spans="3:9" ht="15" x14ac:dyDescent="0.25">
      <c r="C192"/>
      <c r="D192"/>
      <c r="E192"/>
      <c r="F192"/>
      <c r="G192"/>
      <c r="H192"/>
      <c r="I192"/>
    </row>
    <row r="193" spans="3:9" ht="15" x14ac:dyDescent="0.25">
      <c r="C193"/>
      <c r="D193"/>
      <c r="E193"/>
      <c r="F193"/>
      <c r="G193"/>
      <c r="H193"/>
      <c r="I193"/>
    </row>
    <row r="194" spans="3:9" ht="15" x14ac:dyDescent="0.25">
      <c r="C194"/>
      <c r="D194"/>
      <c r="E194"/>
      <c r="F194"/>
      <c r="G194"/>
      <c r="H194"/>
      <c r="I194"/>
    </row>
    <row r="195" spans="3:9" ht="15" x14ac:dyDescent="0.25">
      <c r="C195"/>
      <c r="D195"/>
      <c r="E195"/>
      <c r="F195"/>
      <c r="G195"/>
      <c r="H195"/>
      <c r="I195"/>
    </row>
    <row r="196" spans="3:9" ht="15" x14ac:dyDescent="0.25">
      <c r="C196"/>
      <c r="D196"/>
      <c r="E196"/>
      <c r="F196"/>
      <c r="G196"/>
      <c r="H196"/>
      <c r="I196"/>
    </row>
    <row r="197" spans="3:9" ht="15" x14ac:dyDescent="0.25">
      <c r="C197"/>
      <c r="D197"/>
      <c r="E197"/>
      <c r="F197"/>
      <c r="G197"/>
      <c r="H197"/>
      <c r="I197"/>
    </row>
    <row r="198" spans="3:9" ht="15" x14ac:dyDescent="0.25">
      <c r="C198"/>
      <c r="D198"/>
      <c r="E198"/>
      <c r="F198"/>
      <c r="G198"/>
      <c r="H198"/>
      <c r="I198"/>
    </row>
    <row r="199" spans="3:9" ht="15" x14ac:dyDescent="0.25">
      <c r="C199"/>
      <c r="D199"/>
      <c r="E199"/>
      <c r="F199"/>
      <c r="G199"/>
      <c r="H199"/>
      <c r="I199"/>
    </row>
    <row r="200" spans="3:9" ht="15" x14ac:dyDescent="0.25">
      <c r="C200"/>
      <c r="D200"/>
      <c r="E200"/>
      <c r="F200"/>
      <c r="G200"/>
      <c r="H200"/>
      <c r="I200"/>
    </row>
    <row r="201" spans="3:9" ht="15" x14ac:dyDescent="0.25">
      <c r="C201"/>
      <c r="D201"/>
      <c r="E201"/>
      <c r="F201"/>
      <c r="G201"/>
      <c r="H201"/>
      <c r="I201"/>
    </row>
    <row r="202" spans="3:9" ht="15" x14ac:dyDescent="0.25">
      <c r="C202"/>
      <c r="D202"/>
      <c r="E202"/>
      <c r="F202"/>
      <c r="G202"/>
      <c r="H202"/>
      <c r="I202"/>
    </row>
    <row r="203" spans="3:9" ht="15" x14ac:dyDescent="0.25">
      <c r="C203"/>
      <c r="D203"/>
      <c r="E203"/>
      <c r="F203"/>
      <c r="G203"/>
      <c r="H203"/>
      <c r="I203"/>
    </row>
    <row r="204" spans="3:9" ht="15" x14ac:dyDescent="0.25">
      <c r="C204"/>
      <c r="D204"/>
      <c r="E204"/>
      <c r="F204"/>
      <c r="G204"/>
      <c r="H204"/>
      <c r="I204"/>
    </row>
    <row r="205" spans="3:9" ht="15" x14ac:dyDescent="0.25">
      <c r="C205"/>
      <c r="D205"/>
      <c r="E205"/>
      <c r="F205"/>
      <c r="G205"/>
      <c r="H205"/>
      <c r="I205"/>
    </row>
    <row r="206" spans="3:9" ht="15" x14ac:dyDescent="0.25">
      <c r="C206"/>
      <c r="D206"/>
      <c r="E206"/>
      <c r="F206"/>
      <c r="G206"/>
      <c r="H206"/>
      <c r="I206"/>
    </row>
    <row r="207" spans="3:9" ht="15" x14ac:dyDescent="0.25">
      <c r="C207"/>
      <c r="D207"/>
      <c r="E207"/>
      <c r="F207"/>
      <c r="G207"/>
      <c r="H207"/>
      <c r="I207"/>
    </row>
    <row r="208" spans="3:9" ht="15" x14ac:dyDescent="0.25">
      <c r="C208"/>
      <c r="D208"/>
      <c r="E208"/>
      <c r="F208"/>
      <c r="G208"/>
      <c r="H208"/>
      <c r="I208"/>
    </row>
    <row r="209" spans="3:9" ht="15" x14ac:dyDescent="0.25">
      <c r="C209"/>
      <c r="D209"/>
      <c r="E209"/>
      <c r="F209"/>
      <c r="G209"/>
      <c r="H209"/>
      <c r="I209"/>
    </row>
    <row r="210" spans="3:9" ht="15" x14ac:dyDescent="0.25">
      <c r="C210"/>
      <c r="D210"/>
      <c r="E210"/>
      <c r="F210"/>
      <c r="G210"/>
      <c r="H210"/>
      <c r="I210"/>
    </row>
    <row r="211" spans="3:9" ht="15" x14ac:dyDescent="0.25">
      <c r="C211"/>
      <c r="D211"/>
      <c r="E211"/>
      <c r="F211"/>
      <c r="G211"/>
      <c r="H211"/>
      <c r="I211"/>
    </row>
    <row r="212" spans="3:9" ht="15" x14ac:dyDescent="0.25">
      <c r="C212"/>
      <c r="D212"/>
      <c r="E212"/>
      <c r="F212"/>
      <c r="G212"/>
      <c r="H212"/>
      <c r="I212"/>
    </row>
    <row r="213" spans="3:9" ht="15" x14ac:dyDescent="0.25">
      <c r="C213"/>
      <c r="D213"/>
      <c r="E213"/>
      <c r="F213"/>
      <c r="G213"/>
      <c r="H213"/>
      <c r="I213"/>
    </row>
    <row r="214" spans="3:9" ht="15" x14ac:dyDescent="0.25">
      <c r="C214"/>
      <c r="D214"/>
      <c r="E214"/>
      <c r="F214"/>
      <c r="G214"/>
      <c r="H214"/>
      <c r="I214"/>
    </row>
    <row r="215" spans="3:9" ht="15" x14ac:dyDescent="0.25">
      <c r="C215"/>
      <c r="D215"/>
      <c r="E215"/>
      <c r="F215"/>
      <c r="G215"/>
      <c r="H215"/>
      <c r="I215"/>
    </row>
    <row r="216" spans="3:9" ht="15" x14ac:dyDescent="0.25">
      <c r="C216"/>
      <c r="D216"/>
      <c r="E216"/>
      <c r="F216"/>
      <c r="G216"/>
      <c r="H216"/>
      <c r="I216"/>
    </row>
    <row r="217" spans="3:9" ht="15" x14ac:dyDescent="0.25">
      <c r="C217"/>
      <c r="D217"/>
      <c r="E217"/>
      <c r="F217"/>
      <c r="G217"/>
      <c r="H217"/>
      <c r="I217"/>
    </row>
    <row r="218" spans="3:9" ht="15" x14ac:dyDescent="0.25">
      <c r="C218"/>
      <c r="D218"/>
      <c r="E218"/>
      <c r="F218"/>
      <c r="G218"/>
      <c r="H218"/>
      <c r="I218"/>
    </row>
    <row r="219" spans="3:9" ht="15" x14ac:dyDescent="0.25">
      <c r="C219"/>
      <c r="D219"/>
      <c r="E219"/>
      <c r="F219"/>
      <c r="G219"/>
      <c r="H219"/>
      <c r="I219"/>
    </row>
    <row r="220" spans="3:9" ht="15" x14ac:dyDescent="0.25">
      <c r="C220"/>
      <c r="D220"/>
      <c r="E220"/>
      <c r="F220"/>
      <c r="G220"/>
      <c r="H220"/>
      <c r="I220"/>
    </row>
    <row r="221" spans="3:9" ht="15" x14ac:dyDescent="0.25">
      <c r="C221"/>
      <c r="D221"/>
      <c r="E221"/>
      <c r="F221"/>
      <c r="G221"/>
      <c r="H221"/>
      <c r="I221"/>
    </row>
    <row r="222" spans="3:9" ht="15" x14ac:dyDescent="0.25">
      <c r="C222"/>
      <c r="D222"/>
      <c r="E222"/>
      <c r="F222"/>
      <c r="G222"/>
      <c r="H222"/>
      <c r="I222"/>
    </row>
    <row r="223" spans="3:9" ht="15" x14ac:dyDescent="0.25">
      <c r="C223"/>
      <c r="D223"/>
      <c r="E223"/>
      <c r="F223"/>
      <c r="G223"/>
      <c r="H223"/>
      <c r="I223"/>
    </row>
    <row r="224" spans="3:9" ht="15" x14ac:dyDescent="0.25">
      <c r="C224"/>
      <c r="D224"/>
      <c r="E224"/>
      <c r="F224"/>
      <c r="G224"/>
      <c r="H224"/>
      <c r="I224"/>
    </row>
    <row r="225" spans="3:9" ht="15" x14ac:dyDescent="0.25">
      <c r="C225"/>
      <c r="D225"/>
      <c r="E225"/>
      <c r="F225"/>
      <c r="G225"/>
      <c r="H225"/>
      <c r="I225"/>
    </row>
    <row r="226" spans="3:9" ht="15" x14ac:dyDescent="0.25">
      <c r="C226"/>
      <c r="D226"/>
      <c r="E226"/>
      <c r="F226"/>
      <c r="G226"/>
      <c r="H226"/>
      <c r="I226"/>
    </row>
    <row r="227" spans="3:9" ht="15" x14ac:dyDescent="0.25">
      <c r="C227"/>
      <c r="D227"/>
      <c r="E227"/>
      <c r="F227"/>
      <c r="G227"/>
      <c r="H227"/>
      <c r="I227"/>
    </row>
    <row r="228" spans="3:9" ht="15" x14ac:dyDescent="0.25">
      <c r="C228"/>
      <c r="D228"/>
      <c r="E228"/>
      <c r="F228"/>
      <c r="G228"/>
      <c r="H228"/>
      <c r="I228"/>
    </row>
    <row r="229" spans="3:9" ht="15" x14ac:dyDescent="0.25">
      <c r="C229"/>
      <c r="D229"/>
      <c r="E229"/>
      <c r="F229"/>
      <c r="G229"/>
      <c r="H229"/>
      <c r="I229"/>
    </row>
    <row r="230" spans="3:9" ht="15" x14ac:dyDescent="0.25">
      <c r="C230"/>
      <c r="D230"/>
      <c r="E230"/>
      <c r="F230"/>
      <c r="G230"/>
      <c r="H230"/>
      <c r="I230"/>
    </row>
    <row r="231" spans="3:9" ht="15" x14ac:dyDescent="0.25">
      <c r="C231"/>
      <c r="D231"/>
      <c r="E231"/>
      <c r="F231"/>
      <c r="G231"/>
      <c r="H231"/>
      <c r="I231"/>
    </row>
    <row r="232" spans="3:9" ht="15" x14ac:dyDescent="0.25">
      <c r="C232"/>
      <c r="D232"/>
      <c r="E232"/>
      <c r="F232"/>
      <c r="G232"/>
      <c r="H232"/>
      <c r="I232"/>
    </row>
    <row r="233" spans="3:9" ht="15" x14ac:dyDescent="0.25">
      <c r="C233"/>
      <c r="D233"/>
      <c r="E233"/>
      <c r="F233"/>
      <c r="G233"/>
      <c r="H233"/>
      <c r="I233"/>
    </row>
    <row r="234" spans="3:9" ht="15" x14ac:dyDescent="0.25">
      <c r="C234"/>
      <c r="D234"/>
      <c r="E234"/>
      <c r="F234"/>
      <c r="G234"/>
      <c r="H234"/>
      <c r="I234"/>
    </row>
    <row r="235" spans="3:9" ht="15" x14ac:dyDescent="0.25">
      <c r="C235"/>
      <c r="D235"/>
      <c r="E235"/>
      <c r="F235"/>
      <c r="G235"/>
      <c r="H235"/>
      <c r="I235"/>
    </row>
    <row r="236" spans="3:9" ht="15" x14ac:dyDescent="0.25">
      <c r="C236"/>
      <c r="D236"/>
      <c r="E236"/>
      <c r="F236"/>
      <c r="G236"/>
      <c r="H236"/>
      <c r="I236"/>
    </row>
    <row r="237" spans="3:9" ht="15" x14ac:dyDescent="0.25">
      <c r="C237"/>
      <c r="D237"/>
      <c r="E237"/>
      <c r="F237"/>
      <c r="G237"/>
      <c r="H237"/>
      <c r="I237"/>
    </row>
    <row r="238" spans="3:9" ht="15" x14ac:dyDescent="0.25">
      <c r="C238"/>
      <c r="D238"/>
      <c r="E238"/>
      <c r="F238"/>
      <c r="G238"/>
      <c r="H238"/>
      <c r="I238"/>
    </row>
    <row r="239" spans="3:9" ht="15" x14ac:dyDescent="0.25">
      <c r="C239"/>
      <c r="D239"/>
      <c r="E239"/>
      <c r="F239"/>
      <c r="G239"/>
      <c r="H239"/>
      <c r="I239"/>
    </row>
    <row r="240" spans="3:9" ht="15" x14ac:dyDescent="0.25">
      <c r="C240"/>
      <c r="D240"/>
      <c r="E240"/>
      <c r="F240"/>
      <c r="G240"/>
      <c r="H240"/>
      <c r="I240"/>
    </row>
    <row r="241" spans="3:9" ht="15" x14ac:dyDescent="0.25">
      <c r="C241"/>
      <c r="D241"/>
      <c r="E241"/>
      <c r="F241"/>
      <c r="G241"/>
      <c r="H241"/>
      <c r="I241"/>
    </row>
    <row r="242" spans="3:9" ht="15" x14ac:dyDescent="0.25">
      <c r="C242"/>
      <c r="D242"/>
      <c r="E242"/>
      <c r="F242"/>
      <c r="G242"/>
      <c r="H242"/>
      <c r="I242"/>
    </row>
    <row r="243" spans="3:9" ht="15" x14ac:dyDescent="0.25">
      <c r="C243"/>
      <c r="D243"/>
      <c r="E243"/>
      <c r="F243"/>
      <c r="G243"/>
      <c r="H243"/>
      <c r="I243"/>
    </row>
    <row r="244" spans="3:9" ht="15" x14ac:dyDescent="0.25">
      <c r="C244"/>
      <c r="D244"/>
      <c r="E244"/>
      <c r="F244"/>
      <c r="G244"/>
      <c r="H244"/>
      <c r="I244"/>
    </row>
  </sheetData>
  <sheetProtection selectLockedCells="1" selectUnlockedCells="1"/>
  <mergeCells count="11">
    <mergeCell ref="A19:C19"/>
    <mergeCell ref="E20:G20"/>
    <mergeCell ref="E19:G19"/>
    <mergeCell ref="S18:T18"/>
    <mergeCell ref="P18:Q18"/>
    <mergeCell ref="E33:G33"/>
    <mergeCell ref="I23:K23"/>
    <mergeCell ref="I25:K25"/>
    <mergeCell ref="I31:K31"/>
    <mergeCell ref="S29:T29"/>
    <mergeCell ref="P32:Q3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workbookViewId="0">
      <selection activeCell="E124" sqref="E124"/>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275</vt:i4>
      </vt:variant>
    </vt:vector>
  </HeadingPairs>
  <TitlesOfParts>
    <vt:vector size="278" baseType="lpstr">
      <vt:lpstr>DESIGN CALCULATIONS</vt:lpstr>
      <vt:lpstr>LOOKUP TABLES AND DROPDOWN LIST</vt:lpstr>
      <vt:lpstr>Sheet1</vt:lpstr>
      <vt:lpstr>C_f1</vt:lpstr>
      <vt:lpstr>C_f2</vt:lpstr>
      <vt:lpstr>C_s1</vt:lpstr>
      <vt:lpstr>C_s2</vt:lpstr>
      <vt:lpstr>Cbulk</vt:lpstr>
      <vt:lpstr>Cbulk_initial</vt:lpstr>
      <vt:lpstr>Cbulk_rcmd</vt:lpstr>
      <vt:lpstr>Coss</vt:lpstr>
      <vt:lpstr>Coss_rcmd</vt:lpstr>
      <vt:lpstr>Cout</vt:lpstr>
      <vt:lpstr>Cout_nowake</vt:lpstr>
      <vt:lpstr>Cout_nowake_rcmd</vt:lpstr>
      <vt:lpstr>Cout_phase</vt:lpstr>
      <vt:lpstr>Cout_phase_rcmd</vt:lpstr>
      <vt:lpstr>Cout_rcmd</vt:lpstr>
      <vt:lpstr>Cout_Vripple</vt:lpstr>
      <vt:lpstr>Cout_Vripple_rcmd</vt:lpstr>
      <vt:lpstr>Cout_wake</vt:lpstr>
      <vt:lpstr>Cout_wakercmd</vt:lpstr>
      <vt:lpstr>Cvdd</vt:lpstr>
      <vt:lpstr>Cvdd_rcmd</vt:lpstr>
      <vt:lpstr>Cvdd_start</vt:lpstr>
      <vt:lpstr>Cvdd_start_rcmd</vt:lpstr>
      <vt:lpstr>Cvdd_tran</vt:lpstr>
      <vt:lpstr>Cvdd_tran_rcmd</vt:lpstr>
      <vt:lpstr>Cvdd_wait</vt:lpstr>
      <vt:lpstr>Cvdd_wait_rcmd</vt:lpstr>
      <vt:lpstr>Cvdd1</vt:lpstr>
      <vt:lpstr>Ddemag_cc</vt:lpstr>
      <vt:lpstr>Dmax</vt:lpstr>
      <vt:lpstr>Dmax_rcmd</vt:lpstr>
      <vt:lpstr>Dmax_target</vt:lpstr>
      <vt:lpstr>Dmax_target_rcmd</vt:lpstr>
      <vt:lpstr>E_48f</vt:lpstr>
      <vt:lpstr>E_48s</vt:lpstr>
      <vt:lpstr>eff_sb</vt:lpstr>
      <vt:lpstr>eff_xfmr</vt:lpstr>
      <vt:lpstr>efficiency</vt:lpstr>
      <vt:lpstr>ESR</vt:lpstr>
      <vt:lpstr>ESR_rcmd</vt:lpstr>
      <vt:lpstr>fline_min</vt:lpstr>
      <vt:lpstr>fmax</vt:lpstr>
      <vt:lpstr>fmax_actual</vt:lpstr>
      <vt:lpstr>fmax_actual_rcmd</vt:lpstr>
      <vt:lpstr>fres</vt:lpstr>
      <vt:lpstr>fres_approx</vt:lpstr>
      <vt:lpstr>fres_rcmd</vt:lpstr>
      <vt:lpstr>fswmax</vt:lpstr>
      <vt:lpstr>fswmin</vt:lpstr>
      <vt:lpstr>Ibridge_avg</vt:lpstr>
      <vt:lpstr>Ibridge_avg_rcmd</vt:lpstr>
      <vt:lpstr>Icin</vt:lpstr>
      <vt:lpstr>Icin_rcmd</vt:lpstr>
      <vt:lpstr>Icout_rms</vt:lpstr>
      <vt:lpstr>Icout_rms_rcmd</vt:lpstr>
      <vt:lpstr>Idout</vt:lpstr>
      <vt:lpstr>Idout_rcmd</vt:lpstr>
      <vt:lpstr>Idrain</vt:lpstr>
      <vt:lpstr>Idrain_rcmd</vt:lpstr>
      <vt:lpstr>Ifuse</vt:lpstr>
      <vt:lpstr>Ifuse_rcmd</vt:lpstr>
      <vt:lpstr>Iin_peak</vt:lpstr>
      <vt:lpstr>Iinpeak_rcmd</vt:lpstr>
      <vt:lpstr>Iocc</vt:lpstr>
      <vt:lpstr>Iocc_max</vt:lpstr>
      <vt:lpstr>Iocc_max_rcmd</vt:lpstr>
      <vt:lpstr>Iocc_rcmd</vt:lpstr>
      <vt:lpstr>Iocc_target</vt:lpstr>
      <vt:lpstr>Iocc_target_max</vt:lpstr>
      <vt:lpstr>Ipp_fm</vt:lpstr>
      <vt:lpstr>Ipp_fm_rcmd</vt:lpstr>
      <vt:lpstr>Ipp_max</vt:lpstr>
      <vt:lpstr>Ipp_max_rcmd</vt:lpstr>
      <vt:lpstr>Ipp_min</vt:lpstr>
      <vt:lpstr>Ipp_min_rcmd</vt:lpstr>
      <vt:lpstr>Ipp_nom</vt:lpstr>
      <vt:lpstr>Ipp_nom_rcmd</vt:lpstr>
      <vt:lpstr>Ipri_RMS</vt:lpstr>
      <vt:lpstr>Ipri_RMS_rcmd</vt:lpstr>
      <vt:lpstr>Ipulsed</vt:lpstr>
      <vt:lpstr>Ipulsed_rcmd</vt:lpstr>
      <vt:lpstr>Irun</vt:lpstr>
      <vt:lpstr>Isec_rms</vt:lpstr>
      <vt:lpstr>Isec_rms_rcmd</vt:lpstr>
      <vt:lpstr>Isp_max</vt:lpstr>
      <vt:lpstr>Isp_max_rcmd</vt:lpstr>
      <vt:lpstr>Itran</vt:lpstr>
      <vt:lpstr>Itran_rcmd</vt:lpstr>
      <vt:lpstr>Ivslrun_max</vt:lpstr>
      <vt:lpstr>Ivslrun_min</vt:lpstr>
      <vt:lpstr>Ivslrun_nom</vt:lpstr>
      <vt:lpstr>Ivslstop_max</vt:lpstr>
      <vt:lpstr>Ivslstop_min</vt:lpstr>
      <vt:lpstr>Ivslstop_nom</vt:lpstr>
      <vt:lpstr>Iwait</vt:lpstr>
      <vt:lpstr>Kam</vt:lpstr>
      <vt:lpstr>Kam_max</vt:lpstr>
      <vt:lpstr>Kam_min</vt:lpstr>
      <vt:lpstr>Kam_nom</vt:lpstr>
      <vt:lpstr>kHz</vt:lpstr>
      <vt:lpstr>Klc</vt:lpstr>
      <vt:lpstr>kOhms</vt:lpstr>
      <vt:lpstr>Lp</vt:lpstr>
      <vt:lpstr>Lp_rcmd</vt:lpstr>
      <vt:lpstr>mA</vt:lpstr>
      <vt:lpstr>MHz</vt:lpstr>
      <vt:lpstr>mOhms</vt:lpstr>
      <vt:lpstr>ms</vt:lpstr>
      <vt:lpstr>mV</vt:lpstr>
      <vt:lpstr>mW</vt:lpstr>
      <vt:lpstr>Nas</vt:lpstr>
      <vt:lpstr>Nas_rcmd</vt:lpstr>
      <vt:lpstr>Nas_rec</vt:lpstr>
      <vt:lpstr>nC</vt:lpstr>
      <vt:lpstr>nF</vt:lpstr>
      <vt:lpstr>Nhc</vt:lpstr>
      <vt:lpstr>Npa</vt:lpstr>
      <vt:lpstr>Npa_rcmd</vt:lpstr>
      <vt:lpstr>Nps</vt:lpstr>
      <vt:lpstr>Nps_ideal</vt:lpstr>
      <vt:lpstr>ns</vt:lpstr>
      <vt:lpstr>P_Rcs</vt:lpstr>
      <vt:lpstr>P_Rcs_rcmd</vt:lpstr>
      <vt:lpstr>Pbridge</vt:lpstr>
      <vt:lpstr>Pbridge_rcmd</vt:lpstr>
      <vt:lpstr>Pdout</vt:lpstr>
      <vt:lpstr>Pdout_rcmd</vt:lpstr>
      <vt:lpstr>pF</vt:lpstr>
      <vt:lpstr>Pfet</vt:lpstr>
      <vt:lpstr>Pfet_cond</vt:lpstr>
      <vt:lpstr>Pfet_cond_rcmd</vt:lpstr>
      <vt:lpstr>Pfet_rcmd</vt:lpstr>
      <vt:lpstr>Pfet_switch</vt:lpstr>
      <vt:lpstr>Pfet_switching</vt:lpstr>
      <vt:lpstr>Pfet_switching_rcmd</vt:lpstr>
      <vt:lpstr>Pin</vt:lpstr>
      <vt:lpstr>Pin_actual</vt:lpstr>
      <vt:lpstr>Pout</vt:lpstr>
      <vt:lpstr>Psb_target</vt:lpstr>
      <vt:lpstr>Pstby</vt:lpstr>
      <vt:lpstr>Qg</vt:lpstr>
      <vt:lpstr>Qg_rcmd</vt:lpstr>
      <vt:lpstr>Rcbc_recom</vt:lpstr>
      <vt:lpstr>Rcs</vt:lpstr>
      <vt:lpstr>Rcs_rcmd</vt:lpstr>
      <vt:lpstr>Rdson</vt:lpstr>
      <vt:lpstr>Rdson_rcmd</vt:lpstr>
      <vt:lpstr>Rlc_rcmd</vt:lpstr>
      <vt:lpstr>Rvs_1</vt:lpstr>
      <vt:lpstr>Rvs_1_rcmd</vt:lpstr>
      <vt:lpstr>Rvs_2</vt:lpstr>
      <vt:lpstr>Rvs_2_rcmd</vt:lpstr>
      <vt:lpstr>Rvs1_rcmd</vt:lpstr>
      <vt:lpstr>Rvs2_rcmd</vt:lpstr>
      <vt:lpstr>t_1</vt:lpstr>
      <vt:lpstr>t_2</vt:lpstr>
      <vt:lpstr>t_charge</vt:lpstr>
      <vt:lpstr>t_discharge</vt:lpstr>
      <vt:lpstr>t_line</vt:lpstr>
      <vt:lpstr>t1_1</vt:lpstr>
      <vt:lpstr>t1_2</vt:lpstr>
      <vt:lpstr>t1_3</vt:lpstr>
      <vt:lpstr>t2_1</vt:lpstr>
      <vt:lpstr>t2_2</vt:lpstr>
      <vt:lpstr>t2_3</vt:lpstr>
      <vt:lpstr>tcharge_1</vt:lpstr>
      <vt:lpstr>tcharge_2</vt:lpstr>
      <vt:lpstr>tcharge_3</vt:lpstr>
      <vt:lpstr>tdelay</vt:lpstr>
      <vt:lpstr>tdemag</vt:lpstr>
      <vt:lpstr>tdemag_min</vt:lpstr>
      <vt:lpstr>tdemag_min_rcmd</vt:lpstr>
      <vt:lpstr>tdemag_rcmd</vt:lpstr>
      <vt:lpstr>tdischarge_1</vt:lpstr>
      <vt:lpstr>tdischarge_2</vt:lpstr>
      <vt:lpstr>tdischarge_3</vt:lpstr>
      <vt:lpstr>tdoff</vt:lpstr>
      <vt:lpstr>tdoff_rcmd</vt:lpstr>
      <vt:lpstr>tf</vt:lpstr>
      <vt:lpstr>tf_rcmd</vt:lpstr>
      <vt:lpstr>ton_max</vt:lpstr>
      <vt:lpstr>ton_max_est</vt:lpstr>
      <vt:lpstr>ton_max_rcmd</vt:lpstr>
      <vt:lpstr>ton_min</vt:lpstr>
      <vt:lpstr>ton_min_rcmd</vt:lpstr>
      <vt:lpstr>tr</vt:lpstr>
      <vt:lpstr>tr_rcmd</vt:lpstr>
      <vt:lpstr>tsw_actual</vt:lpstr>
      <vt:lpstr>tsw_actual_rcmd</vt:lpstr>
      <vt:lpstr>tsw_target</vt:lpstr>
      <vt:lpstr>uA</vt:lpstr>
      <vt:lpstr>uC</vt:lpstr>
      <vt:lpstr>uF</vt:lpstr>
      <vt:lpstr>uH</vt:lpstr>
      <vt:lpstr>us</vt:lpstr>
      <vt:lpstr>Vbridge</vt:lpstr>
      <vt:lpstr>Vbulk_min</vt:lpstr>
      <vt:lpstr>Vbulk_valley_rcmd</vt:lpstr>
      <vt:lpstr>Vbulkmin_rcmd</vt:lpstr>
      <vt:lpstr>Vbulkvalley</vt:lpstr>
      <vt:lpstr>Vbulkvalley_1</vt:lpstr>
      <vt:lpstr>Vbulkvalley_2</vt:lpstr>
      <vt:lpstr>Vbulkvalley_3</vt:lpstr>
      <vt:lpstr>Vcbc_max</vt:lpstr>
      <vt:lpstr>Vcbc_min</vt:lpstr>
      <vt:lpstr>Vcbc_nom</vt:lpstr>
      <vt:lpstr>Vccr_max</vt:lpstr>
      <vt:lpstr>Vccr_min</vt:lpstr>
      <vt:lpstr>Vccr_nom</vt:lpstr>
      <vt:lpstr>Vcin_rated</vt:lpstr>
      <vt:lpstr>Vcstmax_max</vt:lpstr>
      <vt:lpstr>Vcstmax_min</vt:lpstr>
      <vt:lpstr>Vcstmax_nom</vt:lpstr>
      <vt:lpstr>VDbias_blocking</vt:lpstr>
      <vt:lpstr>VDbias_blocking_rcmd</vt:lpstr>
      <vt:lpstr>VDD</vt:lpstr>
      <vt:lpstr>VDD_rcmd</vt:lpstr>
      <vt:lpstr>VDDoff_max</vt:lpstr>
      <vt:lpstr>VDDoff_min</vt:lpstr>
      <vt:lpstr>VDDon</vt:lpstr>
      <vt:lpstr>Vdout_blocking</vt:lpstr>
      <vt:lpstr>Vdout_blocking_rcmd</vt:lpstr>
      <vt:lpstr>Vdrain_clamp</vt:lpstr>
      <vt:lpstr>Vdrain_clamp_rcmd</vt:lpstr>
      <vt:lpstr>Vds</vt:lpstr>
      <vt:lpstr>VDS_derating</vt:lpstr>
      <vt:lpstr>VDS_derating_rcmd</vt:lpstr>
      <vt:lpstr>Vds_rcmd</vt:lpstr>
      <vt:lpstr>Vf</vt:lpstr>
      <vt:lpstr>Vf_bridge</vt:lpstr>
      <vt:lpstr>Vf_bridge_rcmd</vt:lpstr>
      <vt:lpstr>Vf_rcmd</vt:lpstr>
      <vt:lpstr>Vfa</vt:lpstr>
      <vt:lpstr>Vfa_rcmd</vt:lpstr>
      <vt:lpstr>Vflyback</vt:lpstr>
      <vt:lpstr>Vflyback_rcmd</vt:lpstr>
      <vt:lpstr>Vfuse</vt:lpstr>
      <vt:lpstr>Vin_max</vt:lpstr>
      <vt:lpstr>Vin_min</vt:lpstr>
      <vt:lpstr>Vin_run</vt:lpstr>
      <vt:lpstr>Vleakage</vt:lpstr>
      <vt:lpstr>Vleakage_rcmd</vt:lpstr>
      <vt:lpstr>Vo_delta</vt:lpstr>
      <vt:lpstr>Vo_delta_rcmd</vt:lpstr>
      <vt:lpstr>Vocbc</vt:lpstr>
      <vt:lpstr>Vocc</vt:lpstr>
      <vt:lpstr>Vocv</vt:lpstr>
      <vt:lpstr>Vout_cc_min</vt:lpstr>
      <vt:lpstr>Vout_cc_min_rcmd</vt:lpstr>
      <vt:lpstr>Vout_max</vt:lpstr>
      <vt:lpstr>Vout_min</vt:lpstr>
      <vt:lpstr>Vout_ovp</vt:lpstr>
      <vt:lpstr>Vout_ovpmax</vt:lpstr>
      <vt:lpstr>Vout_ovpmin</vt:lpstr>
      <vt:lpstr>Vout_ovpnom</vt:lpstr>
      <vt:lpstr>Vovp_max</vt:lpstr>
      <vt:lpstr>Vovp_min</vt:lpstr>
      <vt:lpstr>Vovp_nom</vt:lpstr>
      <vt:lpstr>Vripple_target</vt:lpstr>
      <vt:lpstr>Vsec</vt:lpstr>
      <vt:lpstr>Vturnoff_max</vt:lpstr>
      <vt:lpstr>Vturnoff_max_rcmd</vt:lpstr>
      <vt:lpstr>Vturnoff_min</vt:lpstr>
      <vt:lpstr>Vturnoff_min_rcmd</vt:lpstr>
      <vt:lpstr>Vturnoff_nom</vt:lpstr>
      <vt:lpstr>Vturnoff_nom_rcmd</vt:lpstr>
      <vt:lpstr>Vturnon_max</vt:lpstr>
      <vt:lpstr>Vturnon_max_rcmd</vt:lpstr>
      <vt:lpstr>Vturnon_min</vt:lpstr>
      <vt:lpstr>Vturnon_min_rcmd</vt:lpstr>
      <vt:lpstr>Vturnon_nom</vt:lpstr>
      <vt:lpstr>Vturnon_nom_rcmd</vt:lpstr>
      <vt:lpstr>Vvsr_max</vt:lpstr>
      <vt:lpstr>Vvsr_min</vt:lpstr>
      <vt:lpstr>Vvsr_nom</vt:lpstr>
    </vt:vector>
  </TitlesOfParts>
  <Company>Texas Instruments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a0799100</dc:creator>
  <cp:lastModifiedBy>kaicho</cp:lastModifiedBy>
  <cp:lastPrinted>2017-08-02T17:23:46Z</cp:lastPrinted>
  <dcterms:created xsi:type="dcterms:W3CDTF">2013-07-09T14:24:03Z</dcterms:created>
  <dcterms:modified xsi:type="dcterms:W3CDTF">2023-02-04T00:42:44Z</dcterms:modified>
</cp:coreProperties>
</file>