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defaultThemeVersion="124226"/>
  <mc:AlternateContent xmlns:mc="http://schemas.openxmlformats.org/markup-compatibility/2006">
    <mc:Choice Requires="x15">
      <x15ac:absPath xmlns:x15ac="http://schemas.microsoft.com/office/spreadsheetml/2010/11/ac" url="D:\Users\mbt0c\OneDrive\Dokumente\Southampton\Part 2\D5\PSU\"/>
    </mc:Choice>
  </mc:AlternateContent>
  <xr:revisionPtr revIDLastSave="0" documentId="13_ncr:1_{2C550D3C-7F18-4AEC-B904-5AC902145709}" xr6:coauthVersionLast="47" xr6:coauthVersionMax="47" xr10:uidLastSave="{00000000-0000-0000-0000-000000000000}"/>
  <workbookProtection workbookPassword="EC5D" lockStructure="1"/>
  <bookViews>
    <workbookView xWindow="-120" yWindow="-120" windowWidth="38640" windowHeight="21240" xr2:uid="{00000000-000D-0000-FFFF-FFFF00000000}"/>
  </bookViews>
  <sheets>
    <sheet name="DESIGN CALCULATIONS" sheetId="2" r:id="rId1"/>
    <sheet name="LOOKUP TABLES AND DROPDOWN LIST" sheetId="5" state="hidden" r:id="rId2"/>
    <sheet name="Sheet1" sheetId="6" r:id="rId3"/>
  </sheets>
  <definedNames>
    <definedName name="C_f1">'LOOKUP TABLES AND DROPDOWN LIST'!$F$32</definedName>
    <definedName name="C_f2">'LOOKUP TABLES AND DROPDOWN LIST'!$F$44</definedName>
    <definedName name="C_s1">'LOOKUP TABLES AND DROPDOWN LIST'!$E$21</definedName>
    <definedName name="C_s2">'LOOKUP TABLES AND DROPDOWN LIST'!$E$34</definedName>
    <definedName name="Cbulk">'DESIGN CALCULATIONS'!$E$56</definedName>
    <definedName name="Cbulk_initial">'LOOKUP TABLES AND DROPDOWN LIST'!$J$19</definedName>
    <definedName name="Cbulk_rcmd">'DESIGN CALCULATIONS'!$D$56</definedName>
    <definedName name="Coss">'DESIGN CALCULATIONS'!$E$122</definedName>
    <definedName name="Coss_rcmd">'DESIGN CALCULATIONS'!$D$122</definedName>
    <definedName name="Cout">'DESIGN CALCULATIONS'!$E$149</definedName>
    <definedName name="Cout_nowake">'DESIGN CALCULATIONS'!$E$145</definedName>
    <definedName name="Cout_nowake_rcmd">'DESIGN CALCULATIONS'!$D$145</definedName>
    <definedName name="Cout_phase">'DESIGN CALCULATIONS'!$E$147</definedName>
    <definedName name="Cout_phase_rcmd">'DESIGN CALCULATIONS'!$D$147</definedName>
    <definedName name="Cout_rcmd">'DESIGN CALCULATIONS'!$D$149</definedName>
    <definedName name="Cout_Vripple">'DESIGN CALCULATIONS'!$E$148</definedName>
    <definedName name="Cout_Vripple_rcmd">'DESIGN CALCULATIONS'!$D$148</definedName>
    <definedName name="Cout_wake">'DESIGN CALCULATIONS'!$E$146</definedName>
    <definedName name="Cout_wakercmd">'DESIGN CALCULATIONS'!$D$146</definedName>
    <definedName name="Cvdd">'DESIGN CALCULATIONS'!$E$159</definedName>
    <definedName name="Cvdd_rcmd">'DESIGN CALCULATIONS'!$E$159</definedName>
    <definedName name="Cvdd_start">'DESIGN CALCULATIONS'!$E$156</definedName>
    <definedName name="Cvdd_start_rcmd">'DESIGN CALCULATIONS'!$D$156</definedName>
    <definedName name="Cvdd_tran">'DESIGN CALCULATIONS'!$E$158</definedName>
    <definedName name="Cvdd_tran_rcmd">'DESIGN CALCULATIONS'!$D$158</definedName>
    <definedName name="Cvdd_wait">'DESIGN CALCULATIONS'!$E$157</definedName>
    <definedName name="Cvdd_wait_rcmd">'DESIGN CALCULATIONS'!$D$157</definedName>
    <definedName name="Cvdd1">'LOOKUP TABLES AND DROPDOWN LIST'!$Q$20</definedName>
    <definedName name="Ddemag_cc">'DESIGN CALCULATIONS'!$D$71</definedName>
    <definedName name="Dmax">'DESIGN CALCULATIONS'!$E$107</definedName>
    <definedName name="Dmax_rcmd">'DESIGN CALCULATIONS'!$D$107</definedName>
    <definedName name="Dmax_target">'DESIGN CALCULATIONS'!$E$75</definedName>
    <definedName name="Dmax_target_rcmd">'DESIGN CALCULATIONS'!$D$75</definedName>
    <definedName name="E_48f">'LOOKUP TABLES AND DROPDOWN LIST'!$B$67</definedName>
    <definedName name="E_48s">'LOOKUP TABLES AND DROPDOWN LIST'!$A$20</definedName>
    <definedName name="eff_sb">'DESIGN CALCULATIONS'!$D$46</definedName>
    <definedName name="eff_xfmr">'DESIGN CALCULATIONS'!$D$77</definedName>
    <definedName name="efficiency">'DESIGN CALCULATIONS'!$D$32</definedName>
    <definedName name="ESR">'DESIGN CALCULATIONS'!$E$151</definedName>
    <definedName name="ESR_rcmd">'DESIGN CALCULATIONS'!$D$151</definedName>
    <definedName name="fline_min">'DESIGN CALCULATIONS'!$D$31</definedName>
    <definedName name="fmax">'DESIGN CALCULATIONS'!$E$37</definedName>
    <definedName name="fmax_actual">'DESIGN CALCULATIONS'!$E$104</definedName>
    <definedName name="fmax_actual_rcmd">'DESIGN CALCULATIONS'!$D$104</definedName>
    <definedName name="fres">'DESIGN CALCULATIONS'!$E$73</definedName>
    <definedName name="fres_approx">'DESIGN CALCULATIONS'!$E$197</definedName>
    <definedName name="fres_rcmd">'DESIGN CALCULATIONS'!$D$73</definedName>
    <definedName name="fswmax">'DESIGN CALCULATIONS'!$D$43</definedName>
    <definedName name="fswmin">'DESIGN CALCULATIONS'!$D$44</definedName>
    <definedName name="Ibridge_avg">'DESIGN CALCULATIONS'!$E$66</definedName>
    <definedName name="Ibridge_avg_rcmd">'DESIGN CALCULATIONS'!$D$66</definedName>
    <definedName name="Icin">'DESIGN CALCULATIONS'!$E$59</definedName>
    <definedName name="Icin_rcmd">'DESIGN CALCULATIONS'!$D$59</definedName>
    <definedName name="Icout_rms">'DESIGN CALCULATIONS'!$E$150</definedName>
    <definedName name="Icout_rms_rcmd">'DESIGN CALCULATIONS'!$D$150</definedName>
    <definedName name="Idout">'DESIGN CALCULATIONS'!$E$137</definedName>
    <definedName name="Idout_rcmd">'DESIGN CALCULATIONS'!$D$137</definedName>
    <definedName name="Idrain">'DESIGN CALCULATIONS'!$E$128</definedName>
    <definedName name="Idrain_rcmd">'DESIGN CALCULATIONS'!$D$128</definedName>
    <definedName name="Ifuse">'DESIGN CALCULATIONS'!$E$63</definedName>
    <definedName name="Ifuse_rcmd">'DESIGN CALCULATIONS'!$D$63</definedName>
    <definedName name="Iin_peak">'DESIGN CALCULATIONS'!$E$58</definedName>
    <definedName name="Iinpeak_rcmd">'DESIGN CALCULATIONS'!$D$58</definedName>
    <definedName name="Iocc">'DESIGN CALCULATIONS'!$E$91</definedName>
    <definedName name="Iocc_max">'DESIGN CALCULATIONS'!$E$92</definedName>
    <definedName name="Iocc_max_rcmd">'DESIGN CALCULATIONS'!$D$92</definedName>
    <definedName name="Iocc_rcmd">'DESIGN CALCULATIONS'!$D$91</definedName>
    <definedName name="Iocc_target">'DESIGN CALCULATIONS'!$E$30</definedName>
    <definedName name="Iocc_target_max">'DESIGN CALCULATIONS'!$F$30</definedName>
    <definedName name="Ipp_fm">'DESIGN CALCULATIONS'!$E$103</definedName>
    <definedName name="Ipp_fm_rcmd">'DESIGN CALCULATIONS'!$D$103</definedName>
    <definedName name="Ipp_max">'DESIGN CALCULATIONS'!$E$90</definedName>
    <definedName name="Ipp_max_rcmd">'DESIGN CALCULATIONS'!$D$90</definedName>
    <definedName name="Ipp_min">'DESIGN CALCULATIONS'!$E$88</definedName>
    <definedName name="Ipp_min_rcmd">'DESIGN CALCULATIONS'!$D$88</definedName>
    <definedName name="Ipp_nom">'DESIGN CALCULATIONS'!$E$89</definedName>
    <definedName name="Ipp_nom_rcmd">'DESIGN CALCULATIONS'!$D$89</definedName>
    <definedName name="Ipri_RMS">'DESIGN CALCULATIONS'!$E$109</definedName>
    <definedName name="Ipri_RMS_rcmd">'DESIGN CALCULATIONS'!$D$109</definedName>
    <definedName name="Ipulsed">'DESIGN CALCULATIONS'!$E$129</definedName>
    <definedName name="Ipulsed_rcmd">'DESIGN CALCULATIONS'!$D$129</definedName>
    <definedName name="Irun">'DESIGN CALCULATIONS'!$D$153</definedName>
    <definedName name="Isec_rms">'DESIGN CALCULATIONS'!$E$111</definedName>
    <definedName name="Isec_rms_rcmd">'DESIGN CALCULATIONS'!$D$111</definedName>
    <definedName name="Isp_max">'DESIGN CALCULATIONS'!$E$110</definedName>
    <definedName name="Isp_max_rcmd">'DESIGN CALCULATIONS'!$D$110</definedName>
    <definedName name="Itran">'DESIGN CALCULATIONS'!$E$143</definedName>
    <definedName name="Itran_rcmd">'DESIGN CALCULATIONS'!$D$143</definedName>
    <definedName name="Ivslrun_max">'DESIGN CALCULATIONS'!$D$163</definedName>
    <definedName name="Ivslrun_min">'DESIGN CALCULATIONS'!$D$161</definedName>
    <definedName name="Ivslrun_nom">'DESIGN CALCULATIONS'!$D$162</definedName>
    <definedName name="Ivslstop_max">'DESIGN CALCULATIONS'!$D$166</definedName>
    <definedName name="Ivslstop_min">'DESIGN CALCULATIONS'!$D$164</definedName>
    <definedName name="Ivslstop_nom">'DESIGN CALCULATIONS'!$D$165</definedName>
    <definedName name="Iwait">'DESIGN CALCULATIONS'!$D$155</definedName>
    <definedName name="K_fm4">#REF!</definedName>
    <definedName name="Kam">'LOOKUP TABLES AND DROPDOWN LIST'!$E$2</definedName>
    <definedName name="Kam_max">'DESIGN CALCULATIONS'!$D$102</definedName>
    <definedName name="Kam_min">'DESIGN CALCULATIONS'!$D$100</definedName>
    <definedName name="Kam_nom">'DESIGN CALCULATIONS'!$D$101</definedName>
    <definedName name="kHz">'LOOKUP TABLES AND DROPDOWN LIST'!$B$3</definedName>
    <definedName name="Klc">'DESIGN CALCULATIONS'!$D$188</definedName>
    <definedName name="kOhms">'LOOKUP TABLES AND DROPDOWN LIST'!$B$14</definedName>
    <definedName name="Lp">'DESIGN CALCULATIONS'!$E$93</definedName>
    <definedName name="Lp_rcmd">'DESIGN CALCULATIONS'!$D$93</definedName>
    <definedName name="mA">'LOOKUP TABLES AND DROPDOWN LIST'!$B$6</definedName>
    <definedName name="MHz">'LOOKUP TABLES AND DROPDOWN LIST'!$B$12</definedName>
    <definedName name="MODE">#REF!</definedName>
    <definedName name="mOhms">'LOOKUP TABLES AND DROPDOWN LIST'!$B$4</definedName>
    <definedName name="ms">'LOOKUP TABLES AND DROPDOWN LIST'!$B$5</definedName>
    <definedName name="mV">'LOOKUP TABLES AND DROPDOWN LIST'!$B$1</definedName>
    <definedName name="mW">'LOOKUP TABLES AND DROPDOWN LIST'!$B$10</definedName>
    <definedName name="Nas">'DESIGN CALCULATIONS'!$E$99</definedName>
    <definedName name="Nas_rcmd">'DESIGN CALCULATIONS'!$D$97</definedName>
    <definedName name="Nas_rec">'DESIGN CALCULATIONS'!$D$99</definedName>
    <definedName name="nC">'LOOKUP TABLES AND DROPDOWN LIST'!$B$15</definedName>
    <definedName name="nF">'LOOKUP TABLES AND DROPDOWN LIST'!$B$16</definedName>
    <definedName name="Nhc">'DESIGN CALCULATIONS'!$D$54</definedName>
    <definedName name="Npa">'DESIGN CALCULATIONS'!$E$98</definedName>
    <definedName name="Npa_rcmd">'DESIGN CALCULATIONS'!$D$98</definedName>
    <definedName name="Nps">'DESIGN CALCULATIONS'!$E$76</definedName>
    <definedName name="Nps_ideal">'DESIGN CALCULATIONS'!$D$76</definedName>
    <definedName name="ns">'LOOKUP TABLES AND DROPDOWN LIST'!$B$9</definedName>
    <definedName name="P_Rcs">'DESIGN CALCULATIONS'!$E$118</definedName>
    <definedName name="P_Rcs_rcmd">'DESIGN CALCULATIONS'!$D$118</definedName>
    <definedName name="Pbridge">'DESIGN CALCULATIONS'!$E$68</definedName>
    <definedName name="Pbridge_rcmd">'DESIGN CALCULATIONS'!$D$68</definedName>
    <definedName name="Pdout">'DESIGN CALCULATIONS'!$E$138</definedName>
    <definedName name="Pdout_rcmd">'DESIGN CALCULATIONS'!$D$138</definedName>
    <definedName name="pF">'LOOKUP TABLES AND DROPDOWN LIST'!$B$11</definedName>
    <definedName name="Pfet">'DESIGN CALCULATIONS'!$E$132</definedName>
    <definedName name="Pfet_cond">'DESIGN CALCULATIONS'!$E$130</definedName>
    <definedName name="Pfet_cond_rcmd">'DESIGN CALCULATIONS'!$D$130</definedName>
    <definedName name="Pfet_rcmd">'DESIGN CALCULATIONS'!$D$132</definedName>
    <definedName name="Pfet_switch">'DESIGN CALCULATIONS'!$E$132</definedName>
    <definedName name="Pfet_switching">'DESIGN CALCULATIONS'!$E$131</definedName>
    <definedName name="Pfet_switching_rcmd">'DESIGN CALCULATIONS'!$D$131</definedName>
    <definedName name="Pin">'DESIGN CALCULATIONS'!$D$53</definedName>
    <definedName name="Pin_actual">'DESIGN CALCULATIONS'!$E$53</definedName>
    <definedName name="Pout">'DESIGN CALCULATIONS'!$F$29</definedName>
    <definedName name="Psb_target">'DESIGN CALCULATIONS'!$F$39</definedName>
    <definedName name="Pstby">'DESIGN CALCULATIONS'!$D$47</definedName>
    <definedName name="Qg">'DESIGN CALCULATIONS'!$E$126</definedName>
    <definedName name="Qg_rcmd">'DESIGN CALCULATIONS'!$D$126</definedName>
    <definedName name="R_fb1">#REF!</definedName>
    <definedName name="R_fb2">#REF!</definedName>
    <definedName name="R_fb4">#REF!</definedName>
    <definedName name="R_fb4_actual">#REF!</definedName>
    <definedName name="R_fb4_rcmd">#REF!</definedName>
    <definedName name="R_tl">#REF!</definedName>
    <definedName name="R_vs2">'DESIGN CALCULATIONS'!#REF!</definedName>
    <definedName name="Rcbc_recom">'DESIGN CALCULATIONS'!$D$195</definedName>
    <definedName name="Rcs">'DESIGN CALCULATIONS'!$E$84</definedName>
    <definedName name="Rcs_rcmd">'DESIGN CALCULATIONS'!$D$84</definedName>
    <definedName name="Rdson">'DESIGN CALCULATIONS'!$E$123</definedName>
    <definedName name="Rdson_rcmd">'DESIGN CALCULATIONS'!$D$123</definedName>
    <definedName name="Rlc">#REF!</definedName>
    <definedName name="Rlc_actual">#REF!</definedName>
    <definedName name="Rlc_rcmd">'DESIGN CALCULATIONS'!$D$190</definedName>
    <definedName name="Rvs_1">'DESIGN CALCULATIONS'!$E$167</definedName>
    <definedName name="Rvs_1_rcmd">'DESIGN CALCULATIONS'!$D$167</definedName>
    <definedName name="Rvs_2">'DESIGN CALCULATIONS'!$E$177</definedName>
    <definedName name="Rvs_2_rcmd">'DESIGN CALCULATIONS'!$D$177</definedName>
    <definedName name="Rvs1_actual">#REF!</definedName>
    <definedName name="Rvs1_rcmd">'DESIGN CALCULATIONS'!$E$167</definedName>
    <definedName name="Rvs2_actual">#REF!</definedName>
    <definedName name="Rvs2_rcmd">'DESIGN CALCULATIONS'!$E$177</definedName>
    <definedName name="t_1">'LOOKUP TABLES AND DROPDOWN LIST'!$J$26</definedName>
    <definedName name="t_2">'LOOKUP TABLES AND DROPDOWN LIST'!$J$27</definedName>
    <definedName name="t_charge">'LOOKUP TABLES AND DROPDOWN LIST'!$J$29</definedName>
    <definedName name="t_discharge">'LOOKUP TABLES AND DROPDOWN LIST'!$J$28</definedName>
    <definedName name="t_line">'DESIGN CALCULATIONS'!$D$45</definedName>
    <definedName name="t1_1">'LOOKUP TABLES AND DROPDOWN LIST'!$J$32</definedName>
    <definedName name="t1_2">'LOOKUP TABLES AND DROPDOWN LIST'!$J$38</definedName>
    <definedName name="t1_3">'LOOKUP TABLES AND DROPDOWN LIST'!$J$44</definedName>
    <definedName name="t2_1">'LOOKUP TABLES AND DROPDOWN LIST'!$J$33</definedName>
    <definedName name="t2_2">'LOOKUP TABLES AND DROPDOWN LIST'!$J$39</definedName>
    <definedName name="t2_3">'LOOKUP TABLES AND DROPDOWN LIST'!$J$45</definedName>
    <definedName name="tcharge_1">'LOOKUP TABLES AND DROPDOWN LIST'!$J$35</definedName>
    <definedName name="tcharge_2">'LOOKUP TABLES AND DROPDOWN LIST'!$J$41</definedName>
    <definedName name="tcharge_3">'LOOKUP TABLES AND DROPDOWN LIST'!$J$47</definedName>
    <definedName name="tdelay">'DESIGN CALCULATIONS'!$D$189</definedName>
    <definedName name="tdemag">'DESIGN CALCULATIONS'!$E$108</definedName>
    <definedName name="tdemag_min">'DESIGN CALCULATIONS'!$E$114</definedName>
    <definedName name="tdemag_min_rcmd">'DESIGN CALCULATIONS'!$D$114</definedName>
    <definedName name="tdemag_rcmd">'DESIGN CALCULATIONS'!$D$108</definedName>
    <definedName name="tdischarge_1">'LOOKUP TABLES AND DROPDOWN LIST'!$J$34</definedName>
    <definedName name="tdischarge_2">'LOOKUP TABLES AND DROPDOWN LIST'!$J$40</definedName>
    <definedName name="tdischarge_3">'LOOKUP TABLES AND DROPDOWN LIST'!$J$46</definedName>
    <definedName name="tdoff">'DESIGN CALCULATIONS'!$E$125</definedName>
    <definedName name="tdoff_rcmd">'DESIGN CALCULATIONS'!$D$125</definedName>
    <definedName name="tf">'DESIGN CALCULATIONS'!$E$124</definedName>
    <definedName name="tf_rcmd">'DESIGN CALCULATIONS'!$D$124</definedName>
    <definedName name="ton_max">'DESIGN CALCULATIONS'!$E$106</definedName>
    <definedName name="ton_max_est">'DESIGN CALCULATIONS'!$D$80</definedName>
    <definedName name="ton_max_rcmd">'DESIGN CALCULATIONS'!$D$106</definedName>
    <definedName name="ton_min">'DESIGN CALCULATIONS'!$E$113</definedName>
    <definedName name="ton_min_rcmd">'DESIGN CALCULATIONS'!$D$113</definedName>
    <definedName name="tr">'DESIGN CALCULATIONS'!$E$74</definedName>
    <definedName name="tr_rcmd">'DESIGN CALCULATIONS'!$D$74</definedName>
    <definedName name="tsw_actual">'DESIGN CALCULATIONS'!$E$105</definedName>
    <definedName name="tsw_actual_rcmd">'DESIGN CALCULATIONS'!$D$105</definedName>
    <definedName name="tsw_target">'DESIGN CALCULATIONS'!$D$72</definedName>
    <definedName name="uA">'LOOKUP TABLES AND DROPDOWN LIST'!$B$13</definedName>
    <definedName name="uC">'LOOKUP TABLES AND DROPDOWN LIST'!$B$17</definedName>
    <definedName name="uF">'LOOKUP TABLES AND DROPDOWN LIST'!$B$2</definedName>
    <definedName name="uH">'LOOKUP TABLES AND DROPDOWN LIST'!$B$8</definedName>
    <definedName name="us">'LOOKUP TABLES AND DROPDOWN LIST'!$B$7</definedName>
    <definedName name="Vbridge">'DESIGN CALCULATIONS'!$D$65</definedName>
    <definedName name="Vbulk_min">'DESIGN CALCULATIONS'!$E$57</definedName>
    <definedName name="Vbulk_valley_rcmd">'DESIGN CALCULATIONS'!$D$55</definedName>
    <definedName name="Vbulkmin_rcmd">'DESIGN CALCULATIONS'!$D$57</definedName>
    <definedName name="Vbulkvalley">'LOOKUP TABLES AND DROPDOWN LIST'!$J$48</definedName>
    <definedName name="Vbulkvalley_1">'LOOKUP TABLES AND DROPDOWN LIST'!$J$30</definedName>
    <definedName name="Vbulkvalley_2">'LOOKUP TABLES AND DROPDOWN LIST'!$J$36</definedName>
    <definedName name="Vbulkvalley_3">'LOOKUP TABLES AND DROPDOWN LIST'!$J$42</definedName>
    <definedName name="Vcbc_max">'DESIGN CALCULATIONS'!$D$194</definedName>
    <definedName name="Vcbc_min">'DESIGN CALCULATIONS'!$D$192</definedName>
    <definedName name="Vcbc_nom">'DESIGN CALCULATIONS'!$D$193</definedName>
    <definedName name="Vccr_max">'DESIGN CALCULATIONS'!$D$83</definedName>
    <definedName name="Vccr_min">'DESIGN CALCULATIONS'!$D$81</definedName>
    <definedName name="Vccr_nom">'DESIGN CALCULATIONS'!$D$82</definedName>
    <definedName name="Vcin_rated">'DESIGN CALCULATIONS'!$D$60</definedName>
    <definedName name="Vcstmax_max">'DESIGN CALCULATIONS'!$D$87</definedName>
    <definedName name="Vcstmax_min">'DESIGN CALCULATIONS'!$D$85</definedName>
    <definedName name="Vcstmax_nom">'DESIGN CALCULATIONS'!$D$86</definedName>
    <definedName name="VDbias_blocking">'DESIGN CALCULATIONS'!$E$141</definedName>
    <definedName name="VDbias_blocking_rcmd">'DESIGN CALCULATIONS'!$D$141</definedName>
    <definedName name="VDD">'DESIGN CALCULATIONS'!$E$112</definedName>
    <definedName name="VDD_rcmd">'DESIGN CALCULATIONS'!$D$112</definedName>
    <definedName name="VDDoff">'DESIGN CALCULATIONS'!#REF!</definedName>
    <definedName name="VDDoff_max">'DESIGN CALCULATIONS'!$D$94</definedName>
    <definedName name="VDDoff_min">'DESIGN CALCULATIONS'!$D$95</definedName>
    <definedName name="VDDon">'DESIGN CALCULATIONS'!$D$154</definedName>
    <definedName name="Vdout_blocking">'DESIGN CALCULATIONS'!$E$136</definedName>
    <definedName name="Vdout_blocking_rcmd">'DESIGN CALCULATIONS'!$D$136</definedName>
    <definedName name="Vdrain_clamp">'DESIGN CALCULATIONS'!$E$133</definedName>
    <definedName name="Vdrain_clamp_rcmd">'DESIGN CALCULATIONS'!$D$133</definedName>
    <definedName name="Vds">'DESIGN CALCULATIONS'!$E$121</definedName>
    <definedName name="VDS_derating">'DESIGN CALCULATIONS'!$E$127</definedName>
    <definedName name="VDS_derating_rcmd">'DESIGN CALCULATIONS'!$D$127</definedName>
    <definedName name="Vds_rcmd">'DESIGN CALCULATIONS'!$D$121</definedName>
    <definedName name="Vf">'DESIGN CALCULATIONS'!$E$70</definedName>
    <definedName name="Vf_bridge">'DESIGN CALCULATIONS'!$E$67</definedName>
    <definedName name="Vf_bridge_rcmd">'DESIGN CALCULATIONS'!$D$67</definedName>
    <definedName name="Vf_rcmd">'DESIGN CALCULATIONS'!$D$70</definedName>
    <definedName name="Vfa">'DESIGN CALCULATIONS'!$E$96</definedName>
    <definedName name="Vfa_rcmd">'DESIGN CALCULATIONS'!$D$96</definedName>
    <definedName name="Vflyback">'DESIGN CALCULATIONS'!$E$78</definedName>
    <definedName name="Vflyback_rcmd">'DESIGN CALCULATIONS'!$D$78</definedName>
    <definedName name="Vfuse">'DESIGN CALCULATIONS'!$D$62</definedName>
    <definedName name="Vin_max">'DESIGN CALCULATIONS'!$F$27</definedName>
    <definedName name="Vin_min">'DESIGN CALCULATIONS'!$D$27</definedName>
    <definedName name="Vin_run">'DESIGN CALCULATIONS'!$E$33</definedName>
    <definedName name="Vleakage">'DESIGN CALCULATIONS'!$E$120</definedName>
    <definedName name="Vleakage_rcmd">'DESIGN CALCULATIONS'!$D$120</definedName>
    <definedName name="Vo_delta">'DESIGN CALCULATIONS'!$E$144</definedName>
    <definedName name="Vo_delta_rcmd">'DESIGN CALCULATIONS'!$D$144</definedName>
    <definedName name="Vocbc">'DESIGN CALCULATIONS'!$E$35</definedName>
    <definedName name="Vocc">'DESIGN CALCULATIONS'!$F$34</definedName>
    <definedName name="Vocv">'DESIGN CALCULATIONS'!$E$28</definedName>
    <definedName name="Vout_cc_min">'DESIGN CALCULATIONS'!$E$115</definedName>
    <definedName name="Vout_cc_min_rcmd">'DESIGN CALCULATIONS'!$D$115</definedName>
    <definedName name="Vout_max">'DESIGN CALCULATIONS'!$F$28</definedName>
    <definedName name="Vout_min">'DESIGN CALCULATIONS'!$D$28</definedName>
    <definedName name="Vout_ovp">'DESIGN CALCULATIONS'!$F$38</definedName>
    <definedName name="Vout_ovpmax">'DESIGN CALCULATIONS'!$E$186</definedName>
    <definedName name="Vout_ovpmin">'DESIGN CALCULATIONS'!$E$184</definedName>
    <definedName name="Vout_ovpnom">'DESIGN CALCULATIONS'!$E$185</definedName>
    <definedName name="Vovp_max">'DESIGN CALCULATIONS'!$D$183</definedName>
    <definedName name="Vovp_min">'DESIGN CALCULATIONS'!$D$181</definedName>
    <definedName name="Vovp_nom">'DESIGN CALCULATIONS'!$D$182</definedName>
    <definedName name="Vripple_target">'DESIGN CALCULATIONS'!$F$36</definedName>
    <definedName name="Vsec">'DESIGN CALCULATIONS'!$D$79</definedName>
    <definedName name="Vturnoff_max">'DESIGN CALCULATIONS'!$E$173</definedName>
    <definedName name="Vturnoff_max_rcmd">'DESIGN CALCULATIONS'!$D$173</definedName>
    <definedName name="Vturnoff_min">'DESIGN CALCULATIONS'!$E$171</definedName>
    <definedName name="Vturnoff_min_rcmd">'DESIGN CALCULATIONS'!$D$171</definedName>
    <definedName name="Vturnoff_nom">'DESIGN CALCULATIONS'!$E$172</definedName>
    <definedName name="Vturnoff_nom_rcmd">'DESIGN CALCULATIONS'!$D$172</definedName>
    <definedName name="Vturnon_max">'DESIGN CALCULATIONS'!$E$170</definedName>
    <definedName name="Vturnon_max_rcmd">'DESIGN CALCULATIONS'!$D$170</definedName>
    <definedName name="Vturnon_min">'DESIGN CALCULATIONS'!$E$168</definedName>
    <definedName name="Vturnon_min_rcmd">'DESIGN CALCULATIONS'!$D$168</definedName>
    <definedName name="Vturnon_nom">'DESIGN CALCULATIONS'!$E$169</definedName>
    <definedName name="Vturnon_nom_rcmd">'DESIGN CALCULATIONS'!$D$169</definedName>
    <definedName name="Vvsr_max">'DESIGN CALCULATIONS'!$D$176</definedName>
    <definedName name="Vvsr_min">'DESIGN CALCULATIONS'!$D$174</definedName>
    <definedName name="Vvsr_nom">'DESIGN CALCULATIONS'!$D$175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 l="1"/>
  <c r="D54" i="2"/>
  <c r="AA19" i="5" l="1"/>
  <c r="AA30" i="5"/>
  <c r="E194" i="2"/>
  <c r="E193" i="2"/>
  <c r="E192" i="2"/>
  <c r="E188" i="2"/>
  <c r="E183" i="2"/>
  <c r="E182" i="2"/>
  <c r="E181" i="2"/>
  <c r="E176" i="2"/>
  <c r="E175" i="2"/>
  <c r="E174" i="2"/>
  <c r="E166" i="2"/>
  <c r="E165" i="2"/>
  <c r="E164" i="2"/>
  <c r="E163" i="2"/>
  <c r="E162" i="2"/>
  <c r="E161" i="2"/>
  <c r="E155" i="2"/>
  <c r="E154" i="2"/>
  <c r="E153" i="2"/>
  <c r="E140" i="2"/>
  <c r="D135" i="2"/>
  <c r="E135" i="2"/>
  <c r="E117" i="2"/>
  <c r="E112" i="2"/>
  <c r="E97" i="2"/>
  <c r="E102" i="2"/>
  <c r="E101" i="2"/>
  <c r="E100" i="2"/>
  <c r="E99" i="2"/>
  <c r="E115" i="2" s="1"/>
  <c r="E95" i="2"/>
  <c r="E94" i="2"/>
  <c r="E87" i="2"/>
  <c r="E86" i="2"/>
  <c r="E85" i="2"/>
  <c r="E83" i="2"/>
  <c r="E82" i="2"/>
  <c r="E81" i="2"/>
  <c r="E78" i="2"/>
  <c r="E71" i="2"/>
  <c r="E77" i="2"/>
  <c r="E79" i="2"/>
  <c r="D189" i="2"/>
  <c r="E189" i="2" s="1"/>
  <c r="T35" i="5" l="1"/>
  <c r="T24" i="5"/>
  <c r="D140" i="2"/>
  <c r="E136" i="2"/>
  <c r="T38" i="5" l="1"/>
  <c r="T27" i="5"/>
  <c r="D97" i="2" l="1"/>
  <c r="E141" i="2" l="1"/>
  <c r="D65" i="2"/>
  <c r="E65" i="2" s="1"/>
  <c r="D62" i="2"/>
  <c r="E62" i="2" s="1"/>
  <c r="D60" i="2"/>
  <c r="E60" i="2" s="1"/>
  <c r="E30" i="2" l="1"/>
  <c r="D32" i="2"/>
  <c r="E55" i="2" l="1"/>
  <c r="L26" i="5"/>
  <c r="L28" i="5"/>
  <c r="J28" i="5"/>
  <c r="F30" i="2"/>
  <c r="D30" i="2"/>
  <c r="F28" i="2"/>
  <c r="D28" i="2"/>
  <c r="E120" i="2" l="1"/>
  <c r="E121" i="2" s="1"/>
  <c r="D53" i="2"/>
  <c r="E53" i="2" l="1"/>
  <c r="J19" i="5"/>
  <c r="E127" i="2"/>
  <c r="E133" i="2"/>
  <c r="J21" i="5" l="1"/>
  <c r="B17" i="5" l="1"/>
  <c r="B16" i="5"/>
  <c r="B15" i="5" l="1"/>
  <c r="B14" i="5" l="1"/>
  <c r="B13" i="5"/>
  <c r="H53" i="5" l="1"/>
  <c r="K62" i="5"/>
  <c r="K63" i="5" s="1"/>
  <c r="D195" i="2" s="1"/>
  <c r="H62" i="5"/>
  <c r="H63" i="5" s="1"/>
  <c r="E195" i="2" s="1"/>
  <c r="B12" i="5"/>
  <c r="B11" i="5" l="1"/>
  <c r="B10" i="5" l="1"/>
  <c r="J26" i="5" l="1"/>
  <c r="L27" i="5" s="1"/>
  <c r="B9" i="5"/>
  <c r="B8" i="5"/>
  <c r="B7" i="5"/>
  <c r="B6" i="5"/>
  <c r="B5" i="5"/>
  <c r="B4" i="5"/>
  <c r="B3" i="5"/>
  <c r="B1" i="5"/>
  <c r="Q27" i="5" l="1"/>
  <c r="E197" i="2"/>
  <c r="E199" i="2" s="1"/>
  <c r="W19" i="5"/>
  <c r="W21" i="5" s="1"/>
  <c r="W30" i="5"/>
  <c r="O11" i="5"/>
  <c r="Q37" i="5"/>
  <c r="Q23" i="5"/>
  <c r="D74" i="2"/>
  <c r="E74" i="2"/>
  <c r="E75" i="2" s="1"/>
  <c r="E88" i="2"/>
  <c r="E90" i="2"/>
  <c r="E89" i="2"/>
  <c r="D45" i="2"/>
  <c r="D72" i="2"/>
  <c r="E72" i="2" s="1"/>
  <c r="D47" i="2"/>
  <c r="D75" i="2"/>
  <c r="B2" i="5"/>
  <c r="J30" i="5" s="1"/>
  <c r="J34" i="5" s="1"/>
  <c r="W22" i="5" l="1"/>
  <c r="W20" i="5" s="1"/>
  <c r="E145" i="2" s="1"/>
  <c r="E92" i="2"/>
  <c r="E129" i="2"/>
  <c r="Q40" i="5"/>
  <c r="Q38" i="5" s="1"/>
  <c r="D157" i="2" s="1"/>
  <c r="Q39" i="5"/>
  <c r="E91" i="2"/>
  <c r="E110" i="2"/>
  <c r="E103" i="2"/>
  <c r="W33" i="5"/>
  <c r="W32" i="5"/>
  <c r="E104" i="2"/>
  <c r="E131" i="2" s="1"/>
  <c r="E113" i="2"/>
  <c r="E114" i="2" s="1"/>
  <c r="E108" i="2"/>
  <c r="L29" i="5"/>
  <c r="W31" i="5" l="1"/>
  <c r="D145" i="2" s="1"/>
  <c r="E138" i="2"/>
  <c r="AA21" i="5"/>
  <c r="AA20" i="5"/>
  <c r="J27" i="5"/>
  <c r="J29" i="5" l="1"/>
  <c r="Q26" i="5" l="1"/>
  <c r="Q24" i="5" s="1"/>
  <c r="Q25" i="5"/>
  <c r="E157" i="2" l="1"/>
  <c r="H54" i="5"/>
  <c r="E167" i="2" s="1"/>
  <c r="J22" i="5"/>
  <c r="J20" i="5" s="1"/>
  <c r="D56" i="2" s="1"/>
  <c r="H56" i="5" l="1"/>
  <c r="H57" i="5" s="1"/>
  <c r="E177" i="2" s="1"/>
  <c r="E184" i="2" s="1"/>
  <c r="E170" i="2"/>
  <c r="H59" i="5"/>
  <c r="E168" i="2"/>
  <c r="E169" i="2"/>
  <c r="L30" i="5"/>
  <c r="E185" i="2" l="1"/>
  <c r="E186" i="2"/>
  <c r="E201" i="2"/>
  <c r="L34" i="5"/>
  <c r="L36" i="5" s="1"/>
  <c r="L32" i="5"/>
  <c r="L35" i="5" l="1"/>
  <c r="L33" i="5"/>
  <c r="L40" i="5"/>
  <c r="L42" i="5" s="1"/>
  <c r="L38" i="5"/>
  <c r="Q30" i="5"/>
  <c r="Q29" i="5"/>
  <c r="Q28" i="5" l="1"/>
  <c r="E158" i="2" s="1"/>
  <c r="L39" i="5"/>
  <c r="L41" i="5"/>
  <c r="L44" i="5"/>
  <c r="L46" i="5"/>
  <c r="L48" i="5" s="1"/>
  <c r="D57" i="2" s="1"/>
  <c r="D76" i="2" s="1"/>
  <c r="D136" i="2" l="1"/>
  <c r="D120" i="2"/>
  <c r="D121" i="2"/>
  <c r="D98" i="2"/>
  <c r="D84" i="2"/>
  <c r="D117" i="2" s="1"/>
  <c r="D78" i="2"/>
  <c r="D79" i="2"/>
  <c r="G79" i="2" s="1"/>
  <c r="D80" i="2"/>
  <c r="D66" i="2"/>
  <c r="L47" i="5"/>
  <c r="D63" i="2" s="1"/>
  <c r="L45" i="5"/>
  <c r="D99" i="2" l="1"/>
  <c r="D115" i="2" s="1"/>
  <c r="K53" i="5"/>
  <c r="K54" i="5" s="1"/>
  <c r="D167" i="2" s="1"/>
  <c r="D127" i="2"/>
  <c r="D133" i="2"/>
  <c r="D112" i="2"/>
  <c r="D89" i="2"/>
  <c r="D90" i="2"/>
  <c r="D88" i="2"/>
  <c r="D59" i="2"/>
  <c r="D68" i="2" s="1"/>
  <c r="D58" i="2"/>
  <c r="K56" i="5" l="1"/>
  <c r="K57" i="5" s="1"/>
  <c r="D177" i="2" s="1"/>
  <c r="D184" i="2" s="1"/>
  <c r="D170" i="2"/>
  <c r="D168" i="2"/>
  <c r="D172" i="2"/>
  <c r="D169" i="2"/>
  <c r="D173" i="2"/>
  <c r="D171" i="2"/>
  <c r="E178" i="2"/>
  <c r="E179" i="2"/>
  <c r="E180" i="2"/>
  <c r="D141" i="2"/>
  <c r="Q41" i="5"/>
  <c r="D129" i="2"/>
  <c r="D103" i="2"/>
  <c r="D110" i="2"/>
  <c r="D92" i="2"/>
  <c r="D91" i="2"/>
  <c r="D93" i="2"/>
  <c r="J32" i="5"/>
  <c r="J33" i="5" s="1"/>
  <c r="J36" i="5" s="1"/>
  <c r="D178" i="2" l="1"/>
  <c r="D186" i="2"/>
  <c r="D106" i="2"/>
  <c r="D197" i="2"/>
  <c r="D199" i="2" s="1"/>
  <c r="D201" i="2"/>
  <c r="D179" i="2"/>
  <c r="D185" i="2"/>
  <c r="D180" i="2"/>
  <c r="K59" i="5"/>
  <c r="K60" i="5" s="1"/>
  <c r="D190" i="2" s="1"/>
  <c r="Q44" i="5"/>
  <c r="Q42" i="5" s="1"/>
  <c r="D158" i="2" s="1"/>
  <c r="Q43" i="5"/>
  <c r="D138" i="2"/>
  <c r="D111" i="2"/>
  <c r="D137" i="2" s="1"/>
  <c r="D151" i="2"/>
  <c r="D108" i="2"/>
  <c r="D113" i="2"/>
  <c r="D114" i="2" s="1"/>
  <c r="D104" i="2"/>
  <c r="AA32" i="5" s="1"/>
  <c r="Z35" i="5" s="1"/>
  <c r="E105" i="2"/>
  <c r="E151" i="2"/>
  <c r="E111" i="2"/>
  <c r="H60" i="5"/>
  <c r="E190" i="2" s="1"/>
  <c r="Z24" i="5"/>
  <c r="J38" i="5"/>
  <c r="J39" i="5" s="1"/>
  <c r="J40" i="5"/>
  <c r="J35" i="5"/>
  <c r="D150" i="2" l="1"/>
  <c r="AA31" i="5"/>
  <c r="W35" i="5" s="1"/>
  <c r="Z37" i="5"/>
  <c r="Z38" i="5"/>
  <c r="Z36" i="5" s="1"/>
  <c r="D148" i="2" s="1"/>
  <c r="D105" i="2"/>
  <c r="D131" i="2"/>
  <c r="D107" i="2"/>
  <c r="E137" i="2"/>
  <c r="Z26" i="5"/>
  <c r="Z27" i="5"/>
  <c r="Z25" i="5" s="1"/>
  <c r="E148" i="2" s="1"/>
  <c r="W24" i="5"/>
  <c r="T19" i="5"/>
  <c r="T26" i="5" s="1"/>
  <c r="T25" i="5" s="1"/>
  <c r="E146" i="2" s="1"/>
  <c r="J41" i="5"/>
  <c r="J42" i="5"/>
  <c r="J46" i="5" s="1"/>
  <c r="T30" i="5" l="1"/>
  <c r="T33" i="5" s="1"/>
  <c r="T31" i="5" s="1"/>
  <c r="D149" i="2" s="1"/>
  <c r="Q33" i="5" s="1"/>
  <c r="W38" i="5"/>
  <c r="W36" i="5" s="1"/>
  <c r="D147" i="2" s="1"/>
  <c r="W37" i="5"/>
  <c r="D109" i="2"/>
  <c r="D128" i="2"/>
  <c r="W26" i="5"/>
  <c r="W27" i="5"/>
  <c r="W25" i="5" s="1"/>
  <c r="E147" i="2" s="1"/>
  <c r="J44" i="5"/>
  <c r="J47" i="5" s="1"/>
  <c r="T37" i="5" l="1"/>
  <c r="T36" i="5" s="1"/>
  <c r="D146" i="2" s="1"/>
  <c r="T32" i="5"/>
  <c r="Q36" i="5"/>
  <c r="Q34" i="5" s="1"/>
  <c r="D156" i="2" s="1"/>
  <c r="D159" i="2" s="1"/>
  <c r="Q35" i="5"/>
  <c r="D118" i="2"/>
  <c r="D130" i="2"/>
  <c r="D132" i="2" s="1"/>
  <c r="J45" i="5"/>
  <c r="J48" i="5" s="1"/>
  <c r="E57" i="2" s="1"/>
  <c r="E150" i="2" s="1"/>
  <c r="E80" i="2" l="1"/>
  <c r="E106" i="2"/>
  <c r="E63" i="2"/>
  <c r="E66" i="2"/>
  <c r="E58" i="2"/>
  <c r="E172" i="2"/>
  <c r="E173" i="2"/>
  <c r="E171" i="2"/>
  <c r="E59" i="2"/>
  <c r="E68" i="2" s="1"/>
  <c r="E109" i="2" l="1"/>
  <c r="E118" i="2" s="1"/>
  <c r="E128" i="2"/>
  <c r="T22" i="5"/>
  <c r="T20" i="5" s="1"/>
  <c r="E107" i="2"/>
  <c r="E149" i="2" l="1"/>
  <c r="Q19" i="5" s="1"/>
  <c r="T21" i="5"/>
  <c r="E130" i="2"/>
  <c r="E132" i="2" s="1"/>
  <c r="Q22" i="5" l="1"/>
  <c r="Q20" i="5" s="1"/>
  <c r="Q21" i="5"/>
  <c r="E156" i="2" l="1"/>
  <c r="E159" i="2" l="1"/>
</calcChain>
</file>

<file path=xl/sharedStrings.xml><?xml version="1.0" encoding="utf-8"?>
<sst xmlns="http://schemas.openxmlformats.org/spreadsheetml/2006/main" count="692" uniqueCount="456">
  <si>
    <t>Disclaimer</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</si>
  <si>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</si>
  <si>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t>CLEAR ALL USER INPUT CELLS BEFORE STARTING A NEW DESIGN</t>
  </si>
  <si>
    <t>DESIGN REQUIREMENTS</t>
  </si>
  <si>
    <t>V</t>
  </si>
  <si>
    <t>VDC</t>
  </si>
  <si>
    <t>A</t>
  </si>
  <si>
    <t>W</t>
  </si>
  <si>
    <t>mV</t>
  </si>
  <si>
    <t>kHz</t>
  </si>
  <si>
    <t>Standard E48 Resistor Values</t>
  </si>
  <si>
    <t>Standard Capacitor Values</t>
  </si>
  <si>
    <t>C values up to 10nF</t>
  </si>
  <si>
    <t>C values greater than 10nF</t>
  </si>
  <si>
    <t>µF</t>
  </si>
  <si>
    <t>ms</t>
  </si>
  <si>
    <t>pF</t>
  </si>
  <si>
    <t>Resultant Minimum Bulk Voltage Calculations:</t>
  </si>
  <si>
    <t>s</t>
  </si>
  <si>
    <t>First Iteration:</t>
  </si>
  <si>
    <t>Second Iteration:</t>
  </si>
  <si>
    <t>Third Iteration:</t>
  </si>
  <si>
    <t>mA</t>
  </si>
  <si>
    <t>µs</t>
  </si>
  <si>
    <t>COMMENT</t>
  </si>
  <si>
    <t>mV factor</t>
  </si>
  <si>
    <t>uF factor</t>
  </si>
  <si>
    <t>kHz factor</t>
  </si>
  <si>
    <t>ms factor</t>
  </si>
  <si>
    <t>mA factor</t>
  </si>
  <si>
    <t>us factor</t>
  </si>
  <si>
    <t>Ω</t>
  </si>
  <si>
    <t>uH factor</t>
  </si>
  <si>
    <t>µH</t>
  </si>
  <si>
    <t>ns factor</t>
  </si>
  <si>
    <t>ns</t>
  </si>
  <si>
    <t>Hz</t>
  </si>
  <si>
    <t>mΩ</t>
  </si>
  <si>
    <t>mΩ factor</t>
  </si>
  <si>
    <r>
      <t>C</t>
    </r>
    <r>
      <rPr>
        <vertAlign val="subscript"/>
        <sz val="11"/>
        <color theme="1"/>
        <rFont val="Arial"/>
        <family val="2"/>
      </rPr>
      <t>IN</t>
    </r>
    <r>
      <rPr>
        <sz val="11"/>
        <color theme="1"/>
        <rFont val="Arial"/>
        <family val="2"/>
      </rPr>
      <t xml:space="preserve"> Calculations:</t>
    </r>
  </si>
  <si>
    <r>
      <t>C</t>
    </r>
    <r>
      <rPr>
        <vertAlign val="subscript"/>
        <sz val="11"/>
        <color theme="1"/>
        <rFont val="Arial"/>
        <family val="2"/>
      </rPr>
      <t>IN</t>
    </r>
    <r>
      <rPr>
        <sz val="11"/>
        <color theme="1"/>
        <rFont val="Arial"/>
        <family val="2"/>
      </rPr>
      <t xml:space="preserve"> Initial:</t>
    </r>
  </si>
  <si>
    <r>
      <t>C</t>
    </r>
    <r>
      <rPr>
        <vertAlign val="subscript"/>
        <sz val="11"/>
        <color theme="1"/>
        <rFont val="Arial"/>
        <family val="2"/>
      </rPr>
      <t>IN</t>
    </r>
    <r>
      <rPr>
        <sz val="11"/>
        <color theme="1"/>
        <rFont val="Arial"/>
        <family val="2"/>
      </rPr>
      <t xml:space="preserve"> Recommended:</t>
    </r>
  </si>
  <si>
    <r>
      <t>t</t>
    </r>
    <r>
      <rPr>
        <vertAlign val="subscript"/>
        <sz val="11"/>
        <color theme="1"/>
        <rFont val="Arial"/>
        <family val="2"/>
      </rPr>
      <t>1</t>
    </r>
  </si>
  <si>
    <r>
      <t>t</t>
    </r>
    <r>
      <rPr>
        <vertAlign val="subscript"/>
        <sz val="11"/>
        <color theme="1"/>
        <rFont val="Arial"/>
        <family val="2"/>
      </rPr>
      <t>2</t>
    </r>
  </si>
  <si>
    <r>
      <t>t</t>
    </r>
    <r>
      <rPr>
        <vertAlign val="subscript"/>
        <sz val="11"/>
        <color theme="1"/>
        <rFont val="Arial"/>
        <family val="2"/>
      </rPr>
      <t>discharge</t>
    </r>
  </si>
  <si>
    <r>
      <t>t</t>
    </r>
    <r>
      <rPr>
        <vertAlign val="subscript"/>
        <sz val="11"/>
        <color theme="1"/>
        <rFont val="Arial"/>
        <family val="2"/>
      </rPr>
      <t>charge</t>
    </r>
  </si>
  <si>
    <r>
      <t>V</t>
    </r>
    <r>
      <rPr>
        <vertAlign val="subscript"/>
        <sz val="11"/>
        <color theme="1"/>
        <rFont val="Arial"/>
        <family val="2"/>
      </rPr>
      <t>BULKvalley_1</t>
    </r>
  </si>
  <si>
    <r>
      <t>t</t>
    </r>
    <r>
      <rPr>
        <vertAlign val="subscript"/>
        <sz val="11"/>
        <color theme="1"/>
        <rFont val="Arial"/>
        <family val="2"/>
      </rPr>
      <t>1_1</t>
    </r>
  </si>
  <si>
    <r>
      <t>t</t>
    </r>
    <r>
      <rPr>
        <vertAlign val="subscript"/>
        <sz val="11"/>
        <color theme="1"/>
        <rFont val="Arial"/>
        <family val="2"/>
      </rPr>
      <t>2_1</t>
    </r>
  </si>
  <si>
    <r>
      <t>t</t>
    </r>
    <r>
      <rPr>
        <vertAlign val="subscript"/>
        <sz val="11"/>
        <color theme="1"/>
        <rFont val="Arial"/>
        <family val="2"/>
      </rPr>
      <t>discharge_1</t>
    </r>
  </si>
  <si>
    <r>
      <t>t</t>
    </r>
    <r>
      <rPr>
        <vertAlign val="subscript"/>
        <sz val="11"/>
        <color theme="1"/>
        <rFont val="Arial"/>
        <family val="2"/>
      </rPr>
      <t>charge_1</t>
    </r>
  </si>
  <si>
    <r>
      <t>V</t>
    </r>
    <r>
      <rPr>
        <vertAlign val="subscript"/>
        <sz val="11"/>
        <color theme="1"/>
        <rFont val="Arial"/>
        <family val="2"/>
      </rPr>
      <t>BULKvalley_2</t>
    </r>
  </si>
  <si>
    <r>
      <t>t</t>
    </r>
    <r>
      <rPr>
        <vertAlign val="subscript"/>
        <sz val="11"/>
        <color theme="1"/>
        <rFont val="Arial"/>
        <family val="2"/>
      </rPr>
      <t>1_2</t>
    </r>
  </si>
  <si>
    <r>
      <t>t</t>
    </r>
    <r>
      <rPr>
        <vertAlign val="subscript"/>
        <sz val="11"/>
        <color theme="1"/>
        <rFont val="Arial"/>
        <family val="2"/>
      </rPr>
      <t>2_2</t>
    </r>
  </si>
  <si>
    <r>
      <t>t</t>
    </r>
    <r>
      <rPr>
        <vertAlign val="subscript"/>
        <sz val="11"/>
        <color theme="1"/>
        <rFont val="Arial"/>
        <family val="2"/>
      </rPr>
      <t>discharge_2</t>
    </r>
  </si>
  <si>
    <r>
      <t>t</t>
    </r>
    <r>
      <rPr>
        <vertAlign val="subscript"/>
        <sz val="11"/>
        <color theme="1"/>
        <rFont val="Arial"/>
        <family val="2"/>
      </rPr>
      <t>charge_2</t>
    </r>
  </si>
  <si>
    <r>
      <t>V</t>
    </r>
    <r>
      <rPr>
        <vertAlign val="subscript"/>
        <sz val="11"/>
        <color theme="1"/>
        <rFont val="Arial"/>
        <family val="2"/>
      </rPr>
      <t>BULKvalley_3</t>
    </r>
  </si>
  <si>
    <r>
      <t>t</t>
    </r>
    <r>
      <rPr>
        <vertAlign val="subscript"/>
        <sz val="11"/>
        <color theme="1"/>
        <rFont val="Arial"/>
        <family val="2"/>
      </rPr>
      <t>1_3</t>
    </r>
  </si>
  <si>
    <r>
      <t>t</t>
    </r>
    <r>
      <rPr>
        <vertAlign val="subscript"/>
        <sz val="11"/>
        <color theme="1"/>
        <rFont val="Arial"/>
        <family val="2"/>
      </rPr>
      <t>2_3</t>
    </r>
  </si>
  <si>
    <r>
      <t>t</t>
    </r>
    <r>
      <rPr>
        <vertAlign val="subscript"/>
        <sz val="11"/>
        <color theme="1"/>
        <rFont val="Arial"/>
        <family val="2"/>
      </rPr>
      <t>discharge_3</t>
    </r>
  </si>
  <si>
    <r>
      <t>t</t>
    </r>
    <r>
      <rPr>
        <vertAlign val="subscript"/>
        <sz val="11"/>
        <color theme="1"/>
        <rFont val="Arial"/>
        <family val="2"/>
      </rPr>
      <t>charge_3</t>
    </r>
  </si>
  <si>
    <r>
      <t>V</t>
    </r>
    <r>
      <rPr>
        <vertAlign val="subscript"/>
        <sz val="11"/>
        <color theme="1"/>
        <rFont val="Arial"/>
        <family val="2"/>
      </rPr>
      <t>BULKvalley_4</t>
    </r>
  </si>
  <si>
    <t>PARAMETER</t>
  </si>
  <si>
    <t>mW factor</t>
  </si>
  <si>
    <t>mW</t>
  </si>
  <si>
    <t>Estimated Input Power</t>
  </si>
  <si>
    <t>Output Power</t>
  </si>
  <si>
    <t>Estimated Efficiency</t>
  </si>
  <si>
    <t>Maximum Peak to Peak Output Voltage Ripple</t>
  </si>
  <si>
    <t>Minimum Valley Voltage on Input Bulk Capacitors</t>
  </si>
  <si>
    <t>Minimum Input Capacitor Ripple Current Rating</t>
  </si>
  <si>
    <t>Minimum Input Capacitor Voltage Rating</t>
  </si>
  <si>
    <t>Demagnetizing Duty Cycle</t>
  </si>
  <si>
    <t>Desired Switching Period</t>
  </si>
  <si>
    <t>Time to First Resonant Valley</t>
  </si>
  <si>
    <t>Estimated Maximum Duty Cycle</t>
  </si>
  <si>
    <t>Drain to Source On-Resistance of Selected MOSFET</t>
  </si>
  <si>
    <t>Output Capacitance of Selected MOSFET</t>
  </si>
  <si>
    <t>Estimated Maximum On-Time</t>
  </si>
  <si>
    <t>Maximum Current Sense Threshold Voltage, Nominal</t>
  </si>
  <si>
    <t>Maximum Current Sense Threshold Voltage, Maximum</t>
  </si>
  <si>
    <t>Actual Maximum Nominal Switching Frequency</t>
  </si>
  <si>
    <t>Actual Switching Period</t>
  </si>
  <si>
    <t>Actual Maximum On-Time</t>
  </si>
  <si>
    <t>Primary RMS Current</t>
  </si>
  <si>
    <t>Secondary Peak Current</t>
  </si>
  <si>
    <t>Secondary RMS Current</t>
  </si>
  <si>
    <t>Maximum Duty Cycle</t>
  </si>
  <si>
    <t>Demagnetization Time</t>
  </si>
  <si>
    <t>INPUT FUSE</t>
  </si>
  <si>
    <t>Peak Input Current</t>
  </si>
  <si>
    <t>Maximum Current Sense Threshold Voltage, Minimum</t>
  </si>
  <si>
    <t>Peak Primary Current , Minimum, Full Load</t>
  </si>
  <si>
    <t>Peak Primary Current, Nominal, Full Load</t>
  </si>
  <si>
    <t>Peak Primary Current, Maximum, Full Load</t>
  </si>
  <si>
    <t>Constant Current Regulation Factor, Minimum</t>
  </si>
  <si>
    <t>Constant Current Regulation Factor, Nominal</t>
  </si>
  <si>
    <t>Estimated MOSFET Conduction Losses</t>
  </si>
  <si>
    <t>Estimated MOSFET Switching Losses</t>
  </si>
  <si>
    <t>MOSFET Fall Time</t>
  </si>
  <si>
    <t>pF factor</t>
  </si>
  <si>
    <t xml:space="preserve">Total Estimated MOSFET Power Loss </t>
  </si>
  <si>
    <t>BRIDGE RECTIFIER</t>
  </si>
  <si>
    <t>Full Load Power Dissipation of Bridge Rectifier</t>
  </si>
  <si>
    <t>MHz</t>
  </si>
  <si>
    <t>MHz factor</t>
  </si>
  <si>
    <t>Recommended Clamping Voltage on Drain</t>
  </si>
  <si>
    <t>Auxiliary Rectifier Forward Voltage Drop</t>
  </si>
  <si>
    <t>Nominal VDD Voltage</t>
  </si>
  <si>
    <t>Minimum Output Voltage During Constant Current Mode</t>
  </si>
  <si>
    <t>VDD Under Voltage Lock Out (UVLO) Voltage, Maximum</t>
  </si>
  <si>
    <t>VDD Under Voltage Lock Out (UVLO) Voltage, Minimum</t>
  </si>
  <si>
    <t>Minimum Required Blocking Voltage Rating</t>
  </si>
  <si>
    <t>MOSFET Continuous Current Rating</t>
  </si>
  <si>
    <t>MOSFET Pulsed Current Rating</t>
  </si>
  <si>
    <t>Required Minimum Average Rectified Output Current</t>
  </si>
  <si>
    <t>Minimum On-Time</t>
  </si>
  <si>
    <t>Required Minimum Ripple Current Rating</t>
  </si>
  <si>
    <t>Minimum Demagnetizing Time</t>
  </si>
  <si>
    <r>
      <t>LINE COMPENSATION, R</t>
    </r>
    <r>
      <rPr>
        <b/>
        <i/>
        <vertAlign val="subscript"/>
        <sz val="12"/>
        <color theme="0"/>
        <rFont val="Arial"/>
        <family val="2"/>
      </rPr>
      <t>LC</t>
    </r>
  </si>
  <si>
    <t>VS Line Sense Run Current, Minimum</t>
  </si>
  <si>
    <t>VS Line Sense Run Current, Maximum</t>
  </si>
  <si>
    <t>uA factor</t>
  </si>
  <si>
    <r>
      <t>k</t>
    </r>
    <r>
      <rPr>
        <sz val="11"/>
        <color theme="1"/>
        <rFont val="Calibri"/>
        <family val="2"/>
      </rPr>
      <t>Ω</t>
    </r>
    <r>
      <rPr>
        <sz val="11"/>
        <color theme="1"/>
        <rFont val="Arial"/>
        <family val="2"/>
      </rPr>
      <t xml:space="preserve"> factor</t>
    </r>
  </si>
  <si>
    <r>
      <t>k</t>
    </r>
    <r>
      <rPr>
        <sz val="11"/>
        <color theme="1"/>
        <rFont val="Calibri"/>
        <family val="2"/>
      </rPr>
      <t>Ω</t>
    </r>
  </si>
  <si>
    <t>VS Line Sense Run Current, Nominal</t>
  </si>
  <si>
    <t xml:space="preserve">Resultant Turn On Voltage, Nominal </t>
  </si>
  <si>
    <t xml:space="preserve">Resultant Turn On Voltage, Minimum </t>
  </si>
  <si>
    <t xml:space="preserve">Resultant Turn On Voltage, Maximum </t>
  </si>
  <si>
    <t>VS Line Sense Stop Current, Nominal</t>
  </si>
  <si>
    <t>VS Line Sense Stop Current, Minimum</t>
  </si>
  <si>
    <t>VS Line Sense Stop Current, Maximum</t>
  </si>
  <si>
    <t>Internal VS Over Voltage Threshold, Minimum</t>
  </si>
  <si>
    <t>Internal VS Over Voltage Threshold, Nominal</t>
  </si>
  <si>
    <t>Internal VS Over Voltage Threshold, Maximum</t>
  </si>
  <si>
    <t>Device Parameter</t>
  </si>
  <si>
    <t>kΩ</t>
  </si>
  <si>
    <t>Output Over Voltage Protection</t>
  </si>
  <si>
    <t>Resultant Output Over Voltage Threshold, Minimum</t>
  </si>
  <si>
    <t>Resultant Output Over Voltage Threshold, Nominal</t>
  </si>
  <si>
    <t>Resultant Output Over Voltage Threshold, Maximum</t>
  </si>
  <si>
    <t>A/A</t>
  </si>
  <si>
    <t>Line Compensation Current Ratio, Nominal</t>
  </si>
  <si>
    <t>MOSFET Turn Off Delay Time</t>
  </si>
  <si>
    <t>Total Estimated Current Sense Delay</t>
  </si>
  <si>
    <r>
      <rPr>
        <b/>
        <sz val="11"/>
        <rFont val="Arial"/>
        <family val="2"/>
      </rPr>
      <t>Recommended</t>
    </r>
    <r>
      <rPr>
        <sz val="11"/>
        <rFont val="Arial"/>
        <family val="2"/>
      </rPr>
      <t xml:space="preserve"> Resistor Value for Line Compensation</t>
    </r>
  </si>
  <si>
    <t>nC</t>
  </si>
  <si>
    <t>nC factor</t>
  </si>
  <si>
    <t>Device Supply Current During Run Mode, Maximum</t>
  </si>
  <si>
    <t>MOSFET Total Gate Charge</t>
  </si>
  <si>
    <r>
      <t>C</t>
    </r>
    <r>
      <rPr>
        <vertAlign val="subscript"/>
        <sz val="11"/>
        <color theme="1"/>
        <rFont val="Arial"/>
        <family val="2"/>
      </rPr>
      <t>VDD</t>
    </r>
    <r>
      <rPr>
        <sz val="11"/>
        <color theme="1"/>
        <rFont val="Arial"/>
        <family val="2"/>
      </rPr>
      <t xml:space="preserve"> Calculations:</t>
    </r>
  </si>
  <si>
    <r>
      <rPr>
        <b/>
        <sz val="11"/>
        <color theme="1"/>
        <rFont val="Arial"/>
        <family val="2"/>
      </rPr>
      <t xml:space="preserve">Recommended </t>
    </r>
    <r>
      <rPr>
        <sz val="11"/>
        <color theme="1"/>
        <rFont val="Arial"/>
        <family val="2"/>
      </rPr>
      <t>Capacitor on VDD</t>
    </r>
  </si>
  <si>
    <r>
      <t>C</t>
    </r>
    <r>
      <rPr>
        <vertAlign val="subscript"/>
        <sz val="11"/>
        <color theme="1"/>
        <rFont val="Arial"/>
        <family val="2"/>
      </rPr>
      <t>OUT</t>
    </r>
    <r>
      <rPr>
        <sz val="11"/>
        <color theme="1"/>
        <rFont val="Arial"/>
        <family val="2"/>
      </rPr>
      <t xml:space="preserve"> Calculations:</t>
    </r>
  </si>
  <si>
    <r>
      <t>C</t>
    </r>
    <r>
      <rPr>
        <vertAlign val="subscript"/>
        <sz val="11"/>
        <color theme="1"/>
        <rFont val="Arial"/>
        <family val="2"/>
      </rPr>
      <t>OUT</t>
    </r>
    <r>
      <rPr>
        <sz val="11"/>
        <color theme="1"/>
        <rFont val="Arial"/>
        <family val="2"/>
      </rPr>
      <t>:</t>
    </r>
  </si>
  <si>
    <r>
      <t>R</t>
    </r>
    <r>
      <rPr>
        <vertAlign val="subscript"/>
        <sz val="11"/>
        <color theme="1"/>
        <rFont val="Arial"/>
        <family val="2"/>
      </rPr>
      <t>VS1</t>
    </r>
    <r>
      <rPr>
        <sz val="11"/>
        <color theme="1"/>
        <rFont val="Arial"/>
        <family val="2"/>
      </rPr>
      <t>:</t>
    </r>
  </si>
  <si>
    <r>
      <t>R</t>
    </r>
    <r>
      <rPr>
        <vertAlign val="subscript"/>
        <sz val="11"/>
        <color theme="1"/>
        <rFont val="Arial"/>
        <family val="2"/>
      </rPr>
      <t>VS2</t>
    </r>
    <r>
      <rPr>
        <sz val="11"/>
        <color theme="1"/>
        <rFont val="Arial"/>
        <family val="2"/>
      </rPr>
      <t>:</t>
    </r>
  </si>
  <si>
    <r>
      <t>R</t>
    </r>
    <r>
      <rPr>
        <vertAlign val="subscript"/>
        <sz val="11"/>
        <color theme="1"/>
        <rFont val="Arial"/>
        <family val="2"/>
      </rPr>
      <t>LC</t>
    </r>
    <r>
      <rPr>
        <sz val="11"/>
        <color theme="1"/>
        <rFont val="Arial"/>
        <family val="2"/>
      </rPr>
      <t>:</t>
    </r>
  </si>
  <si>
    <t>nF factor</t>
  </si>
  <si>
    <t>uC factor</t>
  </si>
  <si>
    <t>TI Literature Number:</t>
  </si>
  <si>
    <t>UCC28730 CONSTANT-VOLTAGE, CONSTANT-CURRENT FLYBACK DESIGN CALCULATOR</t>
  </si>
  <si>
    <t>Enter Design Parameters and Chosen Component Values in Yellow Cells</t>
  </si>
  <si>
    <t>VAC</t>
  </si>
  <si>
    <t>MIN</t>
  </si>
  <si>
    <t>TYP</t>
  </si>
  <si>
    <t>MAX</t>
  </si>
  <si>
    <t>Description</t>
  </si>
  <si>
    <t>Target Output Voltage During Constant Current Regulation</t>
  </si>
  <si>
    <t>UNITS</t>
  </si>
  <si>
    <t>Desired Switching Frequency</t>
  </si>
  <si>
    <t>Maximum Stand-By Power Consumption</t>
  </si>
  <si>
    <t>VALUE</t>
  </si>
  <si>
    <t>UNIT</t>
  </si>
  <si>
    <t>Stand-By Power Estimate</t>
  </si>
  <si>
    <t>Recommended Minimum Voltage on Input Bulk Capacitors</t>
  </si>
  <si>
    <t>Enter number of half line-cycles for holdup</t>
  </si>
  <si>
    <t>Assumes 45% allowable ripple</t>
  </si>
  <si>
    <t>UCC28730 DESIGN CALCULATOR TOOL</t>
  </si>
  <si>
    <t>Input Fuse Peak Input Current</t>
  </si>
  <si>
    <t>Minimum Input Fuse Voltage Rating</t>
  </si>
  <si>
    <t>Minimum Bridge Rectifier Voltage Rating</t>
  </si>
  <si>
    <t>Minimum Bridge Rectifier Current Rating</t>
  </si>
  <si>
    <t>Bridge Rectifier Forward Voltage Drop</t>
  </si>
  <si>
    <t xml:space="preserve">η </t>
  </si>
  <si>
    <t>TRANSFORMER TURNS-RATIO, INDUCTANCE, PEAK PRIMARY CURRENT</t>
  </si>
  <si>
    <t>Forward Voltage Drop of Output Rectifier</t>
  </si>
  <si>
    <t>Secondary Side Winding Voltage</t>
  </si>
  <si>
    <t>Maximum Switching Frequency</t>
  </si>
  <si>
    <t>Minimum Switching Frequency</t>
  </si>
  <si>
    <t>Line Frequency</t>
  </si>
  <si>
    <t>Maximum Line Period</t>
  </si>
  <si>
    <t>Estimated Transformer Efficiency</t>
  </si>
  <si>
    <t>Estimated Stand-By Power Efficiency</t>
  </si>
  <si>
    <t>Flyback Voltage Reflected to the Primary</t>
  </si>
  <si>
    <t>AM Control Ratio, Minimum</t>
  </si>
  <si>
    <t>AM Control Ratio, Nominal</t>
  </si>
  <si>
    <t>AM Control ratio, Maximum</t>
  </si>
  <si>
    <t>Number of Half-Cycles of AC Line During Line Drop-Out</t>
  </si>
  <si>
    <t>Maximum Output Current During Constant Current Mode</t>
  </si>
  <si>
    <t>Enter the actual value of the current sense resistor used</t>
  </si>
  <si>
    <t>DESIGN CALCULATIONS</t>
  </si>
  <si>
    <t>Enter the actual value of the primary inductance used</t>
  </si>
  <si>
    <t>Actual  Auxiliary Winding to Secondary Winding Turns Ratio</t>
  </si>
  <si>
    <t>Enter forward voltage drop of secondary side rectifier</t>
  </si>
  <si>
    <t xml:space="preserve">VDD </t>
  </si>
  <si>
    <t>Minimum Required MOSFET Rated Drain to Source Voltage</t>
  </si>
  <si>
    <t>Assumed Leakage Spike</t>
  </si>
  <si>
    <t>Enter turn off delay of selected MOSFET</t>
  </si>
  <si>
    <t>Enter total gate charge of selected MOSFET</t>
  </si>
  <si>
    <t>Enter fall time of selected MOSFET</t>
  </si>
  <si>
    <t>VDS Derating</t>
  </si>
  <si>
    <t>Peak Primary Current During FM Mode and No-Load, Nominal</t>
  </si>
  <si>
    <t>Nominal Output Current During Constant Current Mode</t>
  </si>
  <si>
    <t>Previously selected above</t>
  </si>
  <si>
    <t>Estimated Resonant Frequency During DCM Dead Time</t>
  </si>
  <si>
    <t>Approximate Resonant Frequency</t>
  </si>
  <si>
    <t>SLUC579</t>
  </si>
  <si>
    <t>Positive Load Step Current</t>
  </si>
  <si>
    <t>Enter required load transient</t>
  </si>
  <si>
    <r>
      <t>C</t>
    </r>
    <r>
      <rPr>
        <vertAlign val="subscript"/>
        <sz val="11"/>
        <color theme="1"/>
        <rFont val="Arial"/>
        <family val="2"/>
      </rPr>
      <t>OUT(no_wake)</t>
    </r>
  </si>
  <si>
    <t>Minimum Allowable Output Voltage Due to Load Step</t>
  </si>
  <si>
    <t>Enter allowable minimum output voltage due to load step</t>
  </si>
  <si>
    <t>If this value is excessive, a C-L-C pi-filter is needed</t>
  </si>
  <si>
    <t>Cout_wake</t>
  </si>
  <si>
    <t>Cout_phase</t>
  </si>
  <si>
    <t>Cout_vripple</t>
  </si>
  <si>
    <t>Recommended Auxiliary Winding to Secondary Winding Turns Ratio</t>
  </si>
  <si>
    <t>Results With Recommended Values</t>
  </si>
  <si>
    <t>Results With User Selected Values</t>
  </si>
  <si>
    <r>
      <t>VDD</t>
    </r>
    <r>
      <rPr>
        <vertAlign val="subscript"/>
        <sz val="10"/>
        <color theme="1"/>
        <rFont val="Arial"/>
        <family val="2"/>
      </rPr>
      <t>ON</t>
    </r>
    <r>
      <rPr>
        <sz val="10"/>
        <color theme="1"/>
        <rFont val="Arial"/>
        <family val="2"/>
      </rPr>
      <t xml:space="preserve"> Voltage, Maximum</t>
    </r>
  </si>
  <si>
    <r>
      <rPr>
        <sz val="10"/>
        <color theme="1"/>
        <rFont val="Calibri"/>
        <family val="2"/>
      </rPr>
      <t>µ</t>
    </r>
    <r>
      <rPr>
        <sz val="10"/>
        <color theme="1"/>
        <rFont val="Arial"/>
        <family val="2"/>
      </rPr>
      <t>F</t>
    </r>
  </si>
  <si>
    <r>
      <t xml:space="preserve">WHERE APPLICABLE, A </t>
    </r>
    <r>
      <rPr>
        <b/>
        <sz val="9"/>
        <color rgb="FFFF0000"/>
        <rFont val="Arial"/>
        <family val="2"/>
      </rPr>
      <t>RECOMMENDED</t>
    </r>
    <r>
      <rPr>
        <b/>
        <sz val="9"/>
        <rFont val="Arial"/>
        <family val="2"/>
      </rPr>
      <t xml:space="preserve"> VALUE IS GIVEN THAT WILL BE THE BEST CHOICE TO MEET THE GIVEN SPECIFICATION.  IT IS IN THE BEST INTEREST OF THE USER TO USE A VALUE AS CLOSE AS POSSIBLE TO THE SUGGESTED RECOMMENDED VALUE.  FOR ACCURATE RESULTS, </t>
    </r>
    <r>
      <rPr>
        <b/>
        <sz val="9"/>
        <color rgb="FFFF0000"/>
        <rFont val="Arial"/>
        <family val="2"/>
      </rPr>
      <t>THE USER MUST ENTER THE ACTUAL VALUE USED IN THE APPROPRIATE CELL TO VERIFY ACTUAL PERFORMANCE.</t>
    </r>
  </si>
  <si>
    <t>Minimum Input Voltage for Start-Up At Full Load</t>
  </si>
  <si>
    <r>
      <t>RMS Input Voltage, V</t>
    </r>
    <r>
      <rPr>
        <vertAlign val="subscript"/>
        <sz val="10"/>
        <color theme="1"/>
        <rFont val="Arial"/>
        <family val="2"/>
      </rPr>
      <t>AC</t>
    </r>
  </si>
  <si>
    <r>
      <t xml:space="preserve"> V</t>
    </r>
    <r>
      <rPr>
        <b/>
        <vertAlign val="subscript"/>
        <sz val="10"/>
        <rFont val="Arial"/>
        <family val="2"/>
      </rPr>
      <t>IN</t>
    </r>
  </si>
  <si>
    <r>
      <t>Regulated Output Voltage, Constant Voltage Mode, V</t>
    </r>
    <r>
      <rPr>
        <vertAlign val="subscript"/>
        <sz val="10"/>
        <color theme="1"/>
        <rFont val="Arial"/>
        <family val="2"/>
      </rPr>
      <t>OUT</t>
    </r>
  </si>
  <si>
    <r>
      <t>V</t>
    </r>
    <r>
      <rPr>
        <b/>
        <vertAlign val="subscript"/>
        <sz val="10"/>
        <rFont val="Arial"/>
        <family val="2"/>
      </rPr>
      <t>OCV</t>
    </r>
  </si>
  <si>
    <r>
      <t>P</t>
    </r>
    <r>
      <rPr>
        <b/>
        <vertAlign val="subscript"/>
        <sz val="10"/>
        <color theme="1"/>
        <rFont val="Arial"/>
        <family val="2"/>
      </rPr>
      <t>OUT</t>
    </r>
  </si>
  <si>
    <r>
      <t>Full Load Output Current, Constant Current Mode, I</t>
    </r>
    <r>
      <rPr>
        <vertAlign val="subscript"/>
        <sz val="10"/>
        <color theme="1"/>
        <rFont val="Arial"/>
        <family val="2"/>
      </rPr>
      <t>OUT</t>
    </r>
  </si>
  <si>
    <r>
      <t>I</t>
    </r>
    <r>
      <rPr>
        <vertAlign val="subscript"/>
        <sz val="10"/>
        <rFont val="Arial"/>
        <family val="2"/>
      </rPr>
      <t>OCC_target</t>
    </r>
    <r>
      <rPr>
        <sz val="10"/>
        <rFont val="Arial"/>
        <family val="2"/>
      </rPr>
      <t xml:space="preserve"> </t>
    </r>
  </si>
  <si>
    <r>
      <t>f</t>
    </r>
    <r>
      <rPr>
        <b/>
        <vertAlign val="subscript"/>
        <sz val="10"/>
        <rFont val="Arial"/>
        <family val="2"/>
      </rPr>
      <t>LINE</t>
    </r>
  </si>
  <si>
    <r>
      <t>V</t>
    </r>
    <r>
      <rPr>
        <b/>
        <vertAlign val="subscript"/>
        <sz val="10"/>
        <rFont val="Arial"/>
        <family val="2"/>
      </rPr>
      <t>IN(run)</t>
    </r>
  </si>
  <si>
    <r>
      <t>V</t>
    </r>
    <r>
      <rPr>
        <b/>
        <vertAlign val="subscript"/>
        <sz val="10"/>
        <rFont val="Arial"/>
        <family val="2"/>
      </rPr>
      <t>OCC</t>
    </r>
  </si>
  <si>
    <r>
      <t>V</t>
    </r>
    <r>
      <rPr>
        <b/>
        <vertAlign val="subscript"/>
        <sz val="10"/>
        <rFont val="Arial"/>
        <family val="2"/>
      </rPr>
      <t>OCBC</t>
    </r>
  </si>
  <si>
    <r>
      <t>V</t>
    </r>
    <r>
      <rPr>
        <b/>
        <vertAlign val="subscript"/>
        <sz val="10"/>
        <rFont val="Arial"/>
        <family val="2"/>
      </rPr>
      <t>RIPPLE</t>
    </r>
  </si>
  <si>
    <r>
      <t>f</t>
    </r>
    <r>
      <rPr>
        <b/>
        <vertAlign val="subscript"/>
        <sz val="10"/>
        <color theme="1"/>
        <rFont val="Arial"/>
        <family val="2"/>
      </rPr>
      <t>MAX</t>
    </r>
  </si>
  <si>
    <r>
      <t>V</t>
    </r>
    <r>
      <rPr>
        <b/>
        <vertAlign val="subscript"/>
        <sz val="10"/>
        <rFont val="Arial"/>
        <family val="2"/>
      </rPr>
      <t>OUT_OVP</t>
    </r>
    <r>
      <rPr>
        <b/>
        <sz val="10"/>
        <rFont val="Arial"/>
        <family val="2"/>
      </rPr>
      <t xml:space="preserve"> </t>
    </r>
  </si>
  <si>
    <r>
      <t>P</t>
    </r>
    <r>
      <rPr>
        <vertAlign val="subscript"/>
        <sz val="10"/>
        <color theme="1"/>
        <rFont val="Arial"/>
        <family val="2"/>
      </rPr>
      <t>STBY_target</t>
    </r>
  </si>
  <si>
    <r>
      <t>f</t>
    </r>
    <r>
      <rPr>
        <vertAlign val="subscript"/>
        <sz val="10"/>
        <color theme="1"/>
        <rFont val="Arial"/>
        <family val="2"/>
      </rPr>
      <t>SW(max)</t>
    </r>
  </si>
  <si>
    <r>
      <t>f</t>
    </r>
    <r>
      <rPr>
        <vertAlign val="subscript"/>
        <sz val="10"/>
        <color theme="1"/>
        <rFont val="Arial"/>
        <family val="2"/>
      </rPr>
      <t>SW(min)</t>
    </r>
  </si>
  <si>
    <r>
      <t>t</t>
    </r>
    <r>
      <rPr>
        <vertAlign val="subscript"/>
        <sz val="10"/>
        <color theme="1"/>
        <rFont val="Arial"/>
        <family val="2"/>
      </rPr>
      <t>LINE</t>
    </r>
  </si>
  <si>
    <r>
      <rPr>
        <sz val="10"/>
        <color theme="1"/>
        <rFont val="Calibri"/>
        <family val="2"/>
      </rPr>
      <t>η</t>
    </r>
    <r>
      <rPr>
        <vertAlign val="subscript"/>
        <sz val="10"/>
        <color theme="1"/>
        <rFont val="Arial"/>
        <family val="2"/>
      </rPr>
      <t>SB</t>
    </r>
  </si>
  <si>
    <r>
      <t>P</t>
    </r>
    <r>
      <rPr>
        <vertAlign val="subscript"/>
        <sz val="10"/>
        <color theme="1"/>
        <rFont val="Arial"/>
        <family val="2"/>
      </rPr>
      <t>STBY</t>
    </r>
    <r>
      <rPr>
        <sz val="10"/>
        <color theme="1"/>
        <rFont val="Arial"/>
        <family val="2"/>
      </rPr>
      <t xml:space="preserve"> </t>
    </r>
  </si>
  <si>
    <r>
      <t>P</t>
    </r>
    <r>
      <rPr>
        <vertAlign val="subscript"/>
        <sz val="10"/>
        <color theme="1"/>
        <rFont val="Arial"/>
        <family val="2"/>
      </rPr>
      <t>IN</t>
    </r>
    <r>
      <rPr>
        <sz val="10"/>
        <color theme="1"/>
        <rFont val="Arial"/>
        <family val="2"/>
      </rPr>
      <t xml:space="preserve"> </t>
    </r>
  </si>
  <si>
    <r>
      <t>N</t>
    </r>
    <r>
      <rPr>
        <b/>
        <vertAlign val="subscript"/>
        <sz val="10"/>
        <color theme="1"/>
        <rFont val="Arial"/>
        <family val="2"/>
      </rPr>
      <t>HC</t>
    </r>
    <r>
      <rPr>
        <b/>
        <sz val="10"/>
        <color theme="1"/>
        <rFont val="Arial"/>
        <family val="2"/>
      </rPr>
      <t xml:space="preserve"> </t>
    </r>
  </si>
  <si>
    <r>
      <t>V</t>
    </r>
    <r>
      <rPr>
        <vertAlign val="subscript"/>
        <sz val="10"/>
        <color theme="1"/>
        <rFont val="Arial"/>
        <family val="2"/>
      </rPr>
      <t>BULK(min)_recommended</t>
    </r>
    <r>
      <rPr>
        <sz val="10"/>
        <color theme="1"/>
        <rFont val="Arial"/>
        <family val="2"/>
      </rPr>
      <t xml:space="preserve"> </t>
    </r>
  </si>
  <si>
    <r>
      <t>V</t>
    </r>
    <r>
      <rPr>
        <vertAlign val="subscript"/>
        <sz val="10"/>
        <color theme="1"/>
        <rFont val="Arial"/>
        <family val="2"/>
      </rPr>
      <t>BULK(min)</t>
    </r>
  </si>
  <si>
    <r>
      <t>I</t>
    </r>
    <r>
      <rPr>
        <vertAlign val="subscript"/>
        <sz val="10"/>
        <color theme="1"/>
        <rFont val="Arial"/>
        <family val="2"/>
      </rPr>
      <t>INpeak</t>
    </r>
  </si>
  <si>
    <r>
      <t>I</t>
    </r>
    <r>
      <rPr>
        <vertAlign val="subscript"/>
        <sz val="10"/>
        <color theme="1"/>
        <rFont val="Arial"/>
        <family val="2"/>
      </rPr>
      <t>CINripple</t>
    </r>
  </si>
  <si>
    <r>
      <t>V</t>
    </r>
    <r>
      <rPr>
        <vertAlign val="subscript"/>
        <sz val="10"/>
        <color theme="1"/>
        <rFont val="Arial"/>
        <family val="2"/>
      </rPr>
      <t>CIN</t>
    </r>
  </si>
  <si>
    <r>
      <t>V</t>
    </r>
    <r>
      <rPr>
        <vertAlign val="subscript"/>
        <sz val="10"/>
        <rFont val="Arial"/>
        <family val="2"/>
      </rPr>
      <t>FUSE</t>
    </r>
  </si>
  <si>
    <r>
      <t>V</t>
    </r>
    <r>
      <rPr>
        <vertAlign val="subscript"/>
        <sz val="10"/>
        <color theme="1"/>
        <rFont val="Arial"/>
        <family val="2"/>
      </rPr>
      <t>BRIDGE(min)_rating</t>
    </r>
  </si>
  <si>
    <r>
      <t>I</t>
    </r>
    <r>
      <rPr>
        <vertAlign val="subscript"/>
        <sz val="10"/>
        <color theme="1"/>
        <rFont val="Arial"/>
        <family val="2"/>
      </rPr>
      <t>BRIDGE(min)_rating</t>
    </r>
    <r>
      <rPr>
        <sz val="10"/>
        <color theme="1"/>
        <rFont val="Arial"/>
        <family val="2"/>
      </rPr>
      <t xml:space="preserve"> </t>
    </r>
  </si>
  <si>
    <r>
      <t>P</t>
    </r>
    <r>
      <rPr>
        <vertAlign val="subscript"/>
        <sz val="10"/>
        <color theme="1"/>
        <rFont val="Arial"/>
        <family val="2"/>
      </rPr>
      <t>BRIDGE</t>
    </r>
  </si>
  <si>
    <r>
      <t>D</t>
    </r>
    <r>
      <rPr>
        <vertAlign val="subscript"/>
        <sz val="10"/>
        <color theme="1"/>
        <rFont val="Arial"/>
        <family val="2"/>
      </rPr>
      <t>DEMAG_CC</t>
    </r>
  </si>
  <si>
    <r>
      <t>t</t>
    </r>
    <r>
      <rPr>
        <vertAlign val="subscript"/>
        <sz val="10"/>
        <color theme="1"/>
        <rFont val="Arial"/>
        <family val="2"/>
      </rPr>
      <t>SW_target</t>
    </r>
  </si>
  <si>
    <r>
      <t>t</t>
    </r>
    <r>
      <rPr>
        <vertAlign val="subscript"/>
        <sz val="10"/>
        <color theme="1"/>
        <rFont val="Arial"/>
        <family val="2"/>
      </rPr>
      <t>R</t>
    </r>
  </si>
  <si>
    <r>
      <t>D</t>
    </r>
    <r>
      <rPr>
        <vertAlign val="subscript"/>
        <sz val="10"/>
        <color theme="1"/>
        <rFont val="Arial"/>
        <family val="2"/>
      </rPr>
      <t>MAX_target</t>
    </r>
  </si>
  <si>
    <r>
      <t>η</t>
    </r>
    <r>
      <rPr>
        <vertAlign val="subscript"/>
        <sz val="10"/>
        <color theme="1"/>
        <rFont val="Arial"/>
        <family val="2"/>
      </rPr>
      <t>XFMR</t>
    </r>
  </si>
  <si>
    <r>
      <t>V</t>
    </r>
    <r>
      <rPr>
        <vertAlign val="subscript"/>
        <sz val="10"/>
        <color theme="1"/>
        <rFont val="Arial"/>
        <family val="2"/>
      </rPr>
      <t>FLYBACK</t>
    </r>
  </si>
  <si>
    <r>
      <t>V</t>
    </r>
    <r>
      <rPr>
        <vertAlign val="subscript"/>
        <sz val="10"/>
        <color theme="1"/>
        <rFont val="Arial"/>
        <family val="2"/>
      </rPr>
      <t>SEC</t>
    </r>
  </si>
  <si>
    <r>
      <t>t</t>
    </r>
    <r>
      <rPr>
        <vertAlign val="subscript"/>
        <sz val="10"/>
        <color theme="1"/>
        <rFont val="Arial"/>
        <family val="2"/>
      </rPr>
      <t>ONestimated</t>
    </r>
  </si>
  <si>
    <r>
      <t>V</t>
    </r>
    <r>
      <rPr>
        <vertAlign val="subscript"/>
        <sz val="10"/>
        <rFont val="Arial"/>
        <family val="2"/>
      </rPr>
      <t>CCR_min</t>
    </r>
  </si>
  <si>
    <r>
      <t>V</t>
    </r>
    <r>
      <rPr>
        <vertAlign val="subscript"/>
        <sz val="10"/>
        <rFont val="Arial"/>
        <family val="2"/>
      </rPr>
      <t>CCR_nom</t>
    </r>
  </si>
  <si>
    <r>
      <t>V</t>
    </r>
    <r>
      <rPr>
        <vertAlign val="subscript"/>
        <sz val="10"/>
        <rFont val="Arial"/>
        <family val="2"/>
      </rPr>
      <t>CCR_max</t>
    </r>
  </si>
  <si>
    <r>
      <t>V</t>
    </r>
    <r>
      <rPr>
        <vertAlign val="subscript"/>
        <sz val="10"/>
        <color theme="1"/>
        <rFont val="Arial"/>
        <family val="2"/>
      </rPr>
      <t>CSTmax_min</t>
    </r>
  </si>
  <si>
    <r>
      <t>V</t>
    </r>
    <r>
      <rPr>
        <vertAlign val="subscript"/>
        <sz val="10"/>
        <color theme="1"/>
        <rFont val="Arial"/>
        <family val="2"/>
      </rPr>
      <t>CSTmax_nom</t>
    </r>
  </si>
  <si>
    <r>
      <t>V</t>
    </r>
    <r>
      <rPr>
        <vertAlign val="subscript"/>
        <sz val="10"/>
        <color theme="1"/>
        <rFont val="Arial"/>
        <family val="2"/>
      </rPr>
      <t>CSTmax_max</t>
    </r>
  </si>
  <si>
    <r>
      <t>I</t>
    </r>
    <r>
      <rPr>
        <vertAlign val="subscript"/>
        <sz val="10"/>
        <color theme="1"/>
        <rFont val="Arial"/>
        <family val="2"/>
      </rPr>
      <t>PPmin</t>
    </r>
  </si>
  <si>
    <r>
      <t>I</t>
    </r>
    <r>
      <rPr>
        <vertAlign val="subscript"/>
        <sz val="10"/>
        <color theme="1"/>
        <rFont val="Arial"/>
        <family val="2"/>
      </rPr>
      <t>PPnom</t>
    </r>
  </si>
  <si>
    <r>
      <t>I</t>
    </r>
    <r>
      <rPr>
        <vertAlign val="subscript"/>
        <sz val="10"/>
        <color theme="1"/>
        <rFont val="Arial"/>
        <family val="2"/>
      </rPr>
      <t>PPmax</t>
    </r>
  </si>
  <si>
    <r>
      <t>I</t>
    </r>
    <r>
      <rPr>
        <vertAlign val="subscript"/>
        <sz val="10"/>
        <color theme="1"/>
        <rFont val="Arial"/>
        <family val="2"/>
      </rPr>
      <t>OCC</t>
    </r>
  </si>
  <si>
    <r>
      <t>I</t>
    </r>
    <r>
      <rPr>
        <vertAlign val="subscript"/>
        <sz val="10"/>
        <color theme="1"/>
        <rFont val="Arial"/>
        <family val="2"/>
      </rPr>
      <t>OCCmax</t>
    </r>
  </si>
  <si>
    <r>
      <t>V</t>
    </r>
    <r>
      <rPr>
        <vertAlign val="subscript"/>
        <sz val="10"/>
        <color theme="1"/>
        <rFont val="Arial"/>
        <family val="2"/>
      </rPr>
      <t>VDD(OFF)_max</t>
    </r>
  </si>
  <si>
    <r>
      <t>V</t>
    </r>
    <r>
      <rPr>
        <vertAlign val="subscript"/>
        <sz val="10"/>
        <color theme="1"/>
        <rFont val="Arial"/>
        <family val="2"/>
      </rPr>
      <t>VDD(OFF)_min</t>
    </r>
  </si>
  <si>
    <r>
      <t>N</t>
    </r>
    <r>
      <rPr>
        <vertAlign val="subscript"/>
        <sz val="10"/>
        <color theme="1"/>
        <rFont val="Arial"/>
        <family val="2"/>
      </rPr>
      <t>AS_recommended</t>
    </r>
  </si>
  <si>
    <r>
      <t>N</t>
    </r>
    <r>
      <rPr>
        <vertAlign val="subscript"/>
        <sz val="10"/>
        <color theme="1"/>
        <rFont val="Arial"/>
        <family val="2"/>
      </rPr>
      <t>AS</t>
    </r>
  </si>
  <si>
    <r>
      <t>K</t>
    </r>
    <r>
      <rPr>
        <vertAlign val="subscript"/>
        <sz val="10"/>
        <color theme="1"/>
        <rFont val="Arial"/>
        <family val="2"/>
      </rPr>
      <t>AM_min</t>
    </r>
  </si>
  <si>
    <r>
      <t>K</t>
    </r>
    <r>
      <rPr>
        <vertAlign val="subscript"/>
        <sz val="10"/>
        <color theme="1"/>
        <rFont val="Arial"/>
        <family val="2"/>
      </rPr>
      <t>AM_nom</t>
    </r>
  </si>
  <si>
    <r>
      <t>K</t>
    </r>
    <r>
      <rPr>
        <vertAlign val="subscript"/>
        <sz val="10"/>
        <color theme="1"/>
        <rFont val="Arial"/>
        <family val="2"/>
      </rPr>
      <t>AM_max</t>
    </r>
  </si>
  <si>
    <r>
      <t>I</t>
    </r>
    <r>
      <rPr>
        <vertAlign val="subscript"/>
        <sz val="10"/>
        <color theme="1"/>
        <rFont val="Arial"/>
        <family val="2"/>
      </rPr>
      <t>PP_FMnom</t>
    </r>
  </si>
  <si>
    <r>
      <t>f</t>
    </r>
    <r>
      <rPr>
        <vertAlign val="subscript"/>
        <sz val="10"/>
        <color theme="1"/>
        <rFont val="Arial"/>
        <family val="2"/>
      </rPr>
      <t>MAXactual</t>
    </r>
  </si>
  <si>
    <r>
      <t>t</t>
    </r>
    <r>
      <rPr>
        <vertAlign val="subscript"/>
        <sz val="10"/>
        <color theme="1"/>
        <rFont val="Arial"/>
        <family val="2"/>
      </rPr>
      <t>SWactual</t>
    </r>
  </si>
  <si>
    <r>
      <t>t</t>
    </r>
    <r>
      <rPr>
        <vertAlign val="subscript"/>
        <sz val="10"/>
        <color theme="1"/>
        <rFont val="Arial"/>
        <family val="2"/>
      </rPr>
      <t>ONmax</t>
    </r>
  </si>
  <si>
    <r>
      <t>D</t>
    </r>
    <r>
      <rPr>
        <vertAlign val="subscript"/>
        <sz val="10"/>
        <color theme="1"/>
        <rFont val="Arial"/>
        <family val="2"/>
      </rPr>
      <t>MAX</t>
    </r>
    <r>
      <rPr>
        <sz val="10"/>
        <color theme="1"/>
        <rFont val="Arial"/>
        <family val="2"/>
      </rPr>
      <t xml:space="preserve"> </t>
    </r>
  </si>
  <si>
    <r>
      <t>t</t>
    </r>
    <r>
      <rPr>
        <vertAlign val="subscript"/>
        <sz val="10"/>
        <color theme="1"/>
        <rFont val="Arial"/>
        <family val="2"/>
      </rPr>
      <t>DEMAG</t>
    </r>
  </si>
  <si>
    <r>
      <t>I</t>
    </r>
    <r>
      <rPr>
        <vertAlign val="subscript"/>
        <sz val="10"/>
        <color theme="1"/>
        <rFont val="Arial"/>
        <family val="2"/>
      </rPr>
      <t>PRI_RMS</t>
    </r>
  </si>
  <si>
    <r>
      <t>I</t>
    </r>
    <r>
      <rPr>
        <vertAlign val="subscript"/>
        <sz val="10"/>
        <color theme="1"/>
        <rFont val="Arial"/>
        <family val="2"/>
      </rPr>
      <t>SPmax</t>
    </r>
  </si>
  <si>
    <r>
      <t>I</t>
    </r>
    <r>
      <rPr>
        <vertAlign val="subscript"/>
        <sz val="10"/>
        <color theme="1"/>
        <rFont val="Arial"/>
        <family val="2"/>
      </rPr>
      <t>SEC_RMS</t>
    </r>
  </si>
  <si>
    <r>
      <t>t</t>
    </r>
    <r>
      <rPr>
        <vertAlign val="subscript"/>
        <sz val="10"/>
        <color theme="1"/>
        <rFont val="Arial"/>
        <family val="2"/>
      </rPr>
      <t>ONmin</t>
    </r>
  </si>
  <si>
    <r>
      <t>t</t>
    </r>
    <r>
      <rPr>
        <vertAlign val="subscript"/>
        <sz val="10"/>
        <color theme="1"/>
        <rFont val="Arial"/>
        <family val="2"/>
      </rPr>
      <t>DEMAGmin</t>
    </r>
  </si>
  <si>
    <r>
      <t>CURRENT SENSE RESISTOR, R</t>
    </r>
    <r>
      <rPr>
        <b/>
        <i/>
        <vertAlign val="subscript"/>
        <sz val="10"/>
        <color theme="0"/>
        <rFont val="Arial"/>
        <family val="2"/>
      </rPr>
      <t>CS</t>
    </r>
  </si>
  <si>
    <r>
      <t>Power Dissipation of R</t>
    </r>
    <r>
      <rPr>
        <vertAlign val="subscript"/>
        <sz val="10"/>
        <color theme="1"/>
        <rFont val="Arial"/>
        <family val="2"/>
      </rPr>
      <t>CS</t>
    </r>
  </si>
  <si>
    <r>
      <t>P</t>
    </r>
    <r>
      <rPr>
        <vertAlign val="subscript"/>
        <sz val="10"/>
        <color theme="1"/>
        <rFont val="Arial"/>
        <family val="2"/>
      </rPr>
      <t>Rcs</t>
    </r>
  </si>
  <si>
    <r>
      <t>MOSFET SWITCH, M</t>
    </r>
    <r>
      <rPr>
        <b/>
        <i/>
        <vertAlign val="subscript"/>
        <sz val="10"/>
        <color theme="0"/>
        <rFont val="Arial"/>
        <family val="2"/>
      </rPr>
      <t>1</t>
    </r>
  </si>
  <si>
    <r>
      <t>V</t>
    </r>
    <r>
      <rPr>
        <vertAlign val="subscript"/>
        <sz val="10"/>
        <rFont val="Arial"/>
        <family val="2"/>
      </rPr>
      <t>LK</t>
    </r>
  </si>
  <si>
    <r>
      <t>V</t>
    </r>
    <r>
      <rPr>
        <vertAlign val="subscript"/>
        <sz val="10"/>
        <color theme="1"/>
        <rFont val="Arial"/>
        <family val="2"/>
      </rPr>
      <t>DS</t>
    </r>
  </si>
  <si>
    <r>
      <t>MOSFET V</t>
    </r>
    <r>
      <rPr>
        <vertAlign val="subscript"/>
        <sz val="10"/>
        <color theme="1"/>
        <rFont val="Arial"/>
        <family val="2"/>
      </rPr>
      <t>DS</t>
    </r>
    <r>
      <rPr>
        <sz val="10"/>
        <color theme="1"/>
        <rFont val="Arial"/>
        <family val="2"/>
      </rPr>
      <t xml:space="preserve"> Derating</t>
    </r>
  </si>
  <si>
    <r>
      <t>I</t>
    </r>
    <r>
      <rPr>
        <vertAlign val="subscript"/>
        <sz val="10"/>
        <color theme="1"/>
        <rFont val="Arial"/>
        <family val="2"/>
      </rPr>
      <t>DRAIN</t>
    </r>
  </si>
  <si>
    <r>
      <t>I</t>
    </r>
    <r>
      <rPr>
        <vertAlign val="subscript"/>
        <sz val="10"/>
        <color theme="1"/>
        <rFont val="Arial"/>
        <family val="2"/>
      </rPr>
      <t>PULSED</t>
    </r>
  </si>
  <si>
    <r>
      <t>P</t>
    </r>
    <r>
      <rPr>
        <vertAlign val="subscript"/>
        <sz val="10"/>
        <color theme="1"/>
        <rFont val="Arial"/>
        <family val="2"/>
      </rPr>
      <t>FETconduction</t>
    </r>
  </si>
  <si>
    <r>
      <t>P</t>
    </r>
    <r>
      <rPr>
        <vertAlign val="subscript"/>
        <sz val="10"/>
        <color theme="1"/>
        <rFont val="Arial"/>
        <family val="2"/>
      </rPr>
      <t>FETswitching</t>
    </r>
  </si>
  <si>
    <r>
      <t>P</t>
    </r>
    <r>
      <rPr>
        <vertAlign val="subscript"/>
        <sz val="10"/>
        <color theme="1"/>
        <rFont val="Arial"/>
        <family val="2"/>
      </rPr>
      <t>FET</t>
    </r>
  </si>
  <si>
    <r>
      <t>f</t>
    </r>
    <r>
      <rPr>
        <vertAlign val="subscript"/>
        <sz val="10"/>
        <color theme="1"/>
        <rFont val="Arial"/>
        <family val="2"/>
      </rPr>
      <t>RESapproximate</t>
    </r>
  </si>
  <si>
    <r>
      <t>V</t>
    </r>
    <r>
      <rPr>
        <vertAlign val="subscript"/>
        <sz val="10"/>
        <color theme="1"/>
        <rFont val="Arial"/>
        <family val="2"/>
      </rPr>
      <t>DRAINclamp</t>
    </r>
  </si>
  <si>
    <r>
      <t>OUTPUT DIODE, D</t>
    </r>
    <r>
      <rPr>
        <b/>
        <i/>
        <vertAlign val="subscript"/>
        <sz val="10"/>
        <color theme="0"/>
        <rFont val="Arial"/>
        <family val="2"/>
      </rPr>
      <t>S</t>
    </r>
  </si>
  <si>
    <r>
      <t>Forward Voltage Drop of Output Rectifier, V</t>
    </r>
    <r>
      <rPr>
        <vertAlign val="subscript"/>
        <sz val="10"/>
        <color theme="1"/>
        <rFont val="Arial"/>
        <family val="2"/>
      </rPr>
      <t>F</t>
    </r>
    <r>
      <rPr>
        <sz val="10"/>
        <color theme="1"/>
        <rFont val="Arial"/>
        <family val="2"/>
      </rPr>
      <t xml:space="preserve"> =</t>
    </r>
  </si>
  <si>
    <r>
      <t>V</t>
    </r>
    <r>
      <rPr>
        <vertAlign val="subscript"/>
        <sz val="10"/>
        <color theme="1"/>
        <rFont val="Arial"/>
        <family val="2"/>
      </rPr>
      <t>F</t>
    </r>
  </si>
  <si>
    <r>
      <t>V</t>
    </r>
    <r>
      <rPr>
        <vertAlign val="subscript"/>
        <sz val="10"/>
        <color theme="1"/>
        <rFont val="Arial"/>
        <family val="2"/>
      </rPr>
      <t>DOUT_blocking</t>
    </r>
  </si>
  <si>
    <r>
      <t>I</t>
    </r>
    <r>
      <rPr>
        <vertAlign val="subscript"/>
        <sz val="10"/>
        <color theme="1"/>
        <rFont val="Arial"/>
        <family val="2"/>
      </rPr>
      <t>dout</t>
    </r>
  </si>
  <si>
    <r>
      <t>Power Dissipation of D</t>
    </r>
    <r>
      <rPr>
        <vertAlign val="subscript"/>
        <sz val="10"/>
        <color theme="1"/>
        <rFont val="Arial"/>
        <family val="2"/>
      </rPr>
      <t>OUT</t>
    </r>
  </si>
  <si>
    <r>
      <t>P</t>
    </r>
    <r>
      <rPr>
        <vertAlign val="subscript"/>
        <sz val="10"/>
        <color theme="1"/>
        <rFont val="Arial"/>
        <family val="2"/>
      </rPr>
      <t>dout</t>
    </r>
  </si>
  <si>
    <r>
      <t>AUXILIARY WINDING DIODE, D</t>
    </r>
    <r>
      <rPr>
        <b/>
        <i/>
        <vertAlign val="subscript"/>
        <sz val="10"/>
        <color theme="0"/>
        <rFont val="Arial"/>
        <family val="2"/>
      </rPr>
      <t>A</t>
    </r>
  </si>
  <si>
    <r>
      <t xml:space="preserve"> V</t>
    </r>
    <r>
      <rPr>
        <vertAlign val="subscript"/>
        <sz val="10"/>
        <color theme="1"/>
        <rFont val="Arial"/>
        <family val="2"/>
      </rPr>
      <t>FA</t>
    </r>
  </si>
  <si>
    <r>
      <t>V</t>
    </r>
    <r>
      <rPr>
        <vertAlign val="subscript"/>
        <sz val="10"/>
        <color theme="1"/>
        <rFont val="Arial"/>
        <family val="2"/>
      </rPr>
      <t>DBIAS_blocking</t>
    </r>
  </si>
  <si>
    <r>
      <t>Minimum C</t>
    </r>
    <r>
      <rPr>
        <vertAlign val="subscript"/>
        <sz val="10"/>
        <color theme="1"/>
        <rFont val="Arial"/>
        <family val="2"/>
      </rPr>
      <t>OUT</t>
    </r>
    <r>
      <rPr>
        <sz val="10"/>
        <color theme="1"/>
        <rFont val="Arial"/>
        <family val="2"/>
      </rPr>
      <t xml:space="preserve"> Without Wake-Up Monitor During Transient</t>
    </r>
  </si>
  <si>
    <r>
      <t>C</t>
    </r>
    <r>
      <rPr>
        <vertAlign val="subscript"/>
        <sz val="10"/>
        <color theme="1"/>
        <rFont val="Arial"/>
        <family val="2"/>
      </rPr>
      <t>OUT(No_Wake)</t>
    </r>
  </si>
  <si>
    <r>
      <t>Minimum C</t>
    </r>
    <r>
      <rPr>
        <vertAlign val="subscript"/>
        <sz val="10"/>
        <color theme="1"/>
        <rFont val="Arial"/>
        <family val="2"/>
      </rPr>
      <t>OUT</t>
    </r>
    <r>
      <rPr>
        <sz val="10"/>
        <color theme="1"/>
        <rFont val="Arial"/>
        <family val="2"/>
      </rPr>
      <t xml:space="preserve"> With Wake-Up Monitor During Transient</t>
    </r>
  </si>
  <si>
    <r>
      <t>C</t>
    </r>
    <r>
      <rPr>
        <vertAlign val="subscript"/>
        <sz val="10"/>
        <color theme="1"/>
        <rFont val="Arial"/>
        <family val="2"/>
      </rPr>
      <t>OUT(Wake)</t>
    </r>
  </si>
  <si>
    <r>
      <t>Minimum C</t>
    </r>
    <r>
      <rPr>
        <vertAlign val="subscript"/>
        <sz val="10"/>
        <color theme="1"/>
        <rFont val="Arial"/>
        <family val="2"/>
      </rPr>
      <t>OUT</t>
    </r>
    <r>
      <rPr>
        <sz val="10"/>
        <color theme="1"/>
        <rFont val="Arial"/>
        <family val="2"/>
      </rPr>
      <t xml:space="preserve"> to Maintain 40 Degree Phase Margin</t>
    </r>
  </si>
  <si>
    <r>
      <t>Minimum C</t>
    </r>
    <r>
      <rPr>
        <vertAlign val="subscript"/>
        <sz val="10"/>
        <color theme="1"/>
        <rFont val="Arial"/>
        <family val="2"/>
      </rPr>
      <t>OUT</t>
    </r>
    <r>
      <rPr>
        <sz val="10"/>
        <color theme="1"/>
        <rFont val="Arial"/>
        <family val="2"/>
      </rPr>
      <t xml:space="preserve"> for V</t>
    </r>
    <r>
      <rPr>
        <vertAlign val="subscript"/>
        <sz val="10"/>
        <color theme="1"/>
        <rFont val="Arial"/>
        <family val="2"/>
      </rPr>
      <t>RIPPLE</t>
    </r>
  </si>
  <si>
    <r>
      <t>C</t>
    </r>
    <r>
      <rPr>
        <vertAlign val="subscript"/>
        <sz val="10"/>
        <color theme="1"/>
        <rFont val="Arial"/>
        <family val="2"/>
      </rPr>
      <t>OUT(Vripple)</t>
    </r>
  </si>
  <si>
    <r>
      <t>I</t>
    </r>
    <r>
      <rPr>
        <vertAlign val="subscript"/>
        <sz val="10"/>
        <rFont val="Arial"/>
        <family val="2"/>
      </rPr>
      <t>COUTrms</t>
    </r>
  </si>
  <si>
    <r>
      <rPr>
        <b/>
        <sz val="10"/>
        <rFont val="Arial"/>
        <family val="2"/>
      </rPr>
      <t>Recommended</t>
    </r>
    <r>
      <rPr>
        <sz val="10"/>
        <rFont val="Arial"/>
        <family val="2"/>
      </rPr>
      <t xml:space="preserve"> Maximum ESR</t>
    </r>
  </si>
  <si>
    <r>
      <t>ESR</t>
    </r>
    <r>
      <rPr>
        <vertAlign val="subscript"/>
        <sz val="10"/>
        <rFont val="Arial"/>
        <family val="2"/>
      </rPr>
      <t>Coutrecommended</t>
    </r>
  </si>
  <si>
    <r>
      <t>VDD CAPACITOR, C</t>
    </r>
    <r>
      <rPr>
        <b/>
        <i/>
        <vertAlign val="subscript"/>
        <sz val="10"/>
        <color theme="0"/>
        <rFont val="Arial"/>
        <family val="2"/>
      </rPr>
      <t>VDD</t>
    </r>
  </si>
  <si>
    <t>Target Cable Compensation Voltage At Full Load</t>
  </si>
  <si>
    <t>Minimum VDD Capacitor for Start Up</t>
  </si>
  <si>
    <t>Minimum VDD Capacitor for Target Ripple on VDD during Wait</t>
  </si>
  <si>
    <r>
      <t>C</t>
    </r>
    <r>
      <rPr>
        <vertAlign val="subscript"/>
        <sz val="10"/>
        <color theme="1"/>
        <rFont val="Arial"/>
        <family val="2"/>
      </rPr>
      <t>OUT(PhaseMargin)</t>
    </r>
  </si>
  <si>
    <r>
      <t>V</t>
    </r>
    <r>
      <rPr>
        <vertAlign val="subscript"/>
        <sz val="10"/>
        <color theme="1"/>
        <rFont val="Arial"/>
        <family val="2"/>
      </rPr>
      <t>OUT_CCmin</t>
    </r>
  </si>
  <si>
    <r>
      <t>I</t>
    </r>
    <r>
      <rPr>
        <vertAlign val="subscript"/>
        <sz val="10"/>
        <color theme="1"/>
        <rFont val="Arial"/>
        <family val="2"/>
      </rPr>
      <t>RUNmax</t>
    </r>
  </si>
  <si>
    <r>
      <t>VDD</t>
    </r>
    <r>
      <rPr>
        <vertAlign val="subscript"/>
        <sz val="10"/>
        <color theme="1"/>
        <rFont val="Arial"/>
        <family val="2"/>
      </rPr>
      <t>ONmax</t>
    </r>
  </si>
  <si>
    <r>
      <t>C</t>
    </r>
    <r>
      <rPr>
        <vertAlign val="subscript"/>
        <sz val="10"/>
        <color theme="1"/>
        <rFont val="Arial"/>
        <family val="2"/>
      </rPr>
      <t>VDD_startup</t>
    </r>
  </si>
  <si>
    <t>CVDD_startup</t>
  </si>
  <si>
    <r>
      <t>C</t>
    </r>
    <r>
      <rPr>
        <vertAlign val="subscript"/>
        <sz val="10"/>
        <color theme="1"/>
        <rFont val="Arial"/>
        <family val="2"/>
      </rPr>
      <t>VDD_Wait</t>
    </r>
  </si>
  <si>
    <t>CVDD_Wait</t>
  </si>
  <si>
    <t>Device Supply Current During Wait State</t>
  </si>
  <si>
    <r>
      <t>I</t>
    </r>
    <r>
      <rPr>
        <vertAlign val="subscript"/>
        <sz val="10"/>
        <color theme="1"/>
        <rFont val="Arial"/>
        <family val="2"/>
      </rPr>
      <t>WAITmax</t>
    </r>
  </si>
  <si>
    <t>µA</t>
  </si>
  <si>
    <t>CVDD_transient</t>
  </si>
  <si>
    <t xml:space="preserve">Minimum VDD Capacitor for </t>
  </si>
  <si>
    <r>
      <t>C</t>
    </r>
    <r>
      <rPr>
        <vertAlign val="subscript"/>
        <sz val="10"/>
        <color theme="1"/>
        <rFont val="Arial"/>
        <family val="2"/>
      </rPr>
      <t>VDD_Transient</t>
    </r>
  </si>
  <si>
    <r>
      <rPr>
        <sz val="10"/>
        <color theme="1"/>
        <rFont val="Calibri"/>
        <family val="2"/>
      </rPr>
      <t>µ</t>
    </r>
    <r>
      <rPr>
        <sz val="10"/>
        <color theme="1"/>
        <rFont val="Arial"/>
        <family val="2"/>
      </rPr>
      <t>A</t>
    </r>
  </si>
  <si>
    <r>
      <t>I</t>
    </r>
    <r>
      <rPr>
        <vertAlign val="subscript"/>
        <sz val="10"/>
        <color theme="1"/>
        <rFont val="Arial"/>
        <family val="2"/>
      </rPr>
      <t>VSL(run)_min</t>
    </r>
  </si>
  <si>
    <r>
      <t>I</t>
    </r>
    <r>
      <rPr>
        <vertAlign val="subscript"/>
        <sz val="10"/>
        <color theme="1"/>
        <rFont val="Arial"/>
        <family val="2"/>
      </rPr>
      <t>VSL(run)_nom</t>
    </r>
  </si>
  <si>
    <r>
      <t>I</t>
    </r>
    <r>
      <rPr>
        <vertAlign val="subscript"/>
        <sz val="10"/>
        <color theme="1"/>
        <rFont val="Arial"/>
        <family val="2"/>
      </rPr>
      <t>VSL(run)_max</t>
    </r>
  </si>
  <si>
    <r>
      <t>I</t>
    </r>
    <r>
      <rPr>
        <vertAlign val="subscript"/>
        <sz val="10"/>
        <color theme="1"/>
        <rFont val="Arial"/>
        <family val="2"/>
      </rPr>
      <t>VSL(stop)_min</t>
    </r>
  </si>
  <si>
    <r>
      <t>I</t>
    </r>
    <r>
      <rPr>
        <vertAlign val="subscript"/>
        <sz val="10"/>
        <color theme="1"/>
        <rFont val="Arial"/>
        <family val="2"/>
      </rPr>
      <t>VSL(stop)_nom</t>
    </r>
  </si>
  <si>
    <r>
      <t>I</t>
    </r>
    <r>
      <rPr>
        <vertAlign val="subscript"/>
        <sz val="10"/>
        <color theme="1"/>
        <rFont val="Arial"/>
        <family val="2"/>
      </rPr>
      <t>VSL(stop)_max</t>
    </r>
  </si>
  <si>
    <t xml:space="preserve">Resultant Turn Off Voltage at Full Load, Minimum </t>
  </si>
  <si>
    <t xml:space="preserve">Resultant Turn Off Voltage at Full Load, Nominal </t>
  </si>
  <si>
    <t xml:space="preserve">Resultant Turn Off Voltage at Full Load, Maximum </t>
  </si>
  <si>
    <t>VS Regulating Level, Minimum</t>
  </si>
  <si>
    <t>VS Regulating Level, Nominal</t>
  </si>
  <si>
    <t>VS Regulating Level, Maximum</t>
  </si>
  <si>
    <r>
      <t>V</t>
    </r>
    <r>
      <rPr>
        <vertAlign val="subscript"/>
        <sz val="10"/>
        <color theme="1"/>
        <rFont val="Arial"/>
        <family val="2"/>
      </rPr>
      <t>VSR(min)</t>
    </r>
  </si>
  <si>
    <r>
      <t>V</t>
    </r>
    <r>
      <rPr>
        <vertAlign val="subscript"/>
        <sz val="10"/>
        <color theme="1"/>
        <rFont val="Arial"/>
        <family val="2"/>
      </rPr>
      <t>VSR(nom)</t>
    </r>
  </si>
  <si>
    <r>
      <t>V</t>
    </r>
    <r>
      <rPr>
        <vertAlign val="subscript"/>
        <sz val="10"/>
        <color theme="1"/>
        <rFont val="Arial"/>
        <family val="2"/>
      </rPr>
      <t>VSR(max)</t>
    </r>
  </si>
  <si>
    <r>
      <t>Resultant Regulated V</t>
    </r>
    <r>
      <rPr>
        <vertAlign val="subscript"/>
        <sz val="10"/>
        <color theme="1"/>
        <rFont val="Arial"/>
        <family val="2"/>
      </rPr>
      <t>OUT</t>
    </r>
    <r>
      <rPr>
        <sz val="10"/>
        <color theme="1"/>
        <rFont val="Arial"/>
        <family val="2"/>
      </rPr>
      <t>, Constant Voltage Mode, Minimum</t>
    </r>
  </si>
  <si>
    <r>
      <t>Resultant Regulated V</t>
    </r>
    <r>
      <rPr>
        <vertAlign val="subscript"/>
        <sz val="10"/>
        <color theme="1"/>
        <rFont val="Arial"/>
        <family val="2"/>
      </rPr>
      <t>OUT</t>
    </r>
    <r>
      <rPr>
        <sz val="10"/>
        <color theme="1"/>
        <rFont val="Arial"/>
        <family val="2"/>
      </rPr>
      <t>, Constant Voltage Mode, Nominal</t>
    </r>
  </si>
  <si>
    <r>
      <t>Resultant Regulated V</t>
    </r>
    <r>
      <rPr>
        <vertAlign val="subscript"/>
        <sz val="10"/>
        <color theme="1"/>
        <rFont val="Arial"/>
        <family val="2"/>
      </rPr>
      <t>OUT</t>
    </r>
    <r>
      <rPr>
        <sz val="10"/>
        <color theme="1"/>
        <rFont val="Arial"/>
        <family val="2"/>
      </rPr>
      <t>, Constant Voltage Mode, Maximum</t>
    </r>
  </si>
  <si>
    <r>
      <t>V</t>
    </r>
    <r>
      <rPr>
        <vertAlign val="subscript"/>
        <sz val="10"/>
        <color theme="1"/>
        <rFont val="Arial"/>
        <family val="2"/>
      </rPr>
      <t>OCV(min)</t>
    </r>
  </si>
  <si>
    <r>
      <t>V</t>
    </r>
    <r>
      <rPr>
        <vertAlign val="subscript"/>
        <sz val="10"/>
        <color theme="1"/>
        <rFont val="Arial"/>
        <family val="2"/>
      </rPr>
      <t>OCV(nom)</t>
    </r>
  </si>
  <si>
    <r>
      <t>V</t>
    </r>
    <r>
      <rPr>
        <vertAlign val="subscript"/>
        <sz val="10"/>
        <color theme="1"/>
        <rFont val="Arial"/>
        <family val="2"/>
      </rPr>
      <t>OCV(max)</t>
    </r>
  </si>
  <si>
    <r>
      <t>V</t>
    </r>
    <r>
      <rPr>
        <vertAlign val="subscript"/>
        <sz val="10"/>
        <color theme="1"/>
        <rFont val="Arial"/>
        <family val="2"/>
      </rPr>
      <t>OVP(min)</t>
    </r>
  </si>
  <si>
    <r>
      <t>V</t>
    </r>
    <r>
      <rPr>
        <vertAlign val="subscript"/>
        <sz val="10"/>
        <color theme="1"/>
        <rFont val="Arial"/>
        <family val="2"/>
      </rPr>
      <t>OVP(nom)</t>
    </r>
  </si>
  <si>
    <r>
      <t>V</t>
    </r>
    <r>
      <rPr>
        <vertAlign val="subscript"/>
        <sz val="10"/>
        <color theme="1"/>
        <rFont val="Arial"/>
        <family val="2"/>
      </rPr>
      <t>OVP(max)</t>
    </r>
  </si>
  <si>
    <r>
      <t>V</t>
    </r>
    <r>
      <rPr>
        <vertAlign val="subscript"/>
        <sz val="10"/>
        <color theme="1"/>
        <rFont val="Arial"/>
        <family val="2"/>
      </rPr>
      <t>TURNON(min)</t>
    </r>
  </si>
  <si>
    <r>
      <t>V</t>
    </r>
    <r>
      <rPr>
        <vertAlign val="subscript"/>
        <sz val="10"/>
        <color theme="1"/>
        <rFont val="Arial"/>
        <family val="2"/>
      </rPr>
      <t>TURNON(nom)</t>
    </r>
  </si>
  <si>
    <r>
      <t>V</t>
    </r>
    <r>
      <rPr>
        <vertAlign val="subscript"/>
        <sz val="10"/>
        <color theme="1"/>
        <rFont val="Arial"/>
        <family val="2"/>
      </rPr>
      <t>TURNON(max)</t>
    </r>
  </si>
  <si>
    <r>
      <t>V</t>
    </r>
    <r>
      <rPr>
        <vertAlign val="subscript"/>
        <sz val="10"/>
        <color theme="1"/>
        <rFont val="Arial"/>
        <family val="2"/>
      </rPr>
      <t>TURNOFF(min)</t>
    </r>
  </si>
  <si>
    <r>
      <t>V</t>
    </r>
    <r>
      <rPr>
        <vertAlign val="subscript"/>
        <sz val="10"/>
        <color theme="1"/>
        <rFont val="Arial"/>
        <family val="2"/>
      </rPr>
      <t>TURNOFF(nom)</t>
    </r>
  </si>
  <si>
    <r>
      <t>V</t>
    </r>
    <r>
      <rPr>
        <vertAlign val="subscript"/>
        <sz val="10"/>
        <color theme="1"/>
        <rFont val="Arial"/>
        <family val="2"/>
      </rPr>
      <t>TURNOFF(max)</t>
    </r>
  </si>
  <si>
    <r>
      <t>V</t>
    </r>
    <r>
      <rPr>
        <vertAlign val="subscript"/>
        <sz val="10"/>
        <color theme="1"/>
        <rFont val="Arial"/>
        <family val="2"/>
      </rPr>
      <t>OUT_OVP(min)</t>
    </r>
  </si>
  <si>
    <r>
      <t>V</t>
    </r>
    <r>
      <rPr>
        <vertAlign val="subscript"/>
        <sz val="10"/>
        <color theme="1"/>
        <rFont val="Arial"/>
        <family val="2"/>
      </rPr>
      <t>OUT_OVP(nom)</t>
    </r>
  </si>
  <si>
    <r>
      <t>V</t>
    </r>
    <r>
      <rPr>
        <vertAlign val="subscript"/>
        <sz val="10"/>
        <color theme="1"/>
        <rFont val="Arial"/>
        <family val="2"/>
      </rPr>
      <t>OUT_OVP(max)</t>
    </r>
  </si>
  <si>
    <r>
      <t>OUTPUT CAPACITOR, C</t>
    </r>
    <r>
      <rPr>
        <b/>
        <i/>
        <vertAlign val="subscript"/>
        <sz val="10"/>
        <color theme="0"/>
        <rFont val="Arial"/>
        <family val="2"/>
      </rPr>
      <t>OUT</t>
    </r>
  </si>
  <si>
    <r>
      <t>INPUT CAPACITOR, C</t>
    </r>
    <r>
      <rPr>
        <b/>
        <i/>
        <vertAlign val="subscript"/>
        <sz val="11"/>
        <color theme="0"/>
        <rFont val="Arial"/>
        <family val="2"/>
      </rPr>
      <t xml:space="preserve">BULK </t>
    </r>
    <r>
      <rPr>
        <b/>
        <i/>
        <sz val="11"/>
        <color theme="0"/>
        <rFont val="Arial"/>
        <family val="2"/>
      </rPr>
      <t>= C</t>
    </r>
    <r>
      <rPr>
        <b/>
        <i/>
        <vertAlign val="subscript"/>
        <sz val="11"/>
        <color theme="0"/>
        <rFont val="Arial"/>
        <family val="2"/>
      </rPr>
      <t>B1</t>
    </r>
    <r>
      <rPr>
        <b/>
        <i/>
        <sz val="11"/>
        <color theme="0"/>
        <rFont val="Arial"/>
        <family val="2"/>
      </rPr>
      <t xml:space="preserve"> + C</t>
    </r>
    <r>
      <rPr>
        <b/>
        <i/>
        <vertAlign val="subscript"/>
        <sz val="11"/>
        <color theme="0"/>
        <rFont val="Arial"/>
        <family val="2"/>
      </rPr>
      <t>B2</t>
    </r>
  </si>
  <si>
    <r>
      <t>VS RESISTOR DIVIDER, R</t>
    </r>
    <r>
      <rPr>
        <b/>
        <i/>
        <vertAlign val="subscript"/>
        <sz val="12"/>
        <color theme="0"/>
        <rFont val="Arial"/>
        <family val="2"/>
      </rPr>
      <t>VS1</t>
    </r>
    <r>
      <rPr>
        <b/>
        <i/>
        <sz val="12"/>
        <color theme="0"/>
        <rFont val="Arial"/>
        <family val="2"/>
      </rPr>
      <t>, R</t>
    </r>
    <r>
      <rPr>
        <b/>
        <i/>
        <vertAlign val="subscript"/>
        <sz val="12"/>
        <color theme="0"/>
        <rFont val="Arial"/>
        <family val="2"/>
      </rPr>
      <t>VS2</t>
    </r>
  </si>
  <si>
    <r>
      <t>CABLE COMPENSATION, R</t>
    </r>
    <r>
      <rPr>
        <b/>
        <i/>
        <vertAlign val="subscript"/>
        <sz val="12"/>
        <color theme="0"/>
        <rFont val="Arial"/>
        <family val="2"/>
      </rPr>
      <t>CBC</t>
    </r>
  </si>
  <si>
    <r>
      <t>K</t>
    </r>
    <r>
      <rPr>
        <vertAlign val="subscript"/>
        <sz val="10"/>
        <color theme="1"/>
        <rFont val="Arial"/>
        <family val="2"/>
      </rPr>
      <t>LCnom</t>
    </r>
  </si>
  <si>
    <r>
      <t>t</t>
    </r>
    <r>
      <rPr>
        <vertAlign val="subscript"/>
        <sz val="10"/>
        <color theme="1"/>
        <rFont val="Arial"/>
        <family val="2"/>
      </rPr>
      <t>DELAY</t>
    </r>
  </si>
  <si>
    <t>Maximum Voltage at CBC at Full Load, Minimum</t>
  </si>
  <si>
    <t>Maximum Voltage at CBC at Full Load, Maximum</t>
  </si>
  <si>
    <t>Maximum Voltage at CBC at Full Load, Nominal</t>
  </si>
  <si>
    <r>
      <t>V</t>
    </r>
    <r>
      <rPr>
        <vertAlign val="subscript"/>
        <sz val="10"/>
        <color theme="1"/>
        <rFont val="Arial"/>
        <family val="2"/>
      </rPr>
      <t>CBC(max)_min</t>
    </r>
  </si>
  <si>
    <r>
      <t>V</t>
    </r>
    <r>
      <rPr>
        <vertAlign val="subscript"/>
        <sz val="10"/>
        <color theme="1"/>
        <rFont val="Arial"/>
        <family val="2"/>
      </rPr>
      <t>CBC(max)_nom</t>
    </r>
  </si>
  <si>
    <r>
      <t>V</t>
    </r>
    <r>
      <rPr>
        <vertAlign val="subscript"/>
        <sz val="10"/>
        <color theme="1"/>
        <rFont val="Arial"/>
        <family val="2"/>
      </rPr>
      <t>CBC(max)_max</t>
    </r>
  </si>
  <si>
    <r>
      <t>R</t>
    </r>
    <r>
      <rPr>
        <vertAlign val="subscript"/>
        <sz val="11"/>
        <color theme="1"/>
        <rFont val="Arial"/>
        <family val="2"/>
      </rPr>
      <t>CBC</t>
    </r>
  </si>
  <si>
    <t>Recommended Resistor Value for Cable Compensation</t>
  </si>
  <si>
    <t>VS WAKE-UP DETECTION</t>
  </si>
  <si>
    <t>UCC24650 Wake-Up Pulse Width</t>
  </si>
  <si>
    <t>Sufficient Amplitude at VS Input?</t>
  </si>
  <si>
    <t>Added Series Resistor on WAKE Pin</t>
  </si>
  <si>
    <t>Ω</t>
  </si>
  <si>
    <t>Initial Calculations with actual Cbulk:</t>
  </si>
  <si>
    <t>with Cbulk rcmd</t>
  </si>
  <si>
    <t>Recommended Minimum Input Bulk Capacitance</t>
  </si>
  <si>
    <t>Enter estimated resonant frequency</t>
  </si>
  <si>
    <t>Enter actual primary to secondary turns ratio</t>
  </si>
  <si>
    <t>Enter actual primary to auxiliary turns ratio</t>
  </si>
  <si>
    <t>Primary to Secondary Turns Ratio</t>
  </si>
  <si>
    <t>Current Sense Resistor</t>
  </si>
  <si>
    <t>Primary Inductance</t>
  </si>
  <si>
    <t>Primary to Auxillary Turns Ratio</t>
  </si>
  <si>
    <t>Current Sense Resistor Used</t>
  </si>
  <si>
    <r>
      <t>RCMD C</t>
    </r>
    <r>
      <rPr>
        <vertAlign val="subscript"/>
        <sz val="11"/>
        <color theme="1"/>
        <rFont val="Arial"/>
        <family val="2"/>
      </rPr>
      <t>OUT</t>
    </r>
    <r>
      <rPr>
        <sz val="11"/>
        <color theme="1"/>
        <rFont val="Arial"/>
        <family val="2"/>
      </rPr>
      <t xml:space="preserve"> Calculations:</t>
    </r>
  </si>
  <si>
    <r>
      <t>RCMD C</t>
    </r>
    <r>
      <rPr>
        <vertAlign val="subscript"/>
        <sz val="11"/>
        <color theme="1"/>
        <rFont val="Arial"/>
        <family val="2"/>
      </rPr>
      <t>VDD</t>
    </r>
    <r>
      <rPr>
        <sz val="11"/>
        <color theme="1"/>
        <rFont val="Arial"/>
        <family val="2"/>
      </rPr>
      <t xml:space="preserve"> Calculations:</t>
    </r>
  </si>
  <si>
    <r>
      <t>RCMD R</t>
    </r>
    <r>
      <rPr>
        <vertAlign val="subscript"/>
        <sz val="11"/>
        <color theme="1"/>
        <rFont val="Arial"/>
        <family val="2"/>
      </rPr>
      <t>VS1</t>
    </r>
    <r>
      <rPr>
        <sz val="11"/>
        <color theme="1"/>
        <rFont val="Arial"/>
        <family val="2"/>
      </rPr>
      <t>:</t>
    </r>
  </si>
  <si>
    <r>
      <t>f</t>
    </r>
    <r>
      <rPr>
        <vertAlign val="subscript"/>
        <sz val="10"/>
        <color theme="1"/>
        <rFont val="Arial"/>
        <family val="2"/>
      </rPr>
      <t>RES</t>
    </r>
    <r>
      <rPr>
        <sz val="10"/>
        <color theme="1"/>
        <rFont val="Arial"/>
        <family val="2"/>
      </rPr>
      <t xml:space="preserve"> ≥ 1/(4 x t</t>
    </r>
    <r>
      <rPr>
        <vertAlign val="subscript"/>
        <sz val="10"/>
        <color theme="1"/>
        <rFont val="Arial"/>
        <family val="2"/>
      </rPr>
      <t>WAKE</t>
    </r>
    <r>
      <rPr>
        <sz val="10"/>
        <color theme="1"/>
        <rFont val="Arial"/>
        <family val="2"/>
      </rPr>
      <t>) ?</t>
    </r>
  </si>
  <si>
    <r>
      <t>t</t>
    </r>
    <r>
      <rPr>
        <b/>
        <vertAlign val="subscript"/>
        <sz val="10"/>
        <color theme="1"/>
        <rFont val="Calibri"/>
        <family val="2"/>
        <scheme val="minor"/>
      </rPr>
      <t>WAKE</t>
    </r>
  </si>
  <si>
    <r>
      <t>C</t>
    </r>
    <r>
      <rPr>
        <b/>
        <vertAlign val="subscript"/>
        <sz val="11"/>
        <color theme="1"/>
        <rFont val="Arial"/>
        <family val="2"/>
      </rPr>
      <t>BULK</t>
    </r>
    <r>
      <rPr>
        <b/>
        <sz val="11"/>
        <color theme="1"/>
        <rFont val="Arial"/>
        <family val="2"/>
      </rPr>
      <t xml:space="preserve"> </t>
    </r>
  </si>
  <si>
    <r>
      <t>V</t>
    </r>
    <r>
      <rPr>
        <b/>
        <vertAlign val="subscript"/>
        <sz val="11"/>
        <color theme="1"/>
        <rFont val="Arial"/>
        <family val="2"/>
      </rPr>
      <t>F_BRIDGE</t>
    </r>
  </si>
  <si>
    <r>
      <t>Enter the V</t>
    </r>
    <r>
      <rPr>
        <b/>
        <vertAlign val="subscript"/>
        <sz val="11"/>
        <color rgb="FFFF0000"/>
        <rFont val="Arial"/>
        <family val="2"/>
      </rPr>
      <t>F</t>
    </r>
    <r>
      <rPr>
        <b/>
        <sz val="11"/>
        <color rgb="FFFF0000"/>
        <rFont val="Arial"/>
        <family val="2"/>
      </rPr>
      <t xml:space="preserve"> of the Bridge Rectifier</t>
    </r>
  </si>
  <si>
    <r>
      <t>V</t>
    </r>
    <r>
      <rPr>
        <b/>
        <vertAlign val="subscript"/>
        <sz val="11"/>
        <color theme="1"/>
        <rFont val="Arial"/>
        <family val="2"/>
      </rPr>
      <t>F</t>
    </r>
  </si>
  <si>
    <r>
      <t>Enter V</t>
    </r>
    <r>
      <rPr>
        <b/>
        <vertAlign val="subscript"/>
        <sz val="11"/>
        <color rgb="FFFF0000"/>
        <rFont val="Arial"/>
        <family val="2"/>
      </rPr>
      <t>F</t>
    </r>
    <r>
      <rPr>
        <b/>
        <sz val="11"/>
        <color rgb="FFFF0000"/>
        <rFont val="Arial"/>
        <family val="2"/>
      </rPr>
      <t xml:space="preserve"> at full load</t>
    </r>
  </si>
  <si>
    <r>
      <t>f</t>
    </r>
    <r>
      <rPr>
        <b/>
        <vertAlign val="subscript"/>
        <sz val="11"/>
        <color theme="1"/>
        <rFont val="Arial"/>
        <family val="2"/>
      </rPr>
      <t>RES</t>
    </r>
  </si>
  <si>
    <r>
      <t>N</t>
    </r>
    <r>
      <rPr>
        <b/>
        <vertAlign val="subscript"/>
        <sz val="11"/>
        <color theme="1"/>
        <rFont val="Arial"/>
        <family val="2"/>
      </rPr>
      <t>PS</t>
    </r>
  </si>
  <si>
    <r>
      <t>R</t>
    </r>
    <r>
      <rPr>
        <b/>
        <vertAlign val="subscript"/>
        <sz val="11"/>
        <color theme="1"/>
        <rFont val="Arial"/>
        <family val="2"/>
      </rPr>
      <t>CS</t>
    </r>
  </si>
  <si>
    <r>
      <t>L</t>
    </r>
    <r>
      <rPr>
        <b/>
        <vertAlign val="subscript"/>
        <sz val="11"/>
        <color theme="1"/>
        <rFont val="Arial"/>
        <family val="2"/>
      </rPr>
      <t>P</t>
    </r>
  </si>
  <si>
    <r>
      <t xml:space="preserve"> V</t>
    </r>
    <r>
      <rPr>
        <b/>
        <vertAlign val="subscript"/>
        <sz val="11"/>
        <color theme="1"/>
        <rFont val="Arial"/>
        <family val="2"/>
      </rPr>
      <t>FA</t>
    </r>
    <r>
      <rPr>
        <b/>
        <sz val="11"/>
        <color theme="1"/>
        <rFont val="Arial"/>
        <family val="2"/>
      </rPr>
      <t xml:space="preserve"> </t>
    </r>
  </si>
  <si>
    <r>
      <t>N</t>
    </r>
    <r>
      <rPr>
        <b/>
        <vertAlign val="subscript"/>
        <sz val="11"/>
        <color theme="1"/>
        <rFont val="Arial"/>
        <family val="2"/>
      </rPr>
      <t>PA</t>
    </r>
  </si>
  <si>
    <r>
      <t>R</t>
    </r>
    <r>
      <rPr>
        <vertAlign val="subscript"/>
        <sz val="11"/>
        <color theme="1"/>
        <rFont val="Arial"/>
        <family val="2"/>
      </rPr>
      <t>CS</t>
    </r>
  </si>
  <si>
    <r>
      <t>C</t>
    </r>
    <r>
      <rPr>
        <b/>
        <vertAlign val="subscript"/>
        <sz val="11"/>
        <color theme="1"/>
        <rFont val="Arial"/>
        <family val="2"/>
      </rPr>
      <t>OSS</t>
    </r>
  </si>
  <si>
    <r>
      <t>Enter C</t>
    </r>
    <r>
      <rPr>
        <b/>
        <vertAlign val="subscript"/>
        <sz val="11"/>
        <color rgb="FFFF0000"/>
        <rFont val="Arial"/>
        <family val="2"/>
      </rPr>
      <t>OSS</t>
    </r>
    <r>
      <rPr>
        <b/>
        <sz val="11"/>
        <color rgb="FFFF0000"/>
        <rFont val="Arial"/>
        <family val="2"/>
      </rPr>
      <t xml:space="preserve"> of selected MOSFET</t>
    </r>
  </si>
  <si>
    <r>
      <t>R</t>
    </r>
    <r>
      <rPr>
        <b/>
        <vertAlign val="subscript"/>
        <sz val="11"/>
        <color theme="1"/>
        <rFont val="Arial"/>
        <family val="2"/>
      </rPr>
      <t>DSon</t>
    </r>
  </si>
  <si>
    <r>
      <t>Enter R</t>
    </r>
    <r>
      <rPr>
        <b/>
        <vertAlign val="subscript"/>
        <sz val="11"/>
        <color rgb="FFFF0000"/>
        <rFont val="Arial"/>
        <family val="2"/>
      </rPr>
      <t>DSon</t>
    </r>
    <r>
      <rPr>
        <b/>
        <sz val="11"/>
        <color rgb="FFFF0000"/>
        <rFont val="Arial"/>
        <family val="2"/>
      </rPr>
      <t xml:space="preserve"> of selected MOSFET</t>
    </r>
  </si>
  <si>
    <r>
      <t>t</t>
    </r>
    <r>
      <rPr>
        <b/>
        <vertAlign val="subscript"/>
        <sz val="11"/>
        <color theme="1"/>
        <rFont val="Arial"/>
        <family val="2"/>
      </rPr>
      <t>f</t>
    </r>
  </si>
  <si>
    <r>
      <t>t</t>
    </r>
    <r>
      <rPr>
        <b/>
        <vertAlign val="subscript"/>
        <sz val="11"/>
        <color theme="1"/>
        <rFont val="Arial"/>
        <family val="2"/>
      </rPr>
      <t>Doff</t>
    </r>
  </si>
  <si>
    <r>
      <t>Q</t>
    </r>
    <r>
      <rPr>
        <b/>
        <vertAlign val="subscript"/>
        <sz val="11"/>
        <color theme="1"/>
        <rFont val="Arial"/>
        <family val="2"/>
      </rPr>
      <t>g</t>
    </r>
  </si>
  <si>
    <r>
      <rPr>
        <b/>
        <sz val="11"/>
        <color theme="1"/>
        <rFont val="Arial"/>
        <family val="2"/>
      </rPr>
      <t>Recommended</t>
    </r>
    <r>
      <rPr>
        <sz val="11"/>
        <color theme="1"/>
        <rFont val="Arial"/>
        <family val="2"/>
      </rPr>
      <t xml:space="preserve"> Output Capacitor to Meet Requirements</t>
    </r>
  </si>
  <si>
    <r>
      <t>C</t>
    </r>
    <r>
      <rPr>
        <b/>
        <vertAlign val="subscript"/>
        <sz val="11"/>
        <color theme="1"/>
        <rFont val="Arial"/>
        <family val="2"/>
      </rPr>
      <t>OUT</t>
    </r>
  </si>
  <si>
    <r>
      <t>I</t>
    </r>
    <r>
      <rPr>
        <b/>
        <vertAlign val="subscript"/>
        <sz val="11"/>
        <color theme="1"/>
        <rFont val="Arial"/>
        <family val="2"/>
      </rPr>
      <t>TRAN</t>
    </r>
  </si>
  <si>
    <r>
      <t>V</t>
    </r>
    <r>
      <rPr>
        <b/>
        <vertAlign val="subscript"/>
        <sz val="11"/>
        <color theme="1"/>
        <rFont val="Cambria"/>
        <family val="1"/>
      </rPr>
      <t>O∆</t>
    </r>
  </si>
  <si>
    <r>
      <t>C</t>
    </r>
    <r>
      <rPr>
        <b/>
        <vertAlign val="subscript"/>
        <sz val="11"/>
        <color theme="1"/>
        <rFont val="Arial"/>
        <family val="2"/>
      </rPr>
      <t>VDDrecommended</t>
    </r>
  </si>
  <si>
    <r>
      <rPr>
        <b/>
        <sz val="11"/>
        <color theme="1"/>
        <rFont val="Calibri"/>
        <family val="2"/>
      </rPr>
      <t>µ</t>
    </r>
    <r>
      <rPr>
        <b/>
        <sz val="11"/>
        <color theme="1"/>
        <rFont val="Arial"/>
        <family val="2"/>
      </rPr>
      <t>F</t>
    </r>
  </si>
  <si>
    <r>
      <rPr>
        <b/>
        <sz val="11"/>
        <color theme="1"/>
        <rFont val="Arial"/>
        <family val="2"/>
      </rPr>
      <t>Recommended</t>
    </r>
    <r>
      <rPr>
        <sz val="11"/>
        <color theme="1"/>
        <rFont val="Arial"/>
        <family val="2"/>
      </rPr>
      <t xml:space="preserve"> Value for R</t>
    </r>
    <r>
      <rPr>
        <vertAlign val="subscript"/>
        <sz val="11"/>
        <color theme="1"/>
        <rFont val="Arial"/>
        <family val="2"/>
      </rPr>
      <t>VS1</t>
    </r>
    <r>
      <rPr>
        <sz val="10"/>
        <color theme="1"/>
        <rFont val="Arial"/>
        <family val="2"/>
      </rPr>
      <t/>
    </r>
  </si>
  <si>
    <r>
      <t>R</t>
    </r>
    <r>
      <rPr>
        <b/>
        <vertAlign val="subscript"/>
        <sz val="11"/>
        <color theme="1"/>
        <rFont val="Arial"/>
        <family val="2"/>
      </rPr>
      <t>VS1</t>
    </r>
  </si>
  <si>
    <r>
      <rPr>
        <b/>
        <sz val="11"/>
        <color theme="1"/>
        <rFont val="Arial"/>
        <family val="2"/>
      </rPr>
      <t>Recommended</t>
    </r>
    <r>
      <rPr>
        <sz val="11"/>
        <color theme="1"/>
        <rFont val="Arial"/>
        <family val="2"/>
      </rPr>
      <t xml:space="preserve"> Value for R</t>
    </r>
    <r>
      <rPr>
        <vertAlign val="subscript"/>
        <sz val="11"/>
        <color theme="1"/>
        <rFont val="Arial"/>
        <family val="2"/>
      </rPr>
      <t>VS2</t>
    </r>
  </si>
  <si>
    <r>
      <t>R</t>
    </r>
    <r>
      <rPr>
        <b/>
        <vertAlign val="subscript"/>
        <sz val="11"/>
        <color theme="1"/>
        <rFont val="Arial"/>
        <family val="2"/>
      </rPr>
      <t>VS2</t>
    </r>
  </si>
  <si>
    <r>
      <t>R</t>
    </r>
    <r>
      <rPr>
        <b/>
        <vertAlign val="subscript"/>
        <sz val="11"/>
        <color theme="1"/>
        <rFont val="Arial"/>
        <family val="2"/>
      </rPr>
      <t>LC</t>
    </r>
  </si>
  <si>
    <r>
      <t>k</t>
    </r>
    <r>
      <rPr>
        <b/>
        <sz val="11"/>
        <color theme="1"/>
        <rFont val="Calibri"/>
        <family val="2"/>
      </rPr>
      <t>Ω</t>
    </r>
  </si>
  <si>
    <r>
      <t xml:space="preserve"> R</t>
    </r>
    <r>
      <rPr>
        <b/>
        <vertAlign val="subscript"/>
        <sz val="11"/>
        <color theme="1"/>
        <rFont val="Arial"/>
        <family val="2"/>
      </rPr>
      <t>CBC</t>
    </r>
  </si>
  <si>
    <r>
      <t>R</t>
    </r>
    <r>
      <rPr>
        <b/>
        <vertAlign val="subscript"/>
        <sz val="11"/>
        <color theme="1"/>
        <rFont val="Arial"/>
        <family val="2"/>
      </rPr>
      <t>WAKE</t>
    </r>
  </si>
  <si>
    <t>Enter total input bulk capacitor used, should be within 10% of rec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</si>
</sst>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E+00"/>
    <numFmt numFmtId="166" formatCode="0.0"/>
  </numFmts>
  <fonts count="41" x14ac:knownFonts="1">
    <font>
      <sz val="11"/>
      <color theme="1"/>
      <name val="Calibri"/>
      <family val="2"/>
      <scheme val="minor"/>
    </font>
    <font>
      <sz val="11"/>
      <color theme="1"/>
      <name val="Arial"/>
      <family val="2"/>
    </font>
    <font>
      <vertAlign val="subscript"/>
      <sz val="11"/>
      <color theme="1"/>
      <name val="Arial"/>
      <family val="2"/>
    </font>
    <font>
      <b/>
      <i/>
      <sz val="12"/>
      <color theme="0"/>
      <name val="Arial"/>
      <family val="2"/>
    </font>
    <font>
      <b/>
      <sz val="11"/>
      <color theme="1"/>
      <name val="Arial"/>
      <family val="2"/>
    </font>
    <font>
      <b/>
      <sz val="10"/>
      <color indexed="10"/>
      <name val="Arial"/>
      <family val="2"/>
    </font>
    <font>
      <sz val="11"/>
      <name val="Arial"/>
      <family val="2"/>
    </font>
    <font>
      <sz val="11"/>
      <color theme="1"/>
      <name val="Calibri"/>
      <family val="2"/>
    </font>
    <font>
      <b/>
      <i/>
      <vertAlign val="subscript"/>
      <sz val="12"/>
      <color theme="0"/>
      <name val="Arial"/>
      <family val="2"/>
    </font>
    <font>
      <b/>
      <sz val="11"/>
      <name val="Arial"/>
      <family val="2"/>
    </font>
    <font>
      <b/>
      <vertAlign val="subscript"/>
      <sz val="11"/>
      <color theme="1"/>
      <name val="Arial"/>
      <family val="2"/>
    </font>
    <font>
      <sz val="10"/>
      <name val="Arial"/>
      <family val="2"/>
    </font>
    <font>
      <sz val="10"/>
      <color theme="1"/>
      <name val="Arial"/>
      <family val="2"/>
    </font>
    <font>
      <b/>
      <sz val="11"/>
      <color rgb="FFFF0000"/>
      <name val="Arial"/>
      <family val="2"/>
    </font>
    <font>
      <b/>
      <sz val="11"/>
      <color indexed="8"/>
      <name val="Arial"/>
      <family val="2"/>
    </font>
    <font>
      <b/>
      <sz val="9"/>
      <name val="Arial"/>
      <family val="2"/>
    </font>
    <font>
      <b/>
      <sz val="9"/>
      <color rgb="FFFF0000"/>
      <name val="Arial"/>
      <family val="2"/>
    </font>
    <font>
      <b/>
      <sz val="11"/>
      <color theme="1"/>
      <name val="Calibri"/>
      <family val="2"/>
      <scheme val="minor"/>
    </font>
    <font>
      <b/>
      <sz val="10"/>
      <color theme="1"/>
      <name val="Arial"/>
      <family val="2"/>
    </font>
    <font>
      <vertAlign val="subscript"/>
      <sz val="10"/>
      <color theme="1"/>
      <name val="Arial"/>
      <family val="2"/>
    </font>
    <font>
      <sz val="10"/>
      <color theme="1"/>
      <name val="Calibri"/>
      <family val="2"/>
    </font>
    <font>
      <b/>
      <sz val="10"/>
      <color indexed="9"/>
      <name val="Arial"/>
      <family val="2"/>
    </font>
    <font>
      <b/>
      <sz val="10"/>
      <name val="Arial"/>
      <family val="2"/>
    </font>
    <font>
      <b/>
      <sz val="10"/>
      <color rgb="FFFF0000"/>
      <name val="Arial"/>
      <family val="2"/>
    </font>
    <font>
      <sz val="10"/>
      <color theme="1"/>
      <name val="Calibri"/>
      <family val="2"/>
      <scheme val="minor"/>
    </font>
    <font>
      <b/>
      <vertAlign val="subscript"/>
      <sz val="10"/>
      <name val="Arial"/>
      <family val="2"/>
    </font>
    <font>
      <b/>
      <vertAlign val="subscript"/>
      <sz val="10"/>
      <color theme="1"/>
      <name val="Arial"/>
      <family val="2"/>
    </font>
    <font>
      <vertAlign val="subscript"/>
      <sz val="10"/>
      <name val="Arial"/>
      <family val="2"/>
    </font>
    <font>
      <sz val="10"/>
      <color rgb="FFFF0000"/>
      <name val="Arial"/>
      <family val="2"/>
    </font>
    <font>
      <b/>
      <i/>
      <vertAlign val="subscript"/>
      <sz val="10"/>
      <color theme="0"/>
      <name val="Arial"/>
      <family val="2"/>
    </font>
    <font>
      <b/>
      <i/>
      <sz val="10"/>
      <color rgb="FFFF0000"/>
      <name val="Arial"/>
      <family val="2"/>
    </font>
    <font>
      <b/>
      <i/>
      <sz val="11"/>
      <color theme="0"/>
      <name val="Arial"/>
      <family val="2"/>
    </font>
    <font>
      <b/>
      <sz val="18"/>
      <name val="Arial"/>
      <family val="2"/>
    </font>
    <font>
      <b/>
      <i/>
      <vertAlign val="subscript"/>
      <sz val="11"/>
      <color theme="0"/>
      <name val="Arial"/>
      <family val="2"/>
    </font>
    <font>
      <b/>
      <i/>
      <sz val="14"/>
      <color theme="0"/>
      <name val="Arial"/>
      <family val="2"/>
    </font>
    <font>
      <b/>
      <sz val="8"/>
      <color rgb="FFFF0000"/>
      <name val="Arial"/>
      <family val="2"/>
    </font>
    <font>
      <b/>
      <vertAlign val="subscript"/>
      <sz val="10"/>
      <color theme="1"/>
      <name val="Calibri"/>
      <family val="2"/>
      <scheme val="minor"/>
    </font>
    <font>
      <b/>
      <vertAlign val="subscript"/>
      <sz val="11"/>
      <color rgb="FFFF0000"/>
      <name val="Arial"/>
      <family val="2"/>
    </font>
    <font>
      <sz val="11"/>
      <color rgb="FFFF0000"/>
      <name val="Arial"/>
      <family val="2"/>
    </font>
    <font>
      <b/>
      <vertAlign val="subscript"/>
      <sz val="11"/>
      <color theme="1"/>
      <name val="Cambria"/>
      <family val="1"/>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indexed="13"/>
        <bgColor indexed="64"/>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64">
    <xf numFmtId="0" fontId="0" fillId="0" borderId="0" xfId="0"/>
    <xf numFmtId="0" fontId="0" fillId="2" borderId="0" xfId="0" applyFill="1"/>
    <xf numFmtId="0" fontId="1" fillId="2" borderId="5" xfId="0" applyFont="1" applyFill="1" applyBorder="1"/>
    <xf numFmtId="0" fontId="1" fillId="2" borderId="0" xfId="0" applyFont="1" applyFill="1"/>
    <xf numFmtId="165" fontId="1" fillId="2" borderId="5" xfId="0" applyNumberFormat="1" applyFont="1" applyFill="1" applyBorder="1"/>
    <xf numFmtId="0" fontId="5" fillId="2" borderId="0" xfId="0" applyFont="1" applyFill="1" applyAlignment="1">
      <alignment horizontal="center" wrapText="1"/>
    </xf>
    <xf numFmtId="0" fontId="1" fillId="2" borderId="0" xfId="0" applyFont="1" applyFill="1" applyAlignment="1">
      <alignment horizontal="left"/>
    </xf>
    <xf numFmtId="0" fontId="1" fillId="2" borderId="0" xfId="0" applyFont="1" applyFill="1" applyAlignment="1">
      <alignment horizontal="right"/>
    </xf>
    <xf numFmtId="0" fontId="11" fillId="2" borderId="0" xfId="0" applyFont="1" applyFill="1" applyAlignment="1">
      <alignment vertical="center"/>
    </xf>
    <xf numFmtId="0" fontId="12" fillId="4" borderId="5" xfId="0" applyFont="1" applyFill="1" applyBorder="1" applyAlignment="1" applyProtection="1">
      <alignment horizontal="center" vertical="center"/>
      <protection locked="0"/>
    </xf>
    <xf numFmtId="0" fontId="12" fillId="0" borderId="5" xfId="0" applyFont="1" applyBorder="1" applyAlignment="1">
      <alignment horizontal="center" vertical="center"/>
    </xf>
    <xf numFmtId="0" fontId="12" fillId="2" borderId="5"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5" xfId="0" applyFont="1" applyFill="1" applyBorder="1" applyAlignment="1">
      <alignment vertical="center"/>
    </xf>
    <xf numFmtId="0" fontId="12" fillId="2" borderId="5" xfId="0" applyFont="1" applyFill="1" applyBorder="1" applyAlignment="1">
      <alignment horizontal="center"/>
    </xf>
    <xf numFmtId="0" fontId="1" fillId="2" borderId="7" xfId="0" applyFont="1" applyFill="1" applyBorder="1"/>
    <xf numFmtId="0" fontId="0" fillId="2" borderId="7" xfId="0" applyFill="1" applyBorder="1"/>
    <xf numFmtId="0" fontId="1" fillId="2" borderId="2" xfId="0" applyFont="1" applyFill="1" applyBorder="1"/>
    <xf numFmtId="0" fontId="1" fillId="2" borderId="13" xfId="0" applyFont="1" applyFill="1" applyBorder="1"/>
    <xf numFmtId="0" fontId="1" fillId="2" borderId="14" xfId="0" applyFont="1" applyFill="1" applyBorder="1"/>
    <xf numFmtId="0" fontId="1" fillId="2" borderId="3" xfId="0" applyFont="1" applyFill="1" applyBorder="1"/>
    <xf numFmtId="0" fontId="1" fillId="2" borderId="15" xfId="0" applyFont="1" applyFill="1" applyBorder="1"/>
    <xf numFmtId="0" fontId="1" fillId="2" borderId="4" xfId="0" applyFont="1" applyFill="1" applyBorder="1"/>
    <xf numFmtId="0" fontId="12" fillId="2" borderId="0" xfId="0" applyFont="1" applyFill="1" applyAlignment="1">
      <alignment vertical="center"/>
    </xf>
    <xf numFmtId="0" fontId="22" fillId="2" borderId="3" xfId="0" applyFont="1" applyFill="1" applyBorder="1" applyAlignment="1">
      <alignment horizontal="right" vertical="center" wrapText="1"/>
    </xf>
    <xf numFmtId="0" fontId="22" fillId="2" borderId="15" xfId="0" applyFont="1" applyFill="1" applyBorder="1" applyAlignment="1">
      <alignment horizontal="right" vertical="center" wrapText="1"/>
    </xf>
    <xf numFmtId="0" fontId="22" fillId="2" borderId="15" xfId="0" applyFont="1" applyFill="1" applyBorder="1" applyAlignment="1">
      <alignment horizontal="center" vertical="center" wrapText="1"/>
    </xf>
    <xf numFmtId="0" fontId="22" fillId="2" borderId="15"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4" fillId="2" borderId="0" xfId="0" applyFont="1" applyFill="1" applyAlignment="1">
      <alignment vertical="center"/>
    </xf>
    <xf numFmtId="0" fontId="22" fillId="2" borderId="13" xfId="0" applyFont="1" applyFill="1" applyBorder="1" applyAlignment="1">
      <alignment horizontal="center" vertical="center" wrapText="1"/>
    </xf>
    <xf numFmtId="0" fontId="22" fillId="2" borderId="0" xfId="0" applyFont="1" applyFill="1" applyAlignment="1">
      <alignment horizontal="center" vertical="center" wrapText="1"/>
    </xf>
    <xf numFmtId="0" fontId="22" fillId="2" borderId="0" xfId="0" applyFont="1" applyFill="1" applyAlignment="1">
      <alignment horizontal="left" vertical="center" wrapText="1"/>
    </xf>
    <xf numFmtId="0" fontId="22" fillId="2" borderId="14" xfId="0" applyFont="1" applyFill="1" applyBorder="1" applyAlignment="1">
      <alignment horizontal="center" vertical="center" wrapText="1"/>
    </xf>
    <xf numFmtId="0" fontId="22" fillId="0" borderId="5" xfId="0" applyFont="1" applyBorder="1" applyAlignment="1">
      <alignment horizontal="center" vertical="center"/>
    </xf>
    <xf numFmtId="0" fontId="22" fillId="0" borderId="5" xfId="0" applyFont="1" applyBorder="1" applyAlignment="1">
      <alignment horizontal="left" vertical="center"/>
    </xf>
    <xf numFmtId="0" fontId="22" fillId="0" borderId="9" xfId="0" applyFont="1" applyBorder="1" applyAlignment="1">
      <alignment horizontal="center" vertical="center"/>
    </xf>
    <xf numFmtId="0" fontId="12" fillId="2" borderId="8" xfId="0" applyFont="1" applyFill="1" applyBorder="1" applyAlignment="1">
      <alignment vertical="center"/>
    </xf>
    <xf numFmtId="0" fontId="12" fillId="2" borderId="9" xfId="0" applyFont="1" applyFill="1" applyBorder="1" applyAlignment="1">
      <alignment horizontal="left" vertical="center"/>
    </xf>
    <xf numFmtId="0" fontId="12" fillId="0" borderId="8" xfId="0" applyFont="1" applyBorder="1" applyAlignment="1">
      <alignment vertical="center" wrapText="1"/>
    </xf>
    <xf numFmtId="0" fontId="12" fillId="2" borderId="5" xfId="0" applyFont="1" applyFill="1" applyBorder="1" applyAlignment="1">
      <alignment horizontal="left" vertical="center"/>
    </xf>
    <xf numFmtId="0" fontId="18" fillId="2" borderId="5" xfId="0" applyFont="1" applyFill="1" applyBorder="1" applyAlignment="1">
      <alignment horizontal="center" vertical="center"/>
    </xf>
    <xf numFmtId="164" fontId="12" fillId="2" borderId="5" xfId="0" applyNumberFormat="1" applyFont="1" applyFill="1" applyBorder="1" applyAlignment="1">
      <alignment horizontal="center" vertical="center"/>
    </xf>
    <xf numFmtId="0" fontId="11" fillId="0" borderId="5" xfId="0" applyFont="1" applyBorder="1" applyAlignment="1">
      <alignment horizontal="center" vertical="center"/>
    </xf>
    <xf numFmtId="0" fontId="12" fillId="2" borderId="0" xfId="0" applyFont="1" applyFill="1" applyAlignment="1">
      <alignment horizontal="center" vertical="center"/>
    </xf>
    <xf numFmtId="0" fontId="12" fillId="2" borderId="8" xfId="0" applyFont="1" applyFill="1" applyBorder="1" applyAlignment="1">
      <alignment vertical="center" wrapText="1"/>
    </xf>
    <xf numFmtId="0" fontId="22" fillId="2" borderId="5" xfId="0" applyFont="1" applyFill="1" applyBorder="1" applyAlignment="1">
      <alignment horizontal="center" vertical="center" wrapText="1"/>
    </xf>
    <xf numFmtId="0" fontId="22" fillId="2" borderId="5" xfId="0" applyFont="1" applyFill="1" applyBorder="1" applyAlignment="1">
      <alignment horizontal="center" vertical="center"/>
    </xf>
    <xf numFmtId="0" fontId="12" fillId="2" borderId="10" xfId="0" applyFont="1" applyFill="1" applyBorder="1" applyAlignment="1">
      <alignment vertical="center"/>
    </xf>
    <xf numFmtId="0" fontId="12" fillId="2" borderId="11" xfId="0" applyFont="1" applyFill="1" applyBorder="1" applyAlignment="1">
      <alignment horizontal="center"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8" fillId="2" borderId="32" xfId="0" applyFont="1" applyFill="1" applyBorder="1" applyAlignment="1">
      <alignment horizontal="center" vertical="center"/>
    </xf>
    <xf numFmtId="0" fontId="12" fillId="2" borderId="25" xfId="0" applyFont="1" applyFill="1" applyBorder="1" applyAlignment="1">
      <alignment horizontal="left" vertical="center"/>
    </xf>
    <xf numFmtId="0" fontId="12" fillId="2" borderId="8" xfId="0" applyFont="1" applyFill="1" applyBorder="1" applyAlignment="1">
      <alignment horizontal="left" vertical="center"/>
    </xf>
    <xf numFmtId="164" fontId="12" fillId="2" borderId="11" xfId="0" applyNumberFormat="1" applyFont="1"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18" fillId="4" borderId="5" xfId="0" applyFont="1" applyFill="1" applyBorder="1" applyAlignment="1">
      <alignment horizontal="center" vertical="center"/>
    </xf>
    <xf numFmtId="1" fontId="18" fillId="2" borderId="5" xfId="0" applyNumberFormat="1" applyFont="1" applyFill="1" applyBorder="1" applyAlignment="1">
      <alignment horizontal="center" vertical="center"/>
    </xf>
    <xf numFmtId="0" fontId="18" fillId="2" borderId="5" xfId="0" applyFont="1" applyFill="1" applyBorder="1" applyAlignment="1">
      <alignment horizontal="left" vertical="center"/>
    </xf>
    <xf numFmtId="0" fontId="12" fillId="2" borderId="28" xfId="0" applyFont="1" applyFill="1" applyBorder="1" applyAlignment="1">
      <alignment vertical="center"/>
    </xf>
    <xf numFmtId="0" fontId="12" fillId="2" borderId="23" xfId="0" applyFont="1" applyFill="1" applyBorder="1" applyAlignment="1">
      <alignment horizontal="center" vertical="center"/>
    </xf>
    <xf numFmtId="0" fontId="12" fillId="2" borderId="23" xfId="0" applyFont="1" applyFill="1" applyBorder="1" applyAlignment="1">
      <alignment horizontal="left" vertical="center"/>
    </xf>
    <xf numFmtId="0" fontId="11" fillId="2" borderId="8" xfId="0" applyFont="1" applyFill="1" applyBorder="1" applyAlignment="1">
      <alignment horizontal="left" vertical="center"/>
    </xf>
    <xf numFmtId="0" fontId="11" fillId="2" borderId="5" xfId="0" applyFont="1" applyFill="1" applyBorder="1" applyAlignment="1">
      <alignment horizontal="center" vertical="center"/>
    </xf>
    <xf numFmtId="0" fontId="11" fillId="2" borderId="5" xfId="0" applyFont="1" applyFill="1" applyBorder="1" applyAlignment="1">
      <alignment horizontal="left" vertical="center"/>
    </xf>
    <xf numFmtId="164" fontId="12" fillId="2" borderId="23" xfId="0" applyNumberFormat="1" applyFont="1" applyFill="1" applyBorder="1" applyAlignment="1">
      <alignment horizontal="center" vertical="center"/>
    </xf>
    <xf numFmtId="164" fontId="11" fillId="2" borderId="5" xfId="0" applyNumberFormat="1" applyFont="1" applyFill="1" applyBorder="1" applyAlignment="1">
      <alignment horizontal="center" vertical="center"/>
    </xf>
    <xf numFmtId="2" fontId="12" fillId="2" borderId="5" xfId="0" applyNumberFormat="1" applyFont="1" applyFill="1" applyBorder="1" applyAlignment="1">
      <alignment horizontal="center" vertical="center"/>
    </xf>
    <xf numFmtId="1" fontId="12" fillId="2" borderId="5" xfId="0" applyNumberFormat="1" applyFont="1" applyFill="1" applyBorder="1" applyAlignment="1">
      <alignment horizontal="center" vertical="center"/>
    </xf>
    <xf numFmtId="0" fontId="11" fillId="2" borderId="8" xfId="0" applyFont="1" applyFill="1" applyBorder="1" applyAlignment="1">
      <alignment horizontal="left" vertical="center" wrapText="1"/>
    </xf>
    <xf numFmtId="0" fontId="11" fillId="2" borderId="28" xfId="0" applyFont="1" applyFill="1" applyBorder="1" applyAlignment="1">
      <alignment horizontal="left" vertical="center"/>
    </xf>
    <xf numFmtId="0" fontId="11" fillId="2" borderId="23" xfId="0" applyFont="1" applyFill="1" applyBorder="1" applyAlignment="1">
      <alignment horizontal="center" vertical="center"/>
    </xf>
    <xf numFmtId="164" fontId="11" fillId="2" borderId="23" xfId="0" applyNumberFormat="1" applyFont="1" applyFill="1" applyBorder="1" applyAlignment="1">
      <alignment horizontal="center" vertical="center"/>
    </xf>
    <xf numFmtId="0" fontId="11" fillId="2" borderId="23" xfId="0" applyFont="1" applyFill="1" applyBorder="1" applyAlignment="1">
      <alignment horizontal="left" vertical="center"/>
    </xf>
    <xf numFmtId="0" fontId="12" fillId="2" borderId="8" xfId="0" applyFont="1" applyFill="1" applyBorder="1" applyAlignment="1">
      <alignment horizontal="left" vertical="center" wrapText="1"/>
    </xf>
    <xf numFmtId="164" fontId="12" fillId="2" borderId="5" xfId="0" applyNumberFormat="1" applyFont="1" applyFill="1" applyBorder="1" applyAlignment="1">
      <alignment horizontal="center" vertical="center" wrapText="1"/>
    </xf>
    <xf numFmtId="0" fontId="12" fillId="2" borderId="28" xfId="0" applyFont="1" applyFill="1" applyBorder="1" applyAlignment="1">
      <alignment horizontal="left" vertical="center" wrapText="1"/>
    </xf>
    <xf numFmtId="0" fontId="11" fillId="2" borderId="8" xfId="0" applyFont="1" applyFill="1" applyBorder="1" applyAlignment="1">
      <alignment vertical="center"/>
    </xf>
    <xf numFmtId="0" fontId="12" fillId="2" borderId="0" xfId="0" applyFont="1" applyFill="1" applyAlignment="1">
      <alignment horizontal="left" vertical="center"/>
    </xf>
    <xf numFmtId="0" fontId="24" fillId="2" borderId="0" xfId="0" applyFont="1" applyFill="1" applyAlignment="1">
      <alignment horizontal="center" vertical="center"/>
    </xf>
    <xf numFmtId="0" fontId="24" fillId="2" borderId="0" xfId="0" applyFont="1" applyFill="1" applyAlignment="1">
      <alignment horizontal="left" vertical="center"/>
    </xf>
    <xf numFmtId="1" fontId="18" fillId="4" borderId="5" xfId="0" applyNumberFormat="1" applyFont="1" applyFill="1" applyBorder="1" applyAlignment="1" applyProtection="1">
      <alignment horizontal="center" vertical="center"/>
      <protection locked="0"/>
    </xf>
    <xf numFmtId="0" fontId="4" fillId="2" borderId="8" xfId="0" applyFont="1" applyFill="1" applyBorder="1" applyAlignment="1">
      <alignment vertical="center"/>
    </xf>
    <xf numFmtId="0" fontId="4" fillId="4" borderId="5" xfId="0" applyFont="1" applyFill="1" applyBorder="1" applyAlignment="1">
      <alignment horizontal="center" vertical="center"/>
    </xf>
    <xf numFmtId="2" fontId="4" fillId="2" borderId="5" xfId="0" applyNumberFormat="1" applyFont="1" applyFill="1" applyBorder="1" applyAlignment="1">
      <alignment horizontal="center" vertical="center"/>
    </xf>
    <xf numFmtId="2" fontId="1" fillId="4" borderId="5" xfId="0" applyNumberFormat="1" applyFont="1" applyFill="1" applyBorder="1" applyAlignment="1" applyProtection="1">
      <alignment horizontal="center" vertical="center"/>
      <protection locked="0"/>
    </xf>
    <xf numFmtId="0" fontId="4" fillId="2" borderId="5" xfId="0" applyFont="1" applyFill="1" applyBorder="1" applyAlignment="1">
      <alignment horizontal="left" vertical="center"/>
    </xf>
    <xf numFmtId="0" fontId="1" fillId="2" borderId="0" xfId="0" applyFont="1" applyFill="1" applyAlignment="1">
      <alignment vertical="center"/>
    </xf>
    <xf numFmtId="0" fontId="1" fillId="2" borderId="8" xfId="0" applyFont="1" applyFill="1" applyBorder="1" applyAlignment="1">
      <alignment vertical="center"/>
    </xf>
    <xf numFmtId="164" fontId="4" fillId="2" borderId="5" xfId="0" applyNumberFormat="1" applyFont="1" applyFill="1" applyBorder="1" applyAlignment="1">
      <alignment horizontal="center" vertical="center"/>
    </xf>
    <xf numFmtId="164" fontId="1" fillId="4" borderId="5" xfId="0" applyNumberFormat="1" applyFont="1" applyFill="1" applyBorder="1" applyAlignment="1" applyProtection="1">
      <alignment horizontal="center" vertical="center"/>
      <protection locked="0"/>
    </xf>
    <xf numFmtId="164" fontId="9" fillId="2" borderId="5" xfId="0" applyNumberFormat="1" applyFont="1" applyFill="1" applyBorder="1" applyAlignment="1">
      <alignment horizontal="center" vertical="center"/>
    </xf>
    <xf numFmtId="0" fontId="1" fillId="4" borderId="5" xfId="0" applyFont="1" applyFill="1" applyBorder="1" applyAlignment="1" applyProtection="1">
      <alignment horizontal="center" vertical="center"/>
      <protection locked="0"/>
    </xf>
    <xf numFmtId="0" fontId="1" fillId="2" borderId="5" xfId="0" applyFont="1" applyFill="1" applyBorder="1" applyAlignment="1">
      <alignment horizontal="left" vertical="center"/>
    </xf>
    <xf numFmtId="0" fontId="1" fillId="2" borderId="8" xfId="0" applyFont="1" applyFill="1" applyBorder="1" applyAlignment="1">
      <alignment vertical="center" wrapText="1"/>
    </xf>
    <xf numFmtId="0" fontId="4" fillId="4" borderId="5" xfId="0" applyFont="1" applyFill="1" applyBorder="1" applyAlignment="1">
      <alignment horizontal="center" vertical="center" wrapText="1"/>
    </xf>
    <xf numFmtId="0" fontId="1" fillId="2" borderId="34" xfId="0" applyFont="1" applyFill="1" applyBorder="1" applyAlignment="1">
      <alignment vertical="center"/>
    </xf>
    <xf numFmtId="0" fontId="4" fillId="4" borderId="24" xfId="0" applyFont="1" applyFill="1" applyBorder="1" applyAlignment="1">
      <alignment horizontal="center" vertical="center"/>
    </xf>
    <xf numFmtId="164" fontId="4" fillId="2" borderId="24" xfId="0" applyNumberFormat="1" applyFont="1" applyFill="1" applyBorder="1" applyAlignment="1">
      <alignment horizontal="center" vertical="center"/>
    </xf>
    <xf numFmtId="164" fontId="1" fillId="4" borderId="24" xfId="0" applyNumberFormat="1" applyFont="1" applyFill="1" applyBorder="1" applyAlignment="1" applyProtection="1">
      <alignment horizontal="center" vertical="center"/>
      <protection locked="0"/>
    </xf>
    <xf numFmtId="0" fontId="4" fillId="2" borderId="24" xfId="0" applyFont="1" applyFill="1" applyBorder="1" applyAlignment="1">
      <alignment horizontal="left" vertical="center"/>
    </xf>
    <xf numFmtId="0" fontId="13" fillId="2" borderId="5" xfId="0" applyFont="1" applyFill="1" applyBorder="1" applyAlignment="1">
      <alignment vertical="center"/>
    </xf>
    <xf numFmtId="0" fontId="1" fillId="2" borderId="5" xfId="0" applyFont="1" applyFill="1" applyBorder="1" applyAlignment="1">
      <alignment vertical="center"/>
    </xf>
    <xf numFmtId="0" fontId="1" fillId="2" borderId="9" xfId="0" applyFont="1" applyFill="1" applyBorder="1" applyAlignment="1">
      <alignment vertical="center"/>
    </xf>
    <xf numFmtId="0" fontId="1" fillId="2" borderId="5" xfId="0" applyFont="1" applyFill="1" applyBorder="1" applyAlignment="1">
      <alignment horizontal="center" vertical="center"/>
    </xf>
    <xf numFmtId="164" fontId="1" fillId="2" borderId="5" xfId="0" applyNumberFormat="1" applyFont="1" applyFill="1" applyBorder="1" applyAlignment="1">
      <alignment horizontal="center" vertical="center"/>
    </xf>
    <xf numFmtId="0" fontId="4" fillId="2" borderId="5" xfId="0" applyFont="1" applyFill="1" applyBorder="1" applyAlignment="1">
      <alignment horizontal="center" vertical="center"/>
    </xf>
    <xf numFmtId="1" fontId="4" fillId="2" borderId="5" xfId="0" applyNumberFormat="1" applyFont="1" applyFill="1" applyBorder="1" applyAlignment="1">
      <alignment horizontal="center" vertical="center"/>
    </xf>
    <xf numFmtId="0" fontId="38" fillId="2" borderId="5" xfId="0" applyFont="1" applyFill="1" applyBorder="1" applyAlignment="1">
      <alignment vertical="center"/>
    </xf>
    <xf numFmtId="0" fontId="6" fillId="2" borderId="0" xfId="0" applyFont="1" applyFill="1" applyAlignment="1">
      <alignment vertical="center"/>
    </xf>
    <xf numFmtId="0" fontId="1" fillId="2" borderId="28" xfId="0" applyFont="1" applyFill="1" applyBorder="1" applyAlignment="1">
      <alignment vertical="center"/>
    </xf>
    <xf numFmtId="0" fontId="4" fillId="2" borderId="23" xfId="0" applyFont="1" applyFill="1" applyBorder="1" applyAlignment="1">
      <alignment horizontal="center" vertical="center"/>
    </xf>
    <xf numFmtId="164" fontId="4" fillId="2" borderId="23" xfId="0" applyNumberFormat="1" applyFont="1" applyFill="1" applyBorder="1" applyAlignment="1">
      <alignment horizontal="center" vertical="center"/>
    </xf>
    <xf numFmtId="164" fontId="1" fillId="2" borderId="23" xfId="0" applyNumberFormat="1" applyFont="1" applyFill="1" applyBorder="1" applyAlignment="1">
      <alignment horizontal="center" vertical="center"/>
    </xf>
    <xf numFmtId="0" fontId="4" fillId="2" borderId="23" xfId="0" applyFont="1" applyFill="1" applyBorder="1" applyAlignment="1">
      <alignment horizontal="left" vertical="center"/>
    </xf>
    <xf numFmtId="166" fontId="1" fillId="2" borderId="5" xfId="0" applyNumberFormat="1" applyFont="1" applyFill="1" applyBorder="1" applyAlignment="1">
      <alignment horizontal="center" vertical="center"/>
    </xf>
    <xf numFmtId="166" fontId="4" fillId="2" borderId="5" xfId="0" applyNumberFormat="1" applyFont="1" applyFill="1" applyBorder="1" applyAlignment="1">
      <alignment horizontal="center" vertical="center"/>
    </xf>
    <xf numFmtId="2" fontId="1" fillId="2" borderId="5" xfId="0" applyNumberFormat="1" applyFont="1" applyFill="1" applyBorder="1" applyAlignment="1">
      <alignment horizontal="center" vertical="center"/>
    </xf>
    <xf numFmtId="0" fontId="6" fillId="2" borderId="28"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1" xfId="0" applyFont="1" applyFill="1" applyBorder="1" applyAlignment="1">
      <alignment horizontal="left" vertical="center"/>
    </xf>
    <xf numFmtId="0" fontId="4" fillId="4" borderId="5" xfId="0" applyFont="1" applyFill="1" applyBorder="1" applyAlignment="1" applyProtection="1">
      <alignment horizontal="center" vertical="center"/>
      <protection locked="0"/>
    </xf>
    <xf numFmtId="0" fontId="40" fillId="2" borderId="5" xfId="0" applyFont="1" applyFill="1" applyBorder="1" applyAlignment="1">
      <alignment horizontal="left" vertical="center"/>
    </xf>
    <xf numFmtId="0" fontId="4" fillId="2" borderId="0" xfId="0" applyFont="1" applyFill="1" applyAlignment="1">
      <alignment vertical="center"/>
    </xf>
    <xf numFmtId="0" fontId="17" fillId="2" borderId="0" xfId="0" applyFont="1" applyFill="1" applyAlignment="1">
      <alignment vertical="center"/>
    </xf>
    <xf numFmtId="0" fontId="11" fillId="4" borderId="5" xfId="0" applyFont="1" applyFill="1" applyBorder="1" applyAlignment="1" applyProtection="1">
      <alignment horizontal="center" vertical="center" wrapText="1"/>
      <protection locked="0"/>
    </xf>
    <xf numFmtId="0" fontId="11" fillId="2" borderId="5"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24" xfId="0" applyFont="1" applyFill="1" applyBorder="1" applyAlignment="1">
      <alignment horizontal="left" vertical="center"/>
    </xf>
    <xf numFmtId="0" fontId="3" fillId="3" borderId="35" xfId="0" applyFont="1" applyFill="1" applyBorder="1" applyAlignment="1">
      <alignment horizontal="left" vertical="center"/>
    </xf>
    <xf numFmtId="0" fontId="28" fillId="2" borderId="5" xfId="0" applyFont="1" applyFill="1" applyBorder="1" applyAlignment="1">
      <alignment horizontal="center" vertical="center"/>
    </xf>
    <xf numFmtId="0" fontId="28" fillId="2" borderId="9"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9"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9"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2" xfId="0" applyFont="1" applyFill="1" applyBorder="1" applyAlignment="1">
      <alignment horizontal="center" vertical="center"/>
    </xf>
    <xf numFmtId="0" fontId="3" fillId="3" borderId="25" xfId="0" applyFont="1" applyFill="1" applyBorder="1" applyAlignment="1">
      <alignment horizontal="left" vertical="center"/>
    </xf>
    <xf numFmtId="0" fontId="3" fillId="3" borderId="26" xfId="0" applyFont="1" applyFill="1" applyBorder="1" applyAlignment="1">
      <alignment horizontal="left" vertical="center"/>
    </xf>
    <xf numFmtId="0" fontId="3" fillId="3" borderId="27" xfId="0" applyFont="1" applyFill="1" applyBorder="1" applyAlignment="1">
      <alignment horizontal="left" vertical="center"/>
    </xf>
    <xf numFmtId="0" fontId="11" fillId="2" borderId="5"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11" fillId="2" borderId="23" xfId="0" applyFont="1" applyFill="1" applyBorder="1" applyAlignment="1">
      <alignment horizontal="center" vertical="center"/>
    </xf>
    <xf numFmtId="0" fontId="11" fillId="2" borderId="29"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9"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23" xfId="0" applyFont="1" applyFill="1" applyBorder="1" applyAlignment="1">
      <alignment horizontal="center" vertical="center"/>
    </xf>
    <xf numFmtId="0" fontId="6" fillId="2" borderId="29"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9" xfId="0" applyFont="1" applyFill="1" applyBorder="1" applyAlignment="1">
      <alignment horizontal="center" vertical="center"/>
    </xf>
    <xf numFmtId="0" fontId="13" fillId="2" borderId="5"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2" fillId="2" borderId="23" xfId="0" applyFont="1" applyFill="1" applyBorder="1" applyAlignment="1">
      <alignment horizontal="center" vertical="center"/>
    </xf>
    <xf numFmtId="0" fontId="12" fillId="2" borderId="29" xfId="0" applyFont="1" applyFill="1" applyBorder="1" applyAlignment="1">
      <alignment horizontal="center" vertical="center"/>
    </xf>
    <xf numFmtId="0" fontId="28" fillId="2" borderId="18" xfId="0" applyFont="1" applyFill="1" applyBorder="1" applyAlignment="1">
      <alignment horizontal="left" vertical="center"/>
    </xf>
    <xf numFmtId="0" fontId="28" fillId="2" borderId="19" xfId="0" applyFont="1" applyFill="1" applyBorder="1" applyAlignment="1">
      <alignment horizontal="left" vertical="center"/>
    </xf>
    <xf numFmtId="0" fontId="28" fillId="2" borderId="21" xfId="0" applyFont="1" applyFill="1" applyBorder="1" applyAlignment="1">
      <alignment horizontal="left" vertical="center"/>
    </xf>
    <xf numFmtId="0" fontId="38" fillId="2" borderId="5" xfId="0" applyFont="1" applyFill="1" applyBorder="1" applyAlignment="1">
      <alignment horizontal="left" vertical="center"/>
    </xf>
    <xf numFmtId="0" fontId="38" fillId="2" borderId="9" xfId="0" applyFont="1" applyFill="1" applyBorder="1" applyAlignment="1">
      <alignment horizontal="left" vertical="center"/>
    </xf>
    <xf numFmtId="0" fontId="30" fillId="2" borderId="5" xfId="0" applyFont="1" applyFill="1" applyBorder="1" applyAlignment="1">
      <alignment horizontal="center" vertical="center" wrapText="1"/>
    </xf>
    <xf numFmtId="0" fontId="30" fillId="2" borderId="9" xfId="0" applyFont="1" applyFill="1" applyBorder="1" applyAlignment="1">
      <alignment horizontal="center" vertical="center" wrapText="1"/>
    </xf>
    <xf numFmtId="0" fontId="12" fillId="2" borderId="5" xfId="0" applyFont="1" applyFill="1" applyBorder="1" applyAlignment="1">
      <alignment horizontal="left" vertical="center"/>
    </xf>
    <xf numFmtId="0" fontId="12" fillId="2" borderId="9" xfId="0" applyFont="1" applyFill="1" applyBorder="1" applyAlignment="1">
      <alignment horizontal="left" vertical="center"/>
    </xf>
    <xf numFmtId="0" fontId="18" fillId="2" borderId="5" xfId="0" applyFont="1" applyFill="1" applyBorder="1" applyAlignment="1">
      <alignment horizontal="left" vertical="center"/>
    </xf>
    <xf numFmtId="0" fontId="18" fillId="2" borderId="9" xfId="0" applyFont="1" applyFill="1" applyBorder="1" applyAlignment="1">
      <alignment horizontal="left" vertical="center"/>
    </xf>
    <xf numFmtId="0" fontId="28" fillId="2" borderId="5" xfId="0" applyFont="1" applyFill="1" applyBorder="1" applyAlignment="1">
      <alignment horizontal="center" vertical="center" wrapText="1"/>
    </xf>
    <xf numFmtId="0" fontId="28" fillId="2" borderId="9"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2" borderId="19" xfId="0" applyFont="1" applyFill="1" applyBorder="1" applyAlignment="1">
      <alignment horizontal="center" vertical="center"/>
    </xf>
    <xf numFmtId="0" fontId="18" fillId="2" borderId="21"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9" xfId="0" applyFont="1" applyFill="1" applyBorder="1" applyAlignment="1">
      <alignment horizontal="center" vertical="center"/>
    </xf>
    <xf numFmtId="0" fontId="13" fillId="2" borderId="33" xfId="0" applyFont="1" applyFill="1" applyBorder="1" applyAlignment="1">
      <alignment horizontal="left" vertical="center"/>
    </xf>
    <xf numFmtId="0" fontId="13" fillId="2" borderId="0" xfId="0" applyFont="1" applyFill="1" applyAlignment="1">
      <alignment horizontal="left" vertical="center"/>
    </xf>
    <xf numFmtId="0" fontId="13" fillId="2" borderId="14" xfId="0" applyFont="1" applyFill="1" applyBorder="1" applyAlignment="1">
      <alignment horizontal="left" vertical="center"/>
    </xf>
    <xf numFmtId="0" fontId="28" fillId="2" borderId="23" xfId="0" applyFont="1" applyFill="1" applyBorder="1" applyAlignment="1">
      <alignment horizontal="center" vertical="center" wrapText="1"/>
    </xf>
    <xf numFmtId="0" fontId="28" fillId="2" borderId="29" xfId="0" applyFont="1" applyFill="1" applyBorder="1" applyAlignment="1">
      <alignment horizontal="center" vertical="center" wrapText="1"/>
    </xf>
    <xf numFmtId="0" fontId="11" fillId="2" borderId="5" xfId="0" applyFont="1" applyFill="1" applyBorder="1" applyAlignment="1">
      <alignment vertical="center" wrapText="1"/>
    </xf>
    <xf numFmtId="0" fontId="11" fillId="2" borderId="9" xfId="0" applyFont="1" applyFill="1" applyBorder="1" applyAlignment="1">
      <alignment vertical="center" wrapText="1"/>
    </xf>
    <xf numFmtId="0" fontId="13" fillId="2" borderId="5" xfId="0" applyFont="1" applyFill="1" applyBorder="1" applyAlignment="1">
      <alignment vertical="center"/>
    </xf>
    <xf numFmtId="0" fontId="13" fillId="2" borderId="9" xfId="0" applyFont="1" applyFill="1" applyBorder="1" applyAlignment="1">
      <alignment vertical="center"/>
    </xf>
    <xf numFmtId="0" fontId="13" fillId="2" borderId="5" xfId="0" applyFont="1" applyFill="1" applyBorder="1" applyAlignment="1">
      <alignment horizontal="left" vertical="center"/>
    </xf>
    <xf numFmtId="0" fontId="13" fillId="2" borderId="9" xfId="0" applyFont="1" applyFill="1" applyBorder="1" applyAlignment="1">
      <alignment horizontal="left" vertical="center"/>
    </xf>
    <xf numFmtId="0" fontId="35" fillId="2" borderId="5" xfId="0" applyFont="1" applyFill="1" applyBorder="1" applyAlignment="1">
      <alignment vertical="center" wrapText="1"/>
    </xf>
    <xf numFmtId="0" fontId="35" fillId="2" borderId="9" xfId="0" applyFont="1" applyFill="1" applyBorder="1" applyAlignment="1">
      <alignment vertical="center" wrapText="1"/>
    </xf>
    <xf numFmtId="0" fontId="12" fillId="2" borderId="5" xfId="0" applyFont="1" applyFill="1" applyBorder="1" applyAlignment="1">
      <alignment vertical="center"/>
    </xf>
    <xf numFmtId="0" fontId="12" fillId="2" borderId="9" xfId="0" applyFont="1" applyFill="1" applyBorder="1" applyAlignment="1">
      <alignment vertical="center"/>
    </xf>
    <xf numFmtId="164" fontId="18" fillId="2" borderId="5" xfId="0" applyNumberFormat="1" applyFont="1" applyFill="1" applyBorder="1" applyAlignment="1">
      <alignment horizontal="center" vertical="center" wrapText="1"/>
    </xf>
    <xf numFmtId="164" fontId="18" fillId="2" borderId="23" xfId="0" applyNumberFormat="1"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23" xfId="0" applyFont="1" applyFill="1" applyBorder="1" applyAlignment="1">
      <alignment horizontal="center" vertical="center" wrapText="1"/>
    </xf>
    <xf numFmtId="0" fontId="23" fillId="2" borderId="5" xfId="0" applyFont="1" applyFill="1" applyBorder="1" applyAlignment="1">
      <alignment horizontal="left" vertical="center" wrapText="1"/>
    </xf>
    <xf numFmtId="0" fontId="23" fillId="2" borderId="9" xfId="0" applyFont="1" applyFill="1" applyBorder="1" applyAlignment="1">
      <alignment horizontal="left" vertical="center" wrapText="1"/>
    </xf>
    <xf numFmtId="0" fontId="18" fillId="2" borderId="23" xfId="0" applyFont="1" applyFill="1" applyBorder="1" applyAlignment="1">
      <alignment horizontal="left" vertical="center"/>
    </xf>
    <xf numFmtId="0" fontId="18" fillId="2" borderId="23" xfId="0" applyFont="1" applyFill="1" applyBorder="1" applyAlignment="1">
      <alignment horizontal="center" vertical="center"/>
    </xf>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7"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22" fillId="2" borderId="1" xfId="0" applyFont="1" applyFill="1" applyBorder="1" applyAlignment="1">
      <alignment horizontal="left" vertical="center"/>
    </xf>
    <xf numFmtId="0" fontId="22" fillId="2" borderId="7" xfId="0" applyFont="1" applyFill="1" applyBorder="1" applyAlignment="1">
      <alignment horizontal="left" vertical="center"/>
    </xf>
    <xf numFmtId="0" fontId="22" fillId="2" borderId="2" xfId="0" applyFont="1" applyFill="1" applyBorder="1" applyAlignment="1">
      <alignment horizontal="left" vertical="center"/>
    </xf>
    <xf numFmtId="0" fontId="18" fillId="2" borderId="32" xfId="0" applyFont="1" applyFill="1" applyBorder="1" applyAlignment="1">
      <alignment horizontal="center" vertical="center"/>
    </xf>
    <xf numFmtId="0" fontId="18" fillId="2" borderId="31" xfId="0" applyFont="1" applyFill="1" applyBorder="1" applyAlignment="1">
      <alignment horizontal="center" vertical="center"/>
    </xf>
    <xf numFmtId="0" fontId="22" fillId="0" borderId="8" xfId="0" applyFont="1" applyBorder="1" applyAlignment="1">
      <alignment horizontal="center" vertical="center"/>
    </xf>
    <xf numFmtId="0" fontId="22" fillId="0" borderId="5" xfId="0" applyFont="1" applyBorder="1" applyAlignment="1">
      <alignment horizontal="center" vertical="center"/>
    </xf>
    <xf numFmtId="0" fontId="18" fillId="2" borderId="30" xfId="0" applyFont="1" applyFill="1" applyBorder="1" applyAlignment="1">
      <alignment horizontal="left" vertical="center"/>
    </xf>
    <xf numFmtId="0" fontId="18" fillId="2" borderId="32" xfId="0" applyFont="1" applyFill="1" applyBorder="1" applyAlignment="1">
      <alignment horizontal="left" vertical="center"/>
    </xf>
    <xf numFmtId="0" fontId="23" fillId="2" borderId="0" xfId="0" applyFont="1" applyFill="1" applyAlignment="1">
      <alignment horizontal="center" vertical="center"/>
    </xf>
    <xf numFmtId="0" fontId="34" fillId="3" borderId="16" xfId="0" applyFont="1" applyFill="1" applyBorder="1" applyAlignment="1">
      <alignment horizontal="center" vertical="center"/>
    </xf>
    <xf numFmtId="0" fontId="34" fillId="3" borderId="17" xfId="0"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3" fillId="2" borderId="13" xfId="0" applyFont="1" applyFill="1" applyBorder="1" applyAlignment="1">
      <alignment horizontal="center" vertical="center"/>
    </xf>
    <xf numFmtId="0" fontId="13" fillId="2" borderId="0" xfId="0" applyFont="1" applyFill="1" applyAlignment="1">
      <alignment horizontal="center" vertical="center"/>
    </xf>
    <xf numFmtId="0" fontId="13" fillId="2" borderId="14" xfId="0" applyFont="1" applyFill="1" applyBorder="1" applyAlignment="1">
      <alignment horizontal="center" vertical="center"/>
    </xf>
    <xf numFmtId="0" fontId="14" fillId="5" borderId="13" xfId="0" applyFont="1" applyFill="1" applyBorder="1" applyAlignment="1">
      <alignment horizontal="center" vertical="center"/>
    </xf>
    <xf numFmtId="0" fontId="14" fillId="5" borderId="0" xfId="0" applyFont="1" applyFill="1" applyAlignment="1">
      <alignment horizontal="center" vertical="center"/>
    </xf>
    <xf numFmtId="0" fontId="14" fillId="5" borderId="14" xfId="0" applyFont="1" applyFill="1" applyBorder="1" applyAlignment="1">
      <alignment horizontal="center" vertical="center"/>
    </xf>
    <xf numFmtId="0" fontId="15" fillId="2" borderId="3"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2" fillId="2" borderId="13" xfId="0" applyFont="1" applyFill="1" applyBorder="1" applyAlignment="1">
      <alignment horizontal="left" vertical="center" wrapText="1"/>
    </xf>
    <xf numFmtId="0" fontId="12" fillId="2" borderId="0" xfId="0" applyFont="1" applyFill="1" applyAlignment="1">
      <alignment horizontal="left" vertical="center" wrapText="1"/>
    </xf>
    <xf numFmtId="0" fontId="12" fillId="2" borderId="1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15"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28" fillId="2" borderId="26" xfId="0" applyFont="1" applyFill="1" applyBorder="1" applyAlignment="1">
      <alignment horizontal="left" vertical="center" wrapText="1"/>
    </xf>
    <xf numFmtId="0" fontId="28" fillId="2" borderId="27" xfId="0" applyFont="1" applyFill="1" applyBorder="1" applyAlignment="1">
      <alignment horizontal="left" vertical="center" wrapText="1"/>
    </xf>
    <xf numFmtId="0" fontId="28" fillId="2" borderId="5" xfId="0" applyFont="1" applyFill="1" applyBorder="1" applyAlignment="1">
      <alignment horizontal="left" vertical="center" wrapText="1"/>
    </xf>
    <xf numFmtId="0" fontId="28" fillId="2" borderId="9" xfId="0" applyFont="1" applyFill="1" applyBorder="1" applyAlignment="1">
      <alignment horizontal="left" vertical="center" wrapText="1"/>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12"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12" fillId="2" borderId="21"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2" xfId="0" applyFont="1" applyFill="1" applyBorder="1" applyAlignment="1">
      <alignment horizontal="center" vertical="center"/>
    </xf>
    <xf numFmtId="0" fontId="30" fillId="2" borderId="5" xfId="0" applyFont="1" applyFill="1" applyBorder="1" applyAlignment="1">
      <alignment horizontal="center" vertical="center"/>
    </xf>
    <xf numFmtId="0" fontId="30" fillId="2" borderId="9" xfId="0" applyFont="1" applyFill="1" applyBorder="1" applyAlignment="1">
      <alignment horizontal="center" vertical="center"/>
    </xf>
    <xf numFmtId="0" fontId="18" fillId="2" borderId="29" xfId="0" applyFont="1" applyFill="1" applyBorder="1" applyAlignment="1">
      <alignment horizontal="center" vertical="center"/>
    </xf>
    <xf numFmtId="0" fontId="1" fillId="2" borderId="0" xfId="0" applyFont="1" applyFill="1" applyAlignment="1">
      <alignment horizontal="center"/>
    </xf>
    <xf numFmtId="0" fontId="1" fillId="2" borderId="0" xfId="0" applyFont="1" applyFill="1" applyAlignment="1">
      <alignment horizontal="left"/>
    </xf>
    <xf numFmtId="0" fontId="1" fillId="2" borderId="1" xfId="0" applyFont="1" applyFill="1" applyBorder="1" applyAlignment="1">
      <alignment horizontal="center"/>
    </xf>
    <xf numFmtId="0" fontId="1" fillId="2" borderId="7" xfId="0" applyFont="1" applyFill="1" applyBorder="1" applyAlignment="1">
      <alignment horizontal="center"/>
    </xf>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CCFFCC"/>
      <color rgb="FFDDFFDD"/>
      <color rgb="FF404F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1104900</xdr:colOff>
      <xdr:row>10</xdr:row>
      <xdr:rowOff>47625</xdr:rowOff>
    </xdr:from>
    <xdr:to>
      <xdr:col>4</xdr:col>
      <xdr:colOff>561976</xdr:colOff>
      <xdr:row>23</xdr:row>
      <xdr:rowOff>9525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752725"/>
          <a:ext cx="5457826" cy="305752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21"/>
  <sheetViews>
    <sheetView tabSelected="1" topLeftCell="A40" zoomScale="115" zoomScaleNormal="115" workbookViewId="0">
      <selection activeCell="E67" sqref="E67"/>
    </sheetView>
  </sheetViews>
  <sheetFormatPr defaultColWidth="9.140625" defaultRowHeight="20.100000000000001" customHeight="1" x14ac:dyDescent="0.25"/>
  <cols>
    <col min="1" max="1" width="3.7109375" style="23" customWidth="1"/>
    <col min="2" max="2" width="57.85546875" style="23" customWidth="1"/>
    <col min="3" max="3" width="17.42578125" style="23" customWidth="1"/>
    <col min="4" max="5" width="14.7109375" style="44" customWidth="1"/>
    <col min="6" max="6" width="14.7109375" style="80" customWidth="1"/>
    <col min="7" max="9" width="9.7109375" style="23" customWidth="1"/>
    <col min="10" max="10" width="28.7109375" style="23" customWidth="1"/>
    <col min="11" max="16384" width="9.140625" style="23"/>
  </cols>
  <sheetData>
    <row r="1" spans="2:8" ht="27.75" customHeight="1" x14ac:dyDescent="0.25">
      <c r="B1" s="210" t="s">
        <v>177</v>
      </c>
      <c r="C1" s="211"/>
      <c r="D1" s="211"/>
      <c r="E1" s="211"/>
      <c r="F1" s="211"/>
      <c r="G1" s="212"/>
    </row>
    <row r="2" spans="2:8" ht="20.100000000000001" customHeight="1" thickBot="1" x14ac:dyDescent="0.3">
      <c r="B2" s="24" t="s">
        <v>159</v>
      </c>
      <c r="C2" s="25"/>
      <c r="D2" s="26" t="s">
        <v>216</v>
      </c>
      <c r="E2" s="26"/>
      <c r="F2" s="27"/>
      <c r="G2" s="28"/>
    </row>
    <row r="3" spans="2:8" ht="12.75" customHeight="1" x14ac:dyDescent="0.25">
      <c r="B3" s="213" t="s">
        <v>0</v>
      </c>
      <c r="C3" s="214"/>
      <c r="D3" s="214"/>
      <c r="E3" s="214"/>
      <c r="F3" s="214"/>
      <c r="G3" s="215"/>
    </row>
    <row r="4" spans="2:8" ht="20.100000000000001" customHeight="1" x14ac:dyDescent="0.25">
      <c r="B4" s="237" t="s">
        <v>1</v>
      </c>
      <c r="C4" s="238"/>
      <c r="D4" s="238"/>
      <c r="E4" s="238"/>
      <c r="F4" s="238"/>
      <c r="G4" s="239"/>
    </row>
    <row r="5" spans="2:8" ht="20.100000000000001" customHeight="1" thickBot="1" x14ac:dyDescent="0.3">
      <c r="B5" s="240"/>
      <c r="C5" s="241"/>
      <c r="D5" s="241"/>
      <c r="E5" s="241"/>
      <c r="F5" s="241"/>
      <c r="G5" s="242"/>
    </row>
    <row r="6" spans="2:8" ht="15" customHeight="1" x14ac:dyDescent="0.25">
      <c r="B6" s="225" t="s">
        <v>160</v>
      </c>
      <c r="C6" s="226"/>
      <c r="D6" s="226"/>
      <c r="E6" s="226"/>
      <c r="F6" s="226"/>
      <c r="G6" s="227"/>
    </row>
    <row r="7" spans="2:8" ht="19.5" customHeight="1" x14ac:dyDescent="0.25">
      <c r="B7" s="228" t="s">
        <v>2</v>
      </c>
      <c r="C7" s="229"/>
      <c r="D7" s="229"/>
      <c r="E7" s="229"/>
      <c r="F7" s="229"/>
      <c r="G7" s="230"/>
    </row>
    <row r="8" spans="2:8" ht="20.25" customHeight="1" x14ac:dyDescent="0.25">
      <c r="B8" s="231" t="s">
        <v>161</v>
      </c>
      <c r="C8" s="232"/>
      <c r="D8" s="232"/>
      <c r="E8" s="232"/>
      <c r="F8" s="232"/>
      <c r="G8" s="233"/>
    </row>
    <row r="9" spans="2:8" ht="40.5" customHeight="1" thickBot="1" x14ac:dyDescent="0.3">
      <c r="B9" s="234" t="s">
        <v>231</v>
      </c>
      <c r="C9" s="235"/>
      <c r="D9" s="235"/>
      <c r="E9" s="235"/>
      <c r="F9" s="235"/>
      <c r="G9" s="236"/>
      <c r="H9" s="29"/>
    </row>
    <row r="10" spans="2:8" ht="18.75" customHeight="1" x14ac:dyDescent="0.25">
      <c r="B10" s="30"/>
      <c r="C10" s="31"/>
      <c r="D10" s="31"/>
      <c r="E10" s="31"/>
      <c r="F10" s="32"/>
      <c r="G10" s="33"/>
      <c r="H10" s="29"/>
    </row>
    <row r="11" spans="2:8" ht="18.75" customHeight="1" x14ac:dyDescent="0.25">
      <c r="B11" s="30"/>
      <c r="C11" s="31"/>
      <c r="D11" s="31"/>
      <c r="E11" s="31"/>
      <c r="F11" s="32"/>
      <c r="G11" s="33"/>
      <c r="H11" s="29"/>
    </row>
    <row r="12" spans="2:8" ht="18.75" customHeight="1" x14ac:dyDescent="0.25">
      <c r="B12" s="30"/>
      <c r="C12" s="31"/>
      <c r="D12" s="31"/>
      <c r="E12" s="31"/>
      <c r="F12" s="32"/>
      <c r="G12" s="33"/>
      <c r="H12" s="29"/>
    </row>
    <row r="13" spans="2:8" ht="18.75" customHeight="1" x14ac:dyDescent="0.25">
      <c r="B13" s="30"/>
      <c r="C13" s="31"/>
      <c r="D13" s="31"/>
      <c r="E13" s="31"/>
      <c r="F13" s="32"/>
      <c r="G13" s="33"/>
      <c r="H13" s="29"/>
    </row>
    <row r="14" spans="2:8" ht="18.75" customHeight="1" x14ac:dyDescent="0.25">
      <c r="B14" s="30"/>
      <c r="C14" s="31"/>
      <c r="D14" s="31"/>
      <c r="E14" s="31"/>
      <c r="F14" s="32"/>
      <c r="G14" s="33"/>
      <c r="H14" s="29"/>
    </row>
    <row r="15" spans="2:8" ht="18.75" customHeight="1" x14ac:dyDescent="0.25">
      <c r="B15" s="30"/>
      <c r="C15" s="31"/>
      <c r="D15" s="31"/>
      <c r="E15" s="31"/>
      <c r="F15" s="32"/>
      <c r="G15" s="33"/>
      <c r="H15" s="29"/>
    </row>
    <row r="16" spans="2:8" ht="18.75" customHeight="1" x14ac:dyDescent="0.25">
      <c r="B16" s="30"/>
      <c r="C16" s="31"/>
      <c r="D16" s="31"/>
      <c r="E16" s="31"/>
      <c r="F16" s="32"/>
      <c r="G16" s="33"/>
      <c r="H16" s="29"/>
    </row>
    <row r="17" spans="2:9" ht="18.75" customHeight="1" x14ac:dyDescent="0.25">
      <c r="B17" s="30"/>
      <c r="C17" s="31"/>
      <c r="D17" s="31"/>
      <c r="E17" s="31"/>
      <c r="F17" s="32"/>
      <c r="G17" s="33"/>
      <c r="H17" s="29"/>
    </row>
    <row r="18" spans="2:9" ht="18.75" customHeight="1" x14ac:dyDescent="0.25">
      <c r="B18" s="30"/>
      <c r="C18" s="31"/>
      <c r="D18" s="31"/>
      <c r="E18" s="31"/>
      <c r="F18" s="32"/>
      <c r="G18" s="33"/>
      <c r="H18" s="29"/>
    </row>
    <row r="19" spans="2:9" ht="18.75" customHeight="1" x14ac:dyDescent="0.25">
      <c r="B19" s="30"/>
      <c r="C19" s="31"/>
      <c r="D19" s="31"/>
      <c r="E19" s="31"/>
      <c r="F19" s="32"/>
      <c r="G19" s="33"/>
      <c r="H19" s="29"/>
    </row>
    <row r="20" spans="2:9" ht="18.75" customHeight="1" x14ac:dyDescent="0.25">
      <c r="B20" s="30"/>
      <c r="C20" s="31"/>
      <c r="D20" s="31"/>
      <c r="E20" s="31"/>
      <c r="F20" s="32"/>
      <c r="G20" s="33"/>
      <c r="H20" s="29"/>
    </row>
    <row r="21" spans="2:9" ht="18.75" customHeight="1" x14ac:dyDescent="0.25">
      <c r="B21" s="30"/>
      <c r="C21" s="31"/>
      <c r="D21" s="31"/>
      <c r="E21" s="31"/>
      <c r="F21" s="32"/>
      <c r="G21" s="33"/>
      <c r="H21" s="29"/>
    </row>
    <row r="22" spans="2:9" ht="18.75" customHeight="1" x14ac:dyDescent="0.25">
      <c r="B22" s="30"/>
      <c r="C22" s="31"/>
      <c r="D22" s="31"/>
      <c r="E22" s="31"/>
      <c r="F22" s="32"/>
      <c r="G22" s="33"/>
      <c r="H22" s="29"/>
    </row>
    <row r="23" spans="2:9" ht="18.75" customHeight="1" x14ac:dyDescent="0.25">
      <c r="B23" s="30"/>
      <c r="C23" s="31"/>
      <c r="D23" s="31"/>
      <c r="E23" s="31"/>
      <c r="F23" s="32"/>
      <c r="G23" s="33"/>
      <c r="H23" s="29"/>
    </row>
    <row r="24" spans="2:9" ht="18.75" customHeight="1" thickBot="1" x14ac:dyDescent="0.3">
      <c r="B24" s="30"/>
      <c r="C24" s="31"/>
      <c r="D24" s="31"/>
      <c r="E24" s="31"/>
      <c r="F24" s="32"/>
      <c r="G24" s="33"/>
      <c r="H24" s="29"/>
    </row>
    <row r="25" spans="2:9" ht="18.75" customHeight="1" thickBot="1" x14ac:dyDescent="0.3">
      <c r="B25" s="223" t="s">
        <v>3</v>
      </c>
      <c r="C25" s="224"/>
      <c r="D25" s="224"/>
      <c r="E25" s="224"/>
      <c r="F25" s="224"/>
      <c r="G25" s="224"/>
      <c r="H25" s="29"/>
      <c r="I25" s="29"/>
    </row>
    <row r="26" spans="2:9" ht="18.75" customHeight="1" x14ac:dyDescent="0.25">
      <c r="B26" s="218" t="s">
        <v>166</v>
      </c>
      <c r="C26" s="219"/>
      <c r="D26" s="34" t="s">
        <v>163</v>
      </c>
      <c r="E26" s="34" t="s">
        <v>164</v>
      </c>
      <c r="F26" s="35" t="s">
        <v>165</v>
      </c>
      <c r="G26" s="36" t="s">
        <v>168</v>
      </c>
      <c r="H26" s="29"/>
      <c r="I26" s="29"/>
    </row>
    <row r="27" spans="2:9" ht="18.75" customHeight="1" x14ac:dyDescent="0.25">
      <c r="B27" s="37" t="s">
        <v>233</v>
      </c>
      <c r="C27" s="34" t="s">
        <v>234</v>
      </c>
      <c r="D27" s="9">
        <v>110</v>
      </c>
      <c r="E27" s="9">
        <v>265</v>
      </c>
      <c r="F27" s="9">
        <v>270</v>
      </c>
      <c r="G27" s="38" t="s">
        <v>162</v>
      </c>
      <c r="H27" s="29"/>
      <c r="I27" s="29"/>
    </row>
    <row r="28" spans="2:9" ht="18.75" customHeight="1" x14ac:dyDescent="0.25">
      <c r="B28" s="39" t="s">
        <v>235</v>
      </c>
      <c r="C28" s="34" t="s">
        <v>236</v>
      </c>
      <c r="D28" s="10">
        <f>Vocv*0.95</f>
        <v>14.25</v>
      </c>
      <c r="E28" s="9">
        <v>15</v>
      </c>
      <c r="F28" s="11">
        <f>Vocv*1.05</f>
        <v>15.75</v>
      </c>
      <c r="G28" s="38" t="s">
        <v>5</v>
      </c>
      <c r="H28" s="29"/>
      <c r="I28" s="29"/>
    </row>
    <row r="29" spans="2:9" ht="18.75" customHeight="1" x14ac:dyDescent="0.25">
      <c r="B29" s="37" t="s">
        <v>66</v>
      </c>
      <c r="C29" s="41" t="s">
        <v>237</v>
      </c>
      <c r="D29" s="42"/>
      <c r="E29" s="11"/>
      <c r="F29" s="9">
        <v>15</v>
      </c>
      <c r="G29" s="38" t="s">
        <v>7</v>
      </c>
      <c r="H29" s="29"/>
      <c r="I29" s="29"/>
    </row>
    <row r="30" spans="2:9" ht="18.75" customHeight="1" x14ac:dyDescent="0.25">
      <c r="B30" s="39" t="s">
        <v>238</v>
      </c>
      <c r="C30" s="43" t="s">
        <v>239</v>
      </c>
      <c r="D30" s="11">
        <f>E30*0.95</f>
        <v>0.95</v>
      </c>
      <c r="E30" s="11">
        <f>Pout/Vocv</f>
        <v>1</v>
      </c>
      <c r="F30" s="11">
        <f>Iocc_target*1.05</f>
        <v>1.05</v>
      </c>
      <c r="G30" s="38" t="s">
        <v>6</v>
      </c>
      <c r="H30" s="29"/>
      <c r="I30" s="29"/>
    </row>
    <row r="31" spans="2:9" ht="18.75" customHeight="1" x14ac:dyDescent="0.25">
      <c r="B31" s="39" t="s">
        <v>189</v>
      </c>
      <c r="C31" s="34" t="s">
        <v>240</v>
      </c>
      <c r="D31" s="9">
        <v>47</v>
      </c>
      <c r="E31" s="9">
        <v>50</v>
      </c>
      <c r="F31" s="9">
        <v>53</v>
      </c>
      <c r="G31" s="38" t="s">
        <v>36</v>
      </c>
      <c r="H31" s="29"/>
      <c r="I31" s="29"/>
    </row>
    <row r="32" spans="2:9" ht="18.75" customHeight="1" x14ac:dyDescent="0.25">
      <c r="B32" s="37" t="s">
        <v>67</v>
      </c>
      <c r="C32" s="11" t="s">
        <v>183</v>
      </c>
      <c r="D32" s="42">
        <f>IF(Vocv&lt;12,0.82,0.85)</f>
        <v>0.85</v>
      </c>
      <c r="E32" s="11"/>
      <c r="F32" s="11"/>
      <c r="G32" s="38"/>
      <c r="H32" s="29"/>
      <c r="I32" s="29"/>
    </row>
    <row r="33" spans="2:9" ht="18.75" customHeight="1" x14ac:dyDescent="0.25">
      <c r="B33" s="37" t="s">
        <v>232</v>
      </c>
      <c r="C33" s="34" t="s">
        <v>241</v>
      </c>
      <c r="E33" s="9">
        <v>85</v>
      </c>
      <c r="F33" s="11"/>
      <c r="G33" s="38" t="s">
        <v>162</v>
      </c>
      <c r="H33" s="29"/>
      <c r="I33" s="29"/>
    </row>
    <row r="34" spans="2:9" ht="18.75" customHeight="1" x14ac:dyDescent="0.25">
      <c r="B34" s="45" t="s">
        <v>167</v>
      </c>
      <c r="C34" s="46" t="s">
        <v>242</v>
      </c>
      <c r="D34" s="10"/>
      <c r="E34" s="11"/>
      <c r="F34" s="129">
        <v>10</v>
      </c>
      <c r="G34" s="38" t="s">
        <v>5</v>
      </c>
      <c r="H34" s="29"/>
      <c r="I34" s="29"/>
    </row>
    <row r="35" spans="2:9" ht="18.75" customHeight="1" x14ac:dyDescent="0.25">
      <c r="B35" s="45" t="s">
        <v>336</v>
      </c>
      <c r="C35" s="46" t="s">
        <v>243</v>
      </c>
      <c r="D35" s="10"/>
      <c r="E35" s="9">
        <v>0.2</v>
      </c>
      <c r="F35" s="130"/>
      <c r="G35" s="38" t="s">
        <v>5</v>
      </c>
      <c r="H35" s="29"/>
      <c r="I35" s="29"/>
    </row>
    <row r="36" spans="2:9" ht="18.75" customHeight="1" x14ac:dyDescent="0.25">
      <c r="B36" s="45" t="s">
        <v>68</v>
      </c>
      <c r="C36" s="47" t="s">
        <v>244</v>
      </c>
      <c r="D36" s="11"/>
      <c r="E36" s="11"/>
      <c r="F36" s="9">
        <v>100</v>
      </c>
      <c r="G36" s="38" t="s">
        <v>8</v>
      </c>
      <c r="H36" s="29"/>
      <c r="I36" s="29"/>
    </row>
    <row r="37" spans="2:9" ht="18.75" customHeight="1" x14ac:dyDescent="0.25">
      <c r="B37" s="37" t="s">
        <v>169</v>
      </c>
      <c r="C37" s="41" t="s">
        <v>245</v>
      </c>
      <c r="D37" s="11"/>
      <c r="E37" s="9">
        <v>80</v>
      </c>
      <c r="F37" s="11"/>
      <c r="G37" s="38" t="s">
        <v>9</v>
      </c>
      <c r="H37" s="29"/>
      <c r="I37" s="29"/>
    </row>
    <row r="38" spans="2:9" ht="18.75" customHeight="1" x14ac:dyDescent="0.25">
      <c r="B38" s="37" t="s">
        <v>137</v>
      </c>
      <c r="C38" s="47" t="s">
        <v>246</v>
      </c>
      <c r="D38" s="11"/>
      <c r="E38" s="11"/>
      <c r="F38" s="129">
        <v>16</v>
      </c>
      <c r="G38" s="38" t="s">
        <v>4</v>
      </c>
      <c r="H38" s="29"/>
      <c r="I38" s="29"/>
    </row>
    <row r="39" spans="2:9" ht="18.75" customHeight="1" thickBot="1" x14ac:dyDescent="0.3">
      <c r="B39" s="48" t="s">
        <v>170</v>
      </c>
      <c r="C39" s="49" t="s">
        <v>247</v>
      </c>
      <c r="D39" s="49"/>
      <c r="E39" s="49"/>
      <c r="F39" s="49">
        <v>5</v>
      </c>
      <c r="G39" s="51" t="s">
        <v>64</v>
      </c>
      <c r="H39" s="29"/>
      <c r="I39" s="29"/>
    </row>
    <row r="40" spans="2:9" ht="18.75" customHeight="1" thickBot="1" x14ac:dyDescent="0.3">
      <c r="B40" s="222"/>
      <c r="C40" s="222"/>
      <c r="D40" s="222"/>
      <c r="E40" s="222"/>
      <c r="F40" s="222"/>
      <c r="G40" s="222"/>
      <c r="I40" s="29"/>
    </row>
    <row r="41" spans="2:9" ht="18.75" customHeight="1" thickBot="1" x14ac:dyDescent="0.3">
      <c r="B41" s="223" t="s">
        <v>200</v>
      </c>
      <c r="C41" s="224"/>
      <c r="D41" s="224"/>
      <c r="E41" s="224"/>
      <c r="F41" s="224"/>
      <c r="G41" s="224"/>
      <c r="I41" s="29"/>
    </row>
    <row r="42" spans="2:9" ht="18.75" customHeight="1" thickBot="1" x14ac:dyDescent="0.3">
      <c r="B42" s="220" t="s">
        <v>62</v>
      </c>
      <c r="C42" s="221"/>
      <c r="D42" s="52" t="s">
        <v>171</v>
      </c>
      <c r="E42" s="52" t="s">
        <v>172</v>
      </c>
      <c r="F42" s="216" t="s">
        <v>24</v>
      </c>
      <c r="G42" s="217"/>
      <c r="I42" s="29"/>
    </row>
    <row r="43" spans="2:9" ht="18.75" customHeight="1" x14ac:dyDescent="0.25">
      <c r="B43" s="53" t="s">
        <v>187</v>
      </c>
      <c r="C43" s="12" t="s">
        <v>248</v>
      </c>
      <c r="D43" s="12">
        <v>83.3</v>
      </c>
      <c r="E43" s="12" t="s">
        <v>9</v>
      </c>
      <c r="F43" s="243" t="s">
        <v>135</v>
      </c>
      <c r="G43" s="244"/>
      <c r="I43" s="29"/>
    </row>
    <row r="44" spans="2:9" ht="18.75" customHeight="1" x14ac:dyDescent="0.25">
      <c r="B44" s="54" t="s">
        <v>188</v>
      </c>
      <c r="C44" s="11" t="s">
        <v>249</v>
      </c>
      <c r="D44" s="11">
        <v>3.2000000000000001E-2</v>
      </c>
      <c r="E44" s="43" t="s">
        <v>9</v>
      </c>
      <c r="F44" s="245" t="s">
        <v>135</v>
      </c>
      <c r="G44" s="246"/>
      <c r="I44" s="29"/>
    </row>
    <row r="45" spans="2:9" ht="18.75" customHeight="1" x14ac:dyDescent="0.25">
      <c r="B45" s="54" t="s">
        <v>190</v>
      </c>
      <c r="C45" s="11" t="s">
        <v>250</v>
      </c>
      <c r="D45" s="42">
        <f>(1/fline_min)/ms</f>
        <v>21.276595744680851</v>
      </c>
      <c r="E45" s="11" t="s">
        <v>15</v>
      </c>
      <c r="F45" s="178"/>
      <c r="G45" s="179"/>
      <c r="I45" s="29"/>
    </row>
    <row r="46" spans="2:9" ht="18.75" customHeight="1" x14ac:dyDescent="0.25">
      <c r="B46" s="37" t="s">
        <v>192</v>
      </c>
      <c r="C46" s="11" t="s">
        <v>251</v>
      </c>
      <c r="D46" s="11">
        <v>0.5</v>
      </c>
      <c r="E46" s="11"/>
      <c r="F46" s="183"/>
      <c r="G46" s="184"/>
      <c r="I46" s="29"/>
    </row>
    <row r="47" spans="2:9" ht="18.75" customHeight="1" thickBot="1" x14ac:dyDescent="0.3">
      <c r="B47" s="48" t="s">
        <v>173</v>
      </c>
      <c r="C47" s="49" t="s">
        <v>252</v>
      </c>
      <c r="D47" s="55">
        <f>(Vocv*Iocc_target*(4*fswmin*kHz))/(eff_sb*Kam_nom^2*fmax*kHz)/mW</f>
        <v>5.3690674600955237</v>
      </c>
      <c r="E47" s="49" t="s">
        <v>64</v>
      </c>
      <c r="F47" s="144"/>
      <c r="G47" s="145"/>
    </row>
    <row r="48" spans="2:9" s="1" customFormat="1" ht="18.75" customHeight="1" x14ac:dyDescent="0.25">
      <c r="D48" s="56"/>
      <c r="E48" s="56"/>
      <c r="F48" s="57"/>
    </row>
    <row r="49" spans="2:10" ht="18.75" customHeight="1" x14ac:dyDescent="0.25">
      <c r="B49" s="183" t="s">
        <v>62</v>
      </c>
      <c r="C49" s="183"/>
      <c r="D49" s="183" t="s">
        <v>171</v>
      </c>
      <c r="E49" s="183"/>
      <c r="F49" s="176" t="s">
        <v>172</v>
      </c>
      <c r="G49" s="183" t="s">
        <v>24</v>
      </c>
      <c r="H49" s="183"/>
      <c r="I49" s="183"/>
      <c r="J49" s="183"/>
    </row>
    <row r="50" spans="2:10" ht="18.75" customHeight="1" x14ac:dyDescent="0.25">
      <c r="B50" s="183"/>
      <c r="C50" s="183"/>
      <c r="D50" s="200" t="s">
        <v>227</v>
      </c>
      <c r="E50" s="202" t="s">
        <v>228</v>
      </c>
      <c r="F50" s="176"/>
      <c r="G50" s="183"/>
      <c r="H50" s="183"/>
      <c r="I50" s="183"/>
      <c r="J50" s="183"/>
    </row>
    <row r="51" spans="2:10" ht="18.75" customHeight="1" thickBot="1" x14ac:dyDescent="0.3">
      <c r="B51" s="207"/>
      <c r="C51" s="207"/>
      <c r="D51" s="201"/>
      <c r="E51" s="203"/>
      <c r="F51" s="206"/>
      <c r="G51" s="207"/>
      <c r="H51" s="207"/>
      <c r="I51" s="207"/>
      <c r="J51" s="207"/>
    </row>
    <row r="52" spans="2:10" ht="18.75" customHeight="1" x14ac:dyDescent="0.25">
      <c r="B52" s="146" t="s">
        <v>388</v>
      </c>
      <c r="C52" s="147"/>
      <c r="D52" s="147"/>
      <c r="E52" s="147"/>
      <c r="F52" s="147"/>
      <c r="G52" s="147"/>
      <c r="H52" s="147"/>
      <c r="I52" s="147"/>
      <c r="J52" s="148"/>
    </row>
    <row r="53" spans="2:10" ht="18.75" customHeight="1" x14ac:dyDescent="0.25">
      <c r="B53" s="37" t="s">
        <v>65</v>
      </c>
      <c r="C53" s="11" t="s">
        <v>253</v>
      </c>
      <c r="D53" s="42">
        <f>Vocv*Iocc_target_max/efficiency</f>
        <v>18.529411764705884</v>
      </c>
      <c r="E53" s="42">
        <f>Pin</f>
        <v>18.529411764705884</v>
      </c>
      <c r="F53" s="40" t="s">
        <v>7</v>
      </c>
      <c r="G53" s="140"/>
      <c r="H53" s="140"/>
      <c r="I53" s="140"/>
      <c r="J53" s="141"/>
    </row>
    <row r="54" spans="2:10" ht="18.75" customHeight="1" x14ac:dyDescent="0.25">
      <c r="B54" s="37" t="s">
        <v>197</v>
      </c>
      <c r="C54" s="58" t="s">
        <v>254</v>
      </c>
      <c r="D54" s="59">
        <f>E54</f>
        <v>0</v>
      </c>
      <c r="E54" s="83">
        <v>0</v>
      </c>
      <c r="F54" s="40"/>
      <c r="G54" s="204" t="s">
        <v>175</v>
      </c>
      <c r="H54" s="204"/>
      <c r="I54" s="204"/>
      <c r="J54" s="205"/>
    </row>
    <row r="55" spans="2:10" ht="18.75" customHeight="1" x14ac:dyDescent="0.25">
      <c r="B55" s="45" t="s">
        <v>174</v>
      </c>
      <c r="C55" s="11" t="s">
        <v>255</v>
      </c>
      <c r="D55" s="42">
        <f>Vin_min*SQRT(2)*0.55</f>
        <v>85.559920523572259</v>
      </c>
      <c r="E55" s="42">
        <f>Vbulk_valley_rcmd</f>
        <v>85.559920523572259</v>
      </c>
      <c r="F55" s="40" t="s">
        <v>4</v>
      </c>
      <c r="G55" s="149" t="s">
        <v>176</v>
      </c>
      <c r="H55" s="149"/>
      <c r="I55" s="149"/>
      <c r="J55" s="150"/>
    </row>
    <row r="56" spans="2:10" s="89" customFormat="1" ht="36" customHeight="1" x14ac:dyDescent="0.25">
      <c r="B56" s="84" t="s">
        <v>408</v>
      </c>
      <c r="C56" s="85" t="s">
        <v>422</v>
      </c>
      <c r="D56" s="86">
        <f>'LOOKUP TABLES AND DROPDOWN LIST'!J20</f>
        <v>15</v>
      </c>
      <c r="E56" s="87">
        <v>15</v>
      </c>
      <c r="F56" s="88" t="s">
        <v>14</v>
      </c>
      <c r="G56" s="163" t="s">
        <v>455</v>
      </c>
      <c r="H56" s="163"/>
      <c r="I56" s="163"/>
      <c r="J56" s="164"/>
    </row>
    <row r="57" spans="2:10" ht="18.75" customHeight="1" x14ac:dyDescent="0.25">
      <c r="B57" s="37" t="s">
        <v>69</v>
      </c>
      <c r="C57" s="11" t="s">
        <v>256</v>
      </c>
      <c r="D57" s="42">
        <f>'LOOKUP TABLES AND DROPDOWN LIST'!L48</f>
        <v>80.741282366965891</v>
      </c>
      <c r="E57" s="42">
        <f>Vbulkvalley</f>
        <v>80.741282366965891</v>
      </c>
      <c r="F57" s="40" t="s">
        <v>4</v>
      </c>
      <c r="G57" s="178"/>
      <c r="H57" s="178"/>
      <c r="I57" s="178"/>
      <c r="J57" s="179"/>
    </row>
    <row r="58" spans="2:10" ht="18.75" customHeight="1" x14ac:dyDescent="0.25">
      <c r="B58" s="37" t="s">
        <v>90</v>
      </c>
      <c r="C58" s="11" t="s">
        <v>257</v>
      </c>
      <c r="D58" s="42">
        <f>(2*(Pin)/Vbulkmin_rcmd)/SQRT('LOOKUP TABLES AND DROPDOWN LIST'!L47/(t_line*ms))</f>
        <v>1.1346118461427337</v>
      </c>
      <c r="E58" s="42">
        <f>(2*(E53)/Vbulk_min)/SQRT(tcharge_3/(t_line*ms))</f>
        <v>1.1346118461427337</v>
      </c>
      <c r="F58" s="40" t="s">
        <v>6</v>
      </c>
      <c r="G58" s="178"/>
      <c r="H58" s="178"/>
      <c r="I58" s="178"/>
      <c r="J58" s="179"/>
    </row>
    <row r="59" spans="2:10" ht="18.75" customHeight="1" x14ac:dyDescent="0.25">
      <c r="B59" s="37" t="s">
        <v>70</v>
      </c>
      <c r="C59" s="11" t="s">
        <v>258</v>
      </c>
      <c r="D59" s="42">
        <f>(((Cbulk_rcmd*uF)*((Vin_min*SQRT(2))-Vbulkmin_rcmd)/'LOOKUP TABLES AND DROPDOWN LIST'!L47)/SQRT(3))/mA</f>
        <v>186.10655711475246</v>
      </c>
      <c r="E59" s="42">
        <f>(((Cbulk*uF)*((Vin_min*SQRT(2))-Vbulk_min)/tcharge_3)/SQRT(3))/mA</f>
        <v>186.10655711475246</v>
      </c>
      <c r="F59" s="40" t="s">
        <v>22</v>
      </c>
      <c r="G59" s="178"/>
      <c r="H59" s="178"/>
      <c r="I59" s="178"/>
      <c r="J59" s="179"/>
    </row>
    <row r="60" spans="2:10" ht="18.75" customHeight="1" thickBot="1" x14ac:dyDescent="0.3">
      <c r="B60" s="61" t="s">
        <v>71</v>
      </c>
      <c r="C60" s="62" t="s">
        <v>259</v>
      </c>
      <c r="D60" s="62">
        <f>MROUND(Vin_max*SQRT(2),100)</f>
        <v>400</v>
      </c>
      <c r="E60" s="62">
        <f>Vcin_rated</f>
        <v>400</v>
      </c>
      <c r="F60" s="63" t="s">
        <v>4</v>
      </c>
      <c r="G60" s="188"/>
      <c r="H60" s="188"/>
      <c r="I60" s="188"/>
      <c r="J60" s="189"/>
    </row>
    <row r="61" spans="2:10" ht="18.75" customHeight="1" x14ac:dyDescent="0.25">
      <c r="B61" s="146" t="s">
        <v>89</v>
      </c>
      <c r="C61" s="147"/>
      <c r="D61" s="147"/>
      <c r="E61" s="147"/>
      <c r="F61" s="147"/>
      <c r="G61" s="208"/>
      <c r="H61" s="208"/>
      <c r="I61" s="208"/>
      <c r="J61" s="209"/>
    </row>
    <row r="62" spans="2:10" ht="18.75" customHeight="1" x14ac:dyDescent="0.25">
      <c r="B62" s="64" t="s">
        <v>179</v>
      </c>
      <c r="C62" s="65" t="s">
        <v>260</v>
      </c>
      <c r="D62" s="65">
        <f>MROUND(Vin_max,50)</f>
        <v>250</v>
      </c>
      <c r="E62" s="11">
        <f>Vfuse</f>
        <v>250</v>
      </c>
      <c r="F62" s="66" t="s">
        <v>162</v>
      </c>
      <c r="G62" s="153"/>
      <c r="H62" s="153"/>
      <c r="I62" s="153"/>
      <c r="J62" s="154"/>
    </row>
    <row r="63" spans="2:10" ht="18.75" customHeight="1" thickBot="1" x14ac:dyDescent="0.3">
      <c r="B63" s="61" t="s">
        <v>178</v>
      </c>
      <c r="C63" s="62" t="s">
        <v>257</v>
      </c>
      <c r="D63" s="67">
        <f>(2*(Pin)/Vbulkmin_rcmd)/(SQRT('LOOKUP TABLES AND DROPDOWN LIST'!L47/(t_line*ms)))</f>
        <v>1.1346118461427337</v>
      </c>
      <c r="E63" s="67">
        <f>(2*(E53)/Vbulk_min)/(SQRT(tcharge_3/(t_line*ms)))</f>
        <v>1.1346118461427337</v>
      </c>
      <c r="F63" s="63" t="s">
        <v>6</v>
      </c>
      <c r="G63" s="165"/>
      <c r="H63" s="165"/>
      <c r="I63" s="165"/>
      <c r="J63" s="166"/>
    </row>
    <row r="64" spans="2:10" ht="18.75" customHeight="1" x14ac:dyDescent="0.25">
      <c r="B64" s="146" t="s">
        <v>102</v>
      </c>
      <c r="C64" s="147"/>
      <c r="D64" s="147"/>
      <c r="E64" s="147"/>
      <c r="F64" s="147"/>
      <c r="G64" s="208"/>
      <c r="H64" s="208"/>
      <c r="I64" s="208"/>
      <c r="J64" s="209"/>
    </row>
    <row r="65" spans="2:10" ht="18.75" customHeight="1" x14ac:dyDescent="0.25">
      <c r="B65" s="37" t="s">
        <v>180</v>
      </c>
      <c r="C65" s="11" t="s">
        <v>261</v>
      </c>
      <c r="D65" s="11">
        <f>MROUND(Vin_max*SQRT(2),100)</f>
        <v>400</v>
      </c>
      <c r="E65" s="11">
        <f>Vbridge</f>
        <v>400</v>
      </c>
      <c r="F65" s="40" t="s">
        <v>4</v>
      </c>
      <c r="G65" s="140"/>
      <c r="H65" s="140"/>
      <c r="I65" s="140"/>
      <c r="J65" s="141"/>
    </row>
    <row r="66" spans="2:10" ht="18.75" customHeight="1" x14ac:dyDescent="0.25">
      <c r="B66" s="37" t="s">
        <v>181</v>
      </c>
      <c r="C66" s="11" t="s">
        <v>262</v>
      </c>
      <c r="D66" s="42">
        <f>2*(Pin)/Vbulkmin_rcmd</f>
        <v>0.45898235008184413</v>
      </c>
      <c r="E66" s="42">
        <f>2*(E53)/Vbulk_min</f>
        <v>0.45898235008184413</v>
      </c>
      <c r="F66" s="40" t="s">
        <v>6</v>
      </c>
      <c r="G66" s="140"/>
      <c r="H66" s="140"/>
      <c r="I66" s="140"/>
      <c r="J66" s="141"/>
    </row>
    <row r="67" spans="2:10" s="89" customFormat="1" ht="18.75" customHeight="1" x14ac:dyDescent="0.25">
      <c r="B67" s="90" t="s">
        <v>182</v>
      </c>
      <c r="C67" s="85" t="s">
        <v>423</v>
      </c>
      <c r="D67" s="91">
        <v>0.9</v>
      </c>
      <c r="E67" s="92">
        <v>0.86</v>
      </c>
      <c r="F67" s="88" t="s">
        <v>4</v>
      </c>
      <c r="G67" s="163" t="s">
        <v>424</v>
      </c>
      <c r="H67" s="163"/>
      <c r="I67" s="163"/>
      <c r="J67" s="164"/>
    </row>
    <row r="68" spans="2:10" ht="18.75" customHeight="1" thickBot="1" x14ac:dyDescent="0.3">
      <c r="B68" s="61" t="s">
        <v>103</v>
      </c>
      <c r="C68" s="62" t="s">
        <v>263</v>
      </c>
      <c r="D68" s="67">
        <f>2*Vf_bridge_rcmd*Icin_rcmd*mA</f>
        <v>0.3349918028065545</v>
      </c>
      <c r="E68" s="67">
        <f>2*Vf_bridge*Icin*mA</f>
        <v>0.32010327823737422</v>
      </c>
      <c r="F68" s="63" t="s">
        <v>7</v>
      </c>
      <c r="G68" s="165"/>
      <c r="H68" s="165"/>
      <c r="I68" s="165"/>
      <c r="J68" s="166"/>
    </row>
    <row r="69" spans="2:10" ht="18.75" customHeight="1" x14ac:dyDescent="0.25">
      <c r="B69" s="146" t="s">
        <v>184</v>
      </c>
      <c r="C69" s="147"/>
      <c r="D69" s="147"/>
      <c r="E69" s="147"/>
      <c r="F69" s="147"/>
      <c r="G69" s="147"/>
      <c r="H69" s="147"/>
      <c r="I69" s="147"/>
      <c r="J69" s="148"/>
    </row>
    <row r="70" spans="2:10" s="89" customFormat="1" ht="18.75" customHeight="1" x14ac:dyDescent="0.25">
      <c r="B70" s="90" t="s">
        <v>185</v>
      </c>
      <c r="C70" s="85" t="s">
        <v>425</v>
      </c>
      <c r="D70" s="93">
        <v>0.44</v>
      </c>
      <c r="E70" s="94">
        <v>0.47</v>
      </c>
      <c r="F70" s="95" t="s">
        <v>4</v>
      </c>
      <c r="G70" s="163" t="s">
        <v>426</v>
      </c>
      <c r="H70" s="163"/>
      <c r="I70" s="163"/>
      <c r="J70" s="164"/>
    </row>
    <row r="71" spans="2:10" ht="18.75" customHeight="1" x14ac:dyDescent="0.25">
      <c r="B71" s="37" t="s">
        <v>72</v>
      </c>
      <c r="C71" s="11" t="s">
        <v>264</v>
      </c>
      <c r="D71" s="11">
        <v>0.432</v>
      </c>
      <c r="E71" s="11">
        <f>Ddemag_cc</f>
        <v>0.432</v>
      </c>
      <c r="F71" s="40"/>
      <c r="G71" s="149" t="s">
        <v>135</v>
      </c>
      <c r="H71" s="149"/>
      <c r="I71" s="149"/>
      <c r="J71" s="150"/>
    </row>
    <row r="72" spans="2:10" ht="18.75" customHeight="1" x14ac:dyDescent="0.25">
      <c r="B72" s="37" t="s">
        <v>73</v>
      </c>
      <c r="C72" s="11" t="s">
        <v>265</v>
      </c>
      <c r="D72" s="68">
        <f>(1/(fmax*kHz))/us</f>
        <v>12.500000000000002</v>
      </c>
      <c r="E72" s="68">
        <f>tsw_target</f>
        <v>12.500000000000002</v>
      </c>
      <c r="F72" s="40" t="s">
        <v>23</v>
      </c>
      <c r="G72" s="140"/>
      <c r="H72" s="140"/>
      <c r="I72" s="140"/>
      <c r="J72" s="141"/>
    </row>
    <row r="73" spans="2:10" s="89" customFormat="1" ht="18.75" customHeight="1" x14ac:dyDescent="0.25">
      <c r="B73" s="90" t="s">
        <v>214</v>
      </c>
      <c r="C73" s="85" t="s">
        <v>427</v>
      </c>
      <c r="D73" s="91">
        <v>0.5</v>
      </c>
      <c r="E73" s="92">
        <v>1.3</v>
      </c>
      <c r="F73" s="88" t="s">
        <v>104</v>
      </c>
      <c r="G73" s="194" t="s">
        <v>409</v>
      </c>
      <c r="H73" s="194"/>
      <c r="I73" s="194"/>
      <c r="J73" s="195"/>
    </row>
    <row r="74" spans="2:10" ht="18.75" customHeight="1" x14ac:dyDescent="0.25">
      <c r="B74" s="37" t="s">
        <v>74</v>
      </c>
      <c r="C74" s="11" t="s">
        <v>266</v>
      </c>
      <c r="D74" s="42">
        <f>1/(fres_rcmd*MHz)/us</f>
        <v>2</v>
      </c>
      <c r="E74" s="42">
        <f>1/(fres*MHz)/us</f>
        <v>0.76923076923076927</v>
      </c>
      <c r="F74" s="40" t="s">
        <v>23</v>
      </c>
      <c r="G74" s="140"/>
      <c r="H74" s="140"/>
      <c r="I74" s="140"/>
      <c r="J74" s="141"/>
    </row>
    <row r="75" spans="2:10" ht="18.75" customHeight="1" x14ac:dyDescent="0.25">
      <c r="B75" s="37" t="s">
        <v>75</v>
      </c>
      <c r="C75" s="11" t="s">
        <v>267</v>
      </c>
      <c r="D75" s="42">
        <f>1-Ddemag_cc-(((tr_rcmd*us)/2)*(fmax*kHz))</f>
        <v>0.48800000000000004</v>
      </c>
      <c r="E75" s="11">
        <f>1-Ddemag_cc-(((tr*us)/2)*(fmax*kHz))</f>
        <v>0.53723076923076929</v>
      </c>
      <c r="F75" s="40"/>
      <c r="G75" s="140"/>
      <c r="H75" s="140"/>
      <c r="I75" s="140"/>
      <c r="J75" s="141"/>
    </row>
    <row r="76" spans="2:10" s="89" customFormat="1" ht="18.75" customHeight="1" x14ac:dyDescent="0.25">
      <c r="B76" s="96" t="s">
        <v>412</v>
      </c>
      <c r="C76" s="97" t="s">
        <v>428</v>
      </c>
      <c r="D76" s="91">
        <f>(Dmax_target_rcmd*Vbulkmin_rcmd)/(Ddemag_cc*(Vocv+Vf_rcmd+Vocbc))</f>
        <v>5.8316972439908588</v>
      </c>
      <c r="E76" s="92">
        <v>6</v>
      </c>
      <c r="F76" s="88"/>
      <c r="G76" s="163" t="s">
        <v>410</v>
      </c>
      <c r="H76" s="163"/>
      <c r="I76" s="163"/>
      <c r="J76" s="164"/>
    </row>
    <row r="77" spans="2:10" ht="18.75" customHeight="1" x14ac:dyDescent="0.25">
      <c r="B77" s="37" t="s">
        <v>191</v>
      </c>
      <c r="C77" s="11" t="s">
        <v>268</v>
      </c>
      <c r="D77" s="11">
        <v>0.91</v>
      </c>
      <c r="E77" s="11">
        <f>eff_xfmr</f>
        <v>0.91</v>
      </c>
      <c r="F77" s="40"/>
      <c r="G77" s="140"/>
      <c r="H77" s="140"/>
      <c r="I77" s="140"/>
      <c r="J77" s="141"/>
    </row>
    <row r="78" spans="2:10" ht="18.75" customHeight="1" x14ac:dyDescent="0.25">
      <c r="B78" s="37" t="s">
        <v>193</v>
      </c>
      <c r="C78" s="11" t="s">
        <v>269</v>
      </c>
      <c r="D78" s="42">
        <f>Nps_ideal*(Vocv+Vf_rcmd+Vocbc)</f>
        <v>91.207744896017019</v>
      </c>
      <c r="E78" s="11">
        <f>Nps*(Vocv+Vf+Vocbc)</f>
        <v>94.02</v>
      </c>
      <c r="F78" s="40" t="s">
        <v>4</v>
      </c>
      <c r="G78" s="140"/>
      <c r="H78" s="140"/>
      <c r="I78" s="140"/>
      <c r="J78" s="141"/>
    </row>
    <row r="79" spans="2:10" ht="18.75" customHeight="1" x14ac:dyDescent="0.25">
      <c r="B79" s="45" t="s">
        <v>186</v>
      </c>
      <c r="C79" s="11" t="s">
        <v>270</v>
      </c>
      <c r="D79" s="42">
        <f>(Vocv+(Vin_max*SQRT(2))/Nps_ideal)*1.3</f>
        <v>104.61912392304818</v>
      </c>
      <c r="E79" s="42">
        <f>(Vocv+(Vin_max*SQRT(2))/Nps)*1.3</f>
        <v>102.23149339882606</v>
      </c>
      <c r="F79" s="40" t="s">
        <v>4</v>
      </c>
      <c r="G79" s="196" t="str">
        <f>IF(D79&gt;50,"","UCC24610 SR Controller Can Be Used to Further Improve Efficiency")</f>
        <v/>
      </c>
      <c r="H79" s="196"/>
      <c r="I79" s="196"/>
      <c r="J79" s="197"/>
    </row>
    <row r="80" spans="2:10" ht="18.75" customHeight="1" x14ac:dyDescent="0.25">
      <c r="B80" s="37" t="s">
        <v>78</v>
      </c>
      <c r="C80" s="11" t="s">
        <v>271</v>
      </c>
      <c r="D80" s="42">
        <f>(((Vocv+Vf_rcmd+Vocbc)*Nps_ideal*((1/(fmax*kHz))-((tr_rcmd*us)/2)))/(Vbulkmin_rcmd+((Vocv+Vf_rcmd+Vocbc)*Nps_ideal)))/us</f>
        <v>6.1000000000000014</v>
      </c>
      <c r="E80" s="42">
        <f>(((Vocv+Vf+Vocbc)*Nps*((1/(fmax*kHz))-((tr*us)/2)))/(Vbulk_min+((Vocv+Vf+Vocbc)*Nps)))/us</f>
        <v>6.5179680883011013</v>
      </c>
      <c r="F80" s="40" t="s">
        <v>23</v>
      </c>
      <c r="G80" s="198"/>
      <c r="H80" s="198"/>
      <c r="I80" s="198"/>
      <c r="J80" s="199"/>
    </row>
    <row r="81" spans="2:10" ht="18.75" customHeight="1" x14ac:dyDescent="0.25">
      <c r="B81" s="64" t="s">
        <v>95</v>
      </c>
      <c r="C81" s="65" t="s">
        <v>272</v>
      </c>
      <c r="D81" s="65">
        <v>310</v>
      </c>
      <c r="E81" s="65">
        <f>Vccr_min</f>
        <v>310</v>
      </c>
      <c r="F81" s="66" t="s">
        <v>8</v>
      </c>
      <c r="G81" s="190" t="s">
        <v>135</v>
      </c>
      <c r="H81" s="190"/>
      <c r="I81" s="190"/>
      <c r="J81" s="191"/>
    </row>
    <row r="82" spans="2:10" ht="18.75" customHeight="1" x14ac:dyDescent="0.25">
      <c r="B82" s="64" t="s">
        <v>96</v>
      </c>
      <c r="C82" s="65" t="s">
        <v>273</v>
      </c>
      <c r="D82" s="65">
        <v>319</v>
      </c>
      <c r="E82" s="65">
        <f>Vccr_nom</f>
        <v>319</v>
      </c>
      <c r="F82" s="66" t="s">
        <v>8</v>
      </c>
      <c r="G82" s="190" t="s">
        <v>135</v>
      </c>
      <c r="H82" s="190"/>
      <c r="I82" s="190"/>
      <c r="J82" s="191"/>
    </row>
    <row r="83" spans="2:10" ht="18.75" customHeight="1" x14ac:dyDescent="0.25">
      <c r="B83" s="64" t="s">
        <v>95</v>
      </c>
      <c r="C83" s="65" t="s">
        <v>274</v>
      </c>
      <c r="D83" s="65">
        <v>329</v>
      </c>
      <c r="E83" s="65">
        <f>Vccr_max</f>
        <v>329</v>
      </c>
      <c r="F83" s="66" t="s">
        <v>8</v>
      </c>
      <c r="G83" s="190" t="s">
        <v>135</v>
      </c>
      <c r="H83" s="190"/>
      <c r="I83" s="190"/>
      <c r="J83" s="191"/>
    </row>
    <row r="84" spans="2:10" s="89" customFormat="1" ht="18.75" customHeight="1" x14ac:dyDescent="0.25">
      <c r="B84" s="90" t="s">
        <v>413</v>
      </c>
      <c r="C84" s="85" t="s">
        <v>429</v>
      </c>
      <c r="D84" s="91">
        <f>Vccr_min*mV*Nps_ideal*SQRT(eff_xfmr)/(2*Iocc_target_max)</f>
        <v>0.82121725222371111</v>
      </c>
      <c r="E84" s="92">
        <v>0.82099999999999995</v>
      </c>
      <c r="F84" s="88" t="s">
        <v>31</v>
      </c>
      <c r="G84" s="192" t="s">
        <v>199</v>
      </c>
      <c r="H84" s="192"/>
      <c r="I84" s="192"/>
      <c r="J84" s="193"/>
    </row>
    <row r="85" spans="2:10" ht="18.75" customHeight="1" x14ac:dyDescent="0.25">
      <c r="B85" s="37" t="s">
        <v>91</v>
      </c>
      <c r="C85" s="11" t="s">
        <v>275</v>
      </c>
      <c r="D85" s="11">
        <v>710</v>
      </c>
      <c r="E85" s="11">
        <f>Vcstmax_min</f>
        <v>710</v>
      </c>
      <c r="F85" s="40" t="s">
        <v>8</v>
      </c>
      <c r="G85" s="149" t="s">
        <v>135</v>
      </c>
      <c r="H85" s="149"/>
      <c r="I85" s="149"/>
      <c r="J85" s="150"/>
    </row>
    <row r="86" spans="2:10" ht="18.75" customHeight="1" x14ac:dyDescent="0.25">
      <c r="B86" s="37" t="s">
        <v>79</v>
      </c>
      <c r="C86" s="11" t="s">
        <v>276</v>
      </c>
      <c r="D86" s="11">
        <v>740</v>
      </c>
      <c r="E86" s="11">
        <f>Vcstmax_nom</f>
        <v>740</v>
      </c>
      <c r="F86" s="40" t="s">
        <v>8</v>
      </c>
      <c r="G86" s="149" t="s">
        <v>135</v>
      </c>
      <c r="H86" s="149"/>
      <c r="I86" s="149"/>
      <c r="J86" s="150"/>
    </row>
    <row r="87" spans="2:10" ht="18.75" customHeight="1" x14ac:dyDescent="0.25">
      <c r="B87" s="37" t="s">
        <v>80</v>
      </c>
      <c r="C87" s="11" t="s">
        <v>277</v>
      </c>
      <c r="D87" s="11">
        <v>770</v>
      </c>
      <c r="E87" s="11">
        <f>Vcstmax_max</f>
        <v>770</v>
      </c>
      <c r="F87" s="40" t="s">
        <v>8</v>
      </c>
      <c r="G87" s="149" t="s">
        <v>135</v>
      </c>
      <c r="H87" s="149"/>
      <c r="I87" s="149"/>
      <c r="J87" s="150"/>
    </row>
    <row r="88" spans="2:10" ht="18.75" customHeight="1" x14ac:dyDescent="0.25">
      <c r="B88" s="37" t="s">
        <v>92</v>
      </c>
      <c r="C88" s="11" t="s">
        <v>278</v>
      </c>
      <c r="D88" s="42">
        <f>Vcstmax_min*mV/Rcs_rcmd</f>
        <v>0.86457024383918568</v>
      </c>
      <c r="E88" s="42">
        <f>Vcstmax_min*mV/Rcs</f>
        <v>0.8647990255785627</v>
      </c>
      <c r="F88" s="40" t="s">
        <v>6</v>
      </c>
      <c r="G88" s="174"/>
      <c r="H88" s="174"/>
      <c r="I88" s="174"/>
      <c r="J88" s="175"/>
    </row>
    <row r="89" spans="2:10" ht="18.75" customHeight="1" x14ac:dyDescent="0.25">
      <c r="B89" s="37" t="s">
        <v>93</v>
      </c>
      <c r="C89" s="11" t="s">
        <v>279</v>
      </c>
      <c r="D89" s="42">
        <f>Vcstmax_nom*mV/Rcs_rcmd</f>
        <v>0.90110138090281322</v>
      </c>
      <c r="E89" s="42">
        <f>Vcstmax_nom*mV/Rcs</f>
        <v>0.90133982947624847</v>
      </c>
      <c r="F89" s="40" t="s">
        <v>6</v>
      </c>
      <c r="G89" s="176"/>
      <c r="H89" s="176"/>
      <c r="I89" s="176"/>
      <c r="J89" s="177"/>
    </row>
    <row r="90" spans="2:10" ht="18.75" customHeight="1" x14ac:dyDescent="0.25">
      <c r="B90" s="37" t="s">
        <v>94</v>
      </c>
      <c r="C90" s="11" t="s">
        <v>280</v>
      </c>
      <c r="D90" s="42">
        <f>Vcstmax_max*mV/Rcs_rcmd</f>
        <v>0.93763251796644087</v>
      </c>
      <c r="E90" s="42">
        <f>Vcstmax_max*mV/Rcs</f>
        <v>0.93788063337393435</v>
      </c>
      <c r="F90" s="40" t="s">
        <v>6</v>
      </c>
      <c r="G90" s="140"/>
      <c r="H90" s="140"/>
      <c r="I90" s="140"/>
      <c r="J90" s="141"/>
    </row>
    <row r="91" spans="2:10" ht="18.75" customHeight="1" x14ac:dyDescent="0.25">
      <c r="B91" s="37" t="s">
        <v>212</v>
      </c>
      <c r="C91" s="11" t="s">
        <v>281</v>
      </c>
      <c r="D91" s="42">
        <f>(Ipp_nom_rcmd/2)*Nps_ideal*Ddemag_cc</f>
        <v>1.1350692949465353</v>
      </c>
      <c r="E91" s="42">
        <f>(Ipp_nom/2)*Nps*Ddemag_cc</f>
        <v>1.168136419001218</v>
      </c>
      <c r="F91" s="40" t="s">
        <v>6</v>
      </c>
      <c r="G91" s="140"/>
      <c r="H91" s="140"/>
      <c r="I91" s="140"/>
      <c r="J91" s="141"/>
    </row>
    <row r="92" spans="2:10" ht="18.75" customHeight="1" x14ac:dyDescent="0.25">
      <c r="B92" s="37" t="s">
        <v>198</v>
      </c>
      <c r="C92" s="11" t="s">
        <v>282</v>
      </c>
      <c r="D92" s="42">
        <f>Ipp_max_rcmd*Nps_ideal*Ddemag_cc/2</f>
        <v>1.1810856177146383</v>
      </c>
      <c r="E92" s="42">
        <f>Ipp_max*Nps*Ddemag_cc/2</f>
        <v>1.2154933008526188</v>
      </c>
      <c r="F92" s="40" t="s">
        <v>6</v>
      </c>
      <c r="G92" s="183"/>
      <c r="H92" s="183"/>
      <c r="I92" s="183"/>
      <c r="J92" s="184"/>
    </row>
    <row r="93" spans="2:10" s="89" customFormat="1" ht="18.75" customHeight="1" x14ac:dyDescent="0.25">
      <c r="B93" s="98" t="s">
        <v>414</v>
      </c>
      <c r="C93" s="99" t="s">
        <v>430</v>
      </c>
      <c r="D93" s="100">
        <f>((2*(Vocv+Vf_rcmd+Vocbc)*Iocc_target_max)/((Ipp_nom_rcmd^2)*(fmax*kHz)*eff_xfmr))/uH</f>
        <v>555.61933927444841</v>
      </c>
      <c r="E93" s="101">
        <v>500</v>
      </c>
      <c r="F93" s="102" t="s">
        <v>33</v>
      </c>
      <c r="G93" s="185" t="s">
        <v>201</v>
      </c>
      <c r="H93" s="186"/>
      <c r="I93" s="186"/>
      <c r="J93" s="187"/>
    </row>
    <row r="94" spans="2:10" ht="18.75" customHeight="1" x14ac:dyDescent="0.25">
      <c r="B94" s="37" t="s">
        <v>110</v>
      </c>
      <c r="C94" s="11" t="s">
        <v>283</v>
      </c>
      <c r="D94" s="42">
        <v>8.1</v>
      </c>
      <c r="E94" s="42">
        <f>VDDoff_max</f>
        <v>8.1</v>
      </c>
      <c r="F94" s="40" t="s">
        <v>4</v>
      </c>
      <c r="G94" s="149" t="s">
        <v>135</v>
      </c>
      <c r="H94" s="149"/>
      <c r="I94" s="149"/>
      <c r="J94" s="150"/>
    </row>
    <row r="95" spans="2:10" ht="18.75" customHeight="1" x14ac:dyDescent="0.25">
      <c r="B95" s="37" t="s">
        <v>111</v>
      </c>
      <c r="C95" s="11" t="s">
        <v>284</v>
      </c>
      <c r="D95" s="42">
        <v>7.3</v>
      </c>
      <c r="E95" s="42">
        <f>VDDoff_min</f>
        <v>7.3</v>
      </c>
      <c r="F95" s="40" t="s">
        <v>4</v>
      </c>
      <c r="G95" s="149" t="s">
        <v>135</v>
      </c>
      <c r="H95" s="149"/>
      <c r="I95" s="149"/>
      <c r="J95" s="150"/>
    </row>
    <row r="96" spans="2:10" s="89" customFormat="1" ht="18.75" customHeight="1" x14ac:dyDescent="0.25">
      <c r="B96" s="90" t="s">
        <v>107</v>
      </c>
      <c r="C96" s="85" t="s">
        <v>431</v>
      </c>
      <c r="D96" s="91">
        <v>0.7</v>
      </c>
      <c r="E96" s="92">
        <v>0.7</v>
      </c>
      <c r="F96" s="88" t="s">
        <v>4</v>
      </c>
      <c r="G96" s="103" t="s">
        <v>203</v>
      </c>
      <c r="H96" s="104"/>
      <c r="I96" s="104"/>
      <c r="J96" s="105"/>
    </row>
    <row r="97" spans="2:10" ht="18.75" customHeight="1" x14ac:dyDescent="0.25">
      <c r="B97" s="37" t="s">
        <v>226</v>
      </c>
      <c r="C97" s="11" t="s">
        <v>285</v>
      </c>
      <c r="D97" s="42">
        <f>(VDDoff_max+Vfa_rcmd)/(Vocc+Vf_rcmd)</f>
        <v>0.84291187739463591</v>
      </c>
      <c r="E97" s="42">
        <f>(VDDoff_max+Vfa)/(Vocc+Vf)</f>
        <v>0.84049665711556809</v>
      </c>
      <c r="F97" s="60"/>
      <c r="G97" s="183"/>
      <c r="H97" s="183"/>
      <c r="I97" s="183"/>
      <c r="J97" s="184"/>
    </row>
    <row r="98" spans="2:10" s="89" customFormat="1" ht="18.75" customHeight="1" x14ac:dyDescent="0.25">
      <c r="B98" s="90" t="s">
        <v>415</v>
      </c>
      <c r="C98" s="85" t="s">
        <v>432</v>
      </c>
      <c r="D98" s="91">
        <f>Nps_ideal/((VDDoff_max+Vfa_rcmd)/(Vocc+Vf_rcmd+Vocbc))</f>
        <v>7.0510521222798568</v>
      </c>
      <c r="E98" s="92">
        <v>6</v>
      </c>
      <c r="F98" s="95"/>
      <c r="G98" s="163" t="s">
        <v>411</v>
      </c>
      <c r="H98" s="163"/>
      <c r="I98" s="163"/>
      <c r="J98" s="164"/>
    </row>
    <row r="99" spans="2:10" ht="18.75" customHeight="1" x14ac:dyDescent="0.25">
      <c r="B99" s="37" t="s">
        <v>202</v>
      </c>
      <c r="C99" s="11" t="s">
        <v>286</v>
      </c>
      <c r="D99" s="42">
        <f>Nps_ideal/Npa_rcmd</f>
        <v>0.82706766917293228</v>
      </c>
      <c r="E99" s="42">
        <f>Nps/Npa</f>
        <v>1</v>
      </c>
      <c r="F99" s="40"/>
      <c r="G99" s="180"/>
      <c r="H99" s="181"/>
      <c r="I99" s="181"/>
      <c r="J99" s="182"/>
    </row>
    <row r="100" spans="2:10" ht="18.75" customHeight="1" x14ac:dyDescent="0.25">
      <c r="B100" s="37" t="s">
        <v>194</v>
      </c>
      <c r="C100" s="11" t="s">
        <v>287</v>
      </c>
      <c r="D100" s="11">
        <v>2.75</v>
      </c>
      <c r="E100" s="11">
        <f>Kam_min</f>
        <v>2.75</v>
      </c>
      <c r="F100" s="40"/>
      <c r="G100" s="149" t="s">
        <v>135</v>
      </c>
      <c r="H100" s="149"/>
      <c r="I100" s="149"/>
      <c r="J100" s="150"/>
    </row>
    <row r="101" spans="2:10" ht="18.75" customHeight="1" x14ac:dyDescent="0.3">
      <c r="B101" s="37" t="s">
        <v>195</v>
      </c>
      <c r="C101" s="14" t="s">
        <v>288</v>
      </c>
      <c r="D101" s="14">
        <v>2.99</v>
      </c>
      <c r="E101" s="11">
        <f>Kam_nom</f>
        <v>2.99</v>
      </c>
      <c r="F101" s="40"/>
      <c r="G101" s="149" t="s">
        <v>135</v>
      </c>
      <c r="H101" s="149"/>
      <c r="I101" s="149"/>
      <c r="J101" s="150"/>
    </row>
    <row r="102" spans="2:10" ht="18.75" customHeight="1" x14ac:dyDescent="0.25">
      <c r="B102" s="37" t="s">
        <v>196</v>
      </c>
      <c r="C102" s="11" t="s">
        <v>289</v>
      </c>
      <c r="D102" s="69">
        <v>3.2</v>
      </c>
      <c r="E102" s="69">
        <f>Kam_max</f>
        <v>3.2</v>
      </c>
      <c r="F102" s="40"/>
      <c r="G102" s="149" t="s">
        <v>135</v>
      </c>
      <c r="H102" s="149"/>
      <c r="I102" s="149"/>
      <c r="J102" s="150"/>
    </row>
    <row r="103" spans="2:10" ht="18.75" customHeight="1" x14ac:dyDescent="0.25">
      <c r="B103" s="37" t="s">
        <v>211</v>
      </c>
      <c r="C103" s="11" t="s">
        <v>290</v>
      </c>
      <c r="D103" s="42">
        <f>Ipp_nom_rcmd/Kam_nom</f>
        <v>0.30137169929859969</v>
      </c>
      <c r="E103" s="42">
        <f>Ipp_nom/Kam_nom</f>
        <v>0.30145144798536738</v>
      </c>
      <c r="F103" s="40" t="s">
        <v>6</v>
      </c>
      <c r="G103" s="178"/>
      <c r="H103" s="178"/>
      <c r="I103" s="178"/>
      <c r="J103" s="179"/>
    </row>
    <row r="104" spans="2:10" ht="18.75" customHeight="1" x14ac:dyDescent="0.25">
      <c r="B104" s="37" t="s">
        <v>81</v>
      </c>
      <c r="C104" s="11" t="s">
        <v>291</v>
      </c>
      <c r="D104" s="42">
        <f>(Nps_ideal*Ddemag_cc*(Vocv+Vf_rcmd+Vocbc)/(Lp_rcmd*uH*Ipp_nom_rcmd)/kHz)</f>
        <v>78.698137782959762</v>
      </c>
      <c r="E104" s="42">
        <f>(Nps*Ddemag_cc*(Vocv+Vf+Vocbc)/(Lp*uH*Ipp_nom)/kHz)</f>
        <v>90.125030918918924</v>
      </c>
      <c r="F104" s="40" t="s">
        <v>9</v>
      </c>
      <c r="G104" s="140"/>
      <c r="H104" s="140"/>
      <c r="I104" s="140"/>
      <c r="J104" s="141"/>
    </row>
    <row r="105" spans="2:10" ht="18.75" customHeight="1" x14ac:dyDescent="0.25">
      <c r="B105" s="37" t="s">
        <v>82</v>
      </c>
      <c r="C105" s="11" t="s">
        <v>292</v>
      </c>
      <c r="D105" s="42">
        <f>(1/fmax_actual_rcmd*kHz)</f>
        <v>12.706780975655139</v>
      </c>
      <c r="E105" s="42">
        <f>(1/fmax_actual*kHz)</f>
        <v>11.095696609520733</v>
      </c>
      <c r="F105" s="40" t="s">
        <v>23</v>
      </c>
      <c r="G105" s="140"/>
      <c r="H105" s="140"/>
      <c r="I105" s="140"/>
      <c r="J105" s="141"/>
    </row>
    <row r="106" spans="2:10" ht="18.75" customHeight="1" x14ac:dyDescent="0.25">
      <c r="B106" s="37" t="s">
        <v>83</v>
      </c>
      <c r="C106" s="11" t="s">
        <v>293</v>
      </c>
      <c r="D106" s="42">
        <f>Ipp_nom_rcmd*Lp_rcmd/Vbulkmin_rcmd</f>
        <v>6.200909116119707</v>
      </c>
      <c r="E106" s="42">
        <f>Ipp_nom*Lp/Vbulk_min</f>
        <v>5.5816541616201683</v>
      </c>
      <c r="F106" s="40" t="s">
        <v>23</v>
      </c>
      <c r="G106" s="140"/>
      <c r="H106" s="140"/>
      <c r="I106" s="140"/>
      <c r="J106" s="141"/>
    </row>
    <row r="107" spans="2:10" ht="18.75" customHeight="1" x14ac:dyDescent="0.25">
      <c r="B107" s="37" t="s">
        <v>87</v>
      </c>
      <c r="C107" s="11" t="s">
        <v>294</v>
      </c>
      <c r="D107" s="11">
        <f>(ton_max_rcmd*us)*(fmax_actual_rcmd*kHz)</f>
        <v>0.48799999999999993</v>
      </c>
      <c r="E107" s="42">
        <f>(ton_max*us)*(fmax_actual*kHz)</f>
        <v>0.50304675389473019</v>
      </c>
      <c r="F107" s="40"/>
      <c r="G107" s="140"/>
      <c r="H107" s="140"/>
      <c r="I107" s="140"/>
      <c r="J107" s="141"/>
    </row>
    <row r="108" spans="2:10" ht="18.75" customHeight="1" x14ac:dyDescent="0.25">
      <c r="B108" s="37" t="s">
        <v>88</v>
      </c>
      <c r="C108" s="11" t="s">
        <v>295</v>
      </c>
      <c r="D108" s="42">
        <f>(Lp_rcmd*uH)*Ipp_nom_rcmd/(Nps_ideal*(Vocv+Vf_rcmd+Vocbc))/us</f>
        <v>5.48932938148302</v>
      </c>
      <c r="E108" s="42">
        <f>(Lp*uH)*Ipp_nom/(Nps*(Vocv+Vf+Vocbc))/us</f>
        <v>4.7933409353129575</v>
      </c>
      <c r="F108" s="40" t="s">
        <v>23</v>
      </c>
      <c r="G108" s="140"/>
      <c r="H108" s="140"/>
      <c r="I108" s="140"/>
      <c r="J108" s="141"/>
    </row>
    <row r="109" spans="2:10" ht="18.75" customHeight="1" x14ac:dyDescent="0.25">
      <c r="B109" s="37" t="s">
        <v>84</v>
      </c>
      <c r="C109" s="11" t="s">
        <v>296</v>
      </c>
      <c r="D109" s="42">
        <f>(Ipp_nom_rcmd/SQRT(3))*(SQRT(ton_max_rcmd/tsw_actual_rcmd))</f>
        <v>0.36343181155410653</v>
      </c>
      <c r="E109" s="42">
        <f>(Ipp_nom/SQRT(3))*(SQRT(ton_max/tsw_actual))</f>
        <v>0.36908985719805498</v>
      </c>
      <c r="F109" s="40" t="s">
        <v>6</v>
      </c>
      <c r="G109" s="140"/>
      <c r="H109" s="140"/>
      <c r="I109" s="140"/>
      <c r="J109" s="141"/>
    </row>
    <row r="110" spans="2:10" ht="18.75" customHeight="1" x14ac:dyDescent="0.25">
      <c r="B110" s="37" t="s">
        <v>85</v>
      </c>
      <c r="C110" s="11" t="s">
        <v>297</v>
      </c>
      <c r="D110" s="42">
        <f>Ipp_nom_rcmd*Nps_ideal</f>
        <v>5.2549504395672928</v>
      </c>
      <c r="E110" s="42">
        <f>Ipp_nom*Nps</f>
        <v>5.4080389768574904</v>
      </c>
      <c r="F110" s="40" t="s">
        <v>6</v>
      </c>
      <c r="G110" s="140"/>
      <c r="H110" s="140"/>
      <c r="I110" s="140"/>
      <c r="J110" s="141"/>
    </row>
    <row r="111" spans="2:10" ht="18.75" customHeight="1" x14ac:dyDescent="0.25">
      <c r="B111" s="37" t="s">
        <v>86</v>
      </c>
      <c r="C111" s="11" t="s">
        <v>298</v>
      </c>
      <c r="D111" s="42">
        <f>Isp_max_rcmd*SQRT(Ddemag_cc/3)</f>
        <v>1.9941134856402785</v>
      </c>
      <c r="E111" s="42">
        <f>Isp_max*SQRT(Ddemag_cc/3)</f>
        <v>2.0522065010203558</v>
      </c>
      <c r="F111" s="40" t="s">
        <v>6</v>
      </c>
      <c r="G111" s="140"/>
      <c r="H111" s="140"/>
      <c r="I111" s="140"/>
      <c r="J111" s="141"/>
    </row>
    <row r="112" spans="2:10" ht="18.75" customHeight="1" x14ac:dyDescent="0.25">
      <c r="B112" s="37" t="s">
        <v>108</v>
      </c>
      <c r="C112" s="11" t="s">
        <v>204</v>
      </c>
      <c r="D112" s="42">
        <f>((Vocv+Vf_rcmd+Vocbc)*Nps_ideal-Vfa_rcmd*Npa_rcmd)/Npa_rcmd</f>
        <v>12.23533834586466</v>
      </c>
      <c r="E112" s="42">
        <f>((Vocv+Vf+Vocbc)*Nps-Vfa*Npa)/Npa</f>
        <v>14.969999999999999</v>
      </c>
      <c r="F112" s="40" t="s">
        <v>4</v>
      </c>
      <c r="G112" s="183"/>
      <c r="H112" s="183"/>
      <c r="I112" s="183"/>
      <c r="J112" s="184"/>
    </row>
    <row r="113" spans="2:10" ht="18.75" customHeight="1" x14ac:dyDescent="0.25">
      <c r="B113" s="37" t="s">
        <v>116</v>
      </c>
      <c r="C113" s="11" t="s">
        <v>299</v>
      </c>
      <c r="D113" s="70">
        <f>((Lp_rcmd*uH*Ipp_nom_rcmd)/((Vin_max*SQRT(2))*Kam_nom))/ns</f>
        <v>438.53176670180898</v>
      </c>
      <c r="E113" s="70">
        <f>((Lp*uH*Ipp_nom)/((Vin_max*SQRT(2))*Kam_nom))/ns</f>
        <v>394.73770938695748</v>
      </c>
      <c r="F113" s="40" t="s">
        <v>35</v>
      </c>
      <c r="G113" s="256"/>
      <c r="H113" s="256"/>
      <c r="I113" s="256"/>
      <c r="J113" s="257"/>
    </row>
    <row r="114" spans="2:10" ht="18.75" customHeight="1" x14ac:dyDescent="0.25">
      <c r="B114" s="37" t="s">
        <v>118</v>
      </c>
      <c r="C114" s="11" t="s">
        <v>300</v>
      </c>
      <c r="D114" s="42">
        <f>((ton_min_rcmd*ns)*(Vin_max*SQRT(2)))/(Nps_ideal*(Vocv+Vf_rcmd))/us</f>
        <v>1.8596771519571806</v>
      </c>
      <c r="E114" s="42">
        <f>((ton_min*ns)*(Vin_max*SQRT(2)))/(Nps*(Vocv+Vf))/us</f>
        <v>1.6238496443943513</v>
      </c>
      <c r="F114" s="40" t="s">
        <v>23</v>
      </c>
      <c r="G114" s="140"/>
      <c r="H114" s="140"/>
      <c r="I114" s="140"/>
      <c r="J114" s="141"/>
    </row>
    <row r="115" spans="2:10" ht="18.75" customHeight="1" thickBot="1" x14ac:dyDescent="0.3">
      <c r="B115" s="61" t="s">
        <v>109</v>
      </c>
      <c r="C115" s="62" t="s">
        <v>340</v>
      </c>
      <c r="D115" s="67">
        <f>((VDDoff_min+Vfa_rcmd)/Nas_rec)-Vf_rcmd-Vocbc</f>
        <v>9.0327272727272749</v>
      </c>
      <c r="E115" s="67">
        <f>((VDDoff_min+Vfa)/Nas)-Vf-Vocbc</f>
        <v>7.33</v>
      </c>
      <c r="F115" s="63" t="s">
        <v>4</v>
      </c>
      <c r="G115" s="207"/>
      <c r="H115" s="207"/>
      <c r="I115" s="207"/>
      <c r="J115" s="258"/>
    </row>
    <row r="116" spans="2:10" ht="18.75" customHeight="1" x14ac:dyDescent="0.25">
      <c r="B116" s="146" t="s">
        <v>301</v>
      </c>
      <c r="C116" s="147"/>
      <c r="D116" s="147"/>
      <c r="E116" s="147"/>
      <c r="F116" s="147"/>
      <c r="G116" s="147"/>
      <c r="H116" s="147"/>
      <c r="I116" s="147"/>
      <c r="J116" s="148"/>
    </row>
    <row r="117" spans="2:10" s="89" customFormat="1" ht="18.75" customHeight="1" x14ac:dyDescent="0.25">
      <c r="B117" s="90" t="s">
        <v>416</v>
      </c>
      <c r="C117" s="106" t="s">
        <v>433</v>
      </c>
      <c r="D117" s="107">
        <f>Rcs_rcmd</f>
        <v>0.82121725222371111</v>
      </c>
      <c r="E117" s="106">
        <f>Rcs</f>
        <v>0.82099999999999995</v>
      </c>
      <c r="F117" s="95" t="s">
        <v>31</v>
      </c>
      <c r="G117" s="170" t="s">
        <v>213</v>
      </c>
      <c r="H117" s="170"/>
      <c r="I117" s="170"/>
      <c r="J117" s="171"/>
    </row>
    <row r="118" spans="2:10" ht="18.75" customHeight="1" thickBot="1" x14ac:dyDescent="0.3">
      <c r="B118" s="61" t="s">
        <v>302</v>
      </c>
      <c r="C118" s="62" t="s">
        <v>303</v>
      </c>
      <c r="D118" s="67">
        <f>(Ipri_RMS_rcmd^2)*Rcs_rcmd/mW</f>
        <v>108.46857689054124</v>
      </c>
      <c r="E118" s="67">
        <f>(Ipri_RMS^2)*Rcs/mW</f>
        <v>111.84263192560056</v>
      </c>
      <c r="F118" s="63" t="s">
        <v>64</v>
      </c>
      <c r="G118" s="165"/>
      <c r="H118" s="165"/>
      <c r="I118" s="165"/>
      <c r="J118" s="166"/>
    </row>
    <row r="119" spans="2:10" ht="18.75" customHeight="1" x14ac:dyDescent="0.25">
      <c r="B119" s="146" t="s">
        <v>304</v>
      </c>
      <c r="C119" s="147"/>
      <c r="D119" s="147"/>
      <c r="E119" s="147"/>
      <c r="F119" s="147"/>
      <c r="G119" s="147"/>
      <c r="H119" s="147"/>
      <c r="I119" s="147"/>
      <c r="J119" s="148"/>
    </row>
    <row r="120" spans="2:10" ht="18.75" customHeight="1" x14ac:dyDescent="0.25">
      <c r="B120" s="64" t="s">
        <v>206</v>
      </c>
      <c r="C120" s="65" t="s">
        <v>305</v>
      </c>
      <c r="D120" s="68">
        <f>((Vin_max*SQRT(2))+(Vout_max+Vf_rcmd+Vocbc)*Nps_ideal)*0.3</f>
        <v>143.22575390092376</v>
      </c>
      <c r="E120" s="68">
        <f>((Vin_max*SQRT(2))+(Vout_max+Vf+Vocbc)*Nps)*0.3</f>
        <v>144.1072985522207</v>
      </c>
      <c r="F120" s="66" t="s">
        <v>4</v>
      </c>
      <c r="G120" s="153"/>
      <c r="H120" s="153"/>
      <c r="I120" s="153"/>
      <c r="J120" s="154"/>
    </row>
    <row r="121" spans="2:10" ht="18.75" customHeight="1" x14ac:dyDescent="0.25">
      <c r="B121" s="37" t="s">
        <v>205</v>
      </c>
      <c r="C121" s="11" t="s">
        <v>306</v>
      </c>
      <c r="D121" s="11">
        <f>MROUND(((Vin_max*SQRT(2))+(Vout_max+Vf_rcmd+Vocbc)*Nps_ideal+E120),50)</f>
        <v>600</v>
      </c>
      <c r="E121" s="11">
        <f>MROUND(((Vin_max*SQRT(2))+(Vout_max+Vf+Vocbc)*Nps+E120),50)</f>
        <v>600</v>
      </c>
      <c r="F121" s="40" t="s">
        <v>4</v>
      </c>
      <c r="G121" s="172"/>
      <c r="H121" s="172"/>
      <c r="I121" s="172"/>
      <c r="J121" s="173"/>
    </row>
    <row r="122" spans="2:10" s="89" customFormat="1" ht="18.75" customHeight="1" x14ac:dyDescent="0.25">
      <c r="B122" s="90" t="s">
        <v>77</v>
      </c>
      <c r="C122" s="85" t="s">
        <v>434</v>
      </c>
      <c r="D122" s="106">
        <v>24.6</v>
      </c>
      <c r="E122" s="94">
        <v>3.6</v>
      </c>
      <c r="F122" s="88" t="s">
        <v>16</v>
      </c>
      <c r="G122" s="163" t="s">
        <v>435</v>
      </c>
      <c r="H122" s="163"/>
      <c r="I122" s="163"/>
      <c r="J122" s="164"/>
    </row>
    <row r="123" spans="2:10" s="89" customFormat="1" ht="18.75" customHeight="1" x14ac:dyDescent="0.25">
      <c r="B123" s="90" t="s">
        <v>76</v>
      </c>
      <c r="C123" s="85" t="s">
        <v>436</v>
      </c>
      <c r="D123" s="106">
        <v>0.84</v>
      </c>
      <c r="E123" s="94">
        <v>1.2</v>
      </c>
      <c r="F123" s="88" t="s">
        <v>31</v>
      </c>
      <c r="G123" s="163" t="s">
        <v>437</v>
      </c>
      <c r="H123" s="163"/>
      <c r="I123" s="163"/>
      <c r="J123" s="164"/>
    </row>
    <row r="124" spans="2:10" s="89" customFormat="1" ht="18.75" customHeight="1" x14ac:dyDescent="0.25">
      <c r="B124" s="90" t="s">
        <v>99</v>
      </c>
      <c r="C124" s="85" t="s">
        <v>438</v>
      </c>
      <c r="D124" s="106">
        <v>12</v>
      </c>
      <c r="E124" s="94">
        <v>48</v>
      </c>
      <c r="F124" s="88" t="s">
        <v>35</v>
      </c>
      <c r="G124" s="163" t="s">
        <v>209</v>
      </c>
      <c r="H124" s="163"/>
      <c r="I124" s="163"/>
      <c r="J124" s="164"/>
    </row>
    <row r="125" spans="2:10" s="89" customFormat="1" ht="18.75" customHeight="1" x14ac:dyDescent="0.25">
      <c r="B125" s="90" t="s">
        <v>143</v>
      </c>
      <c r="C125" s="85" t="s">
        <v>439</v>
      </c>
      <c r="D125" s="106">
        <v>26</v>
      </c>
      <c r="E125" s="94">
        <v>150</v>
      </c>
      <c r="F125" s="88" t="s">
        <v>35</v>
      </c>
      <c r="G125" s="163" t="s">
        <v>207</v>
      </c>
      <c r="H125" s="163"/>
      <c r="I125" s="163"/>
      <c r="J125" s="164"/>
    </row>
    <row r="126" spans="2:10" s="89" customFormat="1" ht="18.75" customHeight="1" x14ac:dyDescent="0.25">
      <c r="B126" s="90" t="s">
        <v>149</v>
      </c>
      <c r="C126" s="85" t="s">
        <v>440</v>
      </c>
      <c r="D126" s="106">
        <v>14</v>
      </c>
      <c r="E126" s="94">
        <v>4.8</v>
      </c>
      <c r="F126" s="88" t="s">
        <v>146</v>
      </c>
      <c r="G126" s="163" t="s">
        <v>208</v>
      </c>
      <c r="H126" s="163"/>
      <c r="I126" s="163"/>
      <c r="J126" s="164"/>
    </row>
    <row r="127" spans="2:10" ht="18.75" customHeight="1" x14ac:dyDescent="0.25">
      <c r="B127" s="37" t="s">
        <v>307</v>
      </c>
      <c r="C127" s="11" t="s">
        <v>210</v>
      </c>
      <c r="D127" s="42">
        <f>((Vin_max*SQRT(2))+(Nps_ideal*(Vocv+Vf_rcmd+Vocbc)))/Vds_rcmd</f>
        <v>0.78840901122792117</v>
      </c>
      <c r="E127" s="42">
        <f>((Vin_max*SQRT(2))+(Nps*(Vocv+Vf+Vocbc)))/Vds</f>
        <v>0.7930961030678928</v>
      </c>
      <c r="F127" s="40"/>
      <c r="G127" s="140"/>
      <c r="H127" s="140"/>
      <c r="I127" s="140"/>
      <c r="J127" s="141"/>
    </row>
    <row r="128" spans="2:10" ht="18.75" customHeight="1" x14ac:dyDescent="0.25">
      <c r="B128" s="37" t="s">
        <v>113</v>
      </c>
      <c r="C128" s="11" t="s">
        <v>308</v>
      </c>
      <c r="D128" s="42">
        <f>((Ipp_max_rcmd/SQRT(3))*(SQRT(ton_max_rcmd/tsw_actual_rcmd)))*10</f>
        <v>3.781655336441379</v>
      </c>
      <c r="E128" s="42">
        <f>((Ipp_max/SQRT(3))*(SQRT(ton_max/tsw_actual)))*10</f>
        <v>3.8405295951689511</v>
      </c>
      <c r="F128" s="40" t="s">
        <v>6</v>
      </c>
      <c r="G128" s="140"/>
      <c r="H128" s="140"/>
      <c r="I128" s="140"/>
      <c r="J128" s="141"/>
    </row>
    <row r="129" spans="2:10" ht="18.75" customHeight="1" x14ac:dyDescent="0.25">
      <c r="B129" s="37" t="s">
        <v>114</v>
      </c>
      <c r="C129" s="11" t="s">
        <v>309</v>
      </c>
      <c r="D129" s="42">
        <f>Ipp_max_rcmd*10</f>
        <v>9.3763251796644091</v>
      </c>
      <c r="E129" s="42">
        <f>Ipp_max*10</f>
        <v>9.3788063337393428</v>
      </c>
      <c r="F129" s="40" t="s">
        <v>6</v>
      </c>
      <c r="G129" s="140"/>
      <c r="H129" s="140"/>
      <c r="I129" s="140"/>
      <c r="J129" s="141"/>
    </row>
    <row r="130" spans="2:10" ht="18.75" customHeight="1" x14ac:dyDescent="0.25">
      <c r="B130" s="37" t="s">
        <v>97</v>
      </c>
      <c r="C130" s="11" t="s">
        <v>310</v>
      </c>
      <c r="D130" s="42">
        <f>(Ipri_RMS_rcmd^2)*Rdson_rcmd</f>
        <v>0.11094945258557966</v>
      </c>
      <c r="E130" s="42">
        <f>(Ipri_RMS^2)*Rdson</f>
        <v>0.16347278722377673</v>
      </c>
      <c r="F130" s="40" t="s">
        <v>7</v>
      </c>
      <c r="G130" s="140"/>
      <c r="H130" s="140"/>
      <c r="I130" s="140"/>
      <c r="J130" s="141"/>
    </row>
    <row r="131" spans="2:10" ht="18.75" customHeight="1" x14ac:dyDescent="0.25">
      <c r="B131" s="37" t="s">
        <v>98</v>
      </c>
      <c r="C131" s="11" t="s">
        <v>311</v>
      </c>
      <c r="D131" s="42">
        <f>fmax_actual_rcmd*kHz*((((Coss_rcmd*pF)*((Vin_max*SQRT(2))-Vflyback_rcmd)^2)/2)+((((Vin_max*SQRT(2))+Vflyback_rcmd)*Ipp_nom_rcmd*tf_rcmd*ns)/2))</f>
        <v>0.28303784651662439</v>
      </c>
      <c r="E131" s="42">
        <f>fmax_actual*kHz*((((Coss*pF)*((Vin_max*SQRT(2))-Vflyback)^2)/2)+((((Vin_max*SQRT(2))+Vflyback)*Ipp_nom*tf*ns)/2))</f>
        <v>0.94117005086140271</v>
      </c>
      <c r="F131" s="40" t="s">
        <v>7</v>
      </c>
      <c r="G131" s="140"/>
      <c r="H131" s="140"/>
      <c r="I131" s="140"/>
      <c r="J131" s="141"/>
    </row>
    <row r="132" spans="2:10" ht="18.75" customHeight="1" x14ac:dyDescent="0.25">
      <c r="B132" s="37" t="s">
        <v>101</v>
      </c>
      <c r="C132" s="11" t="s">
        <v>312</v>
      </c>
      <c r="D132" s="42">
        <f>Pfet_cond_rcmd+Pfet_switching_rcmd</f>
        <v>0.39398729910220404</v>
      </c>
      <c r="E132" s="42">
        <f>Pfet_cond+Pfet_switching</f>
        <v>1.1046428380851794</v>
      </c>
      <c r="F132" s="40" t="s">
        <v>7</v>
      </c>
      <c r="G132" s="140"/>
      <c r="H132" s="140"/>
      <c r="I132" s="140"/>
      <c r="J132" s="141"/>
    </row>
    <row r="133" spans="2:10" ht="18.75" customHeight="1" thickBot="1" x14ac:dyDescent="0.3">
      <c r="B133" s="61" t="s">
        <v>106</v>
      </c>
      <c r="C133" s="62" t="s">
        <v>314</v>
      </c>
      <c r="D133" s="67">
        <f>(0.95*Vds_rcmd)-((Vin_max*SQRT(2))+Nps_ideal*(Vocv+Vf_rcmd+Vocbc))</f>
        <v>96.954593263247318</v>
      </c>
      <c r="E133" s="67">
        <f>(0.95*Vds)-((Vin_max*SQRT(2))+Nps*(Vocv+Vf+Vocbc))</f>
        <v>94.142338159264341</v>
      </c>
      <c r="F133" s="63" t="s">
        <v>4</v>
      </c>
      <c r="G133" s="165"/>
      <c r="H133" s="165"/>
      <c r="I133" s="165"/>
      <c r="J133" s="166"/>
    </row>
    <row r="134" spans="2:10" ht="18.75" customHeight="1" x14ac:dyDescent="0.25">
      <c r="B134" s="146" t="s">
        <v>315</v>
      </c>
      <c r="C134" s="147"/>
      <c r="D134" s="147"/>
      <c r="E134" s="147"/>
      <c r="F134" s="147"/>
      <c r="G134" s="147"/>
      <c r="H134" s="147"/>
      <c r="I134" s="147"/>
      <c r="J134" s="148"/>
    </row>
    <row r="135" spans="2:10" ht="18.75" customHeight="1" x14ac:dyDescent="0.25">
      <c r="B135" s="37" t="s">
        <v>316</v>
      </c>
      <c r="C135" s="11" t="s">
        <v>317</v>
      </c>
      <c r="D135" s="11">
        <f>Vf_rcmd</f>
        <v>0.44</v>
      </c>
      <c r="E135" s="42">
        <f>Vf</f>
        <v>0.47</v>
      </c>
      <c r="F135" s="40" t="s">
        <v>4</v>
      </c>
      <c r="G135" s="167" t="s">
        <v>213</v>
      </c>
      <c r="H135" s="168"/>
      <c r="I135" s="168"/>
      <c r="J135" s="169"/>
    </row>
    <row r="136" spans="2:10" ht="18.75" customHeight="1" x14ac:dyDescent="0.25">
      <c r="B136" s="37" t="s">
        <v>112</v>
      </c>
      <c r="C136" s="11" t="s">
        <v>318</v>
      </c>
      <c r="D136" s="42">
        <f>(((Vin_max*SQRT(2)))/Nps_ideal)+Vout_ovp</f>
        <v>81.476249171575517</v>
      </c>
      <c r="E136" s="42">
        <f>(((Vin_max*SQRT(2)))/Nps)+Vout_ovp</f>
        <v>79.63961030678928</v>
      </c>
      <c r="F136" s="40" t="s">
        <v>4</v>
      </c>
      <c r="G136" s="247"/>
      <c r="H136" s="248"/>
      <c r="I136" s="248"/>
      <c r="J136" s="249"/>
    </row>
    <row r="137" spans="2:10" ht="18.75" customHeight="1" x14ac:dyDescent="0.25">
      <c r="B137" s="37" t="s">
        <v>115</v>
      </c>
      <c r="C137" s="11" t="s">
        <v>319</v>
      </c>
      <c r="D137" s="42">
        <f>Isec_rms_rcmd</f>
        <v>1.9941134856402785</v>
      </c>
      <c r="E137" s="42">
        <f>Isec_rms</f>
        <v>2.0522065010203558</v>
      </c>
      <c r="F137" s="40" t="s">
        <v>6</v>
      </c>
      <c r="G137" s="250"/>
      <c r="H137" s="251"/>
      <c r="I137" s="251"/>
      <c r="J137" s="252"/>
    </row>
    <row r="138" spans="2:10" ht="18.75" customHeight="1" thickBot="1" x14ac:dyDescent="0.3">
      <c r="B138" s="61" t="s">
        <v>320</v>
      </c>
      <c r="C138" s="62" t="s">
        <v>321</v>
      </c>
      <c r="D138" s="67">
        <f>Vf_rcmd*Iocc_rcmd</f>
        <v>0.49943048977647553</v>
      </c>
      <c r="E138" s="67">
        <f>Vf*Iocc</f>
        <v>0.5490241169305724</v>
      </c>
      <c r="F138" s="63" t="s">
        <v>7</v>
      </c>
      <c r="G138" s="253"/>
      <c r="H138" s="254"/>
      <c r="I138" s="254"/>
      <c r="J138" s="255"/>
    </row>
    <row r="139" spans="2:10" ht="18.75" customHeight="1" x14ac:dyDescent="0.25">
      <c r="B139" s="146" t="s">
        <v>322</v>
      </c>
      <c r="C139" s="147"/>
      <c r="D139" s="147"/>
      <c r="E139" s="147"/>
      <c r="F139" s="147"/>
      <c r="G139" s="147"/>
      <c r="H139" s="147"/>
      <c r="I139" s="147"/>
      <c r="J139" s="148"/>
    </row>
    <row r="140" spans="2:10" ht="18.75" customHeight="1" x14ac:dyDescent="0.25">
      <c r="B140" s="37" t="s">
        <v>107</v>
      </c>
      <c r="C140" s="11" t="s">
        <v>323</v>
      </c>
      <c r="D140" s="42">
        <f>Vfa_rcmd</f>
        <v>0.7</v>
      </c>
      <c r="E140" s="11">
        <f>Vfa</f>
        <v>0.7</v>
      </c>
      <c r="F140" s="40" t="s">
        <v>4</v>
      </c>
      <c r="G140" s="167" t="s">
        <v>213</v>
      </c>
      <c r="H140" s="168"/>
      <c r="I140" s="168"/>
      <c r="J140" s="169"/>
    </row>
    <row r="141" spans="2:10" ht="18.75" customHeight="1" thickBot="1" x14ac:dyDescent="0.3">
      <c r="B141" s="61" t="s">
        <v>112</v>
      </c>
      <c r="C141" s="62" t="s">
        <v>324</v>
      </c>
      <c r="D141" s="67">
        <f>(Vocv*Nps_ideal/Npa_rcmd)+((Vin_max*SQRT(2))/Npa_rcmd)+VDD_rcmd</f>
        <v>78.794642171979746</v>
      </c>
      <c r="E141" s="67">
        <f>(Vocv*Nps/Npa)+((Vin_max*SQRT(2))/Npa)+VDD</f>
        <v>93.609610306789278</v>
      </c>
      <c r="F141" s="63" t="s">
        <v>4</v>
      </c>
      <c r="G141" s="165"/>
      <c r="H141" s="165"/>
      <c r="I141" s="165"/>
      <c r="J141" s="166"/>
    </row>
    <row r="142" spans="2:10" ht="18.75" customHeight="1" x14ac:dyDescent="0.25">
      <c r="B142" s="146" t="s">
        <v>387</v>
      </c>
      <c r="C142" s="147"/>
      <c r="D142" s="147"/>
      <c r="E142" s="147"/>
      <c r="F142" s="147"/>
      <c r="G142" s="147"/>
      <c r="H142" s="147"/>
      <c r="I142" s="147"/>
      <c r="J142" s="148"/>
    </row>
    <row r="143" spans="2:10" s="111" customFormat="1" ht="18.75" customHeight="1" x14ac:dyDescent="0.25">
      <c r="B143" s="90" t="s">
        <v>217</v>
      </c>
      <c r="C143" s="85" t="s">
        <v>443</v>
      </c>
      <c r="D143" s="107">
        <v>0.5</v>
      </c>
      <c r="E143" s="92">
        <v>0.1</v>
      </c>
      <c r="F143" s="88" t="s">
        <v>6</v>
      </c>
      <c r="G143" s="163" t="s">
        <v>218</v>
      </c>
      <c r="H143" s="163"/>
      <c r="I143" s="163"/>
      <c r="J143" s="164"/>
    </row>
    <row r="144" spans="2:10" s="111" customFormat="1" ht="18.75" customHeight="1" x14ac:dyDescent="0.25">
      <c r="B144" s="90" t="s">
        <v>220</v>
      </c>
      <c r="C144" s="85" t="s">
        <v>444</v>
      </c>
      <c r="D144" s="107">
        <v>4.0999999999999996</v>
      </c>
      <c r="E144" s="92">
        <v>10</v>
      </c>
      <c r="F144" s="88" t="s">
        <v>4</v>
      </c>
      <c r="G144" s="163" t="s">
        <v>221</v>
      </c>
      <c r="H144" s="163"/>
      <c r="I144" s="163"/>
      <c r="J144" s="164"/>
    </row>
    <row r="145" spans="2:10" ht="18.75" customHeight="1" x14ac:dyDescent="0.25">
      <c r="B145" s="37" t="s">
        <v>325</v>
      </c>
      <c r="C145" s="11" t="s">
        <v>326</v>
      </c>
      <c r="D145" s="11">
        <f>'LOOKUP TABLES AND DROPDOWN LIST'!W31</f>
        <v>1500</v>
      </c>
      <c r="E145" s="11">
        <f>'LOOKUP TABLES AND DROPDOWN LIST'!W20</f>
        <v>680</v>
      </c>
      <c r="F145" s="40" t="s">
        <v>14</v>
      </c>
      <c r="G145" s="136"/>
      <c r="H145" s="136"/>
      <c r="I145" s="136"/>
      <c r="J145" s="137"/>
    </row>
    <row r="146" spans="2:10" ht="18.75" customHeight="1" x14ac:dyDescent="0.25">
      <c r="B146" s="37" t="s">
        <v>327</v>
      </c>
      <c r="C146" s="11" t="s">
        <v>328</v>
      </c>
      <c r="D146" s="11">
        <f>'LOOKUP TABLES AND DROPDOWN LIST'!T36</f>
        <v>150</v>
      </c>
      <c r="E146" s="11">
        <f>'LOOKUP TABLES AND DROPDOWN LIST'!T25</f>
        <v>33</v>
      </c>
      <c r="F146" s="40" t="s">
        <v>14</v>
      </c>
      <c r="G146" s="140"/>
      <c r="H146" s="140"/>
      <c r="I146" s="140"/>
      <c r="J146" s="141"/>
    </row>
    <row r="147" spans="2:10" ht="18.75" customHeight="1" x14ac:dyDescent="0.25">
      <c r="B147" s="37" t="s">
        <v>329</v>
      </c>
      <c r="C147" s="11" t="s">
        <v>339</v>
      </c>
      <c r="D147" s="11">
        <f>'LOOKUP TABLES AND DROPDOWN LIST'!W36</f>
        <v>100</v>
      </c>
      <c r="E147" s="11">
        <f>'LOOKUP TABLES AND DROPDOWN LIST'!W25</f>
        <v>82</v>
      </c>
      <c r="F147" s="40" t="s">
        <v>14</v>
      </c>
      <c r="G147" s="140"/>
      <c r="H147" s="140"/>
      <c r="I147" s="140"/>
      <c r="J147" s="141"/>
    </row>
    <row r="148" spans="2:10" ht="18.75" customHeight="1" x14ac:dyDescent="0.25">
      <c r="B148" s="37" t="s">
        <v>330</v>
      </c>
      <c r="C148" s="11" t="s">
        <v>331</v>
      </c>
      <c r="D148" s="11">
        <f>'LOOKUP TABLES AND DROPDOWN LIST'!Z36</f>
        <v>470</v>
      </c>
      <c r="E148" s="11">
        <f>'LOOKUP TABLES AND DROPDOWN LIST'!Z25</f>
        <v>390</v>
      </c>
      <c r="F148" s="40" t="s">
        <v>14</v>
      </c>
      <c r="G148" s="140"/>
      <c r="H148" s="140"/>
      <c r="I148" s="140"/>
      <c r="J148" s="141"/>
    </row>
    <row r="149" spans="2:10" s="89" customFormat="1" ht="18.75" customHeight="1" x14ac:dyDescent="0.25">
      <c r="B149" s="90" t="s">
        <v>441</v>
      </c>
      <c r="C149" s="108" t="s">
        <v>442</v>
      </c>
      <c r="D149" s="108">
        <f>'LOOKUP TABLES AND DROPDOWN LIST'!T31</f>
        <v>470</v>
      </c>
      <c r="E149" s="109">
        <f>'LOOKUP TABLES AND DROPDOWN LIST'!T20</f>
        <v>390</v>
      </c>
      <c r="F149" s="88" t="s">
        <v>14</v>
      </c>
      <c r="G149" s="110" t="s">
        <v>222</v>
      </c>
      <c r="H149" s="104"/>
      <c r="I149" s="104"/>
      <c r="J149" s="105"/>
    </row>
    <row r="150" spans="2:10" ht="18.75" customHeight="1" x14ac:dyDescent="0.25">
      <c r="B150" s="71" t="s">
        <v>117</v>
      </c>
      <c r="C150" s="65" t="s">
        <v>332</v>
      </c>
      <c r="D150" s="68">
        <f>SQRT((Iocc_rcmd^2)+((Lp_rcmd*uH*Ipp_nom_rcmd*fmax_actual_rcmd*kHz/Vbulkmin_rcmd)*((Isp_max_rcmd^2/3)-Isp_max_rcmd*Iocc_rcmd)))</f>
        <v>1.6939752037839806</v>
      </c>
      <c r="E150" s="68">
        <f>SQRT((Iocc^2)+((Lp*uH*Ipp_nom*fmax_actual*kHz/Vbulk_min)*((Isp_max^2/3)-Isp_max*Iocc)))</f>
        <v>1.7580714793432235</v>
      </c>
      <c r="F150" s="66" t="s">
        <v>6</v>
      </c>
      <c r="G150" s="153"/>
      <c r="H150" s="153"/>
      <c r="I150" s="153"/>
      <c r="J150" s="154"/>
    </row>
    <row r="151" spans="2:10" ht="18.75" customHeight="1" thickBot="1" x14ac:dyDescent="0.3">
      <c r="B151" s="72" t="s">
        <v>333</v>
      </c>
      <c r="C151" s="73" t="s">
        <v>334</v>
      </c>
      <c r="D151" s="74">
        <f>(((0.33*Vripple_target*mV)/Isp_max_rcmd)*0.5)/mOhms</f>
        <v>3.1398964062082872</v>
      </c>
      <c r="E151" s="74">
        <f>(((0.33*Vripple_target*mV)/Isp_max)*0.5)/mOhms</f>
        <v>3.0510135135135137</v>
      </c>
      <c r="F151" s="75" t="s">
        <v>37</v>
      </c>
      <c r="G151" s="151"/>
      <c r="H151" s="151"/>
      <c r="I151" s="151"/>
      <c r="J151" s="152"/>
    </row>
    <row r="152" spans="2:10" ht="18.75" customHeight="1" x14ac:dyDescent="0.25">
      <c r="B152" s="146" t="s">
        <v>335</v>
      </c>
      <c r="C152" s="147"/>
      <c r="D152" s="147"/>
      <c r="E152" s="147"/>
      <c r="F152" s="147"/>
      <c r="G152" s="147"/>
      <c r="H152" s="147"/>
      <c r="I152" s="147"/>
      <c r="J152" s="148"/>
    </row>
    <row r="153" spans="2:10" ht="18.75" customHeight="1" x14ac:dyDescent="0.25">
      <c r="B153" s="37" t="s">
        <v>148</v>
      </c>
      <c r="C153" s="11" t="s">
        <v>341</v>
      </c>
      <c r="D153" s="11">
        <v>2.65</v>
      </c>
      <c r="E153" s="11">
        <f>Irun</f>
        <v>2.65</v>
      </c>
      <c r="F153" s="40" t="s">
        <v>22</v>
      </c>
      <c r="G153" s="149" t="s">
        <v>135</v>
      </c>
      <c r="H153" s="149"/>
      <c r="I153" s="149"/>
      <c r="J153" s="150"/>
    </row>
    <row r="154" spans="2:10" ht="18.75" customHeight="1" x14ac:dyDescent="0.25">
      <c r="B154" s="37" t="s">
        <v>229</v>
      </c>
      <c r="C154" s="11" t="s">
        <v>342</v>
      </c>
      <c r="D154" s="11">
        <v>23</v>
      </c>
      <c r="E154" s="11">
        <f>VDDon</f>
        <v>23</v>
      </c>
      <c r="F154" s="40" t="s">
        <v>4</v>
      </c>
      <c r="G154" s="149" t="s">
        <v>135</v>
      </c>
      <c r="H154" s="149"/>
      <c r="I154" s="149"/>
      <c r="J154" s="150"/>
    </row>
    <row r="155" spans="2:10" ht="18.75" customHeight="1" x14ac:dyDescent="0.25">
      <c r="B155" s="37" t="s">
        <v>347</v>
      </c>
      <c r="C155" s="11" t="s">
        <v>348</v>
      </c>
      <c r="D155" s="11">
        <v>75</v>
      </c>
      <c r="E155" s="11">
        <f>Iwait</f>
        <v>75</v>
      </c>
      <c r="F155" s="40" t="s">
        <v>349</v>
      </c>
      <c r="G155" s="149" t="s">
        <v>135</v>
      </c>
      <c r="H155" s="149"/>
      <c r="I155" s="149"/>
      <c r="J155" s="150"/>
    </row>
    <row r="156" spans="2:10" ht="18.75" customHeight="1" x14ac:dyDescent="0.25">
      <c r="B156" s="37" t="s">
        <v>337</v>
      </c>
      <c r="C156" s="11" t="s">
        <v>343</v>
      </c>
      <c r="D156" s="11">
        <f>'LOOKUP TABLES AND DROPDOWN LIST'!Q34</f>
        <v>1</v>
      </c>
      <c r="E156" s="42">
        <f>Cvdd1</f>
        <v>0.81999999999999984</v>
      </c>
      <c r="F156" s="40" t="s">
        <v>230</v>
      </c>
      <c r="G156" s="140"/>
      <c r="H156" s="140"/>
      <c r="I156" s="140"/>
      <c r="J156" s="141"/>
    </row>
    <row r="157" spans="2:10" ht="18.75" customHeight="1" x14ac:dyDescent="0.25">
      <c r="B157" s="37" t="s">
        <v>338</v>
      </c>
      <c r="C157" s="11" t="s">
        <v>345</v>
      </c>
      <c r="D157" s="11">
        <f>'LOOKUP TABLES AND DROPDOWN LIST'!Q38</f>
        <v>2.1999999999999997</v>
      </c>
      <c r="E157" s="42">
        <f>'LOOKUP TABLES AND DROPDOWN LIST'!Q24</f>
        <v>2.1999999999999997</v>
      </c>
      <c r="F157" s="40" t="s">
        <v>230</v>
      </c>
      <c r="G157" s="140"/>
      <c r="H157" s="140"/>
      <c r="I157" s="140"/>
      <c r="J157" s="141"/>
    </row>
    <row r="158" spans="2:10" ht="18.75" customHeight="1" x14ac:dyDescent="0.25">
      <c r="B158" s="37" t="s">
        <v>351</v>
      </c>
      <c r="C158" s="11" t="s">
        <v>352</v>
      </c>
      <c r="D158" s="11">
        <f>'LOOKUP TABLES AND DROPDOWN LIST'!Q42</f>
        <v>12</v>
      </c>
      <c r="E158" s="42">
        <f>'LOOKUP TABLES AND DROPDOWN LIST'!Q28</f>
        <v>8.1999999999999993</v>
      </c>
      <c r="F158" s="40" t="s">
        <v>230</v>
      </c>
      <c r="G158" s="140"/>
      <c r="H158" s="140"/>
      <c r="I158" s="140"/>
      <c r="J158" s="141"/>
    </row>
    <row r="159" spans="2:10" s="89" customFormat="1" ht="18.75" customHeight="1" thickBot="1" x14ac:dyDescent="0.3">
      <c r="B159" s="112" t="s">
        <v>151</v>
      </c>
      <c r="C159" s="113" t="s">
        <v>445</v>
      </c>
      <c r="D159" s="114">
        <f>MAX(D156:D158)</f>
        <v>12</v>
      </c>
      <c r="E159" s="115">
        <f>MAX(E156:E158)</f>
        <v>8.1999999999999993</v>
      </c>
      <c r="F159" s="116" t="s">
        <v>446</v>
      </c>
      <c r="G159" s="161"/>
      <c r="H159" s="161"/>
      <c r="I159" s="161"/>
      <c r="J159" s="162"/>
    </row>
    <row r="160" spans="2:10" ht="18.75" customHeight="1" x14ac:dyDescent="0.25">
      <c r="B160" s="146" t="s">
        <v>389</v>
      </c>
      <c r="C160" s="147"/>
      <c r="D160" s="147"/>
      <c r="E160" s="147"/>
      <c r="F160" s="147"/>
      <c r="G160" s="147"/>
      <c r="H160" s="147"/>
      <c r="I160" s="147"/>
      <c r="J160" s="148"/>
    </row>
    <row r="161" spans="2:10" ht="18.75" customHeight="1" x14ac:dyDescent="0.25">
      <c r="B161" s="37" t="s">
        <v>120</v>
      </c>
      <c r="C161" s="11" t="s">
        <v>354</v>
      </c>
      <c r="D161" s="11">
        <v>190</v>
      </c>
      <c r="E161" s="11">
        <f>Ivslrun_min</f>
        <v>190</v>
      </c>
      <c r="F161" s="40" t="s">
        <v>353</v>
      </c>
      <c r="G161" s="149" t="s">
        <v>135</v>
      </c>
      <c r="H161" s="149"/>
      <c r="I161" s="149"/>
      <c r="J161" s="150"/>
    </row>
    <row r="162" spans="2:10" ht="18.75" customHeight="1" x14ac:dyDescent="0.25">
      <c r="B162" s="37" t="s">
        <v>125</v>
      </c>
      <c r="C162" s="11" t="s">
        <v>355</v>
      </c>
      <c r="D162" s="11">
        <v>225</v>
      </c>
      <c r="E162" s="11">
        <f>Ivslrun_nom</f>
        <v>225</v>
      </c>
      <c r="F162" s="40" t="s">
        <v>353</v>
      </c>
      <c r="G162" s="149" t="s">
        <v>135</v>
      </c>
      <c r="H162" s="149"/>
      <c r="I162" s="149"/>
      <c r="J162" s="150"/>
    </row>
    <row r="163" spans="2:10" ht="18.75" customHeight="1" x14ac:dyDescent="0.25">
      <c r="B163" s="37" t="s">
        <v>121</v>
      </c>
      <c r="C163" s="11" t="s">
        <v>356</v>
      </c>
      <c r="D163" s="11">
        <v>275</v>
      </c>
      <c r="E163" s="11">
        <f>Ivslrun_max</f>
        <v>275</v>
      </c>
      <c r="F163" s="40" t="s">
        <v>353</v>
      </c>
      <c r="G163" s="149" t="s">
        <v>135</v>
      </c>
      <c r="H163" s="149"/>
      <c r="I163" s="149"/>
      <c r="J163" s="150"/>
    </row>
    <row r="164" spans="2:10" ht="18.75" customHeight="1" x14ac:dyDescent="0.25">
      <c r="B164" s="37" t="s">
        <v>130</v>
      </c>
      <c r="C164" s="11" t="s">
        <v>357</v>
      </c>
      <c r="D164" s="11">
        <v>70</v>
      </c>
      <c r="E164" s="11">
        <f>Ivslstop_min</f>
        <v>70</v>
      </c>
      <c r="F164" s="40" t="s">
        <v>353</v>
      </c>
      <c r="G164" s="149" t="s">
        <v>135</v>
      </c>
      <c r="H164" s="149"/>
      <c r="I164" s="149"/>
      <c r="J164" s="150"/>
    </row>
    <row r="165" spans="2:10" ht="18.75" customHeight="1" x14ac:dyDescent="0.25">
      <c r="B165" s="37" t="s">
        <v>129</v>
      </c>
      <c r="C165" s="11" t="s">
        <v>358</v>
      </c>
      <c r="D165" s="11">
        <v>80</v>
      </c>
      <c r="E165" s="11">
        <f>Ivslstop_nom</f>
        <v>80</v>
      </c>
      <c r="F165" s="40" t="s">
        <v>353</v>
      </c>
      <c r="G165" s="149" t="s">
        <v>135</v>
      </c>
      <c r="H165" s="149"/>
      <c r="I165" s="149"/>
      <c r="J165" s="150"/>
    </row>
    <row r="166" spans="2:10" ht="18.75" customHeight="1" x14ac:dyDescent="0.25">
      <c r="B166" s="37" t="s">
        <v>131</v>
      </c>
      <c r="C166" s="11" t="s">
        <v>359</v>
      </c>
      <c r="D166" s="11">
        <v>100</v>
      </c>
      <c r="E166" s="11">
        <f>Ivslstop_max</f>
        <v>100</v>
      </c>
      <c r="F166" s="40" t="s">
        <v>353</v>
      </c>
      <c r="G166" s="149" t="s">
        <v>135</v>
      </c>
      <c r="H166" s="149"/>
      <c r="I166" s="149"/>
      <c r="J166" s="150"/>
    </row>
    <row r="167" spans="2:10" s="89" customFormat="1" ht="18.75" customHeight="1" x14ac:dyDescent="0.25">
      <c r="B167" s="90" t="s">
        <v>447</v>
      </c>
      <c r="C167" s="108" t="s">
        <v>448</v>
      </c>
      <c r="D167" s="117">
        <f>'LOOKUP TABLES AND DROPDOWN LIST'!K54</f>
        <v>61.9</v>
      </c>
      <c r="E167" s="118">
        <f>'LOOKUP TABLES AND DROPDOWN LIST'!H54</f>
        <v>71.5</v>
      </c>
      <c r="F167" s="88" t="s">
        <v>136</v>
      </c>
      <c r="G167" s="159"/>
      <c r="H167" s="159"/>
      <c r="I167" s="159"/>
      <c r="J167" s="160"/>
    </row>
    <row r="168" spans="2:10" ht="18.75" customHeight="1" x14ac:dyDescent="0.25">
      <c r="B168" s="76" t="s">
        <v>127</v>
      </c>
      <c r="C168" s="11" t="s">
        <v>378</v>
      </c>
      <c r="D168" s="77">
        <f>(Rvs_1_rcmd*kOhms*Npa_rcmd*Ivslrun_min*uA)/SQRT(2)</f>
        <v>58.638543863897425</v>
      </c>
      <c r="E168" s="77">
        <f>(Rvs_1*kOhms*Npa*Ivslrun_min*uA)/SQRT(2)</f>
        <v>57.636273734515477</v>
      </c>
      <c r="F168" s="13" t="s">
        <v>162</v>
      </c>
      <c r="G168" s="153"/>
      <c r="H168" s="153"/>
      <c r="I168" s="153"/>
      <c r="J168" s="154"/>
    </row>
    <row r="169" spans="2:10" ht="18.75" customHeight="1" x14ac:dyDescent="0.25">
      <c r="B169" s="37" t="s">
        <v>126</v>
      </c>
      <c r="C169" s="11" t="s">
        <v>379</v>
      </c>
      <c r="D169" s="42">
        <f>(Rvs_1_rcmd*kOhms*Npa_rcmd*Ivslrun_nom*uA)/SQRT(2)</f>
        <v>69.44038089145748</v>
      </c>
      <c r="E169" s="42">
        <f>(Rvs_1*kOhms*Npa*Ivslrun_nom*uA)/SQRT(2)</f>
        <v>68.253482054031494</v>
      </c>
      <c r="F169" s="13" t="s">
        <v>162</v>
      </c>
      <c r="G169" s="153"/>
      <c r="H169" s="153"/>
      <c r="I169" s="153"/>
      <c r="J169" s="154"/>
    </row>
    <row r="170" spans="2:10" ht="18.75" customHeight="1" x14ac:dyDescent="0.25">
      <c r="B170" s="76" t="s">
        <v>128</v>
      </c>
      <c r="C170" s="11" t="s">
        <v>380</v>
      </c>
      <c r="D170" s="77">
        <f>(Rvs_1_rcmd*kOhms*Npa_rcmd*Ivslrun_max*uA)/SQRT(2)</f>
        <v>84.871576645114715</v>
      </c>
      <c r="E170" s="77">
        <f>(Rvs_1*kOhms*Npa*Ivslrun_max*uA)/SQRT(2)</f>
        <v>83.420922510482939</v>
      </c>
      <c r="F170" s="13" t="s">
        <v>162</v>
      </c>
      <c r="G170" s="153"/>
      <c r="H170" s="153"/>
      <c r="I170" s="153"/>
      <c r="J170" s="154"/>
    </row>
    <row r="171" spans="2:10" ht="18.75" customHeight="1" x14ac:dyDescent="0.25">
      <c r="B171" s="76" t="s">
        <v>360</v>
      </c>
      <c r="C171" s="11" t="s">
        <v>381</v>
      </c>
      <c r="D171" s="42">
        <f>((Rvs_1_rcmd*kOhms*Npa_rcmd*Ivslstop_min*uA)+((Vin_min*SQRT(2))-Vbulkmin_rcmd))/SQRT(2)</f>
        <v>74.510965771740715</v>
      </c>
      <c r="E171" s="42">
        <f>((Rvs1_rcmd*kOhms*Npa*Ivslstop_min*uA)+((Vin_min*SQRT(2))-Vbulk_min))/SQRT(2)</f>
        <v>74.141708355652625</v>
      </c>
      <c r="F171" s="13" t="s">
        <v>162</v>
      </c>
      <c r="G171" s="153"/>
      <c r="H171" s="153"/>
      <c r="I171" s="153"/>
      <c r="J171" s="154"/>
    </row>
    <row r="172" spans="2:10" ht="18.75" customHeight="1" x14ac:dyDescent="0.25">
      <c r="B172" s="37" t="s">
        <v>361</v>
      </c>
      <c r="C172" s="11" t="s">
        <v>382</v>
      </c>
      <c r="D172" s="42">
        <f>((Rvs_1_rcmd*kOhms*Npa_rcmd*Ivslstop_nom*uA)+((Vin_min*SQRT(2))-Vbulkmin_rcmd))/SQRT(2)</f>
        <v>77.597204922472159</v>
      </c>
      <c r="E172" s="42">
        <f>((Rvs1_rcmd*kOhms*Npa*Ivslstop_nom*uA)+((Vin_min*SQRT(2))-Vbulk_min))/SQRT(2)</f>
        <v>77.175196446942905</v>
      </c>
      <c r="F172" s="13" t="s">
        <v>162</v>
      </c>
      <c r="G172" s="153"/>
      <c r="H172" s="153"/>
      <c r="I172" s="153"/>
      <c r="J172" s="154"/>
    </row>
    <row r="173" spans="2:10" ht="18.75" customHeight="1" x14ac:dyDescent="0.25">
      <c r="B173" s="76" t="s">
        <v>362</v>
      </c>
      <c r="C173" s="11" t="s">
        <v>383</v>
      </c>
      <c r="D173" s="42">
        <f>((Rvs_1_rcmd*kOhms*Npa_rcmd*Ivslstop_max*uA)+((Vin_min*SQRT(2))-Vbulkmin_rcmd))/SQRT(2)</f>
        <v>83.769683223935033</v>
      </c>
      <c r="E173" s="42">
        <f>((Rvs1_rcmd*kOhms*Npa*Ivslstop_max*uA)+((Vin_min*SQRT(2))-Vbulk_min))/SQRT(2)</f>
        <v>83.242172629523495</v>
      </c>
      <c r="F173" s="13" t="s">
        <v>162</v>
      </c>
      <c r="G173" s="153"/>
      <c r="H173" s="153"/>
      <c r="I173" s="153"/>
      <c r="J173" s="154"/>
    </row>
    <row r="174" spans="2:10" ht="18.75" customHeight="1" x14ac:dyDescent="0.25">
      <c r="B174" s="37" t="s">
        <v>363</v>
      </c>
      <c r="C174" s="11" t="s">
        <v>366</v>
      </c>
      <c r="D174" s="69">
        <v>4</v>
      </c>
      <c r="E174" s="69">
        <f>Vvsr_min</f>
        <v>4</v>
      </c>
      <c r="F174" s="40" t="s">
        <v>4</v>
      </c>
      <c r="G174" s="149" t="s">
        <v>135</v>
      </c>
      <c r="H174" s="149"/>
      <c r="I174" s="149"/>
      <c r="J174" s="150"/>
    </row>
    <row r="175" spans="2:10" ht="18.75" customHeight="1" x14ac:dyDescent="0.25">
      <c r="B175" s="37" t="s">
        <v>364</v>
      </c>
      <c r="C175" s="11" t="s">
        <v>367</v>
      </c>
      <c r="D175" s="69">
        <v>4.04</v>
      </c>
      <c r="E175" s="11">
        <f>Vvsr_nom</f>
        <v>4.04</v>
      </c>
      <c r="F175" s="40" t="s">
        <v>4</v>
      </c>
      <c r="G175" s="149" t="s">
        <v>135</v>
      </c>
      <c r="H175" s="149"/>
      <c r="I175" s="149"/>
      <c r="J175" s="150"/>
    </row>
    <row r="176" spans="2:10" ht="18.75" customHeight="1" x14ac:dyDescent="0.25">
      <c r="B176" s="37" t="s">
        <v>365</v>
      </c>
      <c r="C176" s="11" t="s">
        <v>368</v>
      </c>
      <c r="D176" s="69">
        <v>4.08</v>
      </c>
      <c r="E176" s="11">
        <f>Vvsr_max</f>
        <v>4.08</v>
      </c>
      <c r="F176" s="40" t="s">
        <v>4</v>
      </c>
      <c r="G176" s="149" t="s">
        <v>135</v>
      </c>
      <c r="H176" s="149"/>
      <c r="I176" s="149"/>
      <c r="J176" s="150"/>
    </row>
    <row r="177" spans="2:10" s="89" customFormat="1" ht="18.75" customHeight="1" x14ac:dyDescent="0.25">
      <c r="B177" s="96" t="s">
        <v>449</v>
      </c>
      <c r="C177" s="108" t="s">
        <v>450</v>
      </c>
      <c r="D177" s="119">
        <f>'LOOKUP TABLES AND DROPDOWN LIST'!K57</f>
        <v>31.6</v>
      </c>
      <c r="E177" s="86">
        <f>'LOOKUP TABLES AND DROPDOWN LIST'!H57</f>
        <v>27.4</v>
      </c>
      <c r="F177" s="88" t="s">
        <v>136</v>
      </c>
      <c r="G177" s="155"/>
      <c r="H177" s="155"/>
      <c r="I177" s="155"/>
      <c r="J177" s="156"/>
    </row>
    <row r="178" spans="2:10" ht="18.75" customHeight="1" x14ac:dyDescent="0.25">
      <c r="B178" s="39" t="s">
        <v>369</v>
      </c>
      <c r="C178" s="11" t="s">
        <v>372</v>
      </c>
      <c r="D178" s="69">
        <f>((Vvsr_min+((Rvs_1_rcmd*kOhms)*Vvsr_min)/(Rvs_2_rcmd*kOhms))/Nas_rec)-Vf_rcmd</f>
        <v>13.870126582278484</v>
      </c>
      <c r="E178" s="69">
        <f>((Vvsr_min+((Rvs_1*kOhms)*Vvsr_min)/(Rvs_2*kOhms))/Nas)-Vf</f>
        <v>13.967956204379561</v>
      </c>
      <c r="F178" s="40" t="s">
        <v>4</v>
      </c>
      <c r="G178" s="153"/>
      <c r="H178" s="153"/>
      <c r="I178" s="153"/>
      <c r="J178" s="154"/>
    </row>
    <row r="179" spans="2:10" ht="18.75" customHeight="1" x14ac:dyDescent="0.25">
      <c r="B179" s="39" t="s">
        <v>370</v>
      </c>
      <c r="C179" s="11" t="s">
        <v>373</v>
      </c>
      <c r="D179" s="69">
        <f>((Vvsr_nom+((Rvs_1_rcmd*kOhms)*Vvsr_nom)/(Rvs_2_rcmd*kOhms))/Nas_rec)-Vf_rcmd</f>
        <v>14.013227848101268</v>
      </c>
      <c r="E179" s="69">
        <f>((Vvsr_nom+((Rvs_1*kOhms)*Vvsr_nom)/(Rvs_2*kOhms))/Nas)-Vf</f>
        <v>14.112335766423358</v>
      </c>
      <c r="F179" s="40" t="s">
        <v>4</v>
      </c>
      <c r="G179" s="153"/>
      <c r="H179" s="153"/>
      <c r="I179" s="153"/>
      <c r="J179" s="154"/>
    </row>
    <row r="180" spans="2:10" ht="18.75" customHeight="1" x14ac:dyDescent="0.25">
      <c r="B180" s="39" t="s">
        <v>371</v>
      </c>
      <c r="C180" s="11" t="s">
        <v>374</v>
      </c>
      <c r="D180" s="69">
        <f>((Vvsr_max+((Rvs_1_rcmd*kOhms)*Vvsr_max)/(Rvs_2_rcmd*kOhms))/Nas_rec)-Vf_rcmd</f>
        <v>14.156329113924052</v>
      </c>
      <c r="E180" s="69">
        <f>((Vvsr_max+((Rvs_1*kOhms)*Vvsr_max)/(Rvs_2*kOhms))/Nas)-Vf</f>
        <v>14.256715328467152</v>
      </c>
      <c r="F180" s="40" t="s">
        <v>4</v>
      </c>
      <c r="G180" s="153"/>
      <c r="H180" s="153"/>
      <c r="I180" s="153"/>
      <c r="J180" s="154"/>
    </row>
    <row r="181" spans="2:10" ht="18.75" customHeight="1" x14ac:dyDescent="0.25">
      <c r="B181" s="37" t="s">
        <v>132</v>
      </c>
      <c r="C181" s="11" t="s">
        <v>375</v>
      </c>
      <c r="D181" s="11">
        <v>4.5199999999999996</v>
      </c>
      <c r="E181" s="11">
        <f>Vovp_min</f>
        <v>4.5199999999999996</v>
      </c>
      <c r="F181" s="40" t="s">
        <v>4</v>
      </c>
      <c r="G181" s="149" t="s">
        <v>135</v>
      </c>
      <c r="H181" s="149"/>
      <c r="I181" s="149"/>
      <c r="J181" s="150"/>
    </row>
    <row r="182" spans="2:10" ht="18.75" customHeight="1" x14ac:dyDescent="0.25">
      <c r="B182" s="76" t="s">
        <v>133</v>
      </c>
      <c r="C182" s="11" t="s">
        <v>376</v>
      </c>
      <c r="D182" s="69">
        <v>4.62</v>
      </c>
      <c r="E182" s="11">
        <f>Vovp_nom</f>
        <v>4.62</v>
      </c>
      <c r="F182" s="40" t="s">
        <v>4</v>
      </c>
      <c r="G182" s="149" t="s">
        <v>135</v>
      </c>
      <c r="H182" s="149"/>
      <c r="I182" s="149"/>
      <c r="J182" s="150"/>
    </row>
    <row r="183" spans="2:10" ht="18.75" customHeight="1" x14ac:dyDescent="0.25">
      <c r="B183" s="76" t="s">
        <v>134</v>
      </c>
      <c r="C183" s="11" t="s">
        <v>377</v>
      </c>
      <c r="D183" s="69">
        <v>4.71</v>
      </c>
      <c r="E183" s="11">
        <f>Vovp_max</f>
        <v>4.71</v>
      </c>
      <c r="F183" s="40" t="s">
        <v>4</v>
      </c>
      <c r="G183" s="149" t="s">
        <v>135</v>
      </c>
      <c r="H183" s="149"/>
      <c r="I183" s="149"/>
      <c r="J183" s="150"/>
    </row>
    <row r="184" spans="2:10" ht="18.75" customHeight="1" x14ac:dyDescent="0.25">
      <c r="B184" s="76" t="s">
        <v>138</v>
      </c>
      <c r="C184" s="11" t="s">
        <v>384</v>
      </c>
      <c r="D184" s="42">
        <f>((Vovp_min+((Rvs_1_rcmd*kOhms)*Vovp_min)/(Rvs_2_rcmd*kOhms))/Nas_rec)-Vf_rcmd</f>
        <v>15.730443037974682</v>
      </c>
      <c r="E184" s="42">
        <f>((Vovp_min+((Rvs_1*kOhms)*Vovp_min)/(Rvs_2*kOhms))/Nas)-Vf</f>
        <v>15.844890510948902</v>
      </c>
      <c r="F184" s="40" t="s">
        <v>4</v>
      </c>
      <c r="G184" s="153"/>
      <c r="H184" s="153"/>
      <c r="I184" s="153"/>
      <c r="J184" s="154"/>
    </row>
    <row r="185" spans="2:10" ht="18.75" customHeight="1" x14ac:dyDescent="0.25">
      <c r="B185" s="76" t="s">
        <v>139</v>
      </c>
      <c r="C185" s="11" t="s">
        <v>385</v>
      </c>
      <c r="D185" s="42">
        <f>((Rvs_1_rcmd*kOhms*Vovp_nom)/(Rvs_2_rcmd*kOhms)+Vovp_nom)/Nas_rec-Vf_rcmd</f>
        <v>16.088196202531645</v>
      </c>
      <c r="E185" s="42">
        <f>((Rvs_1*kOhms*Vovp_nom)/(Rvs_2*kOhms)+Vovp_nom)/Nas-Vf</f>
        <v>16.205839416058396</v>
      </c>
      <c r="F185" s="40" t="s">
        <v>4</v>
      </c>
      <c r="G185" s="153"/>
      <c r="H185" s="153"/>
      <c r="I185" s="153"/>
      <c r="J185" s="154"/>
    </row>
    <row r="186" spans="2:10" ht="18.75" customHeight="1" thickBot="1" x14ac:dyDescent="0.3">
      <c r="B186" s="78" t="s">
        <v>140</v>
      </c>
      <c r="C186" s="62" t="s">
        <v>386</v>
      </c>
      <c r="D186" s="67">
        <f>((Rvs_1_rcmd*kOhms*Vovp_max)/(Rvs_2_rcmd*kOhms)+Vovp_max)/Nas_rec-Vf_rcmd</f>
        <v>16.410174050632911</v>
      </c>
      <c r="E186" s="67">
        <f>((Rvs_1*kOhms*Vovp_max)/(Rvs_2*kOhms)+Vovp_max)/Nas-Vf</f>
        <v>16.530693430656935</v>
      </c>
      <c r="F186" s="63" t="s">
        <v>4</v>
      </c>
      <c r="G186" s="151"/>
      <c r="H186" s="151"/>
      <c r="I186" s="151"/>
      <c r="J186" s="152"/>
    </row>
    <row r="187" spans="2:10" ht="18.75" customHeight="1" x14ac:dyDescent="0.25">
      <c r="B187" s="146" t="s">
        <v>119</v>
      </c>
      <c r="C187" s="147"/>
      <c r="D187" s="147"/>
      <c r="E187" s="147"/>
      <c r="F187" s="147"/>
      <c r="G187" s="147"/>
      <c r="H187" s="147"/>
      <c r="I187" s="147"/>
      <c r="J187" s="148"/>
    </row>
    <row r="188" spans="2:10" ht="18.75" customHeight="1" x14ac:dyDescent="0.25">
      <c r="B188" s="79" t="s">
        <v>142</v>
      </c>
      <c r="C188" s="11" t="s">
        <v>391</v>
      </c>
      <c r="D188" s="11">
        <v>25.3</v>
      </c>
      <c r="E188" s="11">
        <f>Klc</f>
        <v>25.3</v>
      </c>
      <c r="F188" s="40" t="s">
        <v>141</v>
      </c>
      <c r="G188" s="149" t="s">
        <v>135</v>
      </c>
      <c r="H188" s="149"/>
      <c r="I188" s="149"/>
      <c r="J188" s="150"/>
    </row>
    <row r="189" spans="2:10" ht="18.75" customHeight="1" x14ac:dyDescent="0.25">
      <c r="B189" s="79" t="s">
        <v>144</v>
      </c>
      <c r="C189" s="11" t="s">
        <v>392</v>
      </c>
      <c r="D189" s="11">
        <f>tdoff+50</f>
        <v>200</v>
      </c>
      <c r="E189" s="11">
        <f>tdelay</f>
        <v>200</v>
      </c>
      <c r="F189" s="40" t="s">
        <v>35</v>
      </c>
      <c r="G189" s="153"/>
      <c r="H189" s="153"/>
      <c r="I189" s="153"/>
      <c r="J189" s="154"/>
    </row>
    <row r="190" spans="2:10" s="89" customFormat="1" ht="18.75" customHeight="1" thickBot="1" x14ac:dyDescent="0.3">
      <c r="B190" s="120" t="s">
        <v>145</v>
      </c>
      <c r="C190" s="113" t="s">
        <v>451</v>
      </c>
      <c r="D190" s="115">
        <f>'LOOKUP TABLES AND DROPDOWN LIST'!K60</f>
        <v>3.32</v>
      </c>
      <c r="E190" s="114">
        <f>'LOOKUP TABLES AND DROPDOWN LIST'!H60</f>
        <v>3.48</v>
      </c>
      <c r="F190" s="116" t="s">
        <v>452</v>
      </c>
      <c r="G190" s="157"/>
      <c r="H190" s="157"/>
      <c r="I190" s="157"/>
      <c r="J190" s="158"/>
    </row>
    <row r="191" spans="2:10" ht="18.75" customHeight="1" x14ac:dyDescent="0.25">
      <c r="B191" s="146" t="s">
        <v>390</v>
      </c>
      <c r="C191" s="147"/>
      <c r="D191" s="147"/>
      <c r="E191" s="147"/>
      <c r="F191" s="147"/>
      <c r="G191" s="147"/>
      <c r="H191" s="147"/>
      <c r="I191" s="147"/>
      <c r="J191" s="148"/>
    </row>
    <row r="192" spans="2:10" ht="18.75" customHeight="1" x14ac:dyDescent="0.25">
      <c r="B192" s="79" t="s">
        <v>393</v>
      </c>
      <c r="C192" s="11" t="s">
        <v>396</v>
      </c>
      <c r="D192" s="11">
        <v>2.9</v>
      </c>
      <c r="E192" s="11">
        <f>Vcbc_min</f>
        <v>2.9</v>
      </c>
      <c r="F192" s="40" t="s">
        <v>4</v>
      </c>
      <c r="G192" s="149" t="s">
        <v>135</v>
      </c>
      <c r="H192" s="149"/>
      <c r="I192" s="149"/>
      <c r="J192" s="150"/>
    </row>
    <row r="193" spans="2:11" ht="18.75" customHeight="1" x14ac:dyDescent="0.25">
      <c r="B193" s="79" t="s">
        <v>395</v>
      </c>
      <c r="C193" s="11" t="s">
        <v>397</v>
      </c>
      <c r="D193" s="11">
        <v>3.13</v>
      </c>
      <c r="E193" s="11">
        <f>Vcbc_nom</f>
        <v>3.13</v>
      </c>
      <c r="F193" s="40" t="s">
        <v>4</v>
      </c>
      <c r="G193" s="149" t="s">
        <v>135</v>
      </c>
      <c r="H193" s="149"/>
      <c r="I193" s="149"/>
      <c r="J193" s="150"/>
    </row>
    <row r="194" spans="2:11" ht="18.75" customHeight="1" x14ac:dyDescent="0.25">
      <c r="B194" s="79" t="s">
        <v>394</v>
      </c>
      <c r="C194" s="11" t="s">
        <v>398</v>
      </c>
      <c r="D194" s="11">
        <v>3.5</v>
      </c>
      <c r="E194" s="11">
        <f>Vcbc_max</f>
        <v>3.5</v>
      </c>
      <c r="F194" s="40" t="s">
        <v>4</v>
      </c>
      <c r="G194" s="149" t="s">
        <v>135</v>
      </c>
      <c r="H194" s="149"/>
      <c r="I194" s="149"/>
      <c r="J194" s="150"/>
    </row>
    <row r="195" spans="2:11" s="89" customFormat="1" ht="18.75" customHeight="1" thickBot="1" x14ac:dyDescent="0.3">
      <c r="B195" s="121" t="s">
        <v>400</v>
      </c>
      <c r="C195" s="123" t="s">
        <v>453</v>
      </c>
      <c r="D195" s="122">
        <f>'LOOKUP TABLES AND DROPDOWN LIST'!K63</f>
        <v>154</v>
      </c>
      <c r="E195" s="123">
        <f>'LOOKUP TABLES AND DROPDOWN LIST'!H63</f>
        <v>154</v>
      </c>
      <c r="F195" s="124" t="s">
        <v>452</v>
      </c>
      <c r="G195" s="131"/>
      <c r="H195" s="131"/>
      <c r="I195" s="131"/>
      <c r="J195" s="132"/>
    </row>
    <row r="196" spans="2:11" s="29" customFormat="1" ht="18.75" customHeight="1" x14ac:dyDescent="0.25">
      <c r="B196" s="133" t="s">
        <v>401</v>
      </c>
      <c r="C196" s="134"/>
      <c r="D196" s="134"/>
      <c r="E196" s="134"/>
      <c r="F196" s="134"/>
      <c r="G196" s="134"/>
      <c r="H196" s="134"/>
      <c r="I196" s="134"/>
      <c r="J196" s="135"/>
    </row>
    <row r="197" spans="2:11" s="29" customFormat="1" ht="18.75" customHeight="1" x14ac:dyDescent="0.25">
      <c r="B197" s="37" t="s">
        <v>215</v>
      </c>
      <c r="C197" s="11" t="s">
        <v>313</v>
      </c>
      <c r="D197" s="42">
        <f>(1/(2*PI()*SQRT(Lp_rcmd*uH*((Coss_rcmd+50)*pF))))/kHz</f>
        <v>781.73947186858322</v>
      </c>
      <c r="E197" s="42">
        <f>(1/(2*PI()*SQRT(Lp*uH*((Coss+50)*pF))))/kHz</f>
        <v>972.1935482048118</v>
      </c>
      <c r="F197" s="40" t="s">
        <v>9</v>
      </c>
      <c r="G197" s="136"/>
      <c r="H197" s="136"/>
      <c r="I197" s="136"/>
      <c r="J197" s="137"/>
    </row>
    <row r="198" spans="2:11" s="29" customFormat="1" ht="18.75" customHeight="1" x14ac:dyDescent="0.25">
      <c r="B198" s="37" t="s">
        <v>402</v>
      </c>
      <c r="C198" s="58" t="s">
        <v>421</v>
      </c>
      <c r="D198" s="11">
        <v>1</v>
      </c>
      <c r="E198" s="9">
        <v>1</v>
      </c>
      <c r="F198" s="60" t="s">
        <v>23</v>
      </c>
      <c r="G198" s="138"/>
      <c r="H198" s="138"/>
      <c r="I198" s="138"/>
      <c r="J198" s="139"/>
    </row>
    <row r="199" spans="2:11" s="29" customFormat="1" ht="18.75" customHeight="1" x14ac:dyDescent="0.25">
      <c r="B199" s="37" t="s">
        <v>420</v>
      </c>
      <c r="C199" s="11"/>
      <c r="D199" s="11" t="str">
        <f>IF((D197*kHz&gt;=(1/(4*D198*us))),"TRUE","FALSE")</f>
        <v>TRUE</v>
      </c>
      <c r="E199" s="11" t="str">
        <f>IF((fres_approx*kHz&gt;=(1/(4*E198*us))),"TRUE","FALSE")</f>
        <v>TRUE</v>
      </c>
      <c r="F199" s="40"/>
      <c r="G199" s="140"/>
      <c r="H199" s="140"/>
      <c r="I199" s="140"/>
      <c r="J199" s="141"/>
      <c r="K199" s="23"/>
    </row>
    <row r="200" spans="2:11" s="128" customFormat="1" ht="18.75" customHeight="1" x14ac:dyDescent="0.25">
      <c r="B200" s="84" t="s">
        <v>404</v>
      </c>
      <c r="C200" s="85" t="s">
        <v>454</v>
      </c>
      <c r="D200" s="108">
        <v>0</v>
      </c>
      <c r="E200" s="125">
        <v>0</v>
      </c>
      <c r="F200" s="126" t="s">
        <v>405</v>
      </c>
      <c r="G200" s="142"/>
      <c r="H200" s="142"/>
      <c r="I200" s="142"/>
      <c r="J200" s="143"/>
      <c r="K200" s="127"/>
    </row>
    <row r="201" spans="2:11" s="29" customFormat="1" ht="18.75" customHeight="1" thickBot="1" x14ac:dyDescent="0.3">
      <c r="B201" s="48" t="s">
        <v>403</v>
      </c>
      <c r="C201" s="49"/>
      <c r="D201" s="49" t="str">
        <f>IF((SQRT(Lp_rcmd*uH/((Coss_rcmd*pF)+(50*pF))))&gt;=((0+0.2)*(Nps_ideal^2)/(((Vocv*Nas_rcmd)/(((57*mV)+(15*mV))*((Rvs_1_rcmd/Rvs_2_rcmd)+1)))-1)),"TRUE","FALSE")</f>
        <v>TRUE</v>
      </c>
      <c r="E201" s="49" t="str">
        <f>IF((SQRT(Lp*uH/((Coss*pF)+(50*pF))))&gt;=((0+0.2)*(Nps^2)/(((Vocv*Nas)/(((57*mV)+(15*mV))*((Rvs_1/Rvs_2)+1)))-1)),"TRUE","FALSE")</f>
        <v>TRUE</v>
      </c>
      <c r="F201" s="50"/>
      <c r="G201" s="144"/>
      <c r="H201" s="144"/>
      <c r="I201" s="144"/>
      <c r="J201" s="145"/>
      <c r="K201" s="23"/>
    </row>
    <row r="202" spans="2:11" s="29" customFormat="1" ht="18.75" customHeight="1" x14ac:dyDescent="0.25">
      <c r="B202" s="23"/>
      <c r="C202" s="23"/>
      <c r="D202" s="44"/>
      <c r="E202" s="44"/>
      <c r="F202" s="80"/>
      <c r="G202" s="23"/>
      <c r="H202" s="23"/>
      <c r="I202" s="23"/>
      <c r="J202" s="23"/>
      <c r="K202" s="23"/>
    </row>
    <row r="203" spans="2:11" s="29" customFormat="1" ht="18.75" customHeight="1" x14ac:dyDescent="0.25">
      <c r="B203" s="23"/>
      <c r="C203" s="23"/>
      <c r="D203" s="44"/>
      <c r="E203" s="44"/>
      <c r="F203" s="80"/>
      <c r="G203" s="23"/>
      <c r="H203" s="23"/>
      <c r="I203" s="23"/>
      <c r="J203" s="23"/>
      <c r="K203" s="23"/>
    </row>
    <row r="204" spans="2:11" s="29" customFormat="1" ht="18.75" customHeight="1" x14ac:dyDescent="0.25">
      <c r="B204" s="23"/>
      <c r="C204" s="23"/>
      <c r="D204" s="44"/>
      <c r="E204" s="44"/>
      <c r="F204" s="80"/>
      <c r="G204" s="23"/>
      <c r="H204" s="23"/>
      <c r="I204" s="23"/>
      <c r="J204" s="23"/>
      <c r="K204" s="23"/>
    </row>
    <row r="205" spans="2:11" s="29" customFormat="1" ht="18.75" customHeight="1" x14ac:dyDescent="0.25">
      <c r="B205" s="23"/>
      <c r="C205" s="23"/>
      <c r="D205" s="44"/>
      <c r="E205" s="44"/>
      <c r="F205" s="80"/>
      <c r="G205" s="23"/>
      <c r="H205" s="23"/>
      <c r="I205" s="23"/>
      <c r="J205" s="23"/>
      <c r="K205" s="23"/>
    </row>
    <row r="206" spans="2:11" s="29" customFormat="1" ht="18.75" customHeight="1" x14ac:dyDescent="0.25">
      <c r="B206" s="23"/>
      <c r="C206" s="23"/>
      <c r="D206" s="44"/>
      <c r="E206" s="44"/>
      <c r="F206" s="80"/>
      <c r="G206" s="23"/>
      <c r="H206" s="23"/>
      <c r="I206" s="23"/>
      <c r="J206" s="23"/>
      <c r="K206" s="23"/>
    </row>
    <row r="207" spans="2:11" s="29" customFormat="1" ht="18.75" customHeight="1" x14ac:dyDescent="0.25">
      <c r="B207" s="23"/>
      <c r="C207" s="23"/>
      <c r="D207" s="44"/>
      <c r="E207" s="44"/>
      <c r="F207" s="80"/>
      <c r="G207" s="23"/>
      <c r="H207" s="23"/>
      <c r="I207" s="23"/>
      <c r="J207" s="23"/>
      <c r="K207" s="23"/>
    </row>
    <row r="208" spans="2:11" s="29" customFormat="1" ht="18.75" customHeight="1" x14ac:dyDescent="0.25">
      <c r="B208" s="23"/>
      <c r="C208" s="23"/>
      <c r="D208" s="44"/>
      <c r="E208" s="44"/>
      <c r="F208" s="80"/>
      <c r="G208" s="23"/>
      <c r="H208" s="23"/>
      <c r="I208" s="23"/>
      <c r="J208" s="23"/>
      <c r="K208" s="23"/>
    </row>
    <row r="209" spans="2:11" s="29" customFormat="1" ht="18.75" customHeight="1" x14ac:dyDescent="0.25">
      <c r="B209" s="23"/>
      <c r="C209" s="23"/>
      <c r="D209" s="44"/>
      <c r="E209" s="44"/>
      <c r="F209" s="80"/>
      <c r="G209" s="23"/>
      <c r="H209" s="23"/>
      <c r="I209" s="23"/>
      <c r="J209" s="23"/>
      <c r="K209" s="23"/>
    </row>
    <row r="210" spans="2:11" s="29" customFormat="1" ht="18.75" customHeight="1" x14ac:dyDescent="0.25">
      <c r="B210" s="23"/>
      <c r="C210" s="23"/>
      <c r="D210" s="44"/>
      <c r="E210" s="44"/>
      <c r="F210" s="80"/>
      <c r="G210" s="23"/>
      <c r="H210" s="23"/>
      <c r="I210" s="23"/>
      <c r="J210" s="23"/>
      <c r="K210" s="23"/>
    </row>
    <row r="211" spans="2:11" s="29" customFormat="1" ht="18.75" customHeight="1" x14ac:dyDescent="0.25">
      <c r="B211" s="23"/>
      <c r="C211" s="23"/>
      <c r="D211" s="44"/>
      <c r="E211" s="44"/>
      <c r="F211" s="80"/>
      <c r="G211" s="23"/>
      <c r="H211" s="23"/>
      <c r="I211" s="23"/>
      <c r="J211" s="23"/>
      <c r="K211" s="23"/>
    </row>
    <row r="212" spans="2:11" s="29" customFormat="1" ht="18.75" customHeight="1" x14ac:dyDescent="0.25">
      <c r="B212" s="23"/>
      <c r="C212" s="23"/>
      <c r="D212" s="44"/>
      <c r="E212" s="44"/>
      <c r="F212" s="80"/>
      <c r="G212" s="23"/>
      <c r="H212" s="23"/>
      <c r="I212" s="23"/>
      <c r="J212" s="23"/>
      <c r="K212" s="23"/>
    </row>
    <row r="213" spans="2:11" s="29" customFormat="1" ht="18.75" customHeight="1" x14ac:dyDescent="0.25">
      <c r="B213" s="23"/>
      <c r="C213" s="23"/>
      <c r="D213" s="44"/>
      <c r="E213" s="44"/>
      <c r="F213" s="80"/>
      <c r="G213" s="23"/>
      <c r="H213" s="23"/>
      <c r="I213" s="23"/>
      <c r="J213" s="23"/>
      <c r="K213" s="23"/>
    </row>
    <row r="214" spans="2:11" s="29" customFormat="1" ht="18.75" customHeight="1" x14ac:dyDescent="0.25">
      <c r="B214" s="23"/>
      <c r="C214" s="23"/>
      <c r="D214" s="44"/>
      <c r="E214" s="44"/>
      <c r="F214" s="80"/>
      <c r="G214" s="23"/>
      <c r="H214" s="23"/>
      <c r="I214" s="23"/>
      <c r="J214" s="23"/>
      <c r="K214" s="23"/>
    </row>
    <row r="215" spans="2:11" s="29" customFormat="1" ht="18.75" customHeight="1" x14ac:dyDescent="0.25">
      <c r="B215" s="23"/>
      <c r="C215" s="23"/>
      <c r="D215" s="44"/>
      <c r="E215" s="44"/>
      <c r="F215" s="80"/>
      <c r="G215" s="23"/>
      <c r="H215" s="23"/>
      <c r="I215" s="23"/>
      <c r="J215" s="23"/>
      <c r="K215" s="23"/>
    </row>
    <row r="216" spans="2:11" s="29" customFormat="1" ht="18.75" customHeight="1" x14ac:dyDescent="0.25">
      <c r="B216" s="23"/>
      <c r="C216" s="23"/>
      <c r="D216" s="44"/>
      <c r="E216" s="44"/>
      <c r="F216" s="80"/>
      <c r="G216" s="23"/>
      <c r="H216" s="23"/>
      <c r="I216" s="23"/>
      <c r="J216" s="23"/>
      <c r="K216" s="23"/>
    </row>
    <row r="217" spans="2:11" s="29" customFormat="1" ht="18.75" customHeight="1" x14ac:dyDescent="0.25">
      <c r="B217" s="23"/>
      <c r="C217" s="23"/>
      <c r="D217" s="44"/>
      <c r="E217" s="44"/>
      <c r="F217" s="80"/>
      <c r="G217" s="23"/>
      <c r="H217" s="23"/>
      <c r="I217" s="23"/>
      <c r="J217" s="23"/>
      <c r="K217" s="23"/>
    </row>
    <row r="218" spans="2:11" s="29" customFormat="1" ht="18.75" customHeight="1" x14ac:dyDescent="0.25">
      <c r="B218" s="23"/>
      <c r="C218" s="23"/>
      <c r="D218" s="44"/>
      <c r="E218" s="44"/>
      <c r="F218" s="80"/>
      <c r="G218" s="23"/>
      <c r="H218" s="23"/>
      <c r="I218" s="23"/>
      <c r="J218" s="23"/>
      <c r="K218" s="23"/>
    </row>
    <row r="219" spans="2:11" s="29" customFormat="1" ht="18.75" customHeight="1" x14ac:dyDescent="0.25">
      <c r="D219" s="81"/>
      <c r="E219" s="81"/>
      <c r="F219" s="82"/>
    </row>
    <row r="220" spans="2:11" s="29" customFormat="1" ht="20.100000000000001" customHeight="1" x14ac:dyDescent="0.25">
      <c r="D220" s="81"/>
      <c r="E220" s="81"/>
      <c r="F220" s="82"/>
    </row>
    <row r="221" spans="2:11" s="29" customFormat="1" ht="20.100000000000001" customHeight="1" x14ac:dyDescent="0.25">
      <c r="B221" s="23"/>
      <c r="D221" s="81"/>
      <c r="E221" s="81"/>
      <c r="F221" s="82"/>
    </row>
  </sheetData>
  <sheetProtection password="EC5D" sheet="1" objects="1" scenarios="1" selectLockedCells="1"/>
  <mergeCells count="174">
    <mergeCell ref="G132:J132"/>
    <mergeCell ref="G133:J133"/>
    <mergeCell ref="B134:J134"/>
    <mergeCell ref="G135:J135"/>
    <mergeCell ref="G136:J136"/>
    <mergeCell ref="G137:J137"/>
    <mergeCell ref="G138:J138"/>
    <mergeCell ref="G94:J94"/>
    <mergeCell ref="G95:J95"/>
    <mergeCell ref="G100:J100"/>
    <mergeCell ref="G101:J101"/>
    <mergeCell ref="G102:J102"/>
    <mergeCell ref="G97:J97"/>
    <mergeCell ref="G98:J98"/>
    <mergeCell ref="G130:J130"/>
    <mergeCell ref="G131:J131"/>
    <mergeCell ref="G107:J107"/>
    <mergeCell ref="G108:J108"/>
    <mergeCell ref="G110:J110"/>
    <mergeCell ref="G109:J109"/>
    <mergeCell ref="G111:J111"/>
    <mergeCell ref="G112:J112"/>
    <mergeCell ref="G113:J113"/>
    <mergeCell ref="G115:J115"/>
    <mergeCell ref="B1:G1"/>
    <mergeCell ref="B3:G3"/>
    <mergeCell ref="F42:G42"/>
    <mergeCell ref="B26:C26"/>
    <mergeCell ref="B42:C42"/>
    <mergeCell ref="F47:G47"/>
    <mergeCell ref="B40:G40"/>
    <mergeCell ref="B41:G41"/>
    <mergeCell ref="B6:G6"/>
    <mergeCell ref="B7:G7"/>
    <mergeCell ref="B8:G8"/>
    <mergeCell ref="B9:G9"/>
    <mergeCell ref="B4:G5"/>
    <mergeCell ref="F43:G43"/>
    <mergeCell ref="F44:G44"/>
    <mergeCell ref="F45:G45"/>
    <mergeCell ref="F46:G46"/>
    <mergeCell ref="B25:G25"/>
    <mergeCell ref="D50:D51"/>
    <mergeCell ref="E50:E51"/>
    <mergeCell ref="D49:E49"/>
    <mergeCell ref="G54:J54"/>
    <mergeCell ref="F49:F51"/>
    <mergeCell ref="B49:C51"/>
    <mergeCell ref="B64:F64"/>
    <mergeCell ref="B61:F61"/>
    <mergeCell ref="G71:J71"/>
    <mergeCell ref="G61:J61"/>
    <mergeCell ref="G62:J62"/>
    <mergeCell ref="G63:J63"/>
    <mergeCell ref="G67:J67"/>
    <mergeCell ref="G64:J64"/>
    <mergeCell ref="G65:J65"/>
    <mergeCell ref="G66:J66"/>
    <mergeCell ref="G68:J68"/>
    <mergeCell ref="G70:J70"/>
    <mergeCell ref="B69:J69"/>
    <mergeCell ref="G49:J51"/>
    <mergeCell ref="B52:J52"/>
    <mergeCell ref="G53:J53"/>
    <mergeCell ref="G55:J55"/>
    <mergeCell ref="G56:J56"/>
    <mergeCell ref="G57:J57"/>
    <mergeCell ref="G58:J58"/>
    <mergeCell ref="G59:J59"/>
    <mergeCell ref="G60:J60"/>
    <mergeCell ref="G82:J82"/>
    <mergeCell ref="G83:J83"/>
    <mergeCell ref="G84:J84"/>
    <mergeCell ref="G85:J85"/>
    <mergeCell ref="G72:J72"/>
    <mergeCell ref="G73:J73"/>
    <mergeCell ref="G74:J74"/>
    <mergeCell ref="G75:J75"/>
    <mergeCell ref="G76:J76"/>
    <mergeCell ref="G79:J79"/>
    <mergeCell ref="G78:J78"/>
    <mergeCell ref="G77:J77"/>
    <mergeCell ref="G80:J80"/>
    <mergeCell ref="G81:J81"/>
    <mergeCell ref="G86:J86"/>
    <mergeCell ref="G87:J87"/>
    <mergeCell ref="G88:J88"/>
    <mergeCell ref="G89:J89"/>
    <mergeCell ref="G90:J90"/>
    <mergeCell ref="G103:J103"/>
    <mergeCell ref="G104:J104"/>
    <mergeCell ref="G105:J105"/>
    <mergeCell ref="G106:J106"/>
    <mergeCell ref="G99:J99"/>
    <mergeCell ref="G91:J91"/>
    <mergeCell ref="G92:J92"/>
    <mergeCell ref="G93:J93"/>
    <mergeCell ref="G114:J114"/>
    <mergeCell ref="B116:J116"/>
    <mergeCell ref="G118:J118"/>
    <mergeCell ref="G117:J117"/>
    <mergeCell ref="G120:J120"/>
    <mergeCell ref="B119:J119"/>
    <mergeCell ref="G121:J121"/>
    <mergeCell ref="G122:J122"/>
    <mergeCell ref="G123:J123"/>
    <mergeCell ref="G124:J124"/>
    <mergeCell ref="G125:J125"/>
    <mergeCell ref="G126:J126"/>
    <mergeCell ref="G127:J127"/>
    <mergeCell ref="G128:J128"/>
    <mergeCell ref="G129:J129"/>
    <mergeCell ref="G155:J155"/>
    <mergeCell ref="G161:J161"/>
    <mergeCell ref="G162:J162"/>
    <mergeCell ref="B139:J139"/>
    <mergeCell ref="G141:J141"/>
    <mergeCell ref="B142:J142"/>
    <mergeCell ref="G140:J140"/>
    <mergeCell ref="G143:J143"/>
    <mergeCell ref="G144:J144"/>
    <mergeCell ref="G145:J145"/>
    <mergeCell ref="G146:J146"/>
    <mergeCell ref="G147:J147"/>
    <mergeCell ref="G148:J148"/>
    <mergeCell ref="G150:J150"/>
    <mergeCell ref="G151:J151"/>
    <mergeCell ref="B152:J152"/>
    <mergeCell ref="G153:J153"/>
    <mergeCell ref="G154:J154"/>
    <mergeCell ref="G163:J163"/>
    <mergeCell ref="G164:J164"/>
    <mergeCell ref="G165:J165"/>
    <mergeCell ref="G166:J166"/>
    <mergeCell ref="G156:J156"/>
    <mergeCell ref="G157:J157"/>
    <mergeCell ref="G158:J158"/>
    <mergeCell ref="G159:J159"/>
    <mergeCell ref="B160:J160"/>
    <mergeCell ref="G186:J186"/>
    <mergeCell ref="G185:J185"/>
    <mergeCell ref="G184:J184"/>
    <mergeCell ref="G177:J177"/>
    <mergeCell ref="G189:J189"/>
    <mergeCell ref="G190:J190"/>
    <mergeCell ref="B187:J187"/>
    <mergeCell ref="G167:J167"/>
    <mergeCell ref="G174:J174"/>
    <mergeCell ref="G175:J175"/>
    <mergeCell ref="G176:J176"/>
    <mergeCell ref="G181:J181"/>
    <mergeCell ref="G182:J182"/>
    <mergeCell ref="G183:J183"/>
    <mergeCell ref="G188:J188"/>
    <mergeCell ref="G168:J168"/>
    <mergeCell ref="G171:J171"/>
    <mergeCell ref="G172:J172"/>
    <mergeCell ref="G173:J173"/>
    <mergeCell ref="G169:J169"/>
    <mergeCell ref="G170:J170"/>
    <mergeCell ref="G178:J178"/>
    <mergeCell ref="G179:J179"/>
    <mergeCell ref="G180:J180"/>
    <mergeCell ref="G195:J195"/>
    <mergeCell ref="B196:J196"/>
    <mergeCell ref="G197:J197"/>
    <mergeCell ref="G198:J198"/>
    <mergeCell ref="G199:J199"/>
    <mergeCell ref="G200:J200"/>
    <mergeCell ref="G201:J201"/>
    <mergeCell ref="B191:J191"/>
    <mergeCell ref="G193:J193"/>
    <mergeCell ref="G194:J194"/>
    <mergeCell ref="G192:J192"/>
  </mergeCells>
  <dataValidations xWindow="1367" yWindow="349" count="8">
    <dataValidation type="decimal" operator="lessThan" allowBlank="1" showInputMessage="1" showErrorMessage="1" errorTitle="Min Vstart" error="Low-line start-up voltage must be less than the minimum input voltage" sqref="E33" xr:uid="{00000000-0002-0000-0000-000000000000}">
      <formula1>D27</formula1>
    </dataValidation>
    <dataValidation type="decimal" operator="lessThan" allowBlank="1" showInputMessage="1" showErrorMessage="1" errorTitle="Vout CC mode" error="Minimum output voltage in CC mode must be less than regulated output voltage" sqref="F34:F35" xr:uid="{00000000-0002-0000-0000-000001000000}">
      <formula1>D28</formula1>
    </dataValidation>
    <dataValidation type="decimal" errorStyle="warning" operator="greaterThanOrEqual" allowBlank="1" showInputMessage="1" showErrorMessage="1" errorTitle="Cbulk" error="A larger Bulk Capacitor is needed." sqref="E56" xr:uid="{00000000-0002-0000-0000-000002000000}">
      <formula1>D56*0.8</formula1>
    </dataValidation>
    <dataValidation type="decimal" allowBlank="1" showErrorMessage="1" errorTitle="Switching Frequency" error="Selected switching frequency MUST be greater than 0.13 kHz and less than 83 kHz" sqref="E37" xr:uid="{00000000-0002-0000-0000-000003000000}">
      <formula1>4*D44</formula1>
      <formula2>D43</formula2>
    </dataValidation>
    <dataValidation type="decimal" errorStyle="warning" operator="lessThan" allowBlank="1" showInputMessage="1" showErrorMessage="1" errorTitle="VDS derating" error="Choose a MOSFET with a higher Vds rating." sqref="E127" xr:uid="{00000000-0002-0000-0000-000004000000}">
      <formula1>0.9</formula1>
    </dataValidation>
    <dataValidation type="decimal" operator="greaterThan" allowBlank="1" showInputMessage="1" showErrorMessage="1" errorTitle="OVP" error="Vout OVP must be greater than Vout_cv+ Vocbc" sqref="F38" xr:uid="{00000000-0002-0000-0000-000005000000}">
      <formula1>F28+E35</formula1>
    </dataValidation>
    <dataValidation type="decimal" operator="lessThanOrEqual" allowBlank="1" showInputMessage="1" showErrorMessage="1" errorTitle="Vocbc" error="Maximum cable compensation must not be greater than 8% of Vocv" sqref="E35" xr:uid="{00000000-0002-0000-0000-000006000000}">
      <formula1>0.08*E28</formula1>
    </dataValidation>
    <dataValidation type="decimal" errorStyle="information" allowBlank="1" showInputMessage="1" showErrorMessage="1" errorTitle="Nps" error="Using Nps &gt; Nps(ideal) will result in limited output Power at Vin(min) and increased line frequency ripple.  Using Nps &lt; Nps(ideal) increases conduction losses." sqref="E76" xr:uid="{00000000-0002-0000-0000-000007000000}">
      <formula1>(D76*0.95)</formula1>
      <formula2>(D76*1.05)</formula2>
    </dataValidation>
  </dataValidations>
  <pageMargins left="0.7" right="0.7" top="0.75" bottom="0.75" header="0.3" footer="0.3"/>
  <pageSetup scale="47"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244"/>
  <sheetViews>
    <sheetView topLeftCell="G1" zoomScaleNormal="100" workbookViewId="0">
      <selection activeCell="G30" sqref="G30"/>
    </sheetView>
  </sheetViews>
  <sheetFormatPr defaultColWidth="9.140625" defaultRowHeight="14.25" x14ac:dyDescent="0.2"/>
  <cols>
    <col min="1" max="1" width="11.85546875" style="3" customWidth="1"/>
    <col min="2" max="2" width="10.5703125" style="3" customWidth="1"/>
    <col min="3" max="3" width="9.140625" style="3"/>
    <col min="4" max="4" width="46.28515625" style="3" customWidth="1"/>
    <col min="5" max="6" width="9.28515625" style="3" bestFit="1" customWidth="1"/>
    <col min="7" max="7" width="45.7109375" style="3" customWidth="1"/>
    <col min="8" max="8" width="9.140625" style="3"/>
    <col min="9" max="9" width="14.140625" style="3" customWidth="1"/>
    <col min="10" max="10" width="43.85546875" style="3" customWidth="1"/>
    <col min="11" max="11" width="9.140625" style="3"/>
    <col min="12" max="12" width="14.140625" style="3" bestFit="1" customWidth="1"/>
    <col min="13" max="13" width="10.140625" style="3" bestFit="1" customWidth="1"/>
    <col min="14" max="14" width="9.140625" style="3"/>
    <col min="15" max="15" width="6.28515625" style="3" customWidth="1"/>
    <col min="16" max="16" width="18.5703125" style="3" customWidth="1"/>
    <col min="17" max="17" width="10.140625" style="3" bestFit="1" customWidth="1"/>
    <col min="18" max="18" width="9.42578125" style="3" bestFit="1" customWidth="1"/>
    <col min="19" max="19" width="13.5703125" style="3" customWidth="1"/>
    <col min="20" max="20" width="12.42578125" style="3" bestFit="1" customWidth="1"/>
    <col min="21" max="21" width="9.140625" style="3"/>
    <col min="22" max="22" width="14.42578125" style="3" customWidth="1"/>
    <col min="23" max="24" width="13.7109375" style="3" bestFit="1" customWidth="1"/>
    <col min="25" max="25" width="14.28515625" style="3" customWidth="1"/>
    <col min="26" max="27" width="12.42578125" style="3" bestFit="1" customWidth="1"/>
    <col min="28" max="16384" width="9.140625" style="3"/>
  </cols>
  <sheetData>
    <row r="1" spans="1:25" ht="15" x14ac:dyDescent="0.25">
      <c r="A1" s="2" t="s">
        <v>25</v>
      </c>
      <c r="B1" s="4">
        <f>10^-3</f>
        <v>1E-3</v>
      </c>
      <c r="D1" s="1"/>
      <c r="E1" s="1"/>
      <c r="F1" s="1"/>
      <c r="G1" s="1"/>
      <c r="H1"/>
    </row>
    <row r="2" spans="1:25" ht="15" x14ac:dyDescent="0.25">
      <c r="A2" s="2" t="s">
        <v>26</v>
      </c>
      <c r="B2" s="4">
        <f>(10^-6)</f>
        <v>9.9999999999999995E-7</v>
      </c>
      <c r="D2" s="1"/>
      <c r="E2" s="1"/>
      <c r="F2" s="1"/>
      <c r="G2" s="1"/>
    </row>
    <row r="3" spans="1:25" ht="15" x14ac:dyDescent="0.25">
      <c r="A3" s="2" t="s">
        <v>27</v>
      </c>
      <c r="B3" s="4">
        <f>10^3</f>
        <v>1000</v>
      </c>
      <c r="D3" s="1"/>
      <c r="E3" s="1"/>
      <c r="F3" s="1"/>
      <c r="G3" s="1"/>
    </row>
    <row r="4" spans="1:25" ht="15" x14ac:dyDescent="0.25">
      <c r="A4" s="2" t="s">
        <v>38</v>
      </c>
      <c r="B4" s="4">
        <f>10^-3</f>
        <v>1E-3</v>
      </c>
      <c r="D4" s="1"/>
      <c r="E4" s="1"/>
      <c r="F4" s="1"/>
      <c r="G4" s="1"/>
    </row>
    <row r="5" spans="1:25" ht="15" x14ac:dyDescent="0.25">
      <c r="A5" s="2" t="s">
        <v>28</v>
      </c>
      <c r="B5" s="4">
        <f>10^-3</f>
        <v>1E-3</v>
      </c>
      <c r="D5" s="1"/>
      <c r="E5" s="1"/>
      <c r="F5" s="1"/>
      <c r="G5" s="1"/>
    </row>
    <row r="6" spans="1:25" ht="15" x14ac:dyDescent="0.25">
      <c r="A6" s="2" t="s">
        <v>29</v>
      </c>
      <c r="B6" s="4">
        <f>10^-3</f>
        <v>1E-3</v>
      </c>
      <c r="D6" s="1"/>
      <c r="E6" s="1"/>
      <c r="F6" s="1"/>
      <c r="G6" s="1"/>
    </row>
    <row r="7" spans="1:25" x14ac:dyDescent="0.2">
      <c r="A7" s="2" t="s">
        <v>30</v>
      </c>
      <c r="B7" s="4">
        <f>10^-6</f>
        <v>9.9999999999999995E-7</v>
      </c>
    </row>
    <row r="8" spans="1:25" x14ac:dyDescent="0.2">
      <c r="A8" s="2" t="s">
        <v>32</v>
      </c>
      <c r="B8" s="4">
        <f>10^-6</f>
        <v>9.9999999999999995E-7</v>
      </c>
    </row>
    <row r="9" spans="1:25" x14ac:dyDescent="0.2">
      <c r="A9" s="2" t="s">
        <v>34</v>
      </c>
      <c r="B9" s="4">
        <f>10^-9</f>
        <v>1.0000000000000001E-9</v>
      </c>
    </row>
    <row r="10" spans="1:25" x14ac:dyDescent="0.2">
      <c r="A10" s="2" t="s">
        <v>63</v>
      </c>
      <c r="B10" s="4">
        <f>10^-3</f>
        <v>1E-3</v>
      </c>
    </row>
    <row r="11" spans="1:25" x14ac:dyDescent="0.2">
      <c r="A11" s="2" t="s">
        <v>100</v>
      </c>
      <c r="B11" s="4">
        <f>10^-12</f>
        <v>9.9999999999999998E-13</v>
      </c>
      <c r="O11" s="3">
        <f>(Qg*nC*fswmin*kHz)*10^3</f>
        <v>1.5359999999999999E-4</v>
      </c>
    </row>
    <row r="12" spans="1:25" x14ac:dyDescent="0.2">
      <c r="A12" s="2" t="s">
        <v>105</v>
      </c>
      <c r="B12" s="4">
        <f>10^6</f>
        <v>1000000</v>
      </c>
    </row>
    <row r="13" spans="1:25" x14ac:dyDescent="0.2">
      <c r="A13" s="2" t="s">
        <v>122</v>
      </c>
      <c r="B13" s="4">
        <f>10^-6</f>
        <v>9.9999999999999995E-7</v>
      </c>
    </row>
    <row r="14" spans="1:25" ht="15" x14ac:dyDescent="0.25">
      <c r="A14" s="2" t="s">
        <v>123</v>
      </c>
      <c r="B14" s="4">
        <f>10^3</f>
        <v>1000</v>
      </c>
    </row>
    <row r="15" spans="1:25" x14ac:dyDescent="0.2">
      <c r="A15" s="2" t="s">
        <v>147</v>
      </c>
      <c r="B15" s="4">
        <f>10^-9</f>
        <v>1.0000000000000001E-9</v>
      </c>
    </row>
    <row r="16" spans="1:25" ht="15" x14ac:dyDescent="0.25">
      <c r="A16" s="2" t="s">
        <v>157</v>
      </c>
      <c r="B16" s="4">
        <f>10^-9</f>
        <v>1.0000000000000001E-9</v>
      </c>
      <c r="V16" s="1"/>
      <c r="W16" s="1"/>
      <c r="X16" s="1"/>
      <c r="Y16" s="1"/>
    </row>
    <row r="17" spans="1:28" ht="15.75" thickBot="1" x14ac:dyDescent="0.3">
      <c r="A17" s="2" t="s">
        <v>158</v>
      </c>
      <c r="B17" s="4">
        <f>10^-6</f>
        <v>9.9999999999999995E-7</v>
      </c>
      <c r="V17" s="1"/>
      <c r="W17" s="1"/>
      <c r="X17" s="1"/>
      <c r="Y17" s="1"/>
    </row>
    <row r="18" spans="1:28" ht="18.75" x14ac:dyDescent="0.35">
      <c r="I18" s="3" t="s">
        <v>39</v>
      </c>
      <c r="P18" s="259" t="s">
        <v>150</v>
      </c>
      <c r="Q18" s="259"/>
      <c r="S18" s="261" t="s">
        <v>152</v>
      </c>
      <c r="T18" s="262"/>
      <c r="U18" s="15"/>
      <c r="V18" s="16"/>
      <c r="W18" s="16"/>
      <c r="X18" s="16"/>
      <c r="Y18" s="16"/>
      <c r="Z18" s="15"/>
      <c r="AA18" s="15"/>
      <c r="AB18" s="17"/>
    </row>
    <row r="19" spans="1:28" ht="18.75" x14ac:dyDescent="0.35">
      <c r="A19" s="263" t="s">
        <v>10</v>
      </c>
      <c r="B19" s="263"/>
      <c r="C19" s="263"/>
      <c r="E19" s="259" t="s">
        <v>11</v>
      </c>
      <c r="F19" s="259"/>
      <c r="G19" s="259"/>
      <c r="I19" s="3" t="s">
        <v>40</v>
      </c>
      <c r="J19" s="3">
        <f>(((2*Pin)*(0.25+(0.5*Nhc)+(((1/(2*PI()))*ASIN(Vbulk_valley_rcmd/(Vin_min*SQRT(2)))))))/((((Vin_min*SQRT(2))^2)-(Vbulk_valley_rcmd^2))*fline_min))*10^12</f>
        <v>16007766.506034998</v>
      </c>
      <c r="K19" s="3" t="s">
        <v>16</v>
      </c>
      <c r="P19" s="3" t="s">
        <v>344</v>
      </c>
      <c r="Q19" s="3">
        <f>((Irun*mA+1*mA)*(Cout*uF*Vocc/Iocc))/(VDDon-(VDDoff_max+1))*10^12</f>
        <v>876696.1655900504</v>
      </c>
      <c r="R19" s="3" t="s">
        <v>16</v>
      </c>
      <c r="S19" s="18" t="s">
        <v>153</v>
      </c>
      <c r="T19" s="3">
        <f>MAX(AA19:AA21)</f>
        <v>392766281.93240923</v>
      </c>
      <c r="U19" s="3" t="s">
        <v>16</v>
      </c>
      <c r="V19" s="3" t="s">
        <v>219</v>
      </c>
      <c r="W19" s="3">
        <f>(Itran*((1/(fswmin*kHz))+150*us)/(Vocv-Vo_delta))*10^12</f>
        <v>628000000</v>
      </c>
      <c r="X19" s="1" t="s">
        <v>16</v>
      </c>
      <c r="Z19" s="3" t="s">
        <v>223</v>
      </c>
      <c r="AA19" s="3">
        <f>(1.2*Itran/3700)*10^12</f>
        <v>32432432.432432428</v>
      </c>
      <c r="AB19" s="19"/>
    </row>
    <row r="20" spans="1:28" ht="18.75" x14ac:dyDescent="0.35">
      <c r="A20" s="5">
        <v>100</v>
      </c>
      <c r="B20" s="5">
        <v>105</v>
      </c>
      <c r="E20" s="259" t="s">
        <v>12</v>
      </c>
      <c r="F20" s="259"/>
      <c r="G20" s="259"/>
      <c r="I20" s="3" t="s">
        <v>41</v>
      </c>
      <c r="J20" s="3">
        <f>(IF(Cbulk_initial&lt;10000,J21*10^INT(LOG(Cbulk_initial)),J22*10^INT(LOG(Cbulk_initial))))*10^-6</f>
        <v>15</v>
      </c>
      <c r="K20" s="3" t="s">
        <v>14</v>
      </c>
      <c r="Q20" s="3">
        <f>(IF(Q19&lt;10000,Q21*10^INT(LOG(Q19)),Q22*10^INT(LOG(Q19))))*10^-6</f>
        <v>0.81999999999999984</v>
      </c>
      <c r="R20" s="3" t="s">
        <v>14</v>
      </c>
      <c r="S20" s="18"/>
      <c r="T20" s="3">
        <f>(IF(T19&lt;10000,T21*10^INT(LOG(T19)),T22*10^INT(LOG(T19))))*10^-6</f>
        <v>390</v>
      </c>
      <c r="U20" s="3" t="s">
        <v>14</v>
      </c>
      <c r="V20" s="1"/>
      <c r="W20" s="1">
        <f>(IF(W19&lt;10000,W21*10^INT(LOG(W19)),W22*10^INT(LOG(W19))))*10^-6</f>
        <v>680</v>
      </c>
      <c r="X20" s="3" t="s">
        <v>14</v>
      </c>
      <c r="Z20" s="3" t="s">
        <v>224</v>
      </c>
      <c r="AA20" s="3">
        <f>((100*Iocc)/(Vocv*fmax_actual*kHz))*10^12</f>
        <v>86408582.025130033</v>
      </c>
      <c r="AB20" s="19"/>
    </row>
    <row r="21" spans="1:28" ht="15" x14ac:dyDescent="0.25">
      <c r="A21" s="5">
        <v>105</v>
      </c>
      <c r="B21" s="5">
        <v>110</v>
      </c>
      <c r="E21" s="3">
        <v>1</v>
      </c>
      <c r="F21" s="3">
        <v>1.2</v>
      </c>
      <c r="J21" s="3">
        <f>IF((10^(LOG(Cbulk_initial)-INT(LOG(Cbulk_initial))))-VLOOKUP((10^(LOG(Cbulk_initial)-INT(LOG(Cbulk_initial)))),C_s1:C_f1,1)&lt;VLOOKUP((10^(LOG(Cbulk_initial)-INT(LOG(Cbulk_initial)))),C_s1:C_f1,2)-(10^(LOG(Cbulk_initial)-INT(LOG(Cbulk_initial)))),VLOOKUP((10^(LOG(Cbulk_initial)-INT(LOG(Cbulk_initial)))),C_s1:C_f1,1),VLOOKUP((10^(LOG(Cbulk_initial)-INT(LOG(Cbulk_initial)))),C_s1:C_f1,2))</f>
        <v>1.5</v>
      </c>
      <c r="Q21" s="3">
        <f>IF((10^(LOG(Q19)-INT(LOG(Q19))))-VLOOKUP((10^(LOG(Q19)-INT(LOG(Q19)))),C_s1:C_f1,1)&lt;VLOOKUP((10^(LOG(Q19)-INT(LOG(Q19)))),C_s1:C_f1,2)-(10^(LOG(Q19)-INT(LOG(Q19)))),VLOOKUP((10^(LOG(Q19)-INT(LOG(Q19)))),C_s1:C_f1,1),VLOOKUP((10^(LOG(Q19)-INT(LOG(Q19)))),C_s1:C_f1,2))</f>
        <v>8.1999999999999993</v>
      </c>
      <c r="S21" s="18"/>
      <c r="T21" s="3">
        <f>IF((10^(LOG(T19)-INT(LOG(T19))))-VLOOKUP((10^(LOG(T19)-INT(LOG(T19)))),C_s1:C_f1,1)&lt;VLOOKUP((10^(LOG(T19)-INT(LOG(T19)))),C_s1:C_f1,2)-(10^(LOG(T19)-INT(LOG(T19)))),VLOOKUP((10^(LOG(T19)-INT(LOG(T19)))),C_s1:C_f1,1),VLOOKUP((10^(LOG(T19)-INT(LOG(T19)))),C_s1:C_f1,2))</f>
        <v>3.9</v>
      </c>
      <c r="V21" s="1"/>
      <c r="W21" s="1">
        <f>IF((10^(LOG(W19)-INT(LOG(W19))))-VLOOKUP((10^(LOG(W19)-INT(LOG(W19)))),C_s1:C_f1,1)&lt;VLOOKUP((10^(LOG(W19)-INT(LOG(W19)))),C_s1:C_f1,2)-(10^(LOG(W19)-INT(LOG(W19)))),VLOOKUP((10^(LOG(W19)-INT(LOG(W19)))),C_s1:C_f1,1),VLOOKUP((10^(LOG(W19)-INT(LOG(W19)))),C_s1:C_f1,2))</f>
        <v>6.8</v>
      </c>
      <c r="X21" s="1"/>
      <c r="Z21" s="3" t="s">
        <v>225</v>
      </c>
      <c r="AA21" s="3">
        <f>(Iocc/((0.33*Vripple_target*mV)*fmax_actual*kHz))*10^12</f>
        <v>392766281.93240923</v>
      </c>
      <c r="AB21" s="19"/>
    </row>
    <row r="22" spans="1:28" ht="15" x14ac:dyDescent="0.25">
      <c r="A22" s="5">
        <v>110</v>
      </c>
      <c r="B22" s="5">
        <v>115</v>
      </c>
      <c r="E22" s="3">
        <v>1.2</v>
      </c>
      <c r="F22" s="3">
        <v>1.5</v>
      </c>
      <c r="J22" s="3">
        <f>IF((10^(LOG(Cbulk_initial)-INT(LOG(Cbulk_initial))))-VLOOKUP((10^(LOG(Cbulk_initial)-INT(LOG(Cbulk_initial)))),C_s2:C_f2,1)&lt;VLOOKUP((10^(LOG(Cbulk_initial)-INT(LOG(Cbulk_initial)))),C_s2:C_f2,2)-(10^(LOG(Cbulk_initial)-INT(LOG(Cbulk_initial)))),VLOOKUP((10^(LOG(Cbulk_initial)-INT(LOG(Cbulk_initial)))),C_s2:C_f2,1),VLOOKUP((10^(LOG(Cbulk_initial)-INT(LOG(Cbulk_initial)))),C_s2:C_f2,2))</f>
        <v>1.5</v>
      </c>
      <c r="Q22" s="3">
        <f>IF((10^(LOG(Q19)-INT(LOG(Q19))))-VLOOKUP((10^(LOG(Q19)-INT(LOG(Q19)))),C_s2:C_f2,1)&lt;VLOOKUP((10^(LOG(Q19)-INT(LOG(Q19)))),C_s2:C_f2,2)-(10^(LOG(Q19)-INT(LOG(Q19)))),VLOOKUP((10^(LOG(Q19)-INT(LOG(Q19)))),C_s2:C_f2,1),VLOOKUP((10^(LOG(Q19)-INT(LOG(Q19)))),C_s2:C_f2,2))</f>
        <v>8.1999999999999993</v>
      </c>
      <c r="S22" s="18"/>
      <c r="T22" s="3">
        <f>IF((10^(LOG(T19)-INT(LOG(T19))))-VLOOKUP((10^(LOG(T19)-INT(LOG(T19)))),C_s2:C_f2,1)&lt;VLOOKUP((10^(LOG(T19)-INT(LOG(T19)))),C_s2:C_f2,2)-(10^(LOG(T19)-INT(LOG(T19)))),VLOOKUP((10^(LOG(T19)-INT(LOG(T19)))),C_s2:C_f2,1),VLOOKUP((10^(LOG(T19)-INT(LOG(T19)))),C_s2:C_f2,2))</f>
        <v>3.9</v>
      </c>
      <c r="V22" s="1"/>
      <c r="W22" s="1">
        <f>IF((10^(LOG(W19)-INT(LOG(W19))))-VLOOKUP((10^(LOG(W19)-INT(LOG(W19)))),C_s2:C_f2,1)&lt;VLOOKUP((10^(LOG(W19)-INT(LOG(W19)))),C_s2:C_f2,2)-(10^(LOG(W19)-INT(LOG(W19)))),VLOOKUP((10^(LOG(W19)-INT(LOG(W19)))),C_s2:C_f2,1),VLOOKUP((10^(LOG(W19)-INT(LOG(W19)))),C_s2:C_f2,2))</f>
        <v>6.8</v>
      </c>
      <c r="X22" s="1"/>
      <c r="AB22" s="19"/>
    </row>
    <row r="23" spans="1:28" ht="15" x14ac:dyDescent="0.25">
      <c r="A23" s="5">
        <v>115</v>
      </c>
      <c r="B23" s="5">
        <v>121</v>
      </c>
      <c r="E23" s="3">
        <v>1.5</v>
      </c>
      <c r="F23" s="3">
        <v>1.8</v>
      </c>
      <c r="I23" s="260" t="s">
        <v>17</v>
      </c>
      <c r="J23" s="260"/>
      <c r="K23" s="260"/>
      <c r="P23" s="3" t="s">
        <v>346</v>
      </c>
      <c r="Q23" s="3">
        <f>(Iwait*uA)/(0.9*fswmin*kHz)*10^12</f>
        <v>2604166.666666666</v>
      </c>
      <c r="R23" s="3" t="s">
        <v>16</v>
      </c>
      <c r="S23" s="18"/>
      <c r="V23" s="1"/>
      <c r="W23" s="1"/>
      <c r="X23" s="1"/>
      <c r="Y23" s="1"/>
      <c r="AB23" s="19"/>
    </row>
    <row r="24" spans="1:28" x14ac:dyDescent="0.2">
      <c r="A24" s="5">
        <v>121</v>
      </c>
      <c r="B24" s="5">
        <v>127</v>
      </c>
      <c r="E24" s="3">
        <v>1.8</v>
      </c>
      <c r="F24" s="3">
        <v>2.2000000000000002</v>
      </c>
      <c r="Q24" s="3">
        <f>(IF(Q23&lt;10000,Q25*10^INT(LOG(Q23)),Q26*10^INT(LOG(Q23))))*10^-6</f>
        <v>2.1999999999999997</v>
      </c>
      <c r="R24" s="3" t="s">
        <v>14</v>
      </c>
      <c r="S24" s="18" t="s">
        <v>223</v>
      </c>
      <c r="T24" s="3">
        <f>AA19</f>
        <v>32432432.432432428</v>
      </c>
      <c r="U24" s="3" t="s">
        <v>16</v>
      </c>
      <c r="V24" s="3" t="s">
        <v>224</v>
      </c>
      <c r="W24" s="3">
        <f>AA20</f>
        <v>86408582.025130033</v>
      </c>
      <c r="X24" s="3" t="s">
        <v>16</v>
      </c>
      <c r="Y24" s="3" t="s">
        <v>225</v>
      </c>
      <c r="Z24" s="3">
        <f>AA21</f>
        <v>392766281.93240923</v>
      </c>
      <c r="AA24" s="3" t="s">
        <v>16</v>
      </c>
      <c r="AB24" s="19"/>
    </row>
    <row r="25" spans="1:28" x14ac:dyDescent="0.2">
      <c r="A25" s="5">
        <v>127</v>
      </c>
      <c r="B25" s="5">
        <v>133</v>
      </c>
      <c r="E25" s="3">
        <v>2.2000000000000002</v>
      </c>
      <c r="F25" s="3">
        <v>2.7</v>
      </c>
      <c r="I25" s="260" t="s">
        <v>406</v>
      </c>
      <c r="J25" s="260"/>
      <c r="K25" s="260"/>
      <c r="L25" s="3" t="s">
        <v>407</v>
      </c>
      <c r="Q25" s="3">
        <f>IF((10^(LOG(Q23)-INT(LOG(Q23))))-VLOOKUP((10^(LOG(Q23)-INT(LOG(Q23)))),C_s1:C_f1,1)&lt;VLOOKUP((10^(LOG(Q23)-INT(LOG(Q23)))),C_s1:C_f1,2)-(10^(LOG(Q23)-INT(LOG(Q23)))),VLOOKUP((10^(LOG(Q23)-INT(LOG(Q23)))),C_s1:C_f1,1),VLOOKUP((10^(LOG(Q23)-INT(LOG(Q23)))),C_s1:C_f1,2))</f>
        <v>2.7</v>
      </c>
      <c r="S25" s="18"/>
      <c r="T25" s="3">
        <f>(IF(T24&lt;10000,T26*10^INT(LOG(T24)),T27*10^INT(LOG(T24))))*10^-6</f>
        <v>33</v>
      </c>
      <c r="U25" s="3" t="s">
        <v>14</v>
      </c>
      <c r="W25" s="3">
        <f>(IF(W24&lt;10000,W26*10^INT(LOG(W24)),W27*10^INT(LOG(W24))))*10^-6</f>
        <v>82</v>
      </c>
      <c r="X25" s="3" t="s">
        <v>14</v>
      </c>
      <c r="Z25" s="3">
        <f>(IF(Z24&lt;10000,Z26*10^INT(LOG(Z24)),Z27*10^INT(LOG(Z24))))*10^-6</f>
        <v>390</v>
      </c>
      <c r="AA25" s="3" t="s">
        <v>14</v>
      </c>
      <c r="AB25" s="19"/>
    </row>
    <row r="26" spans="1:28" ht="18.75" x14ac:dyDescent="0.35">
      <c r="A26" s="5">
        <v>133</v>
      </c>
      <c r="B26" s="5">
        <v>140</v>
      </c>
      <c r="E26" s="3">
        <v>2.7</v>
      </c>
      <c r="F26" s="3">
        <v>3.3</v>
      </c>
      <c r="I26" s="3" t="s">
        <v>42</v>
      </c>
      <c r="J26" s="3">
        <f>(1/fline_min)/(2*PI())*ASIN((Vbulk_valley_rcmd)/(Vin_min*SQRT(2)))</f>
        <v>1.972045683760742E-3</v>
      </c>
      <c r="K26" s="3" t="s">
        <v>18</v>
      </c>
      <c r="L26" s="3">
        <f>(1/fline_min)/(2*PI())*ASIN((Vbulk_valley_rcmd)/(Vin_min*SQRT(2)))</f>
        <v>1.972045683760742E-3</v>
      </c>
      <c r="Q26" s="3">
        <f>IF((10^(LOG(Q23)-INT(LOG(Q23))))-VLOOKUP((10^(LOG(Q23)-INT(LOG(Q23)))),C_s2:C_f2,1)&lt;VLOOKUP((10^(LOG(Q23)-INT(LOG(Q23)))),C_s2:C_f2,2)-(10^(LOG(Q23)-INT(LOG(Q23)))),VLOOKUP((10^(LOG(Q23)-INT(LOG(Q23)))),C_s2:C_f2,1),VLOOKUP((10^(LOG(Q23)-INT(LOG(Q23)))),C_s2:C_f2,2))</f>
        <v>2.2000000000000002</v>
      </c>
      <c r="S26" s="18"/>
      <c r="T26" s="3">
        <f>IF((10^(LOG(T24)-INT(LOG(T24))))-VLOOKUP((10^(LOG(T24)-INT(LOG(T24)))),C_s1:C_f1,1)&lt;VLOOKUP((10^(LOG(T24)-INT(LOG(T24)))),C_s1:C_f1,2)-(10^(LOG(T19)-INT(LOG(T24)))),VLOOKUP((10^(LOG(T24)-INT(LOG(T24)))),C_s1:C_f1,1),VLOOKUP((10^(LOG(T24)-INT(LOG(T24)))),C_s1:C_f1,2))</f>
        <v>3.3</v>
      </c>
      <c r="W26" s="3">
        <f>IF((10^(LOG(W24)-INT(LOG(W24))))-VLOOKUP((10^(LOG(W24)-INT(LOG(W24)))),C_s1:C_f1,1)&lt;VLOOKUP((10^(LOG(W24)-INT(LOG(W24)))),C_s1:C_f1,2)-(10^(LOG(W24)-INT(LOG(W24)))),VLOOKUP((10^(LOG(W24)-INT(LOG(W24)))),C_s1:C_f1,1),VLOOKUP((10^(LOG(W24)-INT(LOG(W24)))),C_s1:C_f1,2))</f>
        <v>8.1999999999999993</v>
      </c>
      <c r="Z26" s="3">
        <f>IF((10^(LOG(Z24)-INT(LOG(Z24))))-VLOOKUP((10^(LOG(Z24)-INT(LOG(Z24)))),C_s1:C_f1,1)&lt;VLOOKUP((10^(LOG(Z24)-INT(LOG(Z24)))),C_s1:C_f1,2)-(10^(LOG(Z24)-INT(LOG(Z24)))),VLOOKUP((10^(LOG(Z24)-INT(LOG(Z24)))),C_s1:C_f1,1),VLOOKUP((10^(LOG(Z24)-INT(LOG(Z24)))),C_s1:C_f1,2))</f>
        <v>3.9</v>
      </c>
      <c r="AB26" s="19"/>
    </row>
    <row r="27" spans="1:28" ht="19.5" thickBot="1" x14ac:dyDescent="0.4">
      <c r="A27" s="5">
        <v>140</v>
      </c>
      <c r="B27" s="5">
        <v>147</v>
      </c>
      <c r="E27" s="3">
        <v>3.3</v>
      </c>
      <c r="F27" s="3">
        <v>3.9</v>
      </c>
      <c r="I27" s="3" t="s">
        <v>43</v>
      </c>
      <c r="J27" s="3">
        <f>((1/fline_min)/2)+t_1</f>
        <v>1.2610343556101168E-2</v>
      </c>
      <c r="K27" s="3" t="s">
        <v>18</v>
      </c>
      <c r="L27" s="3">
        <f>((1/fline_min)/2)+t_1</f>
        <v>1.2610343556101168E-2</v>
      </c>
      <c r="P27" s="3" t="s">
        <v>350</v>
      </c>
      <c r="Q27" s="3">
        <f>((2*(Irun*mA+Qg*nC)*(20*ms))/((VDD*1.5)-(VDDoff_max+1)))*10^12</f>
        <v>7937116.5855484838</v>
      </c>
      <c r="R27" s="3" t="s">
        <v>16</v>
      </c>
      <c r="S27" s="20"/>
      <c r="T27" s="21">
        <f>IF((10^(LOG(T24)-INT(LOG(T24))))-VLOOKUP((10^(LOG(T24)-INT(LOG(T24)))),C_s2:C_f2,1)&lt;VLOOKUP((10^(LOG(T24)-INT(LOG(T24)))),C_s2:C_f2,2)-(10^(LOG(T24)-INT(LOG(T24)))),VLOOKUP((10^(LOG(T24)-INT(LOG(T24)))),C_s2:C_f2,1),VLOOKUP((10^(LOG(T24)-INT(LOG(T24)))),C_s2:C_f2,2))</f>
        <v>3.3</v>
      </c>
      <c r="U27" s="21"/>
      <c r="V27" s="21"/>
      <c r="W27" s="21">
        <f>IF((10^(LOG(W24)-INT(LOG(W24))))-VLOOKUP((10^(LOG(W24)-INT(LOG(W24)))),C_s2:C_f2,1)&lt;VLOOKUP((10^(LOG(W24)-INT(LOG(W24)))),C_s2:C_f2,2)-(10^(LOG(W24)-INT(LOG(W24)))),VLOOKUP((10^(LOG(W24)-INT(LOG(W24)))),C_s2:C_f2,1),VLOOKUP((10^(LOG(W24)-INT(LOG(W24)))),C_s2:C_f2,2))</f>
        <v>8.1999999999999993</v>
      </c>
      <c r="X27" s="21"/>
      <c r="Y27" s="21"/>
      <c r="Z27" s="21">
        <f>IF((10^(LOG(Z24)-INT(LOG(Z24))))-VLOOKUP((10^(LOG(Z24)-INT(LOG(Z24)))),C_s2:C_f2,1)&lt;VLOOKUP((10^(LOG(Z24)-INT(LOG(Z24)))),C_s2:C_f2,2)-(10^(LOG(Z24)-INT(LOG(Z24)))),VLOOKUP((10^(LOG(Z24)-INT(LOG(Z24)))),C_s2:C_f2,1),VLOOKUP((10^(LOG(Z24)-INT(LOG(Z24)))),C_s2:C_f2,2))</f>
        <v>3.9</v>
      </c>
      <c r="AA27" s="21"/>
      <c r="AB27" s="22"/>
    </row>
    <row r="28" spans="1:28" ht="19.5" thickBot="1" x14ac:dyDescent="0.4">
      <c r="A28" s="5">
        <v>147</v>
      </c>
      <c r="B28" s="5">
        <v>154</v>
      </c>
      <c r="E28" s="3">
        <v>3.9</v>
      </c>
      <c r="F28" s="3">
        <v>4.7</v>
      </c>
      <c r="I28" s="3" t="s">
        <v>44</v>
      </c>
      <c r="J28" s="3">
        <f>((0.25+0.5*Nhc+(1/(2*PI()))*ASIN(Vbulk_valley_rcmd/((SQRT(2))*Vin_min))))/fline_min</f>
        <v>7.2911946199309546E-3</v>
      </c>
      <c r="K28" s="3" t="s">
        <v>18</v>
      </c>
      <c r="L28" s="3">
        <f>((0.25+0.5*Nhc+(1/(2*PI()))*ASIN(Vbulk_valley_rcmd/((SQRT(2))*Vin_min))))/fline_min</f>
        <v>7.2911946199309546E-3</v>
      </c>
      <c r="Q28" s="3">
        <f>(IF(Q27&lt;10000,Q29*10^INT(LOG(Q27)),Q30*10^INT(LOG(Q27))))*10^-6</f>
        <v>8.1999999999999993</v>
      </c>
      <c r="R28" s="3" t="s">
        <v>14</v>
      </c>
    </row>
    <row r="29" spans="1:28" ht="18.75" x14ac:dyDescent="0.35">
      <c r="A29" s="5">
        <v>154</v>
      </c>
      <c r="B29" s="5">
        <v>162</v>
      </c>
      <c r="E29" s="3">
        <v>4.7</v>
      </c>
      <c r="F29" s="3">
        <v>5.6</v>
      </c>
      <c r="I29" s="3" t="s">
        <v>45</v>
      </c>
      <c r="J29" s="3">
        <f>((t_line*10^-3)/4)-t_1</f>
        <v>3.3471032524094706E-3</v>
      </c>
      <c r="K29" s="3" t="s">
        <v>18</v>
      </c>
      <c r="L29" s="3">
        <f>((t_line*10^-3)/4)-t_1</f>
        <v>3.3471032524094706E-3</v>
      </c>
      <c r="Q29" s="3">
        <f>IF((10^(LOG(Q27)-INT(LOG(Q27))))-VLOOKUP((10^(LOG(Q27)-INT(LOG(Q27)))),C_s1:C_f1,1)&lt;VLOOKUP((10^(LOG(Q27)-INT(LOG(Q27)))),C_s1:C_f1,2)-(10^(LOG(Q27)-INT(LOG(Q27)))),VLOOKUP((10^(LOG(Q27)-INT(LOG(Q27)))),C_s1:C_f1,1),VLOOKUP((10^(LOG(Q27)-INT(LOG(Q27)))),C_s1:C_f1,2))</f>
        <v>8.1999999999999993</v>
      </c>
      <c r="S29" s="261" t="s">
        <v>417</v>
      </c>
      <c r="T29" s="262"/>
      <c r="U29" s="15"/>
      <c r="V29" s="16"/>
      <c r="W29" s="16"/>
      <c r="X29" s="16"/>
      <c r="Y29" s="16"/>
      <c r="Z29" s="15"/>
      <c r="AA29" s="15"/>
      <c r="AB29" s="17"/>
    </row>
    <row r="30" spans="1:28" ht="18.75" x14ac:dyDescent="0.35">
      <c r="A30" s="5">
        <v>162</v>
      </c>
      <c r="B30" s="5">
        <v>169</v>
      </c>
      <c r="E30" s="3">
        <v>5.6</v>
      </c>
      <c r="F30" s="3">
        <v>6.8</v>
      </c>
      <c r="I30" s="3" t="s">
        <v>46</v>
      </c>
      <c r="J30" s="3">
        <f>(1/(Cbulk*uF))*(SQRT(2*(Cbulk*uF)*(((Cbulk*uF)*Vin_min^2)-Pin*t_discharge)))</f>
        <v>78.654054890760818</v>
      </c>
      <c r="K30" s="3" t="s">
        <v>4</v>
      </c>
      <c r="L30" s="3">
        <f>(1/(Cbulk_rcmd*uF))*(SQRT(2*(Cbulk_rcmd*uF)*(((Cbulk_rcmd*uF)*Vin_min^2)-Pin*t_discharge)))</f>
        <v>78.654054890760818</v>
      </c>
      <c r="Q30" s="3">
        <f>IF((10^(LOG(Q27)-INT(LOG(Q27))))-VLOOKUP((10^(LOG(Q27)-INT(LOG(Q27)))),C_s2:C_f2,1)&lt;VLOOKUP((10^(LOG(Q27)-INT(LOG(Q27)))),C_s2:C_f2,2)-(10^(LOG(Q27)-INT(LOG(Q27)))),VLOOKUP((10^(LOG(Q27)-INT(LOG(Q27)))),C_s2:C_f2,1),VLOOKUP((10^(LOG(Q27)-INT(LOG(Q27)))),C_s2:C_f2,2))</f>
        <v>8.1999999999999993</v>
      </c>
      <c r="S30" s="18" t="s">
        <v>153</v>
      </c>
      <c r="T30" s="3">
        <f>MAX(AA30:AA32)</f>
        <v>437062937.06293714</v>
      </c>
      <c r="U30" s="3" t="s">
        <v>16</v>
      </c>
      <c r="V30" s="3" t="s">
        <v>219</v>
      </c>
      <c r="W30" s="3">
        <f>(Itran_rcmd*((1/(fswmin*kHz))+150*us)/(Vocv-Vo_delta_rcmd))*10^12</f>
        <v>1440366972.4770641</v>
      </c>
      <c r="X30" s="1" t="s">
        <v>16</v>
      </c>
      <c r="Z30" s="3" t="s">
        <v>223</v>
      </c>
      <c r="AA30" s="3">
        <f>(1.2*Itran_rcmd/3700)*10^12</f>
        <v>162162162.16216215</v>
      </c>
      <c r="AB30" s="19"/>
    </row>
    <row r="31" spans="1:28" ht="15" x14ac:dyDescent="0.25">
      <c r="A31" s="5">
        <v>169</v>
      </c>
      <c r="B31" s="5">
        <v>178</v>
      </c>
      <c r="E31" s="3">
        <v>6.8</v>
      </c>
      <c r="F31" s="3">
        <v>8.1999999999999993</v>
      </c>
      <c r="I31" s="260" t="s">
        <v>19</v>
      </c>
      <c r="J31" s="260"/>
      <c r="K31" s="260"/>
      <c r="S31" s="18"/>
      <c r="T31" s="3">
        <f>(IF(T30&lt;10000,T32*10^INT(LOG(T30)),T33*10^INT(LOG(T30))))*10^-6</f>
        <v>470</v>
      </c>
      <c r="U31" s="3" t="s">
        <v>14</v>
      </c>
      <c r="V31" s="1"/>
      <c r="W31" s="1">
        <f>(IF(W30&lt;10000,W32*10^INT(LOG(W30)),W33*10^INT(LOG(W30))))*10^-6</f>
        <v>1500</v>
      </c>
      <c r="X31" s="3" t="s">
        <v>14</v>
      </c>
      <c r="Z31" s="3" t="s">
        <v>224</v>
      </c>
      <c r="AA31" s="3">
        <f>((100*Iocc_rcmd)/(Vocv*fmax_actual_rcmd*kHz))*10^12</f>
        <v>96153846.153846174</v>
      </c>
      <c r="AB31" s="19"/>
    </row>
    <row r="32" spans="1:28" ht="18.75" x14ac:dyDescent="0.35">
      <c r="A32" s="5">
        <v>178</v>
      </c>
      <c r="B32" s="5">
        <v>187</v>
      </c>
      <c r="E32" s="3">
        <v>8.1999999999999993</v>
      </c>
      <c r="F32" s="3">
        <v>10</v>
      </c>
      <c r="I32" s="3" t="s">
        <v>47</v>
      </c>
      <c r="J32" s="3">
        <f>(1/fline_min)/(2*PI())*ASIN((Vbulkvalley_1)/(Vin_min*SQRT(2)))</f>
        <v>1.7950166777066041E-3</v>
      </c>
      <c r="K32" s="3" t="s">
        <v>18</v>
      </c>
      <c r="L32" s="3">
        <f>(1/fline_min)/(2*PI())*ASIN((L30)/(Vin_min*SQRT(2)))</f>
        <v>1.7950166777066041E-3</v>
      </c>
      <c r="P32" s="259" t="s">
        <v>418</v>
      </c>
      <c r="Q32" s="259"/>
      <c r="S32" s="18"/>
      <c r="T32" s="3">
        <f>IF((10^(LOG(T30)-INT(LOG(T30))))-VLOOKUP((10^(LOG(T30)-INT(LOG(T30)))),C_s1:C_f1,1)&lt;VLOOKUP((10^(LOG(T30)-INT(LOG(T30)))),C_s1:C_f1,2)-(10^(LOG(T30)-INT(LOG(T30)))),VLOOKUP((10^(LOG(T30)-INT(LOG(T30)))),C_s1:C_f1,1),VLOOKUP((10^(LOG(T30)-INT(LOG(T30)))),C_s1:C_f1,2))</f>
        <v>4.7</v>
      </c>
      <c r="V32" s="1"/>
      <c r="W32" s="1">
        <f>IF((10^(LOG(W30)-INT(LOG(W30))))-VLOOKUP((10^(LOG(W30)-INT(LOG(W30)))),C_s1:C_f1,1)&lt;VLOOKUP((10^(LOG(W30)-INT(LOG(W30)))),C_s1:C_f1,2)-(10^(LOG(W30)-INT(LOG(W30)))),VLOOKUP((10^(LOG(W30)-INT(LOG(W30)))),C_s1:C_f1,1),VLOOKUP((10^(LOG(W30)-INT(LOG(W30)))),C_s1:C_f1,2))</f>
        <v>1.5</v>
      </c>
      <c r="X32" s="1"/>
      <c r="Z32" s="3" t="s">
        <v>225</v>
      </c>
      <c r="AA32" s="3">
        <f>(Iocc_rcmd/((0.33*Vripple_target*mV)*fmax_actual_rcmd*kHz))*10^12</f>
        <v>437062937.06293714</v>
      </c>
      <c r="AB32" s="19"/>
    </row>
    <row r="33" spans="1:28" ht="18.75" x14ac:dyDescent="0.35">
      <c r="A33" s="5">
        <v>187</v>
      </c>
      <c r="B33" s="5">
        <v>196</v>
      </c>
      <c r="E33" s="259" t="s">
        <v>13</v>
      </c>
      <c r="F33" s="259"/>
      <c r="G33" s="259"/>
      <c r="I33" s="3" t="s">
        <v>48</v>
      </c>
      <c r="J33" s="3">
        <f>((t_line*10^-3)/2)+t1_1</f>
        <v>1.243331455004703E-2</v>
      </c>
      <c r="K33" s="3" t="s">
        <v>18</v>
      </c>
      <c r="L33" s="3">
        <f>((t_line*10^-3)/2)+L32</f>
        <v>1.243331455004703E-2</v>
      </c>
      <c r="P33" s="3" t="s">
        <v>344</v>
      </c>
      <c r="Q33" s="3">
        <f>((Irun*mA+1*mA)*(Cout_rcmd*uF*Vocc/Iocc_rcmd))/(VDDon-(VDDoff_max+1))*10^12</f>
        <v>1087310.4112367311</v>
      </c>
      <c r="R33" s="3" t="s">
        <v>16</v>
      </c>
      <c r="S33" s="18"/>
      <c r="T33" s="3">
        <f>IF((10^(LOG(T30)-INT(LOG(T30))))-VLOOKUP((10^(LOG(T30)-INT(LOG(T30)))),C_s2:C_f2,1)&lt;VLOOKUP((10^(LOG(T30)-INT(LOG(T30)))),C_s2:C_f2,2)-(10^(LOG(T30)-INT(LOG(T30)))),VLOOKUP((10^(LOG(T30)-INT(LOG(T30)))),C_s2:C_f2,1),VLOOKUP((10^(LOG(T30)-INT(LOG(T30)))),C_s2:C_f2,2))</f>
        <v>4.7</v>
      </c>
      <c r="V33" s="1"/>
      <c r="W33" s="1">
        <f>IF((10^(LOG(W30)-INT(LOG(W30))))-VLOOKUP((10^(LOG(W30)-INT(LOG(W30)))),C_s2:C_f2,1)&lt;VLOOKUP((10^(LOG(W30)-INT(LOG(W30)))),C_s2:C_f2,2)-(10^(LOG(W30)-INT(LOG(W30)))),VLOOKUP((10^(LOG(W30)-INT(LOG(W30)))),C_s2:C_f2,1),VLOOKUP((10^(LOG(W30)-INT(LOG(W30)))),C_s2:C_f2,2))</f>
        <v>1.5</v>
      </c>
      <c r="X33" s="1"/>
      <c r="AB33" s="19"/>
    </row>
    <row r="34" spans="1:28" ht="18.75" x14ac:dyDescent="0.35">
      <c r="A34" s="5">
        <v>196</v>
      </c>
      <c r="B34" s="5">
        <v>205</v>
      </c>
      <c r="E34" s="3">
        <v>1</v>
      </c>
      <c r="F34" s="3">
        <v>1.2</v>
      </c>
      <c r="I34" s="3" t="s">
        <v>49</v>
      </c>
      <c r="J34" s="3">
        <f>((0.25+0.5*Nhc+(1/(2*PI()))*ASIN(Vbulkvalley_1/((SQRT(2))*Vin_min))))/fline_min</f>
        <v>7.114165613876817E-3</v>
      </c>
      <c r="K34" s="3" t="s">
        <v>18</v>
      </c>
      <c r="L34" s="3">
        <f>((0.25+0.5*Nhc+(1/(2*PI()))*ASIN(L30/((SQRT(2))*Vin_min))))/fline_min</f>
        <v>7.114165613876817E-3</v>
      </c>
      <c r="Q34" s="3">
        <f>(IF(Q33&lt;10000,Q35*10^INT(LOG(Q33)),Q36*10^INT(LOG(Q33))))*10^-6</f>
        <v>1</v>
      </c>
      <c r="R34" s="3" t="s">
        <v>14</v>
      </c>
      <c r="S34" s="18"/>
      <c r="V34" s="1"/>
      <c r="W34" s="1"/>
      <c r="X34" s="1"/>
      <c r="Y34" s="1"/>
      <c r="AB34" s="19"/>
    </row>
    <row r="35" spans="1:28" ht="18.75" x14ac:dyDescent="0.35">
      <c r="A35" s="5">
        <v>205</v>
      </c>
      <c r="B35" s="5">
        <v>215</v>
      </c>
      <c r="E35" s="3">
        <v>1.2</v>
      </c>
      <c r="F35" s="3">
        <v>1.5</v>
      </c>
      <c r="I35" s="3" t="s">
        <v>50</v>
      </c>
      <c r="J35" s="3">
        <f>((t_line*10^-3)/4)-t1_1</f>
        <v>3.5241322584636083E-3</v>
      </c>
      <c r="K35" s="3" t="s">
        <v>18</v>
      </c>
      <c r="L35" s="3">
        <f>((t_line*10^-3)/4)-L32</f>
        <v>3.5241322584636083E-3</v>
      </c>
      <c r="Q35" s="3">
        <f>IF((10^(LOG(Q33)-INT(LOG(Q33))))-VLOOKUP((10^(LOG(Q33)-INT(LOG(Q33)))),C_s1:C_f1,1)&lt;VLOOKUP((10^(LOG(Q33)-INT(LOG(Q33)))),C_s1:C_f1,2)-(10^(LOG(Q33)-INT(LOG(Q33)))),VLOOKUP((10^(LOG(Q33)-INT(LOG(Q33)))),C_s1:C_f1,1),VLOOKUP((10^(LOG(Q33)-INT(LOG(Q33)))),C_s1:C_f1,2))</f>
        <v>1</v>
      </c>
      <c r="S35" s="18" t="s">
        <v>223</v>
      </c>
      <c r="T35" s="3">
        <f>AA30</f>
        <v>162162162.16216215</v>
      </c>
      <c r="U35" s="3" t="s">
        <v>16</v>
      </c>
      <c r="V35" s="3" t="s">
        <v>224</v>
      </c>
      <c r="W35" s="3">
        <f>AA31</f>
        <v>96153846.153846174</v>
      </c>
      <c r="X35" s="3" t="s">
        <v>16</v>
      </c>
      <c r="Y35" s="3" t="s">
        <v>225</v>
      </c>
      <c r="Z35" s="3">
        <f>AA32</f>
        <v>437062937.06293714</v>
      </c>
      <c r="AA35" s="3" t="s">
        <v>16</v>
      </c>
      <c r="AB35" s="19"/>
    </row>
    <row r="36" spans="1:28" ht="18.75" x14ac:dyDescent="0.35">
      <c r="A36" s="5">
        <v>215</v>
      </c>
      <c r="B36" s="5">
        <v>226</v>
      </c>
      <c r="E36" s="3">
        <v>1.5</v>
      </c>
      <c r="F36" s="3">
        <v>1.8</v>
      </c>
      <c r="I36" s="3" t="s">
        <v>51</v>
      </c>
      <c r="J36" s="3">
        <f>SQRT((2*Cbulk*uF)*(((Cbulk*uF)*(Vin_min^2))-(Pin*tdischarge_1)))/(Cbulk*uF)</f>
        <v>81.386891637548004</v>
      </c>
      <c r="K36" s="3" t="s">
        <v>4</v>
      </c>
      <c r="L36" s="3">
        <f>SQRT((2*Cbulk_rcmd*uF)*(((Cbulk_rcmd*uF)*(Vin_min^2))-(Pin*L34)))/(Cbulk_rcmd*uF)</f>
        <v>81.386891637548004</v>
      </c>
      <c r="Q36" s="3">
        <f>IF((10^(LOG(Q33)-INT(LOG(Q33))))-VLOOKUP((10^(LOG(Q33)-INT(LOG(Q33)))),C_s2:C_f2,1)&lt;VLOOKUP((10^(LOG(Q33)-INT(LOG(Q33)))),C_s2:C_f2,2)-(10^(LOG(Q33)-INT(LOG(Q33)))),VLOOKUP((10^(LOG(Q33)-INT(LOG(Q33)))),C_s2:C_f2,1),VLOOKUP((10^(LOG(Q33)-INT(LOG(Q33)))),C_s2:C_f2,2))</f>
        <v>1</v>
      </c>
      <c r="S36" s="18"/>
      <c r="T36" s="3">
        <f>(IF(T35&lt;10000,T37*10^INT(LOG(T35)),T38*10^INT(LOG(T35))))*10^-6</f>
        <v>150</v>
      </c>
      <c r="U36" s="3" t="s">
        <v>14</v>
      </c>
      <c r="W36" s="3">
        <f>(IF(W35&lt;10000,W37*10^INT(LOG(W35)),W38*10^INT(LOG(W35))))*10^-6</f>
        <v>100</v>
      </c>
      <c r="X36" s="3" t="s">
        <v>14</v>
      </c>
      <c r="Z36" s="3">
        <f>(IF(Z35&lt;10000,Z37*10^INT(LOG(Z35)),Z38*10^INT(LOG(Z35))))*10^-6</f>
        <v>470</v>
      </c>
      <c r="AA36" s="3" t="s">
        <v>14</v>
      </c>
      <c r="AB36" s="19"/>
    </row>
    <row r="37" spans="1:28" x14ac:dyDescent="0.2">
      <c r="A37" s="5">
        <v>226</v>
      </c>
      <c r="B37" s="5">
        <v>237</v>
      </c>
      <c r="E37" s="3">
        <v>1.8</v>
      </c>
      <c r="F37" s="3">
        <v>2.2000000000000002</v>
      </c>
      <c r="I37" s="6" t="s">
        <v>20</v>
      </c>
      <c r="P37" s="3" t="s">
        <v>346</v>
      </c>
      <c r="Q37" s="3">
        <f>(Iwait*uA)/(0.9*fswmin*kHz)*10^12</f>
        <v>2604166.666666666</v>
      </c>
      <c r="R37" s="3" t="s">
        <v>16</v>
      </c>
      <c r="S37" s="18"/>
      <c r="T37" s="3">
        <f>IF((10^(LOG(T35)-INT(LOG(T35))))-VLOOKUP((10^(LOG(T35)-INT(LOG(T35)))),C_s1:C_f1,1)&lt;VLOOKUP((10^(LOG(T35)-INT(LOG(T35)))),C_s1:C_f1,2)-(10^(LOG(T30)-INT(LOG(T35)))),VLOOKUP((10^(LOG(T35)-INT(LOG(T35)))),C_s1:C_f1,1),VLOOKUP((10^(LOG(T35)-INT(LOG(T35)))),C_s1:C_f1,2))</f>
        <v>1.8</v>
      </c>
      <c r="W37" s="3">
        <f>IF((10^(LOG(W35)-INT(LOG(W35))))-VLOOKUP((10^(LOG(W35)-INT(LOG(W35)))),C_s1:C_f1,1)&lt;VLOOKUP((10^(LOG(W35)-INT(LOG(W35)))),C_s1:C_f1,2)-(10^(LOG(W35)-INT(LOG(W35)))),VLOOKUP((10^(LOG(W35)-INT(LOG(W35)))),C_s1:C_f1,1),VLOOKUP((10^(LOG(W35)-INT(LOG(W35)))),C_s1:C_f1,2))</f>
        <v>10</v>
      </c>
      <c r="Z37" s="3">
        <f>IF((10^(LOG(Z35)-INT(LOG(Z35))))-VLOOKUP((10^(LOG(Z35)-INT(LOG(Z35)))),C_s1:C_f1,1)&lt;VLOOKUP((10^(LOG(Z35)-INT(LOG(Z35)))),C_s1:C_f1,2)-(10^(LOG(Z35)-INT(LOG(Z35)))),VLOOKUP((10^(LOG(Z35)-INT(LOG(Z35)))),C_s1:C_f1,1),VLOOKUP((10^(LOG(Z35)-INT(LOG(Z35)))),C_s1:C_f1,2))</f>
        <v>4.7</v>
      </c>
      <c r="AB37" s="19"/>
    </row>
    <row r="38" spans="1:28" ht="19.5" thickBot="1" x14ac:dyDescent="0.4">
      <c r="A38" s="5">
        <v>237</v>
      </c>
      <c r="B38" s="5">
        <v>249</v>
      </c>
      <c r="E38" s="3">
        <v>2.2000000000000002</v>
      </c>
      <c r="F38" s="3">
        <v>3.3</v>
      </c>
      <c r="I38" s="3" t="s">
        <v>52</v>
      </c>
      <c r="J38" s="3">
        <f>(1/fline_min)/(2*PI())*ASIN(Vbulkvalley_2/(Vin_min*SQRT(2)))</f>
        <v>1.8643882797505236E-3</v>
      </c>
      <c r="K38" s="3" t="s">
        <v>18</v>
      </c>
      <c r="L38" s="3">
        <f>(1/fline_min)/(2*PI())*ASIN(L36/(Vin_min*SQRT(2)))</f>
        <v>1.8643882797505236E-3</v>
      </c>
      <c r="Q38" s="3">
        <f>(IF(Q37&lt;10000,Q39*10^INT(LOG(Q37)),Q40*10^INT(LOG(Q37))))*10^-6</f>
        <v>2.1999999999999997</v>
      </c>
      <c r="R38" s="3" t="s">
        <v>14</v>
      </c>
      <c r="S38" s="20"/>
      <c r="T38" s="21">
        <f>IF((10^(LOG(T35)-INT(LOG(T35))))-VLOOKUP((10^(LOG(T35)-INT(LOG(T35)))),C_s2:C_f2,1)&lt;VLOOKUP((10^(LOG(T35)-INT(LOG(T35)))),C_s2:C_f2,2)-(10^(LOG(T35)-INT(LOG(T35)))),VLOOKUP((10^(LOG(T35)-INT(LOG(T35)))),C_s2:C_f2,1),VLOOKUP((10^(LOG(T35)-INT(LOG(T35)))),C_s2:C_f2,2))</f>
        <v>1.5</v>
      </c>
      <c r="U38" s="21"/>
      <c r="V38" s="21"/>
      <c r="W38" s="21">
        <f>IF((10^(LOG(W35)-INT(LOG(W35))))-VLOOKUP((10^(LOG(W35)-INT(LOG(W35)))),C_s2:C_f2,1)&lt;VLOOKUP((10^(LOG(W35)-INT(LOG(W35)))),C_s2:C_f2,2)-(10^(LOG(W35)-INT(LOG(W35)))),VLOOKUP((10^(LOG(W35)-INT(LOG(W35)))),C_s2:C_f2,1),VLOOKUP((10^(LOG(W35)-INT(LOG(W35)))),C_s2:C_f2,2))</f>
        <v>10</v>
      </c>
      <c r="X38" s="21"/>
      <c r="Y38" s="21"/>
      <c r="Z38" s="21">
        <f>IF((10^(LOG(Z35)-INT(LOG(Z35))))-VLOOKUP((10^(LOG(Z35)-INT(LOG(Z35)))),C_s2:C_f2,1)&lt;VLOOKUP((10^(LOG(Z35)-INT(LOG(Z35)))),C_s2:C_f2,2)-(10^(LOG(Z35)-INT(LOG(Z35)))),VLOOKUP((10^(LOG(Z35)-INT(LOG(Z35)))),C_s2:C_f2,1),VLOOKUP((10^(LOG(Z35)-INT(LOG(Z35)))),C_s2:C_f2,2))</f>
        <v>4.7</v>
      </c>
      <c r="AA38" s="21"/>
      <c r="AB38" s="22"/>
    </row>
    <row r="39" spans="1:28" ht="18.75" x14ac:dyDescent="0.35">
      <c r="A39" s="5">
        <v>249</v>
      </c>
      <c r="B39" s="5">
        <v>261</v>
      </c>
      <c r="E39" s="3">
        <v>3.3</v>
      </c>
      <c r="F39" s="3">
        <v>3.9</v>
      </c>
      <c r="I39" s="3" t="s">
        <v>53</v>
      </c>
      <c r="J39" s="3">
        <f>((t_line*10^-3)/2)+t1_2</f>
        <v>1.2502686152090948E-2</v>
      </c>
      <c r="K39" s="3" t="s">
        <v>18</v>
      </c>
      <c r="L39" s="3">
        <f>((t_line*10^-3)/2)+L38</f>
        <v>1.2502686152090948E-2</v>
      </c>
      <c r="Q39" s="3">
        <f>IF((10^(LOG(Q37)-INT(LOG(Q37))))-VLOOKUP((10^(LOG(Q37)-INT(LOG(Q37)))),C_s1:C_f1,1)&lt;VLOOKUP((10^(LOG(Q37)-INT(LOG(Q37)))),C_s1:C_f1,2)-(10^(LOG(Q37)-INT(LOG(Q37)))),VLOOKUP((10^(LOG(Q37)-INT(LOG(Q37)))),C_s1:C_f1,1),VLOOKUP((10^(LOG(Q37)-INT(LOG(Q37)))),C_s1:C_f1,2))</f>
        <v>2.7</v>
      </c>
    </row>
    <row r="40" spans="1:28" ht="18.75" x14ac:dyDescent="0.35">
      <c r="A40" s="5">
        <v>261</v>
      </c>
      <c r="B40" s="5">
        <v>274</v>
      </c>
      <c r="E40" s="3">
        <v>3.9</v>
      </c>
      <c r="F40" s="3">
        <v>4.7</v>
      </c>
      <c r="I40" s="3" t="s">
        <v>54</v>
      </c>
      <c r="J40" s="3">
        <f>((0.25+0.5*Nhc+(1/(2*PI()))*ASIN(Vbulkvalley_2/((SQRT(2))*Vin_min))))/fline_min</f>
        <v>7.1835372159207364E-3</v>
      </c>
      <c r="K40" s="3" t="s">
        <v>18</v>
      </c>
      <c r="L40" s="3">
        <f>((0.25+0.5*Nhc+(1/(2*PI()))*ASIN(L36/((SQRT(2))*Vin_min))))/fline_min</f>
        <v>7.1835372159207364E-3</v>
      </c>
      <c r="Q40" s="3">
        <f>IF((10^(LOG(Q37)-INT(LOG(Q37))))-VLOOKUP((10^(LOG(Q37)-INT(LOG(Q37)))),C_s2:C_f2,1)&lt;VLOOKUP((10^(LOG(Q37)-INT(LOG(Q37)))),C_s2:C_f2,2)-(10^(LOG(Q37)-INT(LOG(Q37)))),VLOOKUP((10^(LOG(Q37)-INT(LOG(Q37)))),C_s2:C_f2,1),VLOOKUP((10^(LOG(Q37)-INT(LOG(Q37)))),C_s2:C_f2,2))</f>
        <v>2.2000000000000002</v>
      </c>
    </row>
    <row r="41" spans="1:28" ht="18.75" x14ac:dyDescent="0.35">
      <c r="A41" s="5">
        <v>274</v>
      </c>
      <c r="B41" s="5">
        <v>287</v>
      </c>
      <c r="E41" s="3">
        <v>4.7</v>
      </c>
      <c r="F41" s="3">
        <v>5.6</v>
      </c>
      <c r="I41" s="3" t="s">
        <v>55</v>
      </c>
      <c r="J41" s="3">
        <f>((t_line*10^-3)/4)-t1_2</f>
        <v>3.4547606564196889E-3</v>
      </c>
      <c r="K41" s="3" t="s">
        <v>18</v>
      </c>
      <c r="L41" s="3">
        <f>((t_line*10^-3)/4)-L38</f>
        <v>3.4547606564196889E-3</v>
      </c>
      <c r="P41" s="3" t="s">
        <v>350</v>
      </c>
      <c r="Q41" s="3">
        <f>((2*(Irun*mA+Qg_rcmd*nC)*(20*ms))/((VDD_rcmd*1.5)-(VDDoff_max+1)))*10^12</f>
        <v>11455795.295169223</v>
      </c>
      <c r="R41" s="3" t="s">
        <v>16</v>
      </c>
    </row>
    <row r="42" spans="1:28" ht="18.75" x14ac:dyDescent="0.35">
      <c r="A42" s="5">
        <v>287</v>
      </c>
      <c r="B42" s="5">
        <v>301</v>
      </c>
      <c r="E42" s="3">
        <v>5.6</v>
      </c>
      <c r="F42" s="3">
        <v>6.8</v>
      </c>
      <c r="I42" s="3" t="s">
        <v>56</v>
      </c>
      <c r="J42" s="3">
        <f>SQRT((2*Cbulk*uF)*(((Cbulk*uF)*(Vin_min^2))-(Pin*tdischarge_2)))/(Cbulk*uF)</f>
        <v>80.327065591547452</v>
      </c>
      <c r="K42" s="3" t="s">
        <v>4</v>
      </c>
      <c r="L42" s="3">
        <f>SQRT((2*Cbulk_rcmd*uF)*(((Cbulk_rcmd*uF)*(Vin_min^2))-(Pin*L40)))/(Cbulk_rcmd*uF)</f>
        <v>80.327065591547452</v>
      </c>
      <c r="Q42" s="3">
        <f>(IF(Q41&lt;10000,Q43*10^INT(LOG(Q41)),Q44*10^INT(LOG(Q41))))*10^-6</f>
        <v>12</v>
      </c>
      <c r="R42" s="3" t="s">
        <v>14</v>
      </c>
    </row>
    <row r="43" spans="1:28" x14ac:dyDescent="0.2">
      <c r="A43" s="5">
        <v>301</v>
      </c>
      <c r="B43" s="5">
        <v>316</v>
      </c>
      <c r="E43" s="3">
        <v>6.8</v>
      </c>
      <c r="F43" s="3">
        <v>8.1999999999999993</v>
      </c>
      <c r="I43" s="6" t="s">
        <v>21</v>
      </c>
      <c r="Q43" s="3">
        <f>IF((10^(LOG(Q41)-INT(LOG(Q41))))-VLOOKUP((10^(LOG(Q41)-INT(LOG(Q41)))),C_s1:C_f1,1)&lt;VLOOKUP((10^(LOG(Q41)-INT(LOG(Q41)))),C_s1:C_f1,2)-(10^(LOG(Q41)-INT(LOG(Q41)))),VLOOKUP((10^(LOG(Q41)-INT(LOG(Q41)))),C_s1:C_f1,1),VLOOKUP((10^(LOG(Q41)-INT(LOG(Q41)))),C_s1:C_f1,2))</f>
        <v>1.2</v>
      </c>
    </row>
    <row r="44" spans="1:28" ht="18.75" x14ac:dyDescent="0.35">
      <c r="A44" s="5">
        <v>316</v>
      </c>
      <c r="B44" s="5">
        <v>332</v>
      </c>
      <c r="E44" s="3">
        <v>8.1999999999999993</v>
      </c>
      <c r="F44" s="3">
        <v>10</v>
      </c>
      <c r="I44" s="3" t="s">
        <v>57</v>
      </c>
      <c r="J44" s="3">
        <f>(1/fline_min)/(2*PI())*ASIN(Vbulkvalley_3/(Vin_min*SQRT(2)))</f>
        <v>1.8373836940570256E-3</v>
      </c>
      <c r="K44" s="3" t="s">
        <v>18</v>
      </c>
      <c r="L44" s="3">
        <f>(1/fline_min)/(2*PI())*ASIN(L42/(Vin_min*SQRT(2)))</f>
        <v>1.8373836940570256E-3</v>
      </c>
      <c r="Q44" s="3">
        <f>IF((10^(LOG(Q41)-INT(LOG(Q41))))-VLOOKUP((10^(LOG(Q41)-INT(LOG(Q41)))),C_s2:C_f2,1)&lt;VLOOKUP((10^(LOG(Q41)-INT(LOG(Q41)))),C_s2:C_f2,2)-(10^(LOG(Q41)-INT(LOG(Q41)))),VLOOKUP((10^(LOG(Q41)-INT(LOG(Q41)))),C_s2:C_f2,1),VLOOKUP((10^(LOG(Q41)-INT(LOG(Q41)))),C_s2:C_f2,2))</f>
        <v>1.2</v>
      </c>
    </row>
    <row r="45" spans="1:28" ht="18.75" x14ac:dyDescent="0.35">
      <c r="A45" s="5">
        <v>332</v>
      </c>
      <c r="B45" s="5">
        <v>348</v>
      </c>
      <c r="I45" s="3" t="s">
        <v>58</v>
      </c>
      <c r="J45" s="3">
        <f>((t_line*10^-3)/2)+t1_3</f>
        <v>1.247568156639745E-2</v>
      </c>
      <c r="K45" s="3" t="s">
        <v>18</v>
      </c>
      <c r="L45" s="3">
        <f>((t_line*10^-3)/2)+L44</f>
        <v>1.247568156639745E-2</v>
      </c>
    </row>
    <row r="46" spans="1:28" ht="18.75" x14ac:dyDescent="0.35">
      <c r="A46" s="5">
        <v>348</v>
      </c>
      <c r="B46" s="5">
        <v>365</v>
      </c>
      <c r="I46" s="3" t="s">
        <v>59</v>
      </c>
      <c r="J46" s="3">
        <f>((0.25+0.5*Nhc+(1/(2*PI()))*ASIN(Vbulkvalley_3/((SQRT(2))*Vin_min))))/fline_min</f>
        <v>7.1565326302272386E-3</v>
      </c>
      <c r="K46" s="3" t="s">
        <v>18</v>
      </c>
      <c r="L46" s="3">
        <f>((0.25+0.5*Nhc+(1/(2*PI()))*ASIN(L42/((SQRT(2))*Vin_min))))/fline_min</f>
        <v>7.1565326302272386E-3</v>
      </c>
    </row>
    <row r="47" spans="1:28" ht="18.75" x14ac:dyDescent="0.35">
      <c r="A47" s="5">
        <v>365</v>
      </c>
      <c r="B47" s="5">
        <v>383</v>
      </c>
      <c r="I47" s="3" t="s">
        <v>60</v>
      </c>
      <c r="J47" s="3">
        <f>((t_line*10^-3)/4)-t1_3</f>
        <v>3.4817652421131871E-3</v>
      </c>
      <c r="K47" s="3" t="s">
        <v>18</v>
      </c>
      <c r="L47" s="3">
        <f>((t_line*10^-3)/4)-L44</f>
        <v>3.4817652421131871E-3</v>
      </c>
    </row>
    <row r="48" spans="1:28" ht="18.75" x14ac:dyDescent="0.35">
      <c r="A48" s="5">
        <v>383</v>
      </c>
      <c r="B48" s="5">
        <v>402</v>
      </c>
      <c r="I48" s="3" t="s">
        <v>61</v>
      </c>
      <c r="J48" s="3">
        <f>(SQRT((2*Cbulk*uF)*(((Cbulk*uF)*(Vin_min^2))-(Pin*tdischarge_3))))/(Cbulk*uF)</f>
        <v>80.741282366965891</v>
      </c>
      <c r="K48" s="3" t="s">
        <v>4</v>
      </c>
      <c r="L48" s="3">
        <f>(SQRT((2*Cbulk_rcmd*uF)*(((Cbulk_rcmd*uF)*(Vin_min^2))-(Pin*L46))))/(Cbulk_rcmd*uF)</f>
        <v>80.741282366965891</v>
      </c>
    </row>
    <row r="49" spans="1:12" x14ac:dyDescent="0.2">
      <c r="A49" s="5">
        <v>402</v>
      </c>
      <c r="B49" s="5">
        <v>422</v>
      </c>
    </row>
    <row r="50" spans="1:12" x14ac:dyDescent="0.2">
      <c r="A50" s="5">
        <v>422</v>
      </c>
      <c r="B50" s="5">
        <v>442</v>
      </c>
    </row>
    <row r="51" spans="1:12" x14ac:dyDescent="0.2">
      <c r="A51" s="5">
        <v>442</v>
      </c>
      <c r="B51" s="5">
        <v>464</v>
      </c>
    </row>
    <row r="52" spans="1:12" x14ac:dyDescent="0.2">
      <c r="A52" s="5">
        <v>464</v>
      </c>
      <c r="B52" s="5">
        <v>487</v>
      </c>
    </row>
    <row r="53" spans="1:12" ht="18.75" x14ac:dyDescent="0.35">
      <c r="A53" s="5">
        <v>487</v>
      </c>
      <c r="B53" s="5">
        <v>511</v>
      </c>
      <c r="G53" s="7" t="s">
        <v>154</v>
      </c>
      <c r="H53" s="3">
        <f>(Vin_run*SQRT(2))/(Npa*Ivslrun_max*uA)/kOhms</f>
        <v>72.853425940432174</v>
      </c>
      <c r="I53" s="3" t="s">
        <v>124</v>
      </c>
      <c r="J53" s="7" t="s">
        <v>419</v>
      </c>
      <c r="K53" s="3">
        <f>(Vin_run*SQRT(2))/(Npa_rcmd*Ivslrun_max*uA)/kOhms</f>
        <v>61.993663932987118</v>
      </c>
      <c r="L53" s="3" t="s">
        <v>124</v>
      </c>
    </row>
    <row r="54" spans="1:12" ht="15" x14ac:dyDescent="0.25">
      <c r="A54" s="5">
        <v>511</v>
      </c>
      <c r="B54" s="5">
        <v>536</v>
      </c>
      <c r="H54" s="3">
        <f>(IF((10^(LOG(H53)-INT(LOG(H53)))*100)-VLOOKUP((10^(LOG(H53)-INT(LOG(H53)))*100),E_48s:E_48f,1)&lt;VLOOKUP((10^(LOG(H53)-INT(LOG(H53)))*100),E_48s:E_48f,2)-(10^(LOG(H53)-INT(LOG(H53)))*100),VLOOKUP((10^(LOG(H53)-INT(LOG(H53)))*100),E_48s:E_48f,1),VLOOKUP((10^(LOG(H53)-INT(LOG(H53)))*100),E_48s:E_48f,2)))*10^INT(LOG(H53))/100</f>
        <v>71.5</v>
      </c>
      <c r="I54" s="3" t="s">
        <v>124</v>
      </c>
      <c r="K54" s="3">
        <f>(IF((10^(LOG(K53)-INT(LOG(K53)))*100)-VLOOKUP((10^(LOG(K53)-INT(LOG(K53)))*100),E_48s:E_48f,1)&lt;VLOOKUP((10^(LOG(K53)-INT(LOG(K53)))*100),E_48s:E_48f,2)-(10^(LOG(K53)-INT(LOG(K53)))*100),VLOOKUP((10^(LOG(K53)-INT(LOG(K53)))*100),E_48s:E_48f,1),VLOOKUP((10^(LOG(K53)-INT(LOG(K53)))*100),E_48s:E_48f,2)))*10^INT(LOG(K53))/100</f>
        <v>61.9</v>
      </c>
      <c r="L54" s="3" t="s">
        <v>124</v>
      </c>
    </row>
    <row r="55" spans="1:12" x14ac:dyDescent="0.2">
      <c r="A55" s="5">
        <v>536</v>
      </c>
      <c r="B55" s="5">
        <v>562</v>
      </c>
    </row>
    <row r="56" spans="1:12" ht="18.75" x14ac:dyDescent="0.35">
      <c r="A56" s="5">
        <v>562</v>
      </c>
      <c r="B56" s="5">
        <v>590</v>
      </c>
      <c r="G56" s="7" t="s">
        <v>155</v>
      </c>
      <c r="H56" s="3">
        <f>Rvs_1*kOhms*Vovp_nom/(Nas*(Vout_ovp+Vf+Vocbc)-Vovp_nom)/kOhms</f>
        <v>27.413278008298764</v>
      </c>
      <c r="I56" s="3" t="s">
        <v>124</v>
      </c>
      <c r="J56" s="7" t="s">
        <v>155</v>
      </c>
      <c r="K56" s="3">
        <f>Rvs_1_rcmd*kOhms*Vovp_nom/(Nas_rec*(Vout_ovp+Vf_rcmd+Vocbc)-Vovp_nom)/kOhms</f>
        <v>31.280387190157409</v>
      </c>
      <c r="L56" s="3" t="s">
        <v>124</v>
      </c>
    </row>
    <row r="57" spans="1:12" ht="15" x14ac:dyDescent="0.25">
      <c r="A57" s="5">
        <v>590</v>
      </c>
      <c r="B57" s="5">
        <v>619</v>
      </c>
      <c r="H57" s="3">
        <f>(IF((10^(LOG(H56)-INT(LOG(H56)))*100)-VLOOKUP((10^(LOG(H56)-INT(LOG(H56)))*100),E_48s:E_48f,1)&lt;VLOOKUP((10^(LOG(H56)-INT(LOG(H56)))*100),E_48s:E_48f,2)-(10^(LOG(H56)-INT(LOG(H56)))*100),VLOOKUP((10^(LOG(H56)-INT(LOG(H56)))*100),E_48s:E_48f,1),VLOOKUP((10^(LOG(H56)-INT(LOG(H56)))*100),E_48s:E_48f,2)))*10^INT(LOG(H56))/100</f>
        <v>27.4</v>
      </c>
      <c r="I57" s="3" t="s">
        <v>124</v>
      </c>
      <c r="K57" s="3">
        <f>(IF((10^(LOG(K56)-INT(LOG(K56)))*100)-VLOOKUP((10^(LOG(K56)-INT(LOG(K56)))*100),E_48s:E_48f,1)&lt;VLOOKUP((10^(LOG(K56)-INT(LOG(K56)))*100),E_48s:E_48f,2)-(10^(LOG(K56)-INT(LOG(K56)))*100),VLOOKUP((10^(LOG(K56)-INT(LOG(K56)))*100),E_48s:E_48f,1),VLOOKUP((10^(LOG(K56)-INT(LOG(K56)))*100),E_48s:E_48f,2)))*10^INT(LOG(K56))/100</f>
        <v>31.6</v>
      </c>
      <c r="L57" s="3" t="s">
        <v>124</v>
      </c>
    </row>
    <row r="58" spans="1:12" x14ac:dyDescent="0.2">
      <c r="A58" s="5">
        <v>619</v>
      </c>
      <c r="B58" s="5">
        <v>649</v>
      </c>
    </row>
    <row r="59" spans="1:12" ht="18.75" x14ac:dyDescent="0.35">
      <c r="A59" s="5">
        <v>649</v>
      </c>
      <c r="B59" s="5">
        <v>681</v>
      </c>
      <c r="G59" s="7" t="s">
        <v>156</v>
      </c>
      <c r="H59" s="3">
        <f>((Klc*Rvs_1*kOhms*Rcs*tdelay*ns*Npa)/(Lp*uH))/kOhms</f>
        <v>3.5643550800000003</v>
      </c>
      <c r="I59" s="3" t="s">
        <v>124</v>
      </c>
      <c r="J59" s="7" t="s">
        <v>156</v>
      </c>
      <c r="K59" s="3">
        <f>((Klc*Rvs_1_rcmd*kOhms*Rcs_rcmd*tdelay*ns*Npa_rcmd)/(Lp_rcmd*uH))/kOhms</f>
        <v>3.2641927941521787</v>
      </c>
      <c r="L59" s="3" t="s">
        <v>124</v>
      </c>
    </row>
    <row r="60" spans="1:12" ht="15" x14ac:dyDescent="0.25">
      <c r="A60" s="5">
        <v>681</v>
      </c>
      <c r="B60" s="5">
        <v>715</v>
      </c>
      <c r="H60" s="3">
        <f>(IF((10^(LOG(H59)-INT(LOG(H59)))*100)-VLOOKUP((10^(LOG(H59)-INT(LOG(H59)))*100),E_48s:E_48f,1)&lt;VLOOKUP((10^(LOG(H59)-INT(LOG(H59)))*100),E_48s:E_48f,2)-(10^(LOG(H59)-INT(LOG(H59)))*100),VLOOKUP((10^(LOG(H59)-INT(LOG(H59)))*100),E_48s:E_48f,1),VLOOKUP((10^(LOG(H59)-INT(LOG(H59)))*100),E_48s:E_48f,2)))*10^INT(LOG(H59))/100</f>
        <v>3.48</v>
      </c>
      <c r="I60" s="3" t="s">
        <v>124</v>
      </c>
      <c r="K60" s="3">
        <f>(IF((10^(LOG(K59)-INT(LOG(K59)))*100)-VLOOKUP((10^(LOG(K59)-INT(LOG(K59)))*100),E_48s:E_48f,1)&lt;VLOOKUP((10^(LOG(K59)-INT(LOG(K59)))*100),E_48s:E_48f,2)-(10^(LOG(K59)-INT(LOG(K59)))*100),VLOOKUP((10^(LOG(K59)-INT(LOG(K59)))*100),E_48s:E_48f,1),VLOOKUP((10^(LOG(K59)-INT(LOG(K59)))*100),E_48s:E_48f,2)))*10^INT(LOG(K59))/100</f>
        <v>3.32</v>
      </c>
      <c r="L60" s="3" t="s">
        <v>124</v>
      </c>
    </row>
    <row r="61" spans="1:12" ht="18.75" x14ac:dyDescent="0.35">
      <c r="A61" s="5">
        <v>715</v>
      </c>
      <c r="B61" s="5">
        <v>750</v>
      </c>
      <c r="G61" s="7" t="s">
        <v>399</v>
      </c>
      <c r="J61" s="7" t="s">
        <v>399</v>
      </c>
    </row>
    <row r="62" spans="1:12" ht="15" x14ac:dyDescent="0.25">
      <c r="A62" s="5">
        <v>750</v>
      </c>
      <c r="B62" s="5">
        <v>787</v>
      </c>
      <c r="G62" s="1"/>
      <c r="H62" s="3">
        <f>IF(Vocbc=0,"OPEN",IF(Vocbc&gt;=0.08*Vocv,"SHORT TO GND",(Vcbc_nom/(Vocbc*(Vvsr_nom/(Vocv+Vf))))*(3*kOhms)-(28*kOhms)))/kOhms</f>
        <v>151.78131188118806</v>
      </c>
      <c r="I62" s="3" t="s">
        <v>124</v>
      </c>
      <c r="J62" s="1"/>
      <c r="K62" s="3">
        <f>IF(Vocbc=0,"OPEN",IF(Vocbc&gt;=0.08*Vocv,"SHORT TO GND",(Vcbc_nom/(Vocbc*(Vvsr_nom/(Vocv+Vf_rcmd))))*(3*kOhms)-(28*kOhms)))/kOhms</f>
        <v>151.43267326732672</v>
      </c>
      <c r="L62" s="3" t="s">
        <v>124</v>
      </c>
    </row>
    <row r="63" spans="1:12" ht="15" x14ac:dyDescent="0.25">
      <c r="A63" s="5">
        <v>787</v>
      </c>
      <c r="B63" s="5">
        <v>825</v>
      </c>
      <c r="G63" s="1"/>
      <c r="H63" s="1">
        <f>IF(H62="OPEN","OPEN",IF(H62="SHORT TO GND","SHORT TO GND",(IF((10^(LOG(H62)-INT(LOG(H62)))*100)-VLOOKUP((10^(LOG(H62)-INT(LOG(H62)))*100),E_48s:E_48f,1)&lt;VLOOKUP((10^(LOG(H62)-INT(LOG(H62)))*100),E_48s:E_48f,2)-(10^(LOG(H62)-INT(LOG(H62)))*100),VLOOKUP((10^(LOG(H62)-INT(LOG(H62)))*100),E_48s:E_48f,1),VLOOKUP((10^(LOG(H62)-INT(LOG(H62)))*100),E_48s:E_48f,2)))*10^INT(LOG(H62))/100))</f>
        <v>154</v>
      </c>
      <c r="I63" s="3" t="s">
        <v>124</v>
      </c>
      <c r="J63" s="1"/>
      <c r="K63" s="1">
        <f>IF(K62="OPEN","OPEN",IF(K62="SHORT TO GND","SHORT TO GND",(IF((10^(LOG(K62)-INT(LOG(K62)))*100)-VLOOKUP((10^(LOG(K62)-INT(LOG(K62)))*100),E_48s:E_48f,1)&lt;VLOOKUP((10^(LOG(K62)-INT(LOG(K62)))*100),E_48s:E_48f,2)-(10^(LOG(K62)-INT(LOG(K62)))*100),VLOOKUP((10^(LOG(K62)-INT(LOG(K62)))*100),E_48s:E_48f,1),VLOOKUP((10^(LOG(K62)-INT(LOG(K62)))*100),E_48s:E_48f,2)))*10^INT(LOG(K62))/100))</f>
        <v>154</v>
      </c>
      <c r="L63" s="3" t="s">
        <v>124</v>
      </c>
    </row>
    <row r="64" spans="1:12" ht="15" x14ac:dyDescent="0.25">
      <c r="A64" s="5">
        <v>825</v>
      </c>
      <c r="B64" s="5">
        <v>866</v>
      </c>
      <c r="G64" s="1"/>
      <c r="H64" s="1"/>
      <c r="I64" s="1"/>
    </row>
    <row r="65" spans="1:9" ht="15" x14ac:dyDescent="0.25">
      <c r="A65" s="5">
        <v>866</v>
      </c>
      <c r="B65" s="5">
        <v>909</v>
      </c>
      <c r="G65" s="1"/>
      <c r="H65" s="1"/>
      <c r="I65" s="1"/>
    </row>
    <row r="66" spans="1:9" ht="15" x14ac:dyDescent="0.25">
      <c r="A66" s="5">
        <v>909</v>
      </c>
      <c r="B66" s="5">
        <v>953</v>
      </c>
      <c r="G66" s="1"/>
      <c r="H66" s="1"/>
      <c r="I66" s="1"/>
    </row>
    <row r="67" spans="1:9" x14ac:dyDescent="0.2">
      <c r="A67" s="5">
        <v>953</v>
      </c>
      <c r="B67" s="5">
        <v>1000</v>
      </c>
    </row>
    <row r="71" spans="1:9" x14ac:dyDescent="0.2">
      <c r="A71" s="8"/>
    </row>
    <row r="72" spans="1:9" x14ac:dyDescent="0.2">
      <c r="A72" s="8"/>
    </row>
    <row r="73" spans="1:9" x14ac:dyDescent="0.2">
      <c r="A73" s="8"/>
    </row>
    <row r="74" spans="1:9" x14ac:dyDescent="0.2">
      <c r="A74" s="8"/>
    </row>
    <row r="75" spans="1:9" x14ac:dyDescent="0.2">
      <c r="A75" s="8"/>
    </row>
    <row r="76" spans="1:9" x14ac:dyDescent="0.2">
      <c r="A76" s="8"/>
    </row>
    <row r="77" spans="1:9" x14ac:dyDescent="0.2">
      <c r="A77" s="8"/>
    </row>
    <row r="78" spans="1:9" x14ac:dyDescent="0.2">
      <c r="A78" s="8"/>
    </row>
    <row r="79" spans="1:9" x14ac:dyDescent="0.2">
      <c r="A79" s="8"/>
    </row>
    <row r="80" spans="1:9" x14ac:dyDescent="0.2">
      <c r="A80" s="8"/>
    </row>
    <row r="81" spans="1:1" x14ac:dyDescent="0.2">
      <c r="A81" s="8"/>
    </row>
    <row r="82" spans="1:1" x14ac:dyDescent="0.2">
      <c r="A82" s="8"/>
    </row>
    <row r="83" spans="1:1" x14ac:dyDescent="0.2">
      <c r="A83" s="8"/>
    </row>
    <row r="84" spans="1:1" x14ac:dyDescent="0.2">
      <c r="A84" s="8"/>
    </row>
    <row r="85" spans="1:1" x14ac:dyDescent="0.2">
      <c r="A85" s="8"/>
    </row>
    <row r="86" spans="1:1" x14ac:dyDescent="0.2">
      <c r="A86" s="8"/>
    </row>
    <row r="87" spans="1:1" x14ac:dyDescent="0.2">
      <c r="A87" s="8"/>
    </row>
    <row r="88" spans="1:1" x14ac:dyDescent="0.2">
      <c r="A88" s="8"/>
    </row>
    <row r="112" spans="3:9" ht="15" x14ac:dyDescent="0.25">
      <c r="C112"/>
      <c r="D112"/>
      <c r="E112"/>
      <c r="F112"/>
      <c r="G112"/>
      <c r="H112"/>
      <c r="I112"/>
    </row>
    <row r="113" spans="3:9" ht="15" x14ac:dyDescent="0.25">
      <c r="C113"/>
      <c r="D113"/>
      <c r="E113"/>
      <c r="F113"/>
      <c r="G113"/>
      <c r="H113"/>
      <c r="I113"/>
    </row>
    <row r="114" spans="3:9" ht="15" x14ac:dyDescent="0.25">
      <c r="C114"/>
      <c r="D114"/>
      <c r="E114"/>
      <c r="F114"/>
      <c r="G114"/>
      <c r="H114"/>
      <c r="I114"/>
    </row>
    <row r="115" spans="3:9" ht="15" x14ac:dyDescent="0.25">
      <c r="C115"/>
      <c r="D115"/>
      <c r="E115"/>
      <c r="F115"/>
      <c r="G115"/>
      <c r="H115"/>
      <c r="I115"/>
    </row>
    <row r="116" spans="3:9" ht="15" x14ac:dyDescent="0.25">
      <c r="C116"/>
      <c r="D116"/>
      <c r="E116"/>
      <c r="F116"/>
      <c r="G116"/>
      <c r="H116"/>
      <c r="I116"/>
    </row>
    <row r="117" spans="3:9" ht="15" x14ac:dyDescent="0.25">
      <c r="C117"/>
      <c r="D117"/>
      <c r="E117"/>
      <c r="F117"/>
      <c r="G117"/>
      <c r="H117"/>
      <c r="I117"/>
    </row>
    <row r="118" spans="3:9" ht="15" x14ac:dyDescent="0.25">
      <c r="C118"/>
      <c r="D118"/>
      <c r="E118"/>
      <c r="F118"/>
      <c r="G118"/>
      <c r="H118"/>
      <c r="I118"/>
    </row>
    <row r="119" spans="3:9" ht="15" x14ac:dyDescent="0.25">
      <c r="C119"/>
      <c r="D119"/>
      <c r="E119"/>
      <c r="F119"/>
      <c r="G119"/>
      <c r="H119"/>
      <c r="I119"/>
    </row>
    <row r="120" spans="3:9" ht="15" x14ac:dyDescent="0.25">
      <c r="C120"/>
      <c r="D120"/>
      <c r="E120"/>
      <c r="F120"/>
      <c r="G120"/>
      <c r="H120"/>
      <c r="I120"/>
    </row>
    <row r="121" spans="3:9" ht="15" x14ac:dyDescent="0.25">
      <c r="C121"/>
      <c r="D121"/>
      <c r="E121"/>
      <c r="F121"/>
      <c r="G121"/>
      <c r="H121"/>
      <c r="I121"/>
    </row>
    <row r="122" spans="3:9" ht="15" x14ac:dyDescent="0.25">
      <c r="C122"/>
      <c r="D122"/>
      <c r="E122"/>
      <c r="F122"/>
      <c r="G122"/>
      <c r="H122"/>
      <c r="I122"/>
    </row>
    <row r="123" spans="3:9" ht="15" x14ac:dyDescent="0.25">
      <c r="C123"/>
      <c r="D123"/>
      <c r="E123"/>
      <c r="F123"/>
      <c r="G123"/>
      <c r="H123"/>
      <c r="I123"/>
    </row>
    <row r="124" spans="3:9" ht="15" x14ac:dyDescent="0.25">
      <c r="C124"/>
      <c r="D124"/>
      <c r="E124"/>
      <c r="F124"/>
      <c r="G124"/>
      <c r="H124"/>
      <c r="I124"/>
    </row>
    <row r="125" spans="3:9" ht="15" x14ac:dyDescent="0.25">
      <c r="C125"/>
      <c r="D125"/>
      <c r="E125"/>
      <c r="F125"/>
      <c r="G125"/>
      <c r="H125"/>
      <c r="I125"/>
    </row>
    <row r="126" spans="3:9" ht="15" x14ac:dyDescent="0.25">
      <c r="C126"/>
      <c r="D126"/>
      <c r="E126"/>
      <c r="F126"/>
      <c r="G126"/>
      <c r="H126"/>
      <c r="I126"/>
    </row>
    <row r="127" spans="3:9" ht="15" x14ac:dyDescent="0.25">
      <c r="C127"/>
      <c r="D127"/>
      <c r="E127"/>
      <c r="F127"/>
      <c r="G127"/>
      <c r="H127"/>
      <c r="I127"/>
    </row>
    <row r="128" spans="3:9" ht="15" x14ac:dyDescent="0.25">
      <c r="C128"/>
      <c r="D128"/>
      <c r="E128"/>
      <c r="F128"/>
      <c r="G128"/>
      <c r="H128"/>
      <c r="I128"/>
    </row>
    <row r="129" spans="3:9" ht="15" x14ac:dyDescent="0.25">
      <c r="C129"/>
      <c r="D129"/>
      <c r="E129"/>
      <c r="F129"/>
      <c r="G129"/>
      <c r="H129"/>
      <c r="I129"/>
    </row>
    <row r="130" spans="3:9" ht="15" x14ac:dyDescent="0.25">
      <c r="C130"/>
      <c r="D130"/>
      <c r="E130"/>
      <c r="F130"/>
      <c r="G130"/>
      <c r="H130"/>
      <c r="I130"/>
    </row>
    <row r="131" spans="3:9" ht="15" x14ac:dyDescent="0.25">
      <c r="C131"/>
      <c r="D131"/>
      <c r="E131"/>
      <c r="F131"/>
      <c r="G131"/>
      <c r="H131"/>
      <c r="I131"/>
    </row>
    <row r="132" spans="3:9" ht="15" x14ac:dyDescent="0.25">
      <c r="C132"/>
      <c r="D132"/>
      <c r="E132"/>
      <c r="F132"/>
      <c r="G132"/>
      <c r="H132"/>
      <c r="I132"/>
    </row>
    <row r="133" spans="3:9" ht="15" x14ac:dyDescent="0.25">
      <c r="C133"/>
      <c r="D133"/>
      <c r="E133"/>
      <c r="F133"/>
      <c r="G133"/>
      <c r="H133"/>
      <c r="I133"/>
    </row>
    <row r="134" spans="3:9" ht="15" x14ac:dyDescent="0.25">
      <c r="C134"/>
      <c r="D134"/>
      <c r="E134"/>
      <c r="F134"/>
      <c r="G134"/>
      <c r="H134"/>
      <c r="I134"/>
    </row>
    <row r="135" spans="3:9" ht="15" x14ac:dyDescent="0.25">
      <c r="C135"/>
      <c r="D135"/>
      <c r="E135"/>
      <c r="F135"/>
      <c r="G135"/>
      <c r="H135"/>
      <c r="I135"/>
    </row>
    <row r="136" spans="3:9" ht="15" x14ac:dyDescent="0.25">
      <c r="C136"/>
      <c r="D136"/>
      <c r="E136"/>
      <c r="F136"/>
      <c r="G136"/>
      <c r="H136"/>
      <c r="I136"/>
    </row>
    <row r="137" spans="3:9" ht="15" x14ac:dyDescent="0.25">
      <c r="C137"/>
      <c r="D137"/>
      <c r="E137"/>
      <c r="F137"/>
      <c r="G137"/>
      <c r="H137"/>
      <c r="I137"/>
    </row>
    <row r="138" spans="3:9" ht="15" x14ac:dyDescent="0.25">
      <c r="C138"/>
      <c r="D138"/>
      <c r="E138"/>
      <c r="F138"/>
      <c r="G138"/>
      <c r="H138"/>
      <c r="I138"/>
    </row>
    <row r="139" spans="3:9" ht="15" x14ac:dyDescent="0.25">
      <c r="C139"/>
      <c r="D139"/>
      <c r="E139"/>
      <c r="F139"/>
      <c r="G139"/>
      <c r="H139"/>
      <c r="I139"/>
    </row>
    <row r="140" spans="3:9" ht="15" x14ac:dyDescent="0.25">
      <c r="C140"/>
      <c r="D140"/>
      <c r="E140"/>
      <c r="F140"/>
      <c r="G140"/>
      <c r="H140"/>
      <c r="I140"/>
    </row>
    <row r="141" spans="3:9" ht="15" x14ac:dyDescent="0.25">
      <c r="C141"/>
      <c r="D141"/>
      <c r="E141"/>
      <c r="F141"/>
      <c r="G141"/>
      <c r="H141"/>
      <c r="I141"/>
    </row>
    <row r="142" spans="3:9" ht="15" x14ac:dyDescent="0.25">
      <c r="C142"/>
      <c r="D142"/>
      <c r="E142"/>
      <c r="F142"/>
      <c r="G142"/>
      <c r="H142"/>
      <c r="I142"/>
    </row>
    <row r="143" spans="3:9" ht="15" x14ac:dyDescent="0.25">
      <c r="C143"/>
      <c r="D143"/>
      <c r="E143"/>
      <c r="F143"/>
      <c r="G143"/>
      <c r="H143"/>
      <c r="I143"/>
    </row>
    <row r="144" spans="3:9" ht="15" x14ac:dyDescent="0.25">
      <c r="C144"/>
      <c r="D144"/>
      <c r="E144"/>
      <c r="F144"/>
      <c r="G144"/>
      <c r="H144"/>
      <c r="I144"/>
    </row>
    <row r="145" spans="3:9" ht="15" x14ac:dyDescent="0.25">
      <c r="C145"/>
      <c r="D145"/>
      <c r="E145"/>
      <c r="F145"/>
      <c r="G145"/>
      <c r="H145"/>
      <c r="I145"/>
    </row>
    <row r="146" spans="3:9" ht="15" x14ac:dyDescent="0.25">
      <c r="C146"/>
      <c r="D146"/>
      <c r="E146"/>
      <c r="F146"/>
      <c r="G146"/>
      <c r="H146"/>
      <c r="I146"/>
    </row>
    <row r="147" spans="3:9" ht="15" x14ac:dyDescent="0.25">
      <c r="C147"/>
      <c r="D147"/>
      <c r="E147"/>
      <c r="F147"/>
      <c r="G147"/>
      <c r="H147"/>
      <c r="I147"/>
    </row>
    <row r="148" spans="3:9" ht="15" x14ac:dyDescent="0.25">
      <c r="C148"/>
      <c r="D148"/>
      <c r="E148"/>
      <c r="F148"/>
      <c r="G148"/>
      <c r="H148"/>
      <c r="I148"/>
    </row>
    <row r="149" spans="3:9" ht="15" x14ac:dyDescent="0.25">
      <c r="C149"/>
      <c r="D149"/>
      <c r="E149"/>
      <c r="F149"/>
      <c r="G149"/>
      <c r="H149"/>
      <c r="I149"/>
    </row>
    <row r="150" spans="3:9" ht="15" x14ac:dyDescent="0.25">
      <c r="C150"/>
      <c r="D150"/>
      <c r="E150"/>
      <c r="F150"/>
      <c r="G150"/>
      <c r="H150"/>
      <c r="I150"/>
    </row>
    <row r="151" spans="3:9" ht="15" x14ac:dyDescent="0.25">
      <c r="C151"/>
      <c r="D151"/>
      <c r="E151"/>
      <c r="F151"/>
      <c r="G151"/>
      <c r="H151"/>
      <c r="I151"/>
    </row>
    <row r="152" spans="3:9" ht="15" x14ac:dyDescent="0.25">
      <c r="C152"/>
      <c r="D152"/>
      <c r="E152"/>
      <c r="F152"/>
      <c r="G152"/>
      <c r="H152"/>
      <c r="I152"/>
    </row>
    <row r="153" spans="3:9" ht="15" x14ac:dyDescent="0.25">
      <c r="C153"/>
      <c r="D153"/>
      <c r="E153"/>
      <c r="F153"/>
      <c r="G153"/>
      <c r="H153"/>
      <c r="I153"/>
    </row>
    <row r="154" spans="3:9" ht="15" x14ac:dyDescent="0.25">
      <c r="C154"/>
      <c r="D154"/>
      <c r="E154"/>
      <c r="F154"/>
      <c r="G154"/>
      <c r="H154"/>
      <c r="I154"/>
    </row>
    <row r="155" spans="3:9" ht="15" x14ac:dyDescent="0.25">
      <c r="C155"/>
      <c r="D155"/>
      <c r="E155"/>
      <c r="F155"/>
      <c r="G155"/>
      <c r="H155"/>
      <c r="I155"/>
    </row>
    <row r="156" spans="3:9" ht="15" x14ac:dyDescent="0.25">
      <c r="C156"/>
      <c r="D156"/>
      <c r="E156"/>
      <c r="F156"/>
      <c r="G156"/>
      <c r="H156"/>
      <c r="I156"/>
    </row>
    <row r="157" spans="3:9" ht="15" x14ac:dyDescent="0.25">
      <c r="C157"/>
      <c r="D157"/>
      <c r="E157"/>
      <c r="F157"/>
      <c r="G157"/>
      <c r="H157"/>
      <c r="I157"/>
    </row>
    <row r="158" spans="3:9" ht="15" x14ac:dyDescent="0.25">
      <c r="C158"/>
      <c r="D158"/>
      <c r="E158"/>
      <c r="F158"/>
      <c r="G158"/>
      <c r="H158"/>
      <c r="I158"/>
    </row>
    <row r="159" spans="3:9" ht="15" x14ac:dyDescent="0.25">
      <c r="C159"/>
      <c r="D159"/>
      <c r="E159"/>
      <c r="F159"/>
      <c r="G159"/>
      <c r="H159"/>
      <c r="I159"/>
    </row>
    <row r="160" spans="3:9" ht="15" x14ac:dyDescent="0.25">
      <c r="C160"/>
      <c r="D160"/>
      <c r="E160"/>
      <c r="F160"/>
      <c r="G160"/>
      <c r="H160"/>
      <c r="I160"/>
    </row>
    <row r="161" spans="3:9" ht="15" x14ac:dyDescent="0.25">
      <c r="C161"/>
      <c r="D161"/>
      <c r="E161"/>
      <c r="F161"/>
      <c r="G161"/>
      <c r="H161"/>
      <c r="I161"/>
    </row>
    <row r="162" spans="3:9" ht="15" x14ac:dyDescent="0.25">
      <c r="C162"/>
      <c r="D162"/>
      <c r="E162"/>
      <c r="F162"/>
      <c r="G162"/>
      <c r="H162"/>
      <c r="I162"/>
    </row>
    <row r="163" spans="3:9" ht="15" x14ac:dyDescent="0.25">
      <c r="C163"/>
      <c r="D163"/>
      <c r="E163"/>
      <c r="F163"/>
      <c r="G163"/>
      <c r="H163"/>
      <c r="I163"/>
    </row>
    <row r="164" spans="3:9" ht="15" x14ac:dyDescent="0.25">
      <c r="C164"/>
      <c r="D164"/>
      <c r="E164"/>
      <c r="F164"/>
      <c r="G164"/>
      <c r="H164"/>
      <c r="I164"/>
    </row>
    <row r="165" spans="3:9" ht="15" x14ac:dyDescent="0.25">
      <c r="C165"/>
      <c r="D165"/>
      <c r="E165"/>
      <c r="F165"/>
      <c r="G165"/>
      <c r="H165"/>
      <c r="I165"/>
    </row>
    <row r="166" spans="3:9" ht="15" x14ac:dyDescent="0.25">
      <c r="C166"/>
      <c r="D166"/>
      <c r="E166"/>
      <c r="F166"/>
      <c r="G166"/>
      <c r="H166"/>
      <c r="I166"/>
    </row>
    <row r="167" spans="3:9" ht="15" x14ac:dyDescent="0.25">
      <c r="C167"/>
      <c r="D167"/>
      <c r="E167"/>
      <c r="F167"/>
      <c r="G167"/>
      <c r="H167"/>
      <c r="I167"/>
    </row>
    <row r="168" spans="3:9" ht="15" x14ac:dyDescent="0.25">
      <c r="C168"/>
      <c r="D168"/>
      <c r="E168"/>
      <c r="F168"/>
      <c r="G168"/>
      <c r="H168"/>
      <c r="I168"/>
    </row>
    <row r="169" spans="3:9" ht="15" x14ac:dyDescent="0.25">
      <c r="C169"/>
      <c r="D169"/>
      <c r="E169"/>
      <c r="F169"/>
      <c r="G169"/>
      <c r="H169"/>
      <c r="I169"/>
    </row>
    <row r="170" spans="3:9" ht="15" x14ac:dyDescent="0.25">
      <c r="C170"/>
      <c r="D170"/>
      <c r="E170"/>
      <c r="F170"/>
      <c r="G170"/>
      <c r="H170"/>
      <c r="I170"/>
    </row>
    <row r="171" spans="3:9" ht="15" x14ac:dyDescent="0.25">
      <c r="C171"/>
      <c r="D171"/>
      <c r="E171"/>
      <c r="F171"/>
      <c r="G171"/>
      <c r="H171"/>
      <c r="I171"/>
    </row>
    <row r="172" spans="3:9" ht="15" x14ac:dyDescent="0.25">
      <c r="C172"/>
      <c r="D172"/>
      <c r="E172"/>
      <c r="F172"/>
      <c r="G172"/>
      <c r="H172"/>
      <c r="I172"/>
    </row>
    <row r="173" spans="3:9" ht="15" x14ac:dyDescent="0.25">
      <c r="C173"/>
      <c r="D173"/>
      <c r="E173"/>
      <c r="F173"/>
      <c r="G173"/>
      <c r="H173"/>
      <c r="I173"/>
    </row>
    <row r="174" spans="3:9" ht="15" x14ac:dyDescent="0.25">
      <c r="C174"/>
      <c r="D174"/>
      <c r="E174"/>
      <c r="F174"/>
      <c r="G174"/>
      <c r="H174"/>
      <c r="I174"/>
    </row>
    <row r="175" spans="3:9" ht="15" x14ac:dyDescent="0.25">
      <c r="C175"/>
      <c r="D175"/>
      <c r="E175"/>
      <c r="F175"/>
      <c r="G175"/>
      <c r="H175"/>
      <c r="I175"/>
    </row>
    <row r="176" spans="3:9" ht="15" x14ac:dyDescent="0.25">
      <c r="C176"/>
      <c r="D176"/>
      <c r="E176"/>
      <c r="F176"/>
      <c r="G176"/>
      <c r="H176"/>
      <c r="I176"/>
    </row>
    <row r="177" spans="3:9" ht="15" x14ac:dyDescent="0.25">
      <c r="C177"/>
      <c r="D177"/>
      <c r="E177"/>
      <c r="F177"/>
      <c r="G177"/>
      <c r="H177"/>
      <c r="I177"/>
    </row>
    <row r="178" spans="3:9" ht="15" x14ac:dyDescent="0.25">
      <c r="C178"/>
      <c r="D178"/>
      <c r="E178"/>
      <c r="F178"/>
      <c r="G178"/>
      <c r="H178"/>
      <c r="I178"/>
    </row>
    <row r="179" spans="3:9" ht="15" x14ac:dyDescent="0.25">
      <c r="C179"/>
      <c r="D179"/>
      <c r="E179"/>
      <c r="F179"/>
      <c r="G179"/>
      <c r="H179"/>
      <c r="I179"/>
    </row>
    <row r="180" spans="3:9" ht="15" x14ac:dyDescent="0.25">
      <c r="C180"/>
      <c r="D180"/>
      <c r="E180"/>
      <c r="F180"/>
      <c r="G180"/>
      <c r="H180"/>
      <c r="I180"/>
    </row>
    <row r="181" spans="3:9" ht="15" x14ac:dyDescent="0.25">
      <c r="C181"/>
      <c r="D181"/>
      <c r="E181"/>
      <c r="F181"/>
      <c r="G181"/>
      <c r="H181"/>
      <c r="I181"/>
    </row>
    <row r="182" spans="3:9" ht="15" x14ac:dyDescent="0.25">
      <c r="C182"/>
      <c r="D182"/>
      <c r="E182"/>
      <c r="F182"/>
      <c r="G182"/>
      <c r="H182"/>
      <c r="I182"/>
    </row>
    <row r="183" spans="3:9" ht="15" x14ac:dyDescent="0.25">
      <c r="C183"/>
      <c r="D183"/>
      <c r="E183"/>
      <c r="F183"/>
      <c r="G183"/>
      <c r="H183"/>
      <c r="I183"/>
    </row>
    <row r="184" spans="3:9" ht="15" x14ac:dyDescent="0.25">
      <c r="C184"/>
      <c r="D184"/>
      <c r="E184"/>
      <c r="F184"/>
      <c r="G184"/>
      <c r="H184"/>
      <c r="I184"/>
    </row>
    <row r="185" spans="3:9" ht="15" x14ac:dyDescent="0.25">
      <c r="C185"/>
      <c r="D185"/>
      <c r="E185"/>
      <c r="F185"/>
      <c r="G185"/>
      <c r="H185"/>
      <c r="I185"/>
    </row>
    <row r="186" spans="3:9" ht="15" x14ac:dyDescent="0.25">
      <c r="C186"/>
      <c r="D186"/>
      <c r="E186"/>
      <c r="F186"/>
      <c r="G186"/>
      <c r="H186"/>
      <c r="I186"/>
    </row>
    <row r="187" spans="3:9" ht="15" x14ac:dyDescent="0.25">
      <c r="C187"/>
      <c r="D187"/>
      <c r="E187"/>
      <c r="F187"/>
      <c r="G187"/>
      <c r="H187"/>
      <c r="I187"/>
    </row>
    <row r="188" spans="3:9" ht="15" x14ac:dyDescent="0.25">
      <c r="C188"/>
      <c r="D188"/>
      <c r="E188"/>
      <c r="F188"/>
      <c r="G188"/>
      <c r="H188"/>
      <c r="I188"/>
    </row>
    <row r="189" spans="3:9" ht="15" x14ac:dyDescent="0.25">
      <c r="C189"/>
      <c r="D189"/>
      <c r="E189"/>
      <c r="F189"/>
      <c r="G189"/>
      <c r="H189"/>
      <c r="I189"/>
    </row>
    <row r="190" spans="3:9" ht="15" x14ac:dyDescent="0.25">
      <c r="C190"/>
      <c r="D190"/>
      <c r="E190"/>
      <c r="F190"/>
      <c r="G190"/>
      <c r="H190"/>
      <c r="I190"/>
    </row>
    <row r="191" spans="3:9" ht="15" x14ac:dyDescent="0.25">
      <c r="C191"/>
      <c r="D191"/>
      <c r="E191"/>
      <c r="F191"/>
      <c r="G191"/>
      <c r="H191"/>
      <c r="I191"/>
    </row>
    <row r="192" spans="3:9" ht="15" x14ac:dyDescent="0.25">
      <c r="C192"/>
      <c r="D192"/>
      <c r="E192"/>
      <c r="F192"/>
      <c r="G192"/>
      <c r="H192"/>
      <c r="I192"/>
    </row>
    <row r="193" spans="3:9" ht="15" x14ac:dyDescent="0.25">
      <c r="C193"/>
      <c r="D193"/>
      <c r="E193"/>
      <c r="F193"/>
      <c r="G193"/>
      <c r="H193"/>
      <c r="I193"/>
    </row>
    <row r="194" spans="3:9" ht="15" x14ac:dyDescent="0.25">
      <c r="C194"/>
      <c r="D194"/>
      <c r="E194"/>
      <c r="F194"/>
      <c r="G194"/>
      <c r="H194"/>
      <c r="I194"/>
    </row>
    <row r="195" spans="3:9" ht="15" x14ac:dyDescent="0.25">
      <c r="C195"/>
      <c r="D195"/>
      <c r="E195"/>
      <c r="F195"/>
      <c r="G195"/>
      <c r="H195"/>
      <c r="I195"/>
    </row>
    <row r="196" spans="3:9" ht="15" x14ac:dyDescent="0.25">
      <c r="C196"/>
      <c r="D196"/>
      <c r="E196"/>
      <c r="F196"/>
      <c r="G196"/>
      <c r="H196"/>
      <c r="I196"/>
    </row>
    <row r="197" spans="3:9" ht="15" x14ac:dyDescent="0.25">
      <c r="C197"/>
      <c r="D197"/>
      <c r="E197"/>
      <c r="F197"/>
      <c r="G197"/>
      <c r="H197"/>
      <c r="I197"/>
    </row>
    <row r="198" spans="3:9" ht="15" x14ac:dyDescent="0.25">
      <c r="C198"/>
      <c r="D198"/>
      <c r="E198"/>
      <c r="F198"/>
      <c r="G198"/>
      <c r="H198"/>
      <c r="I198"/>
    </row>
    <row r="199" spans="3:9" ht="15" x14ac:dyDescent="0.25">
      <c r="C199"/>
      <c r="D199"/>
      <c r="E199"/>
      <c r="F199"/>
      <c r="G199"/>
      <c r="H199"/>
      <c r="I199"/>
    </row>
    <row r="200" spans="3:9" ht="15" x14ac:dyDescent="0.25">
      <c r="C200"/>
      <c r="D200"/>
      <c r="E200"/>
      <c r="F200"/>
      <c r="G200"/>
      <c r="H200"/>
      <c r="I200"/>
    </row>
    <row r="201" spans="3:9" ht="15" x14ac:dyDescent="0.25">
      <c r="C201"/>
      <c r="D201"/>
      <c r="E201"/>
      <c r="F201"/>
      <c r="G201"/>
      <c r="H201"/>
      <c r="I201"/>
    </row>
    <row r="202" spans="3:9" ht="15" x14ac:dyDescent="0.25">
      <c r="C202"/>
      <c r="D202"/>
      <c r="E202"/>
      <c r="F202"/>
      <c r="G202"/>
      <c r="H202"/>
      <c r="I202"/>
    </row>
    <row r="203" spans="3:9" ht="15" x14ac:dyDescent="0.25">
      <c r="C203"/>
      <c r="D203"/>
      <c r="E203"/>
      <c r="F203"/>
      <c r="G203"/>
      <c r="H203"/>
      <c r="I203"/>
    </row>
    <row r="204" spans="3:9" ht="15" x14ac:dyDescent="0.25">
      <c r="C204"/>
      <c r="D204"/>
      <c r="E204"/>
      <c r="F204"/>
      <c r="G204"/>
      <c r="H204"/>
      <c r="I204"/>
    </row>
    <row r="205" spans="3:9" ht="15" x14ac:dyDescent="0.25">
      <c r="C205"/>
      <c r="D205"/>
      <c r="E205"/>
      <c r="F205"/>
      <c r="G205"/>
      <c r="H205"/>
      <c r="I205"/>
    </row>
    <row r="206" spans="3:9" ht="15" x14ac:dyDescent="0.25">
      <c r="C206"/>
      <c r="D206"/>
      <c r="E206"/>
      <c r="F206"/>
      <c r="G206"/>
      <c r="H206"/>
      <c r="I206"/>
    </row>
    <row r="207" spans="3:9" ht="15" x14ac:dyDescent="0.25">
      <c r="C207"/>
      <c r="D207"/>
      <c r="E207"/>
      <c r="F207"/>
      <c r="G207"/>
      <c r="H207"/>
      <c r="I207"/>
    </row>
    <row r="208" spans="3:9" ht="15" x14ac:dyDescent="0.25">
      <c r="C208"/>
      <c r="D208"/>
      <c r="E208"/>
      <c r="F208"/>
      <c r="G208"/>
      <c r="H208"/>
      <c r="I208"/>
    </row>
    <row r="209" spans="3:9" ht="15" x14ac:dyDescent="0.25">
      <c r="C209"/>
      <c r="D209"/>
      <c r="E209"/>
      <c r="F209"/>
      <c r="G209"/>
      <c r="H209"/>
      <c r="I209"/>
    </row>
    <row r="210" spans="3:9" ht="15" x14ac:dyDescent="0.25">
      <c r="C210"/>
      <c r="D210"/>
      <c r="E210"/>
      <c r="F210"/>
      <c r="G210"/>
      <c r="H210"/>
      <c r="I210"/>
    </row>
    <row r="211" spans="3:9" ht="15" x14ac:dyDescent="0.25">
      <c r="C211"/>
      <c r="D211"/>
      <c r="E211"/>
      <c r="F211"/>
      <c r="G211"/>
      <c r="H211"/>
      <c r="I211"/>
    </row>
    <row r="212" spans="3:9" ht="15" x14ac:dyDescent="0.25">
      <c r="C212"/>
      <c r="D212"/>
      <c r="E212"/>
      <c r="F212"/>
      <c r="G212"/>
      <c r="H212"/>
      <c r="I212"/>
    </row>
    <row r="213" spans="3:9" ht="15" x14ac:dyDescent="0.25">
      <c r="C213"/>
      <c r="D213"/>
      <c r="E213"/>
      <c r="F213"/>
      <c r="G213"/>
      <c r="H213"/>
      <c r="I213"/>
    </row>
    <row r="214" spans="3:9" ht="15" x14ac:dyDescent="0.25">
      <c r="C214"/>
      <c r="D214"/>
      <c r="E214"/>
      <c r="F214"/>
      <c r="G214"/>
      <c r="H214"/>
      <c r="I214"/>
    </row>
    <row r="215" spans="3:9" ht="15" x14ac:dyDescent="0.25">
      <c r="C215"/>
      <c r="D215"/>
      <c r="E215"/>
      <c r="F215"/>
      <c r="G215"/>
      <c r="H215"/>
      <c r="I215"/>
    </row>
    <row r="216" spans="3:9" ht="15" x14ac:dyDescent="0.25">
      <c r="C216"/>
      <c r="D216"/>
      <c r="E216"/>
      <c r="F216"/>
      <c r="G216"/>
      <c r="H216"/>
      <c r="I216"/>
    </row>
    <row r="217" spans="3:9" ht="15" x14ac:dyDescent="0.25">
      <c r="C217"/>
      <c r="D217"/>
      <c r="E217"/>
      <c r="F217"/>
      <c r="G217"/>
      <c r="H217"/>
      <c r="I217"/>
    </row>
    <row r="218" spans="3:9" ht="15" x14ac:dyDescent="0.25">
      <c r="C218"/>
      <c r="D218"/>
      <c r="E218"/>
      <c r="F218"/>
      <c r="G218"/>
      <c r="H218"/>
      <c r="I218"/>
    </row>
    <row r="219" spans="3:9" ht="15" x14ac:dyDescent="0.25">
      <c r="C219"/>
      <c r="D219"/>
      <c r="E219"/>
      <c r="F219"/>
      <c r="G219"/>
      <c r="H219"/>
      <c r="I219"/>
    </row>
    <row r="220" spans="3:9" ht="15" x14ac:dyDescent="0.25">
      <c r="C220"/>
      <c r="D220"/>
      <c r="E220"/>
      <c r="F220"/>
      <c r="G220"/>
      <c r="H220"/>
      <c r="I220"/>
    </row>
    <row r="221" spans="3:9" ht="15" x14ac:dyDescent="0.25">
      <c r="C221"/>
      <c r="D221"/>
      <c r="E221"/>
      <c r="F221"/>
      <c r="G221"/>
      <c r="H221"/>
      <c r="I221"/>
    </row>
    <row r="222" spans="3:9" ht="15" x14ac:dyDescent="0.25">
      <c r="C222"/>
      <c r="D222"/>
      <c r="E222"/>
      <c r="F222"/>
      <c r="G222"/>
      <c r="H222"/>
      <c r="I222"/>
    </row>
    <row r="223" spans="3:9" ht="15" x14ac:dyDescent="0.25">
      <c r="C223"/>
      <c r="D223"/>
      <c r="E223"/>
      <c r="F223"/>
      <c r="G223"/>
      <c r="H223"/>
      <c r="I223"/>
    </row>
    <row r="224" spans="3:9" ht="15" x14ac:dyDescent="0.25">
      <c r="C224"/>
      <c r="D224"/>
      <c r="E224"/>
      <c r="F224"/>
      <c r="G224"/>
      <c r="H224"/>
      <c r="I224"/>
    </row>
    <row r="225" spans="3:9" ht="15" x14ac:dyDescent="0.25">
      <c r="C225"/>
      <c r="D225"/>
      <c r="E225"/>
      <c r="F225"/>
      <c r="G225"/>
      <c r="H225"/>
      <c r="I225"/>
    </row>
    <row r="226" spans="3:9" ht="15" x14ac:dyDescent="0.25">
      <c r="C226"/>
      <c r="D226"/>
      <c r="E226"/>
      <c r="F226"/>
      <c r="G226"/>
      <c r="H226"/>
      <c r="I226"/>
    </row>
    <row r="227" spans="3:9" ht="15" x14ac:dyDescent="0.25">
      <c r="C227"/>
      <c r="D227"/>
      <c r="E227"/>
      <c r="F227"/>
      <c r="G227"/>
      <c r="H227"/>
      <c r="I227"/>
    </row>
    <row r="228" spans="3:9" ht="15" x14ac:dyDescent="0.25">
      <c r="C228"/>
      <c r="D228"/>
      <c r="E228"/>
      <c r="F228"/>
      <c r="G228"/>
      <c r="H228"/>
      <c r="I228"/>
    </row>
    <row r="229" spans="3:9" ht="15" x14ac:dyDescent="0.25">
      <c r="C229"/>
      <c r="D229"/>
      <c r="E229"/>
      <c r="F229"/>
      <c r="G229"/>
      <c r="H229"/>
      <c r="I229"/>
    </row>
    <row r="230" spans="3:9" ht="15" x14ac:dyDescent="0.25">
      <c r="C230"/>
      <c r="D230"/>
      <c r="E230"/>
      <c r="F230"/>
      <c r="G230"/>
      <c r="H230"/>
      <c r="I230"/>
    </row>
    <row r="231" spans="3:9" ht="15" x14ac:dyDescent="0.25">
      <c r="C231"/>
      <c r="D231"/>
      <c r="E231"/>
      <c r="F231"/>
      <c r="G231"/>
      <c r="H231"/>
      <c r="I231"/>
    </row>
    <row r="232" spans="3:9" ht="15" x14ac:dyDescent="0.25">
      <c r="C232"/>
      <c r="D232"/>
      <c r="E232"/>
      <c r="F232"/>
      <c r="G232"/>
      <c r="H232"/>
      <c r="I232"/>
    </row>
    <row r="233" spans="3:9" ht="15" x14ac:dyDescent="0.25">
      <c r="C233"/>
      <c r="D233"/>
      <c r="E233"/>
      <c r="F233"/>
      <c r="G233"/>
      <c r="H233"/>
      <c r="I233"/>
    </row>
    <row r="234" spans="3:9" ht="15" x14ac:dyDescent="0.25">
      <c r="C234"/>
      <c r="D234"/>
      <c r="E234"/>
      <c r="F234"/>
      <c r="G234"/>
      <c r="H234"/>
      <c r="I234"/>
    </row>
    <row r="235" spans="3:9" ht="15" x14ac:dyDescent="0.25">
      <c r="C235"/>
      <c r="D235"/>
      <c r="E235"/>
      <c r="F235"/>
      <c r="G235"/>
      <c r="H235"/>
      <c r="I235"/>
    </row>
    <row r="236" spans="3:9" ht="15" x14ac:dyDescent="0.25">
      <c r="C236"/>
      <c r="D236"/>
      <c r="E236"/>
      <c r="F236"/>
      <c r="G236"/>
      <c r="H236"/>
      <c r="I236"/>
    </row>
    <row r="237" spans="3:9" ht="15" x14ac:dyDescent="0.25">
      <c r="C237"/>
      <c r="D237"/>
      <c r="E237"/>
      <c r="F237"/>
      <c r="G237"/>
      <c r="H237"/>
      <c r="I237"/>
    </row>
    <row r="238" spans="3:9" ht="15" x14ac:dyDescent="0.25">
      <c r="C238"/>
      <c r="D238"/>
      <c r="E238"/>
      <c r="F238"/>
      <c r="G238"/>
      <c r="H238"/>
      <c r="I238"/>
    </row>
    <row r="239" spans="3:9" ht="15" x14ac:dyDescent="0.25">
      <c r="C239"/>
      <c r="D239"/>
      <c r="E239"/>
      <c r="F239"/>
      <c r="G239"/>
      <c r="H239"/>
      <c r="I239"/>
    </row>
    <row r="240" spans="3:9" ht="15" x14ac:dyDescent="0.25">
      <c r="C240"/>
      <c r="D240"/>
      <c r="E240"/>
      <c r="F240"/>
      <c r="G240"/>
      <c r="H240"/>
      <c r="I240"/>
    </row>
    <row r="241" spans="3:9" ht="15" x14ac:dyDescent="0.25">
      <c r="C241"/>
      <c r="D241"/>
      <c r="E241"/>
      <c r="F241"/>
      <c r="G241"/>
      <c r="H241"/>
      <c r="I241"/>
    </row>
    <row r="242" spans="3:9" ht="15" x14ac:dyDescent="0.25">
      <c r="C242"/>
      <c r="D242"/>
      <c r="E242"/>
      <c r="F242"/>
      <c r="G242"/>
      <c r="H242"/>
      <c r="I242"/>
    </row>
    <row r="243" spans="3:9" ht="15" x14ac:dyDescent="0.25">
      <c r="C243"/>
      <c r="D243"/>
      <c r="E243"/>
      <c r="F243"/>
      <c r="G243"/>
      <c r="H243"/>
      <c r="I243"/>
    </row>
    <row r="244" spans="3:9" ht="15" x14ac:dyDescent="0.25">
      <c r="C244"/>
      <c r="D244"/>
      <c r="E244"/>
      <c r="F244"/>
      <c r="G244"/>
      <c r="H244"/>
      <c r="I244"/>
    </row>
  </sheetData>
  <sheetProtection selectLockedCells="1" selectUnlockedCells="1"/>
  <mergeCells count="11">
    <mergeCell ref="A19:C19"/>
    <mergeCell ref="E20:G20"/>
    <mergeCell ref="E19:G19"/>
    <mergeCell ref="S18:T18"/>
    <mergeCell ref="P18:Q18"/>
    <mergeCell ref="E33:G33"/>
    <mergeCell ref="I23:K23"/>
    <mergeCell ref="I25:K25"/>
    <mergeCell ref="I31:K31"/>
    <mergeCell ref="S29:T29"/>
    <mergeCell ref="P32:Q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E124" sqref="E12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275</vt:i4>
      </vt:variant>
    </vt:vector>
  </HeadingPairs>
  <TitlesOfParts>
    <vt:vector size="278" baseType="lpstr">
      <vt:lpstr>DESIGN CALCULATIONS</vt:lpstr>
      <vt:lpstr>LOOKUP TABLES AND DROPDOWN LIST</vt:lpstr>
      <vt:lpstr>Sheet1</vt:lpstr>
      <vt:lpstr>C_f1</vt:lpstr>
      <vt:lpstr>C_f2</vt:lpstr>
      <vt:lpstr>C_s1</vt:lpstr>
      <vt:lpstr>C_s2</vt:lpstr>
      <vt:lpstr>Cbulk</vt:lpstr>
      <vt:lpstr>Cbulk_initial</vt:lpstr>
      <vt:lpstr>Cbulk_rcmd</vt:lpstr>
      <vt:lpstr>Coss</vt:lpstr>
      <vt:lpstr>Coss_rcmd</vt:lpstr>
      <vt:lpstr>Cout</vt:lpstr>
      <vt:lpstr>Cout_nowake</vt:lpstr>
      <vt:lpstr>Cout_nowake_rcmd</vt:lpstr>
      <vt:lpstr>Cout_phase</vt:lpstr>
      <vt:lpstr>Cout_phase_rcmd</vt:lpstr>
      <vt:lpstr>Cout_rcmd</vt:lpstr>
      <vt:lpstr>Cout_Vripple</vt:lpstr>
      <vt:lpstr>Cout_Vripple_rcmd</vt:lpstr>
      <vt:lpstr>Cout_wake</vt:lpstr>
      <vt:lpstr>Cout_wakercmd</vt:lpstr>
      <vt:lpstr>Cvdd</vt:lpstr>
      <vt:lpstr>Cvdd_rcmd</vt:lpstr>
      <vt:lpstr>Cvdd_start</vt:lpstr>
      <vt:lpstr>Cvdd_start_rcmd</vt:lpstr>
      <vt:lpstr>Cvdd_tran</vt:lpstr>
      <vt:lpstr>Cvdd_tran_rcmd</vt:lpstr>
      <vt:lpstr>Cvdd_wait</vt:lpstr>
      <vt:lpstr>Cvdd_wait_rcmd</vt:lpstr>
      <vt:lpstr>Cvdd1</vt:lpstr>
      <vt:lpstr>Ddemag_cc</vt:lpstr>
      <vt:lpstr>Dmax</vt:lpstr>
      <vt:lpstr>Dmax_rcmd</vt:lpstr>
      <vt:lpstr>Dmax_target</vt:lpstr>
      <vt:lpstr>Dmax_target_rcmd</vt:lpstr>
      <vt:lpstr>E_48f</vt:lpstr>
      <vt:lpstr>E_48s</vt:lpstr>
      <vt:lpstr>eff_sb</vt:lpstr>
      <vt:lpstr>eff_xfmr</vt:lpstr>
      <vt:lpstr>efficiency</vt:lpstr>
      <vt:lpstr>ESR</vt:lpstr>
      <vt:lpstr>ESR_rcmd</vt:lpstr>
      <vt:lpstr>fline_min</vt:lpstr>
      <vt:lpstr>fmax</vt:lpstr>
      <vt:lpstr>fmax_actual</vt:lpstr>
      <vt:lpstr>fmax_actual_rcmd</vt:lpstr>
      <vt:lpstr>fres</vt:lpstr>
      <vt:lpstr>fres_approx</vt:lpstr>
      <vt:lpstr>fres_rcmd</vt:lpstr>
      <vt:lpstr>fswmax</vt:lpstr>
      <vt:lpstr>fswmin</vt:lpstr>
      <vt:lpstr>Ibridge_avg</vt:lpstr>
      <vt:lpstr>Ibridge_avg_rcmd</vt:lpstr>
      <vt:lpstr>Icin</vt:lpstr>
      <vt:lpstr>Icin_rcmd</vt:lpstr>
      <vt:lpstr>Icout_rms</vt:lpstr>
      <vt:lpstr>Icout_rms_rcmd</vt:lpstr>
      <vt:lpstr>Idout</vt:lpstr>
      <vt:lpstr>Idout_rcmd</vt:lpstr>
      <vt:lpstr>Idrain</vt:lpstr>
      <vt:lpstr>Idrain_rcmd</vt:lpstr>
      <vt:lpstr>Ifuse</vt:lpstr>
      <vt:lpstr>Ifuse_rcmd</vt:lpstr>
      <vt:lpstr>Iin_peak</vt:lpstr>
      <vt:lpstr>Iinpeak_rcmd</vt:lpstr>
      <vt:lpstr>Iocc</vt:lpstr>
      <vt:lpstr>Iocc_max</vt:lpstr>
      <vt:lpstr>Iocc_max_rcmd</vt:lpstr>
      <vt:lpstr>Iocc_rcmd</vt:lpstr>
      <vt:lpstr>Iocc_target</vt:lpstr>
      <vt:lpstr>Iocc_target_max</vt:lpstr>
      <vt:lpstr>Ipp_fm</vt:lpstr>
      <vt:lpstr>Ipp_fm_rcmd</vt:lpstr>
      <vt:lpstr>Ipp_max</vt:lpstr>
      <vt:lpstr>Ipp_max_rcmd</vt:lpstr>
      <vt:lpstr>Ipp_min</vt:lpstr>
      <vt:lpstr>Ipp_min_rcmd</vt:lpstr>
      <vt:lpstr>Ipp_nom</vt:lpstr>
      <vt:lpstr>Ipp_nom_rcmd</vt:lpstr>
      <vt:lpstr>Ipri_RMS</vt:lpstr>
      <vt:lpstr>Ipri_RMS_rcmd</vt:lpstr>
      <vt:lpstr>Ipulsed</vt:lpstr>
      <vt:lpstr>Ipulsed_rcmd</vt:lpstr>
      <vt:lpstr>Irun</vt:lpstr>
      <vt:lpstr>Isec_rms</vt:lpstr>
      <vt:lpstr>Isec_rms_rcmd</vt:lpstr>
      <vt:lpstr>Isp_max</vt:lpstr>
      <vt:lpstr>Isp_max_rcmd</vt:lpstr>
      <vt:lpstr>Itran</vt:lpstr>
      <vt:lpstr>Itran_rcmd</vt:lpstr>
      <vt:lpstr>Ivslrun_max</vt:lpstr>
      <vt:lpstr>Ivslrun_min</vt:lpstr>
      <vt:lpstr>Ivslrun_nom</vt:lpstr>
      <vt:lpstr>Ivslstop_max</vt:lpstr>
      <vt:lpstr>Ivslstop_min</vt:lpstr>
      <vt:lpstr>Ivslstop_nom</vt:lpstr>
      <vt:lpstr>Iwait</vt:lpstr>
      <vt:lpstr>Kam</vt:lpstr>
      <vt:lpstr>Kam_max</vt:lpstr>
      <vt:lpstr>Kam_min</vt:lpstr>
      <vt:lpstr>Kam_nom</vt:lpstr>
      <vt:lpstr>kHz</vt:lpstr>
      <vt:lpstr>Klc</vt:lpstr>
      <vt:lpstr>kOhms</vt:lpstr>
      <vt:lpstr>Lp</vt:lpstr>
      <vt:lpstr>Lp_rcmd</vt:lpstr>
      <vt:lpstr>mA</vt:lpstr>
      <vt:lpstr>MHz</vt:lpstr>
      <vt:lpstr>mOhms</vt:lpstr>
      <vt:lpstr>ms</vt:lpstr>
      <vt:lpstr>mV</vt:lpstr>
      <vt:lpstr>mW</vt:lpstr>
      <vt:lpstr>Nas</vt:lpstr>
      <vt:lpstr>Nas_rcmd</vt:lpstr>
      <vt:lpstr>Nas_rec</vt:lpstr>
      <vt:lpstr>nC</vt:lpstr>
      <vt:lpstr>nF</vt:lpstr>
      <vt:lpstr>Nhc</vt:lpstr>
      <vt:lpstr>Npa</vt:lpstr>
      <vt:lpstr>Npa_rcmd</vt:lpstr>
      <vt:lpstr>Nps</vt:lpstr>
      <vt:lpstr>Nps_ideal</vt:lpstr>
      <vt:lpstr>ns</vt:lpstr>
      <vt:lpstr>P_Rcs</vt:lpstr>
      <vt:lpstr>P_Rcs_rcmd</vt:lpstr>
      <vt:lpstr>Pbridge</vt:lpstr>
      <vt:lpstr>Pbridge_rcmd</vt:lpstr>
      <vt:lpstr>Pdout</vt:lpstr>
      <vt:lpstr>Pdout_rcmd</vt:lpstr>
      <vt:lpstr>pF</vt:lpstr>
      <vt:lpstr>Pfet</vt:lpstr>
      <vt:lpstr>Pfet_cond</vt:lpstr>
      <vt:lpstr>Pfet_cond_rcmd</vt:lpstr>
      <vt:lpstr>Pfet_rcmd</vt:lpstr>
      <vt:lpstr>Pfet_switch</vt:lpstr>
      <vt:lpstr>Pfet_switching</vt:lpstr>
      <vt:lpstr>Pfet_switching_rcmd</vt:lpstr>
      <vt:lpstr>Pin</vt:lpstr>
      <vt:lpstr>Pin_actual</vt:lpstr>
      <vt:lpstr>Pout</vt:lpstr>
      <vt:lpstr>Psb_target</vt:lpstr>
      <vt:lpstr>Pstby</vt:lpstr>
      <vt:lpstr>Qg</vt:lpstr>
      <vt:lpstr>Qg_rcmd</vt:lpstr>
      <vt:lpstr>Rcbc_recom</vt:lpstr>
      <vt:lpstr>Rcs</vt:lpstr>
      <vt:lpstr>Rcs_rcmd</vt:lpstr>
      <vt:lpstr>Rdson</vt:lpstr>
      <vt:lpstr>Rdson_rcmd</vt:lpstr>
      <vt:lpstr>Rlc_rcmd</vt:lpstr>
      <vt:lpstr>Rvs_1</vt:lpstr>
      <vt:lpstr>Rvs_1_rcmd</vt:lpstr>
      <vt:lpstr>Rvs_2</vt:lpstr>
      <vt:lpstr>Rvs_2_rcmd</vt:lpstr>
      <vt:lpstr>Rvs1_rcmd</vt:lpstr>
      <vt:lpstr>Rvs2_rcmd</vt:lpstr>
      <vt:lpstr>t_1</vt:lpstr>
      <vt:lpstr>t_2</vt:lpstr>
      <vt:lpstr>t_charge</vt:lpstr>
      <vt:lpstr>t_discharge</vt:lpstr>
      <vt:lpstr>t_line</vt:lpstr>
      <vt:lpstr>t1_1</vt:lpstr>
      <vt:lpstr>t1_2</vt:lpstr>
      <vt:lpstr>t1_3</vt:lpstr>
      <vt:lpstr>t2_1</vt:lpstr>
      <vt:lpstr>t2_2</vt:lpstr>
      <vt:lpstr>t2_3</vt:lpstr>
      <vt:lpstr>tcharge_1</vt:lpstr>
      <vt:lpstr>tcharge_2</vt:lpstr>
      <vt:lpstr>tcharge_3</vt:lpstr>
      <vt:lpstr>tdelay</vt:lpstr>
      <vt:lpstr>tdemag</vt:lpstr>
      <vt:lpstr>tdemag_min</vt:lpstr>
      <vt:lpstr>tdemag_min_rcmd</vt:lpstr>
      <vt:lpstr>tdemag_rcmd</vt:lpstr>
      <vt:lpstr>tdischarge_1</vt:lpstr>
      <vt:lpstr>tdischarge_2</vt:lpstr>
      <vt:lpstr>tdischarge_3</vt:lpstr>
      <vt:lpstr>tdoff</vt:lpstr>
      <vt:lpstr>tdoff_rcmd</vt:lpstr>
      <vt:lpstr>tf</vt:lpstr>
      <vt:lpstr>tf_rcmd</vt:lpstr>
      <vt:lpstr>ton_max</vt:lpstr>
      <vt:lpstr>ton_max_est</vt:lpstr>
      <vt:lpstr>ton_max_rcmd</vt:lpstr>
      <vt:lpstr>ton_min</vt:lpstr>
      <vt:lpstr>ton_min_rcmd</vt:lpstr>
      <vt:lpstr>tr</vt:lpstr>
      <vt:lpstr>tr_rcmd</vt:lpstr>
      <vt:lpstr>tsw_actual</vt:lpstr>
      <vt:lpstr>tsw_actual_rcmd</vt:lpstr>
      <vt:lpstr>tsw_target</vt:lpstr>
      <vt:lpstr>uA</vt:lpstr>
      <vt:lpstr>uC</vt:lpstr>
      <vt:lpstr>uF</vt:lpstr>
      <vt:lpstr>uH</vt:lpstr>
      <vt:lpstr>us</vt:lpstr>
      <vt:lpstr>Vbridge</vt:lpstr>
      <vt:lpstr>Vbulk_min</vt:lpstr>
      <vt:lpstr>Vbulk_valley_rcmd</vt:lpstr>
      <vt:lpstr>Vbulkmin_rcmd</vt:lpstr>
      <vt:lpstr>Vbulkvalley</vt:lpstr>
      <vt:lpstr>Vbulkvalley_1</vt:lpstr>
      <vt:lpstr>Vbulkvalley_2</vt:lpstr>
      <vt:lpstr>Vbulkvalley_3</vt:lpstr>
      <vt:lpstr>Vcbc_max</vt:lpstr>
      <vt:lpstr>Vcbc_min</vt:lpstr>
      <vt:lpstr>Vcbc_nom</vt:lpstr>
      <vt:lpstr>Vccr_max</vt:lpstr>
      <vt:lpstr>Vccr_min</vt:lpstr>
      <vt:lpstr>Vccr_nom</vt:lpstr>
      <vt:lpstr>Vcin_rated</vt:lpstr>
      <vt:lpstr>Vcstmax_max</vt:lpstr>
      <vt:lpstr>Vcstmax_min</vt:lpstr>
      <vt:lpstr>Vcstmax_nom</vt:lpstr>
      <vt:lpstr>VDbias_blocking</vt:lpstr>
      <vt:lpstr>VDbias_blocking_rcmd</vt:lpstr>
      <vt:lpstr>VDD</vt:lpstr>
      <vt:lpstr>VDD_rcmd</vt:lpstr>
      <vt:lpstr>VDDoff_max</vt:lpstr>
      <vt:lpstr>VDDoff_min</vt:lpstr>
      <vt:lpstr>VDDon</vt:lpstr>
      <vt:lpstr>Vdout_blocking</vt:lpstr>
      <vt:lpstr>Vdout_blocking_rcmd</vt:lpstr>
      <vt:lpstr>Vdrain_clamp</vt:lpstr>
      <vt:lpstr>Vdrain_clamp_rcmd</vt:lpstr>
      <vt:lpstr>Vds</vt:lpstr>
      <vt:lpstr>VDS_derating</vt:lpstr>
      <vt:lpstr>VDS_derating_rcmd</vt:lpstr>
      <vt:lpstr>Vds_rcmd</vt:lpstr>
      <vt:lpstr>Vf</vt:lpstr>
      <vt:lpstr>Vf_bridge</vt:lpstr>
      <vt:lpstr>Vf_bridge_rcmd</vt:lpstr>
      <vt:lpstr>Vf_rcmd</vt:lpstr>
      <vt:lpstr>Vfa</vt:lpstr>
      <vt:lpstr>Vfa_rcmd</vt:lpstr>
      <vt:lpstr>Vflyback</vt:lpstr>
      <vt:lpstr>Vflyback_rcmd</vt:lpstr>
      <vt:lpstr>Vfuse</vt:lpstr>
      <vt:lpstr>Vin_max</vt:lpstr>
      <vt:lpstr>Vin_min</vt:lpstr>
      <vt:lpstr>Vin_run</vt:lpstr>
      <vt:lpstr>Vleakage</vt:lpstr>
      <vt:lpstr>Vleakage_rcmd</vt:lpstr>
      <vt:lpstr>Vo_delta</vt:lpstr>
      <vt:lpstr>Vo_delta_rcmd</vt:lpstr>
      <vt:lpstr>Vocbc</vt:lpstr>
      <vt:lpstr>Vocc</vt:lpstr>
      <vt:lpstr>Vocv</vt:lpstr>
      <vt:lpstr>Vout_cc_min</vt:lpstr>
      <vt:lpstr>Vout_cc_min_rcmd</vt:lpstr>
      <vt:lpstr>Vout_max</vt:lpstr>
      <vt:lpstr>Vout_min</vt:lpstr>
      <vt:lpstr>Vout_ovp</vt:lpstr>
      <vt:lpstr>Vout_ovpmax</vt:lpstr>
      <vt:lpstr>Vout_ovpmin</vt:lpstr>
      <vt:lpstr>Vout_ovpnom</vt:lpstr>
      <vt:lpstr>Vovp_max</vt:lpstr>
      <vt:lpstr>Vovp_min</vt:lpstr>
      <vt:lpstr>Vovp_nom</vt:lpstr>
      <vt:lpstr>Vripple_target</vt:lpstr>
      <vt:lpstr>Vsec</vt:lpstr>
      <vt:lpstr>Vturnoff_max</vt:lpstr>
      <vt:lpstr>Vturnoff_max_rcmd</vt:lpstr>
      <vt:lpstr>Vturnoff_min</vt:lpstr>
      <vt:lpstr>Vturnoff_min_rcmd</vt:lpstr>
      <vt:lpstr>Vturnoff_nom</vt:lpstr>
      <vt:lpstr>Vturnoff_nom_rcmd</vt:lpstr>
      <vt:lpstr>Vturnon_max</vt:lpstr>
      <vt:lpstr>Vturnon_max_rcmd</vt:lpstr>
      <vt:lpstr>Vturnon_min</vt:lpstr>
      <vt:lpstr>Vturnon_min_rcmd</vt:lpstr>
      <vt:lpstr>Vturnon_nom</vt:lpstr>
      <vt:lpstr>Vturnon_nom_rcmd</vt:lpstr>
      <vt:lpstr>Vvsr_max</vt:lpstr>
      <vt:lpstr>Vvsr_min</vt:lpstr>
      <vt:lpstr>Vvsr_nom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a0799100</dc:creator>
  <cp:lastModifiedBy>kaicho</cp:lastModifiedBy>
  <cp:lastPrinted>2017-08-02T17:23:46Z</cp:lastPrinted>
  <dcterms:created xsi:type="dcterms:W3CDTF">2013-07-09T14:24:03Z</dcterms:created>
  <dcterms:modified xsi:type="dcterms:W3CDTF">2023-02-09T11:01:14Z</dcterms:modified>
</cp:coreProperties>
</file>