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320" windowHeight="8640"/>
  </bookViews>
  <sheets>
    <sheet name="incubations Sylt1" sheetId="12" r:id="rId1"/>
    <sheet name="incubations Sylt2" sheetId="15" r:id="rId2"/>
    <sheet name="incubations Noah E" sheetId="17" r:id="rId3"/>
    <sheet name="Label" sheetId="16" r:id="rId4"/>
  </sheets>
  <calcPr calcId="144525"/>
</workbook>
</file>

<file path=xl/calcChain.xml><?xml version="1.0" encoding="utf-8"?>
<calcChain xmlns="http://schemas.openxmlformats.org/spreadsheetml/2006/main">
  <c r="C23" i="12" l="1"/>
  <c r="E17" i="12" l="1"/>
  <c r="E13" i="12"/>
  <c r="D13" i="12"/>
  <c r="E19" i="12"/>
  <c r="E23" i="12"/>
  <c r="E7" i="12"/>
  <c r="E8" i="12" s="1"/>
  <c r="E6" i="12"/>
  <c r="E16" i="12" s="1"/>
  <c r="E18" i="12" l="1"/>
  <c r="E20" i="12" s="1"/>
  <c r="J17" i="15"/>
  <c r="I15" i="17"/>
  <c r="K9" i="17"/>
  <c r="K10" i="17"/>
  <c r="G20" i="17"/>
  <c r="H23" i="17"/>
  <c r="H13" i="17"/>
  <c r="H19" i="17" s="1"/>
  <c r="H6" i="17"/>
  <c r="H16" i="17" s="1"/>
  <c r="G23" i="17"/>
  <c r="G13" i="17"/>
  <c r="G19" i="17" s="1"/>
  <c r="G6" i="17"/>
  <c r="G7" i="17" s="1"/>
  <c r="G8" i="17" s="1"/>
  <c r="G17" i="17" s="1"/>
  <c r="G6" i="16"/>
  <c r="G7" i="16" s="1"/>
  <c r="G8" i="16" s="1"/>
  <c r="G9" i="16" s="1"/>
  <c r="D39" i="17"/>
  <c r="C39" i="17"/>
  <c r="E38" i="17"/>
  <c r="D38" i="17"/>
  <c r="C38" i="17"/>
  <c r="D31" i="17"/>
  <c r="C31" i="17"/>
  <c r="D30" i="17"/>
  <c r="C30" i="17"/>
  <c r="F23" i="17"/>
  <c r="E23" i="17"/>
  <c r="D23" i="17"/>
  <c r="C23" i="17"/>
  <c r="D15" i="17"/>
  <c r="C15" i="17"/>
  <c r="F13" i="17"/>
  <c r="F19" i="17" s="1"/>
  <c r="E13" i="17"/>
  <c r="E19" i="17" s="1"/>
  <c r="D13" i="17"/>
  <c r="C13" i="17"/>
  <c r="F6" i="17"/>
  <c r="F7" i="17" s="1"/>
  <c r="F8" i="17" s="1"/>
  <c r="F17" i="17" s="1"/>
  <c r="E6" i="17"/>
  <c r="E7" i="17" s="1"/>
  <c r="E8" i="17" s="1"/>
  <c r="D6" i="17"/>
  <c r="D7" i="17" s="1"/>
  <c r="D8" i="17" s="1"/>
  <c r="D17" i="17" s="1"/>
  <c r="C6" i="17"/>
  <c r="C7" i="17" s="1"/>
  <c r="C8" i="17" s="1"/>
  <c r="C17" i="17" s="1"/>
  <c r="I38" i="15"/>
  <c r="I23" i="15"/>
  <c r="I16" i="15"/>
  <c r="I13" i="15"/>
  <c r="I19" i="15" s="1"/>
  <c r="I6" i="15"/>
  <c r="I7" i="15" s="1"/>
  <c r="I8" i="15" s="1"/>
  <c r="I17" i="15" s="1"/>
  <c r="F6" i="16"/>
  <c r="F7" i="16" s="1"/>
  <c r="F8" i="16" s="1"/>
  <c r="F9" i="16" s="1"/>
  <c r="H38" i="15"/>
  <c r="H32" i="15"/>
  <c r="H23" i="15"/>
  <c r="H13" i="15"/>
  <c r="H6" i="15"/>
  <c r="H16" i="15" s="1"/>
  <c r="E9" i="16"/>
  <c r="E6" i="16"/>
  <c r="E7" i="16" s="1"/>
  <c r="E8" i="16" s="1"/>
  <c r="F32" i="15"/>
  <c r="F38" i="15"/>
  <c r="E38" i="15"/>
  <c r="F34" i="15"/>
  <c r="E34" i="15"/>
  <c r="E32" i="15"/>
  <c r="C6" i="16"/>
  <c r="D6" i="16"/>
  <c r="D7" i="16" s="1"/>
  <c r="D8" i="16" s="1"/>
  <c r="D9" i="16" s="1"/>
  <c r="C7" i="16"/>
  <c r="C8" i="16" s="1"/>
  <c r="H7" i="17" l="1"/>
  <c r="H8" i="17" s="1"/>
  <c r="H17" i="17" s="1"/>
  <c r="H18" i="17" s="1"/>
  <c r="H20" i="17" s="1"/>
  <c r="G16" i="17"/>
  <c r="G18" i="17"/>
  <c r="F18" i="17"/>
  <c r="F20" i="17" s="1"/>
  <c r="E16" i="17"/>
  <c r="C35" i="17"/>
  <c r="C41" i="17" s="1"/>
  <c r="C16" i="17"/>
  <c r="C34" i="17"/>
  <c r="C40" i="17" s="1"/>
  <c r="E17" i="17"/>
  <c r="E18" i="17" s="1"/>
  <c r="E20" i="17" s="1"/>
  <c r="D35" i="17"/>
  <c r="D41" i="17" s="1"/>
  <c r="D16" i="17"/>
  <c r="D34" i="17"/>
  <c r="D40" i="17" s="1"/>
  <c r="D42" i="17" s="1"/>
  <c r="C18" i="17"/>
  <c r="C20" i="17" s="1"/>
  <c r="D18" i="17"/>
  <c r="D20" i="17" s="1"/>
  <c r="C19" i="17"/>
  <c r="E32" i="17"/>
  <c r="C33" i="17"/>
  <c r="E34" i="17"/>
  <c r="E40" i="17" s="1"/>
  <c r="D19" i="17"/>
  <c r="D33" i="17"/>
  <c r="F16" i="17"/>
  <c r="C32" i="17"/>
  <c r="D32" i="17"/>
  <c r="I18" i="15"/>
  <c r="I20" i="15" s="1"/>
  <c r="I32" i="15"/>
  <c r="I34" i="15"/>
  <c r="I40" i="15" s="1"/>
  <c r="H19" i="15"/>
  <c r="H34" i="15"/>
  <c r="H40" i="15" s="1"/>
  <c r="H7" i="15"/>
  <c r="H8" i="15" s="1"/>
  <c r="H17" i="15" s="1"/>
  <c r="F40" i="15"/>
  <c r="E40" i="15"/>
  <c r="F15" i="15"/>
  <c r="E15" i="15"/>
  <c r="E16" i="15" s="1"/>
  <c r="E23" i="15"/>
  <c r="D39" i="15"/>
  <c r="C39" i="15"/>
  <c r="D38" i="15"/>
  <c r="C38" i="15"/>
  <c r="D31" i="15"/>
  <c r="D35" i="15" s="1"/>
  <c r="D41" i="15" s="1"/>
  <c r="C31" i="15"/>
  <c r="C35" i="15" s="1"/>
  <c r="C41" i="15" s="1"/>
  <c r="D30" i="15"/>
  <c r="D32" i="15" s="1"/>
  <c r="C30" i="15"/>
  <c r="C32" i="15" s="1"/>
  <c r="F23" i="15"/>
  <c r="D23" i="15"/>
  <c r="C23" i="15"/>
  <c r="D15" i="15"/>
  <c r="D16" i="15" s="1"/>
  <c r="C15" i="15"/>
  <c r="C16" i="15" s="1"/>
  <c r="F13" i="15"/>
  <c r="F19" i="15" s="1"/>
  <c r="E13" i="15"/>
  <c r="E19" i="15" s="1"/>
  <c r="D13" i="15"/>
  <c r="D19" i="15" s="1"/>
  <c r="C13" i="15"/>
  <c r="C19" i="15" s="1"/>
  <c r="F7" i="15"/>
  <c r="F8" i="15" s="1"/>
  <c r="F17" i="15" s="1"/>
  <c r="E7" i="15"/>
  <c r="E8" i="15" s="1"/>
  <c r="F6" i="15"/>
  <c r="F16" i="15" s="1"/>
  <c r="E6" i="15"/>
  <c r="D6" i="15"/>
  <c r="D7" i="15" s="1"/>
  <c r="D8" i="15" s="1"/>
  <c r="D17" i="15" s="1"/>
  <c r="D18" i="15" s="1"/>
  <c r="D20" i="15" s="1"/>
  <c r="C6" i="15"/>
  <c r="C33" i="15" s="1"/>
  <c r="D23" i="12"/>
  <c r="C13" i="12"/>
  <c r="C19" i="12" s="1"/>
  <c r="C6" i="12"/>
  <c r="D6" i="12"/>
  <c r="D16" i="12" s="1"/>
  <c r="D19" i="12"/>
  <c r="C42" i="17" l="1"/>
  <c r="H18" i="15"/>
  <c r="M3" i="15"/>
  <c r="E17" i="15"/>
  <c r="E18" i="15" s="1"/>
  <c r="E20" i="15" s="1"/>
  <c r="C7" i="15"/>
  <c r="C8" i="15" s="1"/>
  <c r="C17" i="15" s="1"/>
  <c r="C18" i="15" s="1"/>
  <c r="C20" i="15" s="1"/>
  <c r="C34" i="15"/>
  <c r="C40" i="15" s="1"/>
  <c r="C42" i="15" s="1"/>
  <c r="D33" i="15"/>
  <c r="F18" i="15"/>
  <c r="F20" i="15" s="1"/>
  <c r="D34" i="15"/>
  <c r="D40" i="15" s="1"/>
  <c r="D42" i="15" s="1"/>
  <c r="D7" i="12"/>
  <c r="D8" i="12" s="1"/>
  <c r="D17" i="12" s="1"/>
  <c r="D18" i="12" s="1"/>
  <c r="D20" i="12" s="1"/>
  <c r="C16" i="12"/>
  <c r="C7" i="12"/>
  <c r="C8" i="12" s="1"/>
  <c r="C17" i="12" s="1"/>
  <c r="C18" i="12" s="1"/>
  <c r="C20" i="12" s="1"/>
  <c r="H20" i="15" l="1"/>
  <c r="M4" i="15"/>
</calcChain>
</file>

<file path=xl/sharedStrings.xml><?xml version="1.0" encoding="utf-8"?>
<sst xmlns="http://schemas.openxmlformats.org/spreadsheetml/2006/main" count="269" uniqueCount="88">
  <si>
    <t>diameter</t>
  </si>
  <si>
    <t>cm</t>
  </si>
  <si>
    <t>column height</t>
  </si>
  <si>
    <t>area</t>
  </si>
  <si>
    <t>cm²</t>
  </si>
  <si>
    <t>total volume</t>
  </si>
  <si>
    <t>ml</t>
  </si>
  <si>
    <t>pore volume</t>
  </si>
  <si>
    <t>porosity</t>
  </si>
  <si>
    <t>%</t>
  </si>
  <si>
    <t>inflow conc.</t>
  </si>
  <si>
    <t>outflow conc.</t>
  </si>
  <si>
    <t>Conc. difference</t>
  </si>
  <si>
    <t>Flow rate pump</t>
  </si>
  <si>
    <t>ml/min</t>
  </si>
  <si>
    <t>Flow rate measured</t>
  </si>
  <si>
    <t>Porewater flow</t>
  </si>
  <si>
    <t>µm/s</t>
  </si>
  <si>
    <t>Retention time</t>
  </si>
  <si>
    <t>min</t>
  </si>
  <si>
    <t>estimated O2 rate</t>
  </si>
  <si>
    <t>µM/h</t>
  </si>
  <si>
    <t>O2 gradient</t>
  </si>
  <si>
    <t>µM/cm</t>
  </si>
  <si>
    <t>time for zero O2</t>
  </si>
  <si>
    <t>h</t>
  </si>
  <si>
    <t>Temperature</t>
  </si>
  <si>
    <t>Oxygen</t>
  </si>
  <si>
    <t>Salinity</t>
  </si>
  <si>
    <t>°C</t>
  </si>
  <si>
    <t>µmol/l</t>
  </si>
  <si>
    <t>PSU</t>
  </si>
  <si>
    <t>m/s</t>
  </si>
  <si>
    <t>Pa</t>
  </si>
  <si>
    <t>m²</t>
  </si>
  <si>
    <t>Permeability</t>
  </si>
  <si>
    <t>mm</t>
  </si>
  <si>
    <t>kin. Viscosity</t>
  </si>
  <si>
    <t>m²/s</t>
  </si>
  <si>
    <t>Density</t>
  </si>
  <si>
    <t>kg/m³</t>
  </si>
  <si>
    <t>Core Basics</t>
  </si>
  <si>
    <t>Core Number</t>
  </si>
  <si>
    <t>Rates while purging</t>
  </si>
  <si>
    <t>distance between ports</t>
  </si>
  <si>
    <t>Flow rate pump 1</t>
  </si>
  <si>
    <t>Flow rate pump 2</t>
  </si>
  <si>
    <t>Flow rate measured 1</t>
  </si>
  <si>
    <t>Flow rate measured 2</t>
  </si>
  <si>
    <t>Porewater flow 1</t>
  </si>
  <si>
    <t>Porewater flow 2</t>
  </si>
  <si>
    <t>Darcy Flow 1</t>
  </si>
  <si>
    <t>Darcy Flow 2</t>
  </si>
  <si>
    <t>mm watercolumn 1</t>
  </si>
  <si>
    <t>mm watercolumn 2</t>
  </si>
  <si>
    <t>Pressure 1</t>
  </si>
  <si>
    <t>Pressure 2</t>
  </si>
  <si>
    <t>Permeability 1</t>
  </si>
  <si>
    <t>Permeability 2</t>
  </si>
  <si>
    <t xml:space="preserve"> </t>
  </si>
  <si>
    <t>Stock addition</t>
  </si>
  <si>
    <t>L</t>
  </si>
  <si>
    <t>µmol</t>
  </si>
  <si>
    <t>Target mol</t>
  </si>
  <si>
    <t>µM</t>
  </si>
  <si>
    <t>Stock Conc</t>
  </si>
  <si>
    <t>Target Conc</t>
  </si>
  <si>
    <t>Vol</t>
  </si>
  <si>
    <t>Station Sylt1</t>
  </si>
  <si>
    <t>25.8.</t>
  </si>
  <si>
    <t>26.8.</t>
  </si>
  <si>
    <t>Sylt2</t>
  </si>
  <si>
    <t>27.8.</t>
  </si>
  <si>
    <t>28.8.</t>
  </si>
  <si>
    <t>Den Conc Diff NO3</t>
  </si>
  <si>
    <t>akklimatisierung im Kühlaraum</t>
  </si>
  <si>
    <t>MIMS 15Nversuch</t>
  </si>
  <si>
    <t>28.8. 22:00</t>
  </si>
  <si>
    <t>short (2)</t>
  </si>
  <si>
    <t>nur ungefähr, weil sediement im messschlauch!</t>
  </si>
  <si>
    <t>MISM 15N nach anoxisch</t>
  </si>
  <si>
    <t>NOAH-E</t>
  </si>
  <si>
    <t>31.8.</t>
  </si>
  <si>
    <t>15N fast</t>
  </si>
  <si>
    <t>15N reverse</t>
  </si>
  <si>
    <t>Low Water</t>
  </si>
  <si>
    <t>Seep</t>
  </si>
  <si>
    <t>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</si>
</sst>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E+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1" applyNumberFormat="0" applyAlignment="0" applyProtection="0"/>
    <xf numFmtId="0" fontId="10" fillId="20" borderId="2" applyNumberFormat="0" applyAlignment="0" applyProtection="0"/>
    <xf numFmtId="0" fontId="11" fillId="7" borderId="2" applyNumberFormat="0" applyAlignment="0" applyProtection="0"/>
    <xf numFmtId="0" fontId="12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21" borderId="0" applyNumberFormat="0" applyBorder="0" applyAlignment="0" applyProtection="0"/>
    <xf numFmtId="0" fontId="5" fillId="0" borderId="0"/>
    <xf numFmtId="0" fontId="7" fillId="0" borderId="0"/>
    <xf numFmtId="0" fontId="7" fillId="22" borderId="4" applyNumberFormat="0" applyFont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23" borderId="9" applyNumberFormat="0" applyAlignment="0" applyProtection="0"/>
    <xf numFmtId="0" fontId="1" fillId="0" borderId="0"/>
  </cellStyleXfs>
  <cellXfs count="69">
    <xf numFmtId="0" fontId="0" fillId="0" borderId="0" xfId="0"/>
    <xf numFmtId="0" fontId="7" fillId="0" borderId="0" xfId="33"/>
    <xf numFmtId="0" fontId="4" fillId="0" borderId="13" xfId="33" applyFont="1" applyBorder="1" applyAlignment="1">
      <alignment horizontal="left" vertical="center"/>
    </xf>
    <xf numFmtId="0" fontId="4" fillId="0" borderId="0" xfId="33" applyFont="1" applyBorder="1" applyAlignment="1">
      <alignment horizontal="center" vertical="center"/>
    </xf>
    <xf numFmtId="0" fontId="4" fillId="0" borderId="16" xfId="33" applyFont="1" applyBorder="1" applyAlignment="1">
      <alignment horizontal="center" vertical="center"/>
    </xf>
    <xf numFmtId="0" fontId="5" fillId="0" borderId="13" xfId="33" applyFont="1" applyBorder="1"/>
    <xf numFmtId="0" fontId="5" fillId="0" borderId="0" xfId="33" applyFont="1" applyBorder="1"/>
    <xf numFmtId="2" fontId="5" fillId="0" borderId="0" xfId="33" applyNumberFormat="1" applyFont="1" applyBorder="1"/>
    <xf numFmtId="2" fontId="6" fillId="0" borderId="0" xfId="33" applyNumberFormat="1" applyFont="1" applyBorder="1"/>
    <xf numFmtId="0" fontId="5" fillId="0" borderId="13" xfId="33" applyFont="1" applyFill="1" applyBorder="1"/>
    <xf numFmtId="0" fontId="5" fillId="0" borderId="14" xfId="33" applyFont="1" applyBorder="1"/>
    <xf numFmtId="0" fontId="5" fillId="0" borderId="15" xfId="33" applyFont="1" applyBorder="1"/>
    <xf numFmtId="2" fontId="6" fillId="0" borderId="15" xfId="33" applyNumberFormat="1" applyFont="1" applyBorder="1"/>
    <xf numFmtId="165" fontId="5" fillId="0" borderId="0" xfId="33" applyNumberFormat="1" applyFont="1" applyBorder="1"/>
    <xf numFmtId="165" fontId="6" fillId="0" borderId="0" xfId="33" applyNumberFormat="1" applyFont="1" applyBorder="1"/>
    <xf numFmtId="165" fontId="5" fillId="0" borderId="0" xfId="33" applyNumberFormat="1" applyFont="1" applyFill="1" applyBorder="1"/>
    <xf numFmtId="1" fontId="5" fillId="0" borderId="0" xfId="33" applyNumberFormat="1" applyFont="1" applyBorder="1"/>
    <xf numFmtId="0" fontId="3" fillId="0" borderId="13" xfId="33" applyFont="1" applyFill="1" applyBorder="1"/>
    <xf numFmtId="165" fontId="3" fillId="0" borderId="0" xfId="33" applyNumberFormat="1" applyFont="1" applyFill="1" applyBorder="1"/>
    <xf numFmtId="165" fontId="3" fillId="0" borderId="0" xfId="33" applyNumberFormat="1" applyFont="1" applyBorder="1"/>
    <xf numFmtId="0" fontId="3" fillId="0" borderId="0" xfId="33" applyFont="1" applyBorder="1"/>
    <xf numFmtId="2" fontId="5" fillId="0" borderId="15" xfId="33" applyNumberFormat="1" applyFont="1" applyBorder="1"/>
    <xf numFmtId="0" fontId="5" fillId="0" borderId="10" xfId="33" applyFont="1" applyBorder="1" applyAlignment="1">
      <alignment horizontal="left"/>
    </xf>
    <xf numFmtId="0" fontId="5" fillId="0" borderId="17" xfId="33" applyFont="1" applyBorder="1" applyAlignment="1">
      <alignment horizontal="left"/>
    </xf>
    <xf numFmtId="0" fontId="6" fillId="0" borderId="17" xfId="33" applyFont="1" applyBorder="1" applyAlignment="1">
      <alignment horizontal="right"/>
    </xf>
    <xf numFmtId="0" fontId="5" fillId="0" borderId="13" xfId="33" applyFont="1" applyBorder="1" applyAlignment="1">
      <alignment horizontal="left"/>
    </xf>
    <xf numFmtId="0" fontId="5" fillId="0" borderId="0" xfId="33" applyFont="1" applyBorder="1" applyAlignment="1">
      <alignment horizontal="left"/>
    </xf>
    <xf numFmtId="0" fontId="6" fillId="0" borderId="0" xfId="33" applyFont="1" applyBorder="1" applyAlignment="1">
      <alignment horizontal="right"/>
    </xf>
    <xf numFmtId="164" fontId="5" fillId="0" borderId="14" xfId="33" applyNumberFormat="1" applyFont="1" applyBorder="1" applyAlignment="1">
      <alignment horizontal="left"/>
    </xf>
    <xf numFmtId="0" fontId="5" fillId="0" borderId="15" xfId="33" applyFont="1" applyBorder="1" applyAlignment="1">
      <alignment horizontal="left"/>
    </xf>
    <xf numFmtId="165" fontId="5" fillId="0" borderId="15" xfId="33" applyNumberFormat="1" applyFont="1" applyBorder="1" applyAlignment="1">
      <alignment horizontal="right"/>
    </xf>
    <xf numFmtId="11" fontId="5" fillId="0" borderId="0" xfId="33" applyNumberFormat="1" applyFont="1" applyBorder="1"/>
    <xf numFmtId="0" fontId="6" fillId="0" borderId="0" xfId="33" applyFont="1" applyBorder="1"/>
    <xf numFmtId="166" fontId="3" fillId="0" borderId="0" xfId="33" applyNumberFormat="1" applyFont="1" applyBorder="1"/>
    <xf numFmtId="0" fontId="3" fillId="0" borderId="14" xfId="33" applyFont="1" applyFill="1" applyBorder="1"/>
    <xf numFmtId="165" fontId="3" fillId="0" borderId="15" xfId="33" applyNumberFormat="1" applyFont="1" applyFill="1" applyBorder="1"/>
    <xf numFmtId="0" fontId="7" fillId="0" borderId="0" xfId="33" applyFont="1"/>
    <xf numFmtId="166" fontId="7" fillId="0" borderId="0" xfId="33" applyNumberFormat="1" applyFont="1"/>
    <xf numFmtId="11" fontId="24" fillId="0" borderId="0" xfId="33" applyNumberFormat="1" applyFont="1" applyBorder="1"/>
    <xf numFmtId="2" fontId="24" fillId="0" borderId="0" xfId="33" applyNumberFormat="1" applyFont="1" applyBorder="1"/>
    <xf numFmtId="165" fontId="24" fillId="0" borderId="0" xfId="33" applyNumberFormat="1" applyFont="1" applyBorder="1"/>
    <xf numFmtId="1" fontId="24" fillId="0" borderId="0" xfId="33" applyNumberFormat="1" applyFont="1" applyBorder="1"/>
    <xf numFmtId="0" fontId="24" fillId="0" borderId="0" xfId="33" applyFont="1" applyBorder="1"/>
    <xf numFmtId="166" fontId="25" fillId="0" borderId="0" xfId="33" applyNumberFormat="1" applyFont="1" applyBorder="1"/>
    <xf numFmtId="166" fontId="25" fillId="0" borderId="15" xfId="33" applyNumberFormat="1" applyFont="1" applyBorder="1"/>
    <xf numFmtId="166" fontId="8" fillId="0" borderId="0" xfId="33" applyNumberFormat="1" applyFont="1"/>
    <xf numFmtId="2" fontId="24" fillId="0" borderId="15" xfId="33" applyNumberFormat="1" applyFont="1" applyBorder="1"/>
    <xf numFmtId="165" fontId="24" fillId="0" borderId="16" xfId="33" applyNumberFormat="1" applyFont="1" applyBorder="1"/>
    <xf numFmtId="165" fontId="25" fillId="0" borderId="0" xfId="33" applyNumberFormat="1" applyFont="1" applyBorder="1"/>
    <xf numFmtId="0" fontId="24" fillId="0" borderId="17" xfId="33" applyFont="1" applyBorder="1" applyAlignment="1">
      <alignment horizontal="right"/>
    </xf>
    <xf numFmtId="0" fontId="24" fillId="0" borderId="0" xfId="33" applyFont="1" applyBorder="1" applyAlignment="1">
      <alignment horizontal="right"/>
    </xf>
    <xf numFmtId="165" fontId="24" fillId="0" borderId="15" xfId="33" applyNumberFormat="1" applyFont="1" applyBorder="1" applyAlignment="1">
      <alignment horizontal="right"/>
    </xf>
    <xf numFmtId="0" fontId="12" fillId="0" borderId="0" xfId="33" applyFont="1" applyBorder="1" applyAlignment="1">
      <alignment horizontal="center" vertical="center"/>
    </xf>
    <xf numFmtId="166" fontId="3" fillId="0" borderId="15" xfId="33" applyNumberFormat="1" applyFont="1" applyBorder="1"/>
    <xf numFmtId="0" fontId="2" fillId="0" borderId="13" xfId="33" applyFont="1" applyBorder="1" applyAlignment="1">
      <alignment horizontal="center" vertical="center"/>
    </xf>
    <xf numFmtId="0" fontId="2" fillId="0" borderId="0" xfId="33" applyFont="1" applyBorder="1" applyAlignment="1">
      <alignment horizontal="center" vertical="center"/>
    </xf>
    <xf numFmtId="0" fontId="12" fillId="0" borderId="0" xfId="33" applyFont="1" applyBorder="1" applyAlignment="1">
      <alignment horizontal="center" vertical="center"/>
    </xf>
    <xf numFmtId="0" fontId="6" fillId="0" borderId="0" xfId="33" applyNumberFormat="1" applyFont="1" applyBorder="1"/>
    <xf numFmtId="0" fontId="1" fillId="0" borderId="0" xfId="44"/>
    <xf numFmtId="164" fontId="1" fillId="0" borderId="0" xfId="44" applyNumberFormat="1"/>
    <xf numFmtId="0" fontId="12" fillId="0" borderId="0" xfId="33" applyFont="1" applyBorder="1" applyAlignment="1">
      <alignment horizontal="left" vertical="center"/>
    </xf>
    <xf numFmtId="165" fontId="5" fillId="0" borderId="0" xfId="33" applyNumberFormat="1" applyFont="1" applyBorder="1" applyAlignment="1">
      <alignment horizontal="right"/>
    </xf>
    <xf numFmtId="0" fontId="2" fillId="0" borderId="18" xfId="33" applyFont="1" applyBorder="1" applyAlignment="1">
      <alignment horizontal="center" vertical="center"/>
    </xf>
    <xf numFmtId="0" fontId="2" fillId="0" borderId="11" xfId="33" applyFont="1" applyBorder="1" applyAlignment="1">
      <alignment horizontal="center" vertical="center"/>
    </xf>
    <xf numFmtId="0" fontId="12" fillId="0" borderId="11" xfId="33" applyFont="1" applyBorder="1" applyAlignment="1">
      <alignment horizontal="center" vertical="center"/>
    </xf>
    <xf numFmtId="0" fontId="12" fillId="0" borderId="12" xfId="33" applyFont="1" applyBorder="1" applyAlignment="1">
      <alignment horizontal="center" vertical="center"/>
    </xf>
    <xf numFmtId="0" fontId="2" fillId="0" borderId="18" xfId="32" applyFont="1" applyBorder="1" applyAlignment="1">
      <alignment horizontal="center" vertical="center"/>
    </xf>
    <xf numFmtId="0" fontId="2" fillId="0" borderId="11" xfId="32" applyFont="1" applyBorder="1" applyAlignment="1">
      <alignment horizontal="center" vertical="center"/>
    </xf>
    <xf numFmtId="0" fontId="12" fillId="0" borderId="11" xfId="33" applyFont="1" applyBorder="1" applyAlignment="1"/>
  </cellXfs>
  <cellStyles count="45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kzent1" xfId="19"/>
    <cellStyle name="Akzent2" xfId="20"/>
    <cellStyle name="Akzent3" xfId="21"/>
    <cellStyle name="Akzent4" xfId="22"/>
    <cellStyle name="Akzent5" xfId="23"/>
    <cellStyle name="Akzent6" xfId="24"/>
    <cellStyle name="Ausgabe" xfId="25"/>
    <cellStyle name="Berechnung" xfId="26"/>
    <cellStyle name="Eingabe" xfId="27"/>
    <cellStyle name="Ergebnis" xfId="28"/>
    <cellStyle name="Erklärender Text" xfId="29"/>
    <cellStyle name="Gut" xfId="30"/>
    <cellStyle name="Neutral" xfId="31" builtinId="28" customBuiltin="1"/>
    <cellStyle name="Normal" xfId="0" builtinId="0"/>
    <cellStyle name="Normal 2" xfId="32"/>
    <cellStyle name="Normal 3" xfId="44"/>
    <cellStyle name="Normal_Book2" xfId="33"/>
    <cellStyle name="Notiz" xfId="34"/>
    <cellStyle name="Schlecht" xfId="35"/>
    <cellStyle name="Überschrift" xfId="36"/>
    <cellStyle name="Überschrift 1" xfId="37"/>
    <cellStyle name="Überschrift 2" xfId="38"/>
    <cellStyle name="Überschrift 3" xfId="39"/>
    <cellStyle name="Überschrift 4" xfId="40"/>
    <cellStyle name="Verknüpfte Zelle" xfId="41"/>
    <cellStyle name="Warnender Text" xfId="42"/>
    <cellStyle name="Zelle überprüfen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21" style="36" customWidth="1"/>
    <col min="2" max="2" width="10.140625" style="36" customWidth="1"/>
    <col min="3" max="5" width="9.140625" style="36"/>
    <col min="6" max="16384" width="9.140625" style="1"/>
  </cols>
  <sheetData>
    <row r="1" spans="1:11" ht="15.75" thickBot="1" x14ac:dyDescent="0.3">
      <c r="A1" s="62" t="s">
        <v>41</v>
      </c>
      <c r="B1" s="63"/>
      <c r="C1" s="64"/>
      <c r="D1" s="65"/>
      <c r="E1" s="1"/>
    </row>
    <row r="2" spans="1:11" ht="15.75" thickTop="1" x14ac:dyDescent="0.25">
      <c r="A2" s="54"/>
      <c r="B2" s="55"/>
      <c r="C2" s="52"/>
      <c r="D2" s="56"/>
      <c r="E2" s="56"/>
    </row>
    <row r="3" spans="1:11" x14ac:dyDescent="0.25">
      <c r="A3" s="2" t="s">
        <v>42</v>
      </c>
      <c r="B3" s="3"/>
      <c r="C3" s="3">
        <v>1</v>
      </c>
      <c r="D3" s="3">
        <v>2</v>
      </c>
      <c r="E3" s="3">
        <v>3</v>
      </c>
      <c r="I3" s="1">
        <v>1</v>
      </c>
      <c r="J3" s="1" t="s">
        <v>85</v>
      </c>
      <c r="K3" s="1">
        <v>1</v>
      </c>
    </row>
    <row r="4" spans="1:11" x14ac:dyDescent="0.25">
      <c r="A4" s="5" t="s">
        <v>0</v>
      </c>
      <c r="B4" s="6" t="s">
        <v>1</v>
      </c>
      <c r="C4" s="7">
        <v>9</v>
      </c>
      <c r="D4" s="7">
        <v>9</v>
      </c>
      <c r="E4" s="7">
        <v>9</v>
      </c>
      <c r="I4" s="1">
        <v>2</v>
      </c>
      <c r="J4" s="1" t="s">
        <v>86</v>
      </c>
      <c r="K4" s="1">
        <v>3</v>
      </c>
    </row>
    <row r="5" spans="1:11" x14ac:dyDescent="0.25">
      <c r="A5" s="5" t="s">
        <v>2</v>
      </c>
      <c r="B5" s="6" t="s">
        <v>1</v>
      </c>
      <c r="C5" s="8">
        <v>20.6</v>
      </c>
      <c r="D5" s="8">
        <v>22.6</v>
      </c>
      <c r="E5" s="8">
        <v>23</v>
      </c>
      <c r="I5" s="1">
        <v>3</v>
      </c>
      <c r="J5" s="1" t="s">
        <v>87</v>
      </c>
      <c r="K5" s="1">
        <v>4</v>
      </c>
    </row>
    <row r="6" spans="1:11" x14ac:dyDescent="0.25">
      <c r="A6" s="5" t="s">
        <v>3</v>
      </c>
      <c r="B6" s="6" t="s">
        <v>4</v>
      </c>
      <c r="C6" s="7">
        <f t="shared" ref="C6:D6" si="0">PI()*(C4/2)^2</f>
        <v>63.617251235193308</v>
      </c>
      <c r="D6" s="7">
        <f t="shared" si="0"/>
        <v>63.617251235193308</v>
      </c>
      <c r="E6" s="7">
        <f t="shared" ref="E6" si="1">PI()*(E4/2)^2</f>
        <v>63.617251235193308</v>
      </c>
    </row>
    <row r="7" spans="1:11" x14ac:dyDescent="0.25">
      <c r="A7" s="5" t="s">
        <v>5</v>
      </c>
      <c r="B7" s="6" t="s">
        <v>6</v>
      </c>
      <c r="C7" s="7">
        <f t="shared" ref="C7:D7" si="2">C6*C5</f>
        <v>1310.5153754449823</v>
      </c>
      <c r="D7" s="7">
        <f t="shared" si="2"/>
        <v>1437.7498779153689</v>
      </c>
      <c r="E7" s="7">
        <f t="shared" ref="E7" si="3">E6*E5</f>
        <v>1463.1967784094461</v>
      </c>
    </row>
    <row r="8" spans="1:11" x14ac:dyDescent="0.25">
      <c r="A8" s="9" t="s">
        <v>7</v>
      </c>
      <c r="B8" s="6" t="s">
        <v>6</v>
      </c>
      <c r="C8" s="7">
        <f t="shared" ref="C8:D8" si="4">C7*C9</f>
        <v>504.5484195463182</v>
      </c>
      <c r="D8" s="7">
        <f t="shared" si="4"/>
        <v>553.53370299741698</v>
      </c>
      <c r="E8" s="7">
        <f t="shared" ref="E8" si="5">E7*E9</f>
        <v>563.33075968763671</v>
      </c>
    </row>
    <row r="9" spans="1:11" ht="15.75" thickBot="1" x14ac:dyDescent="0.3">
      <c r="A9" s="10" t="s">
        <v>8</v>
      </c>
      <c r="B9" s="11" t="s">
        <v>9</v>
      </c>
      <c r="C9" s="12">
        <v>0.38500000000000001</v>
      </c>
      <c r="D9" s="12">
        <v>0.38500000000000001</v>
      </c>
      <c r="E9" s="12">
        <v>0.38500000000000001</v>
      </c>
    </row>
    <row r="10" spans="1:11" ht="15.75" thickBot="1" x14ac:dyDescent="0.3">
      <c r="A10" s="62" t="s">
        <v>43</v>
      </c>
      <c r="B10" s="63"/>
      <c r="C10" s="64"/>
      <c r="D10" s="64"/>
      <c r="E10" s="1"/>
    </row>
    <row r="11" spans="1:11" ht="15.75" thickTop="1" x14ac:dyDescent="0.25">
      <c r="A11" s="5" t="s">
        <v>10</v>
      </c>
      <c r="B11" s="13" t="s">
        <v>9</v>
      </c>
      <c r="C11" s="14">
        <v>100</v>
      </c>
      <c r="D11" s="14">
        <v>100</v>
      </c>
      <c r="E11" s="14">
        <v>100</v>
      </c>
    </row>
    <row r="12" spans="1:11" x14ac:dyDescent="0.25">
      <c r="A12" s="5" t="s">
        <v>11</v>
      </c>
      <c r="B12" s="13" t="s">
        <v>9</v>
      </c>
      <c r="C12" s="14">
        <v>45.6</v>
      </c>
      <c r="D12" s="13">
        <v>76.2</v>
      </c>
      <c r="E12" s="13">
        <v>57.6</v>
      </c>
    </row>
    <row r="13" spans="1:11" x14ac:dyDescent="0.25">
      <c r="A13" s="9" t="s">
        <v>12</v>
      </c>
      <c r="B13" s="13" t="s">
        <v>9</v>
      </c>
      <c r="C13" s="13">
        <f t="shared" ref="C13" si="6">C11-C12</f>
        <v>54.4</v>
      </c>
      <c r="D13" s="13">
        <f t="shared" ref="D13" si="7">D11-D12</f>
        <v>23.799999999999997</v>
      </c>
      <c r="E13" s="13">
        <f>E11-E12</f>
        <v>42.4</v>
      </c>
    </row>
    <row r="14" spans="1:11" x14ac:dyDescent="0.25">
      <c r="A14" s="9" t="s">
        <v>13</v>
      </c>
      <c r="B14" s="15" t="s">
        <v>14</v>
      </c>
      <c r="C14" s="14">
        <v>1</v>
      </c>
      <c r="D14" s="14">
        <v>1</v>
      </c>
      <c r="E14" s="14">
        <v>1</v>
      </c>
    </row>
    <row r="15" spans="1:11" x14ac:dyDescent="0.25">
      <c r="A15" s="9" t="s">
        <v>15</v>
      </c>
      <c r="B15" s="15" t="s">
        <v>14</v>
      </c>
      <c r="C15" s="14">
        <v>1</v>
      </c>
      <c r="D15" s="13">
        <v>1</v>
      </c>
      <c r="E15" s="13">
        <v>1</v>
      </c>
    </row>
    <row r="16" spans="1:11" x14ac:dyDescent="0.25">
      <c r="A16" s="9" t="s">
        <v>16</v>
      </c>
      <c r="B16" s="15" t="s">
        <v>17</v>
      </c>
      <c r="C16" s="16">
        <f t="shared" ref="C16:D16" si="8">C15/C$6/C$9*10000/60</f>
        <v>6.8047648160716303</v>
      </c>
      <c r="D16" s="16">
        <f t="shared" si="8"/>
        <v>6.8047648160716303</v>
      </c>
      <c r="E16" s="16">
        <f t="shared" ref="E16" si="9">E15/E$6/E$9*10000/60</f>
        <v>6.8047648160716303</v>
      </c>
    </row>
    <row r="17" spans="1:5" x14ac:dyDescent="0.25">
      <c r="A17" s="17" t="s">
        <v>18</v>
      </c>
      <c r="B17" s="18" t="s">
        <v>19</v>
      </c>
      <c r="C17" s="19">
        <f t="shared" ref="C17:E17" si="10">C$8/C15</f>
        <v>504.5484195463182</v>
      </c>
      <c r="D17" s="19">
        <f t="shared" si="10"/>
        <v>553.53370299741698</v>
      </c>
      <c r="E17" s="19">
        <f t="shared" si="10"/>
        <v>563.33075968763671</v>
      </c>
    </row>
    <row r="18" spans="1:5" x14ac:dyDescent="0.25">
      <c r="A18" s="17" t="s">
        <v>20</v>
      </c>
      <c r="B18" s="20" t="s">
        <v>21</v>
      </c>
      <c r="C18" s="19">
        <f t="shared" ref="C18:D18" si="11">C13/(C17/60)*C23/100</f>
        <v>16.606568891274033</v>
      </c>
      <c r="D18" s="19">
        <f t="shared" si="11"/>
        <v>6.6224204483454523</v>
      </c>
      <c r="E18" s="19">
        <f t="shared" ref="E18" si="12">E13/(E17/60)*E23/100</f>
        <v>11.592744191491686</v>
      </c>
    </row>
    <row r="19" spans="1:5" x14ac:dyDescent="0.25">
      <c r="A19" s="9" t="s">
        <v>22</v>
      </c>
      <c r="B19" s="6" t="s">
        <v>23</v>
      </c>
      <c r="C19" s="13">
        <f t="shared" ref="C19:D19" si="13">C13/C$5</f>
        <v>2.6407766990291259</v>
      </c>
      <c r="D19" s="13">
        <f t="shared" si="13"/>
        <v>1.0530973451327432</v>
      </c>
      <c r="E19" s="13">
        <f t="shared" ref="E19" si="14">E13/E$5</f>
        <v>1.8434782608695652</v>
      </c>
    </row>
    <row r="20" spans="1:5" ht="15.75" thickBot="1" x14ac:dyDescent="0.3">
      <c r="A20" s="10" t="s">
        <v>24</v>
      </c>
      <c r="B20" s="11" t="s">
        <v>25</v>
      </c>
      <c r="C20" s="21">
        <f t="shared" ref="C20:D20" si="15">C11/C18</f>
        <v>6.0217134951064617</v>
      </c>
      <c r="D20" s="21">
        <f t="shared" si="15"/>
        <v>15.100219138907743</v>
      </c>
      <c r="E20" s="21">
        <f t="shared" ref="E20" si="16">E11/E18</f>
        <v>8.6260852778407244</v>
      </c>
    </row>
    <row r="21" spans="1:5" x14ac:dyDescent="0.25">
      <c r="A21" s="22" t="s">
        <v>26</v>
      </c>
      <c r="B21" s="23" t="s">
        <v>29</v>
      </c>
      <c r="C21" s="24">
        <v>15</v>
      </c>
      <c r="D21" s="24">
        <v>15</v>
      </c>
      <c r="E21" s="24">
        <v>15</v>
      </c>
    </row>
    <row r="22" spans="1:5" x14ac:dyDescent="0.25">
      <c r="A22" s="25" t="s">
        <v>28</v>
      </c>
      <c r="B22" s="26" t="s">
        <v>31</v>
      </c>
      <c r="C22" s="27">
        <v>33</v>
      </c>
      <c r="D22" s="27">
        <v>33</v>
      </c>
      <c r="E22" s="27">
        <v>33</v>
      </c>
    </row>
    <row r="23" spans="1:5" ht="15.75" thickBot="1" x14ac:dyDescent="0.3">
      <c r="A23" s="28" t="s">
        <v>27</v>
      </c>
      <c r="B23" s="29" t="s">
        <v>30</v>
      </c>
      <c r="C23" s="30">
        <f>(EXP(2.00856+3.224*(LN((298.15-C21)/(273.15+C21)))+3.99063*(LN((298.15-C21)/(273.15+C21)))^2+4.80299*(LN((298.15-C21)/(273.15+C21)))^3+0.978188*(LN((298.15-C21)/(273.15+C21)))^4+1.71069*(LN((298.15-C21)/(273.15+C21)))^5+C22*(-0.00624097-0.00693498*(LN((298.15-C21)/(273.15+C21)))-0.00690358*(LN((298.15-C21)/(273.15+C21)))^2-0.00429155*(LN((298.15-C21)/(273.15+C21)))^3)-0.00000031168*C22^2))/22.4389901823282*1000</f>
        <v>256.70398554471103</v>
      </c>
      <c r="D23" s="30">
        <f t="shared" ref="C23:D23" si="17">(EXP(2.00856+3.224*(LN((298.15-D21)/(273.15+D21)))+3.99063*(LN((298.15-D21)/(273.15+D21)))^2+4.80299*(LN((298.15-D21)/(273.15+D21)))^3+0.978188*(LN((298.15-D21)/(273.15+D21)))^4+1.71069*(LN((298.15-D21)/(273.15+D21)))^5+D22*(-0.00624097-0.00693498*(LN((298.15-D21)/(273.15+D21)))-0.00690358*(LN((298.15-D21)/(273.15+D21)))^2-0.00429155*(LN((298.15-D21)/(273.15+D21)))^3)-0.00000031168*D22^2))/22.4389901823282*1000</f>
        <v>256.70398554471103</v>
      </c>
      <c r="E23" s="30">
        <f t="shared" ref="E23" si="18">(EXP(2.00856+3.224*(LN((298.15-E21)/(273.15+E21)))+3.99063*(LN((298.15-E21)/(273.15+E21)))^2+4.80299*(LN((298.15-E21)/(273.15+E21)))^3+0.978188*(LN((298.15-E21)/(273.15+E21)))^4+1.71069*(LN((298.15-E21)/(273.15+E21)))^5+E22*(-0.00624097-0.00693498*(LN((298.15-E21)/(273.15+E21)))-0.00690358*(LN((298.15-E21)/(273.15+E21)))^2-0.00429155*(LN((298.15-E21)/(273.15+E21)))^3)-0.00000031168*E22^2))/22.4389901823282*1000</f>
        <v>256.70398554471103</v>
      </c>
    </row>
    <row r="24" spans="1:5" ht="15.75" thickBot="1" x14ac:dyDescent="0.3">
      <c r="A24" s="66" t="s">
        <v>35</v>
      </c>
      <c r="B24" s="67"/>
      <c r="C24" s="68"/>
      <c r="D24" s="68"/>
      <c r="E24" s="1"/>
    </row>
    <row r="25" spans="1:5" ht="15.75" thickTop="1" x14ac:dyDescent="0.25">
      <c r="A25" s="9" t="s">
        <v>39</v>
      </c>
      <c r="B25" s="15" t="s">
        <v>40</v>
      </c>
      <c r="C25" s="6"/>
      <c r="D25" s="6"/>
      <c r="E25" s="6"/>
    </row>
    <row r="26" spans="1:5" x14ac:dyDescent="0.25">
      <c r="A26" s="9" t="s">
        <v>37</v>
      </c>
      <c r="B26" s="15" t="s">
        <v>38</v>
      </c>
      <c r="C26" s="31"/>
      <c r="D26" s="31"/>
      <c r="E26" s="31"/>
    </row>
    <row r="27" spans="1:5" x14ac:dyDescent="0.25">
      <c r="A27" s="5" t="s">
        <v>44</v>
      </c>
      <c r="B27" s="6" t="s">
        <v>1</v>
      </c>
      <c r="C27" s="7"/>
      <c r="D27" s="7"/>
      <c r="E27" s="7"/>
    </row>
    <row r="28" spans="1:5" x14ac:dyDescent="0.25">
      <c r="A28" s="9" t="s">
        <v>45</v>
      </c>
      <c r="B28" s="15" t="s">
        <v>14</v>
      </c>
      <c r="C28" s="14"/>
      <c r="D28" s="14"/>
      <c r="E28" s="14"/>
    </row>
    <row r="29" spans="1:5" x14ac:dyDescent="0.25">
      <c r="A29" s="9" t="s">
        <v>46</v>
      </c>
      <c r="B29" s="15" t="s">
        <v>14</v>
      </c>
      <c r="C29" s="8"/>
      <c r="D29" s="8"/>
      <c r="E29" s="8"/>
    </row>
    <row r="30" spans="1:5" x14ac:dyDescent="0.25">
      <c r="A30" s="9" t="s">
        <v>47</v>
      </c>
      <c r="B30" s="15" t="s">
        <v>14</v>
      </c>
      <c r="C30" s="13"/>
      <c r="D30" s="13"/>
      <c r="E30" s="13"/>
    </row>
    <row r="31" spans="1:5" x14ac:dyDescent="0.25">
      <c r="A31" s="9" t="s">
        <v>48</v>
      </c>
      <c r="B31" s="15" t="s">
        <v>14</v>
      </c>
      <c r="C31" s="8"/>
      <c r="D31" s="8"/>
      <c r="E31" s="8"/>
    </row>
    <row r="32" spans="1:5" x14ac:dyDescent="0.25">
      <c r="A32" s="9" t="s">
        <v>49</v>
      </c>
      <c r="B32" s="15" t="s">
        <v>17</v>
      </c>
      <c r="C32" s="16"/>
      <c r="D32" s="16"/>
      <c r="E32" s="16"/>
    </row>
    <row r="33" spans="1:5" x14ac:dyDescent="0.25">
      <c r="A33" s="9" t="s">
        <v>50</v>
      </c>
      <c r="B33" s="15" t="s">
        <v>17</v>
      </c>
      <c r="C33" s="16"/>
      <c r="D33" s="16"/>
      <c r="E33" s="16"/>
    </row>
    <row r="34" spans="1:5" x14ac:dyDescent="0.25">
      <c r="A34" s="9" t="s">
        <v>51</v>
      </c>
      <c r="B34" s="15" t="s">
        <v>32</v>
      </c>
      <c r="C34" s="31"/>
      <c r="D34" s="31"/>
      <c r="E34" s="31"/>
    </row>
    <row r="35" spans="1:5" x14ac:dyDescent="0.25">
      <c r="A35" s="9" t="s">
        <v>52</v>
      </c>
      <c r="B35" s="15" t="s">
        <v>32</v>
      </c>
      <c r="C35" s="31"/>
      <c r="D35" s="31"/>
      <c r="E35" s="31"/>
    </row>
    <row r="36" spans="1:5" x14ac:dyDescent="0.25">
      <c r="A36" s="9" t="s">
        <v>53</v>
      </c>
      <c r="B36" s="15" t="s">
        <v>36</v>
      </c>
      <c r="C36" s="14"/>
      <c r="D36" s="32"/>
      <c r="E36" s="32"/>
    </row>
    <row r="37" spans="1:5" x14ac:dyDescent="0.25">
      <c r="A37" s="9" t="s">
        <v>54</v>
      </c>
      <c r="B37" s="15" t="s">
        <v>36</v>
      </c>
      <c r="C37" s="32"/>
      <c r="D37" s="57"/>
      <c r="E37" s="57"/>
    </row>
    <row r="38" spans="1:5" x14ac:dyDescent="0.25">
      <c r="A38" s="9" t="s">
        <v>55</v>
      </c>
      <c r="B38" s="15" t="s">
        <v>33</v>
      </c>
      <c r="C38" s="13"/>
      <c r="D38" s="13"/>
      <c r="E38" s="13"/>
    </row>
    <row r="39" spans="1:5" x14ac:dyDescent="0.25">
      <c r="A39" s="9" t="s">
        <v>56</v>
      </c>
      <c r="B39" s="15" t="s">
        <v>33</v>
      </c>
      <c r="C39" s="13"/>
      <c r="D39" s="13"/>
      <c r="E39" s="13"/>
    </row>
    <row r="40" spans="1:5" x14ac:dyDescent="0.25">
      <c r="A40" s="17" t="s">
        <v>57</v>
      </c>
      <c r="B40" s="18" t="s">
        <v>34</v>
      </c>
      <c r="C40" s="33"/>
      <c r="D40" s="33"/>
      <c r="E40" s="33"/>
    </row>
    <row r="41" spans="1:5" ht="15.75" thickBot="1" x14ac:dyDescent="0.3">
      <c r="A41" s="34" t="s">
        <v>58</v>
      </c>
      <c r="B41" s="35" t="s">
        <v>34</v>
      </c>
      <c r="C41" s="33"/>
      <c r="D41" s="53"/>
      <c r="E41" s="53"/>
    </row>
    <row r="42" spans="1:5" x14ac:dyDescent="0.25">
      <c r="C42" s="33"/>
      <c r="D42" s="37"/>
      <c r="E42" s="37"/>
    </row>
  </sheetData>
  <mergeCells count="3">
    <mergeCell ref="A1:D1"/>
    <mergeCell ref="A10:D10"/>
    <mergeCell ref="A24:D24"/>
  </mergeCells>
  <phoneticPr fontId="7" type="noConversion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J18" sqref="J18"/>
    </sheetView>
  </sheetViews>
  <sheetFormatPr defaultColWidth="9.140625" defaultRowHeight="15" x14ac:dyDescent="0.25"/>
  <cols>
    <col min="1" max="1" width="21" style="36" customWidth="1"/>
    <col min="2" max="2" width="10.140625" style="36" customWidth="1"/>
    <col min="3" max="6" width="9.140625" style="36"/>
    <col min="7" max="7" width="9.140625" style="1"/>
    <col min="8" max="8" width="14.28515625" style="36" customWidth="1"/>
    <col min="9" max="12" width="12.28515625" style="36" customWidth="1"/>
    <col min="13" max="16384" width="9.140625" style="1"/>
  </cols>
  <sheetData>
    <row r="1" spans="1:16" ht="15.75" thickBot="1" x14ac:dyDescent="0.3">
      <c r="A1" s="62" t="s">
        <v>41</v>
      </c>
      <c r="B1" s="63"/>
      <c r="C1" s="63"/>
      <c r="D1" s="64"/>
      <c r="E1" s="64"/>
      <c r="F1" s="65"/>
      <c r="H1" s="1" t="s">
        <v>72</v>
      </c>
      <c r="I1" s="1" t="s">
        <v>77</v>
      </c>
      <c r="J1" s="1"/>
      <c r="K1" s="1"/>
      <c r="L1" s="1"/>
      <c r="M1" s="1" t="s">
        <v>74</v>
      </c>
    </row>
    <row r="2" spans="1:16" ht="16.5" thickTop="1" thickBot="1" x14ac:dyDescent="0.3">
      <c r="A2" s="54"/>
      <c r="B2" s="55"/>
      <c r="C2" s="55"/>
      <c r="D2" s="56"/>
      <c r="E2" s="56" t="s">
        <v>75</v>
      </c>
      <c r="F2" s="56"/>
      <c r="H2" s="56" t="s">
        <v>76</v>
      </c>
      <c r="I2" s="60" t="s">
        <v>80</v>
      </c>
      <c r="J2" s="60"/>
      <c r="K2" s="60"/>
      <c r="L2" s="60"/>
      <c r="M2" s="1">
        <v>16.5</v>
      </c>
    </row>
    <row r="3" spans="1:16" ht="15.75" thickTop="1" x14ac:dyDescent="0.25">
      <c r="A3" s="2" t="s">
        <v>42</v>
      </c>
      <c r="B3" s="3"/>
      <c r="C3" s="4">
        <v>1</v>
      </c>
      <c r="D3" s="3">
        <v>2</v>
      </c>
      <c r="E3" s="3">
        <v>1</v>
      </c>
      <c r="F3" s="3">
        <v>2</v>
      </c>
      <c r="H3" s="3">
        <v>1</v>
      </c>
      <c r="I3" s="3">
        <v>1</v>
      </c>
      <c r="J3" s="3"/>
      <c r="K3" s="3"/>
      <c r="L3" s="3"/>
      <c r="M3" s="1">
        <f>M2/H17*60</f>
        <v>16.168121202986192</v>
      </c>
    </row>
    <row r="4" spans="1:16" x14ac:dyDescent="0.25">
      <c r="A4" s="5" t="s">
        <v>0</v>
      </c>
      <c r="B4" s="6" t="s">
        <v>1</v>
      </c>
      <c r="C4" s="39">
        <v>9</v>
      </c>
      <c r="D4" s="39">
        <v>9</v>
      </c>
      <c r="E4" s="7">
        <v>9</v>
      </c>
      <c r="F4" s="7">
        <v>9</v>
      </c>
      <c r="H4" s="7">
        <v>9</v>
      </c>
      <c r="I4" s="7">
        <v>9</v>
      </c>
      <c r="J4" s="7"/>
      <c r="K4" s="7"/>
      <c r="L4" s="7"/>
      <c r="M4" s="1">
        <f>H18/M3</f>
        <v>4.396365406079747</v>
      </c>
    </row>
    <row r="5" spans="1:16" x14ac:dyDescent="0.25">
      <c r="A5" s="5" t="s">
        <v>2</v>
      </c>
      <c r="B5" s="6" t="s">
        <v>1</v>
      </c>
      <c r="C5" s="39">
        <v>21.3</v>
      </c>
      <c r="D5" s="39">
        <v>23.2</v>
      </c>
      <c r="E5" s="8">
        <v>20</v>
      </c>
      <c r="F5" s="8">
        <v>20</v>
      </c>
      <c r="H5" s="8">
        <v>20</v>
      </c>
      <c r="I5" s="8">
        <v>20</v>
      </c>
      <c r="J5" s="8"/>
      <c r="K5" s="8"/>
      <c r="L5" s="8"/>
    </row>
    <row r="6" spans="1:16" x14ac:dyDescent="0.25">
      <c r="A6" s="5" t="s">
        <v>3</v>
      </c>
      <c r="B6" s="6" t="s">
        <v>4</v>
      </c>
      <c r="C6" s="39">
        <f t="shared" ref="C6:F6" si="0">PI()*(C4/2)^2</f>
        <v>63.617251235193308</v>
      </c>
      <c r="D6" s="39">
        <f t="shared" si="0"/>
        <v>63.617251235193308</v>
      </c>
      <c r="E6" s="7">
        <f t="shared" si="0"/>
        <v>63.617251235193308</v>
      </c>
      <c r="F6" s="7">
        <f t="shared" si="0"/>
        <v>63.617251235193308</v>
      </c>
      <c r="H6" s="7">
        <f t="shared" ref="H6:I6" si="1">PI()*(H4/2)^2</f>
        <v>63.617251235193308</v>
      </c>
      <c r="I6" s="7">
        <f t="shared" si="1"/>
        <v>63.617251235193308</v>
      </c>
      <c r="J6" s="7"/>
      <c r="K6" s="7"/>
      <c r="L6" s="7"/>
    </row>
    <row r="7" spans="1:16" x14ac:dyDescent="0.25">
      <c r="A7" s="5" t="s">
        <v>5</v>
      </c>
      <c r="B7" s="6" t="s">
        <v>6</v>
      </c>
      <c r="C7" s="39">
        <f t="shared" ref="C7:F7" si="2">C6*C5</f>
        <v>1355.0474513096176</v>
      </c>
      <c r="D7" s="39">
        <f t="shared" si="2"/>
        <v>1475.9202286564846</v>
      </c>
      <c r="E7" s="7">
        <f t="shared" si="2"/>
        <v>1272.3450247038661</v>
      </c>
      <c r="F7" s="7">
        <f t="shared" si="2"/>
        <v>1272.3450247038661</v>
      </c>
      <c r="H7" s="7">
        <f t="shared" ref="H7:I7" si="3">H6*H5</f>
        <v>1272.3450247038661</v>
      </c>
      <c r="I7" s="7">
        <f t="shared" si="3"/>
        <v>1272.3450247038661</v>
      </c>
      <c r="J7" s="7"/>
      <c r="K7" s="7"/>
      <c r="L7" s="7"/>
    </row>
    <row r="8" spans="1:16" x14ac:dyDescent="0.25">
      <c r="A8" s="9" t="s">
        <v>7</v>
      </c>
      <c r="B8" s="6" t="s">
        <v>6</v>
      </c>
      <c r="C8" s="39">
        <f t="shared" ref="C8:F8" si="4">C7*C9</f>
        <v>542.01898052384706</v>
      </c>
      <c r="D8" s="39">
        <f t="shared" si="4"/>
        <v>590.36809146259384</v>
      </c>
      <c r="E8" s="7">
        <f t="shared" si="4"/>
        <v>489.85283451098849</v>
      </c>
      <c r="F8" s="7">
        <f t="shared" si="4"/>
        <v>489.85283451098849</v>
      </c>
      <c r="H8" s="7">
        <f t="shared" ref="H8:I8" si="5">H7*H9</f>
        <v>489.85283451098849</v>
      </c>
      <c r="I8" s="7">
        <f t="shared" si="5"/>
        <v>489.85283451098849</v>
      </c>
      <c r="J8" s="7"/>
      <c r="K8" s="7"/>
      <c r="L8" s="7"/>
    </row>
    <row r="9" spans="1:16" ht="15.75" thickBot="1" x14ac:dyDescent="0.3">
      <c r="A9" s="10" t="s">
        <v>8</v>
      </c>
      <c r="B9" s="11" t="s">
        <v>9</v>
      </c>
      <c r="C9" s="46">
        <v>0.4</v>
      </c>
      <c r="D9" s="46">
        <v>0.4</v>
      </c>
      <c r="E9" s="12">
        <v>0.38500000000000001</v>
      </c>
      <c r="F9" s="12">
        <v>0.38500000000000001</v>
      </c>
      <c r="H9" s="12">
        <v>0.38500000000000001</v>
      </c>
      <c r="I9" s="12">
        <v>0.38500000000000001</v>
      </c>
      <c r="J9" s="8"/>
      <c r="K9" s="8"/>
      <c r="L9" s="8"/>
    </row>
    <row r="10" spans="1:16" ht="15.75" thickBot="1" x14ac:dyDescent="0.3">
      <c r="A10" s="62" t="s">
        <v>43</v>
      </c>
      <c r="B10" s="63"/>
      <c r="C10" s="63"/>
      <c r="D10" s="64"/>
      <c r="E10" s="64"/>
      <c r="F10" s="64"/>
      <c r="H10" s="1"/>
      <c r="I10" s="1"/>
      <c r="J10" s="1"/>
      <c r="K10" s="1"/>
      <c r="L10" s="1"/>
      <c r="P10" s="1" t="s">
        <v>59</v>
      </c>
    </row>
    <row r="11" spans="1:16" ht="15.75" thickTop="1" x14ac:dyDescent="0.25">
      <c r="A11" s="5" t="s">
        <v>10</v>
      </c>
      <c r="B11" s="13" t="s">
        <v>9</v>
      </c>
      <c r="C11" s="47">
        <v>100</v>
      </c>
      <c r="D11" s="40">
        <v>100</v>
      </c>
      <c r="E11" s="14">
        <v>101</v>
      </c>
      <c r="F11" s="14">
        <v>102</v>
      </c>
      <c r="H11" s="14">
        <v>52</v>
      </c>
      <c r="I11" s="14">
        <v>101</v>
      </c>
      <c r="J11" s="14"/>
      <c r="K11" s="14"/>
      <c r="L11" s="14"/>
    </row>
    <row r="12" spans="1:16" x14ac:dyDescent="0.25">
      <c r="A12" s="5" t="s">
        <v>11</v>
      </c>
      <c r="B12" s="13" t="s">
        <v>9</v>
      </c>
      <c r="C12" s="40">
        <v>61</v>
      </c>
      <c r="D12" s="40">
        <v>51</v>
      </c>
      <c r="E12" s="14">
        <v>74.040000000000006</v>
      </c>
      <c r="F12" s="14">
        <v>75.5</v>
      </c>
      <c r="H12" s="14">
        <v>21</v>
      </c>
      <c r="I12" s="14">
        <v>28</v>
      </c>
      <c r="J12" s="14"/>
      <c r="K12" s="14"/>
      <c r="L12" s="14"/>
    </row>
    <row r="13" spans="1:16" x14ac:dyDescent="0.25">
      <c r="A13" s="9" t="s">
        <v>12</v>
      </c>
      <c r="B13" s="13" t="s">
        <v>9</v>
      </c>
      <c r="C13" s="40">
        <f t="shared" ref="C13:F13" si="6">C11-C12</f>
        <v>39</v>
      </c>
      <c r="D13" s="40">
        <f t="shared" si="6"/>
        <v>49</v>
      </c>
      <c r="E13" s="13">
        <f t="shared" si="6"/>
        <v>26.959999999999994</v>
      </c>
      <c r="F13" s="13">
        <f t="shared" si="6"/>
        <v>26.5</v>
      </c>
      <c r="H13" s="13">
        <f t="shared" ref="H13:I13" si="7">H11-H12</f>
        <v>31</v>
      </c>
      <c r="I13" s="13">
        <f t="shared" si="7"/>
        <v>73</v>
      </c>
      <c r="J13" s="13"/>
      <c r="K13" s="13"/>
      <c r="L13" s="13"/>
    </row>
    <row r="14" spans="1:16" x14ac:dyDescent="0.25">
      <c r="A14" s="9" t="s">
        <v>13</v>
      </c>
      <c r="B14" s="15" t="s">
        <v>14</v>
      </c>
      <c r="C14" s="40">
        <v>14</v>
      </c>
      <c r="D14" s="40">
        <v>13.2</v>
      </c>
      <c r="E14" s="14">
        <v>10.07</v>
      </c>
      <c r="F14" s="14">
        <v>10</v>
      </c>
      <c r="H14" s="14">
        <v>10.07</v>
      </c>
      <c r="I14" s="14">
        <v>10.07</v>
      </c>
      <c r="J14" s="14"/>
      <c r="K14" s="14"/>
      <c r="L14" s="14"/>
    </row>
    <row r="15" spans="1:16" x14ac:dyDescent="0.25">
      <c r="A15" s="9" t="s">
        <v>15</v>
      </c>
      <c r="B15" s="15" t="s">
        <v>14</v>
      </c>
      <c r="C15" s="40">
        <f>7.6/(40/60)</f>
        <v>11.4</v>
      </c>
      <c r="D15" s="40">
        <f>7.4/(41/60)</f>
        <v>10.829268292682928</v>
      </c>
      <c r="E15" s="14">
        <f>11.3/90*60</f>
        <v>7.5333333333333332</v>
      </c>
      <c r="F15" s="14">
        <f>11.2/90*60</f>
        <v>7.4666666666666668</v>
      </c>
      <c r="H15" s="14">
        <v>8</v>
      </c>
      <c r="I15" s="14">
        <v>7.1</v>
      </c>
      <c r="J15" s="14"/>
      <c r="K15" s="14"/>
      <c r="L15" s="14"/>
    </row>
    <row r="16" spans="1:16" x14ac:dyDescent="0.25">
      <c r="A16" s="9" t="s">
        <v>16</v>
      </c>
      <c r="B16" s="15" t="s">
        <v>17</v>
      </c>
      <c r="C16" s="41">
        <f t="shared" ref="C16:F16" si="8">C15/C$6/C$9*10000/60</f>
        <v>74.665281944345963</v>
      </c>
      <c r="D16" s="41">
        <f t="shared" si="8"/>
        <v>70.927225467029544</v>
      </c>
      <c r="E16" s="16">
        <f t="shared" si="8"/>
        <v>51.26256161440628</v>
      </c>
      <c r="F16" s="16">
        <f t="shared" si="8"/>
        <v>50.808910626668172</v>
      </c>
      <c r="H16" s="16">
        <f t="shared" ref="H16:I16" si="9">H15/H$6/H$9*10000/60</f>
        <v>54.438118528573042</v>
      </c>
      <c r="I16" s="16">
        <f t="shared" si="9"/>
        <v>48.313830194108576</v>
      </c>
      <c r="J16" s="16"/>
      <c r="K16" s="16"/>
      <c r="L16" s="16"/>
    </row>
    <row r="17" spans="1:12" x14ac:dyDescent="0.25">
      <c r="A17" s="17" t="s">
        <v>18</v>
      </c>
      <c r="B17" s="18" t="s">
        <v>19</v>
      </c>
      <c r="C17" s="48">
        <f t="shared" ref="C17:F17" si="10">C$8/C15</f>
        <v>47.545524607355006</v>
      </c>
      <c r="D17" s="48">
        <f t="shared" si="10"/>
        <v>54.515972409834113</v>
      </c>
      <c r="E17" s="19">
        <f t="shared" si="10"/>
        <v>65.024712545706436</v>
      </c>
      <c r="F17" s="19">
        <f t="shared" si="10"/>
        <v>65.605290336293095</v>
      </c>
      <c r="H17" s="19">
        <f t="shared" ref="H17:I17" si="11">H$8/H15</f>
        <v>61.231604313873561</v>
      </c>
      <c r="I17" s="19">
        <f t="shared" si="11"/>
        <v>68.993356973378667</v>
      </c>
      <c r="J17" s="19">
        <f>E18*0.03275*24*0.4</f>
        <v>18.30169303419904</v>
      </c>
      <c r="K17" s="19"/>
      <c r="L17" s="19"/>
    </row>
    <row r="18" spans="1:12" x14ac:dyDescent="0.25">
      <c r="A18" s="17" t="s">
        <v>20</v>
      </c>
      <c r="B18" s="20" t="s">
        <v>21</v>
      </c>
      <c r="C18" s="48">
        <f t="shared" ref="C18:F18" si="12">C13/(C17/60)*C23/100</f>
        <v>123.09624031214281</v>
      </c>
      <c r="D18" s="48">
        <f t="shared" si="12"/>
        <v>134.88452976253276</v>
      </c>
      <c r="E18" s="19">
        <f>E13/(E17/60)*E23/100</f>
        <v>58.211491839055462</v>
      </c>
      <c r="F18" s="19">
        <f t="shared" si="12"/>
        <v>56.711912692128834</v>
      </c>
      <c r="H18" s="19">
        <f>H13/(H17/60)*H23/100</f>
        <v>71.080968738112958</v>
      </c>
      <c r="I18" s="19">
        <f>I13/(I17/60)*I23/100</f>
        <v>148.55349232646745</v>
      </c>
      <c r="J18" s="19"/>
      <c r="K18" s="19"/>
      <c r="L18" s="19"/>
    </row>
    <row r="19" spans="1:12" x14ac:dyDescent="0.25">
      <c r="A19" s="9" t="s">
        <v>22</v>
      </c>
      <c r="B19" s="6" t="s">
        <v>23</v>
      </c>
      <c r="C19" s="40">
        <f t="shared" ref="C19:F19" si="13">C13/C$5</f>
        <v>1.8309859154929577</v>
      </c>
      <c r="D19" s="40">
        <f t="shared" si="13"/>
        <v>2.1120689655172415</v>
      </c>
      <c r="E19" s="13">
        <f t="shared" si="13"/>
        <v>1.3479999999999996</v>
      </c>
      <c r="F19" s="13">
        <f t="shared" si="13"/>
        <v>1.325</v>
      </c>
      <c r="H19" s="13">
        <f t="shared" ref="H19:I19" si="14">H13/H$5</f>
        <v>1.55</v>
      </c>
      <c r="I19" s="13">
        <f t="shared" si="14"/>
        <v>3.65</v>
      </c>
      <c r="J19" s="13"/>
      <c r="K19" s="13"/>
      <c r="L19" s="13"/>
    </row>
    <row r="20" spans="1:12" ht="15.75" thickBot="1" x14ac:dyDescent="0.3">
      <c r="A20" s="10" t="s">
        <v>24</v>
      </c>
      <c r="B20" s="11" t="s">
        <v>25</v>
      </c>
      <c r="C20" s="46">
        <f t="shared" ref="C20:F20" si="15">C11/C18</f>
        <v>0.81237249607643391</v>
      </c>
      <c r="D20" s="46">
        <f t="shared" si="15"/>
        <v>0.74137486467908686</v>
      </c>
      <c r="E20" s="21">
        <f t="shared" si="15"/>
        <v>1.7350525954436495</v>
      </c>
      <c r="F20" s="21">
        <f t="shared" si="15"/>
        <v>1.798563919960273</v>
      </c>
      <c r="H20" s="21">
        <f t="shared" ref="H20:I20" si="16">H11/H18</f>
        <v>0.73156009158493762</v>
      </c>
      <c r="I20" s="21">
        <f t="shared" si="16"/>
        <v>0.67988977181390065</v>
      </c>
      <c r="J20" s="7"/>
      <c r="K20" s="7"/>
      <c r="L20" s="7"/>
    </row>
    <row r="21" spans="1:12" x14ac:dyDescent="0.25">
      <c r="A21" s="22" t="s">
        <v>26</v>
      </c>
      <c r="B21" s="23" t="s">
        <v>29</v>
      </c>
      <c r="C21" s="49">
        <v>16</v>
      </c>
      <c r="D21" s="49">
        <v>16</v>
      </c>
      <c r="E21" s="24">
        <v>19.8</v>
      </c>
      <c r="F21" s="24">
        <v>19.8</v>
      </c>
      <c r="H21" s="24">
        <v>19.8</v>
      </c>
      <c r="I21" s="24">
        <v>19.8</v>
      </c>
      <c r="J21" s="27"/>
      <c r="K21" s="27"/>
      <c r="L21" s="27"/>
    </row>
    <row r="22" spans="1:12" x14ac:dyDescent="0.25">
      <c r="A22" s="25" t="s">
        <v>28</v>
      </c>
      <c r="B22" s="26" t="s">
        <v>31</v>
      </c>
      <c r="C22" s="50">
        <v>34</v>
      </c>
      <c r="D22" s="50">
        <v>34</v>
      </c>
      <c r="E22" s="27">
        <v>33</v>
      </c>
      <c r="F22" s="27">
        <v>33</v>
      </c>
      <c r="H22" s="27">
        <v>33</v>
      </c>
      <c r="I22" s="27">
        <v>33</v>
      </c>
      <c r="J22" s="27"/>
      <c r="K22" s="27"/>
      <c r="L22" s="27"/>
    </row>
    <row r="23" spans="1:12" ht="15.75" thickBot="1" x14ac:dyDescent="0.3">
      <c r="A23" s="28" t="s">
        <v>27</v>
      </c>
      <c r="B23" s="29" t="s">
        <v>30</v>
      </c>
      <c r="C23" s="51">
        <f t="shared" ref="C23:F23" si="17">(EXP(2.00856+3.224*(LN((298.15-C21)/(273.15+C21)))+3.99063*(LN((298.15-C21)/(273.15+C21)))^2+4.80299*(LN((298.15-C21)/(273.15+C21)))^3+0.978188*(LN((298.15-C21)/(273.15+C21)))^4+1.71069*(LN((298.15-C21)/(273.15+C21)))^5+C22*(-0.00624097-0.00693498*(LN((298.15-C21)/(273.15+C21)))-0.00690358*(LN((298.15-C21)/(273.15+C21)))^2-0.00429155*(LN((298.15-C21)/(273.15+C21)))^3)-0.00000031168*C22^2))/22.4389901823282*1000</f>
        <v>250.11433003563553</v>
      </c>
      <c r="D23" s="51">
        <f t="shared" si="17"/>
        <v>250.11433003563553</v>
      </c>
      <c r="E23" s="30">
        <f>(EXP(2.00856+3.224*(LN((298.15-E21)/(273.15+E21)))+3.99063*(LN((298.15-E21)/(273.15+E21)))^2+4.80299*(LN((298.15-E21)/(273.15+E21)))^3+0.978188*(LN((298.15-E21)/(273.15+E21)))^4+1.71069*(LN((298.15-E21)/(273.15+E21)))^5+E22*(-0.00624097-0.00693498*(LN((298.15-E21)/(273.15+E21)))-0.00690358*(LN((298.15-E21)/(273.15+E21)))^2-0.00429155*(LN((298.15-E21)/(273.15+E21)))^3)-0.00000031168*E22^2))/22.4389901823282*1000</f>
        <v>234.00009419456711</v>
      </c>
      <c r="F23" s="30">
        <f t="shared" si="17"/>
        <v>234.00009419456711</v>
      </c>
      <c r="H23" s="30">
        <f>(EXP(2.00856+3.224*(LN((298.15-H21)/(273.15+H21)))+3.99063*(LN((298.15-H21)/(273.15+H21)))^2+4.80299*(LN((298.15-H21)/(273.15+H21)))^3+0.978188*(LN((298.15-H21)/(273.15+H21)))^4+1.71069*(LN((298.15-H21)/(273.15+H21)))^5+H22*(-0.00624097-0.00693498*(LN((298.15-H21)/(273.15+H21)))-0.00690358*(LN((298.15-H21)/(273.15+H21)))^2-0.00429155*(LN((298.15-H21)/(273.15+H21)))^3)-0.00000031168*H22^2))/22.4389901823282*1000</f>
        <v>234.00009419456711</v>
      </c>
      <c r="I23" s="30">
        <f>(EXP(2.00856+3.224*(LN((298.15-I21)/(273.15+I21)))+3.99063*(LN((298.15-I21)/(273.15+I21)))^2+4.80299*(LN((298.15-I21)/(273.15+I21)))^3+0.978188*(LN((298.15-I21)/(273.15+I21)))^4+1.71069*(LN((298.15-I21)/(273.15+I21)))^5+I22*(-0.00624097-0.00693498*(LN((298.15-I21)/(273.15+I21)))-0.00690358*(LN((298.15-I21)/(273.15+I21)))^2-0.00429155*(LN((298.15-I21)/(273.15+I21)))^3)-0.00000031168*I22^2))/22.4389901823282*1000</f>
        <v>234.00009419456711</v>
      </c>
      <c r="J23" s="61"/>
      <c r="K23" s="61"/>
      <c r="L23" s="61"/>
    </row>
    <row r="24" spans="1:12" ht="15.75" thickBot="1" x14ac:dyDescent="0.3">
      <c r="A24" s="66" t="s">
        <v>35</v>
      </c>
      <c r="B24" s="67"/>
      <c r="C24" s="67"/>
      <c r="D24" s="68"/>
      <c r="E24" s="68"/>
      <c r="F24" s="68"/>
      <c r="H24" s="1"/>
      <c r="I24" s="1"/>
      <c r="J24" s="1"/>
      <c r="K24" s="1"/>
      <c r="L24" s="1"/>
    </row>
    <row r="25" spans="1:12" ht="15.75" thickTop="1" x14ac:dyDescent="0.25">
      <c r="A25" s="9" t="s">
        <v>39</v>
      </c>
      <c r="B25" s="15" t="s">
        <v>40</v>
      </c>
      <c r="C25" s="42">
        <v>1021.4</v>
      </c>
      <c r="D25" s="42">
        <v>1021.4</v>
      </c>
      <c r="E25" s="6">
        <v>1021.4</v>
      </c>
      <c r="F25" s="6">
        <v>1021.4</v>
      </c>
      <c r="H25" s="6">
        <v>1021.4</v>
      </c>
      <c r="I25" s="6">
        <v>1021.4</v>
      </c>
      <c r="J25" s="6"/>
      <c r="K25" s="6"/>
      <c r="L25" s="6"/>
    </row>
    <row r="26" spans="1:12" x14ac:dyDescent="0.25">
      <c r="A26" s="9" t="s">
        <v>37</v>
      </c>
      <c r="B26" s="15" t="s">
        <v>38</v>
      </c>
      <c r="C26" s="38">
        <v>9.7499999999999996E-4</v>
      </c>
      <c r="D26" s="38">
        <v>9.7499999999999996E-4</v>
      </c>
      <c r="E26" s="31">
        <v>9.7499999999999996E-4</v>
      </c>
      <c r="F26" s="31">
        <v>9.7499999999999996E-4</v>
      </c>
      <c r="H26" s="31">
        <v>9.7499999999999996E-4</v>
      </c>
      <c r="I26" s="31">
        <v>9.7499999999999996E-4</v>
      </c>
      <c r="J26" s="31"/>
      <c r="K26" s="31"/>
      <c r="L26" s="31"/>
    </row>
    <row r="27" spans="1:12" x14ac:dyDescent="0.25">
      <c r="A27" s="5" t="s">
        <v>44</v>
      </c>
      <c r="B27" s="6" t="s">
        <v>1</v>
      </c>
      <c r="C27" s="39">
        <v>10</v>
      </c>
      <c r="D27" s="39">
        <v>10</v>
      </c>
      <c r="E27" s="7">
        <v>10</v>
      </c>
      <c r="F27" s="7">
        <v>10</v>
      </c>
      <c r="H27" s="7">
        <v>10</v>
      </c>
      <c r="I27" s="7">
        <v>10</v>
      </c>
      <c r="J27" s="7"/>
      <c r="K27" s="7"/>
      <c r="L27" s="7"/>
    </row>
    <row r="28" spans="1:12" x14ac:dyDescent="0.25">
      <c r="A28" s="9" t="s">
        <v>45</v>
      </c>
      <c r="B28" s="15" t="s">
        <v>14</v>
      </c>
      <c r="C28" s="40">
        <v>14</v>
      </c>
      <c r="D28" s="40">
        <v>13.2</v>
      </c>
      <c r="E28" s="14">
        <v>10</v>
      </c>
      <c r="F28" s="14">
        <v>10</v>
      </c>
      <c r="H28" s="14">
        <v>10</v>
      </c>
      <c r="I28" s="14">
        <v>10</v>
      </c>
      <c r="J28" s="14"/>
      <c r="K28" s="14"/>
      <c r="L28" s="14"/>
    </row>
    <row r="29" spans="1:12" x14ac:dyDescent="0.25">
      <c r="A29" s="9" t="s">
        <v>46</v>
      </c>
      <c r="B29" s="15" t="s">
        <v>14</v>
      </c>
      <c r="C29" s="42">
        <v>8.06</v>
      </c>
      <c r="D29" s="42">
        <v>8</v>
      </c>
      <c r="E29" s="8"/>
      <c r="F29" s="8"/>
      <c r="H29" s="8"/>
      <c r="I29" s="8"/>
      <c r="J29" s="8"/>
      <c r="K29" s="8"/>
      <c r="L29" s="8"/>
    </row>
    <row r="30" spans="1:12" x14ac:dyDescent="0.25">
      <c r="A30" s="9" t="s">
        <v>47</v>
      </c>
      <c r="B30" s="15" t="s">
        <v>14</v>
      </c>
      <c r="C30" s="40">
        <f>7.6/(40/60)</f>
        <v>11.4</v>
      </c>
      <c r="D30" s="40">
        <f>7.4/(41/60)</f>
        <v>10.829268292682928</v>
      </c>
      <c r="E30" s="13">
        <v>8</v>
      </c>
      <c r="F30" s="13">
        <v>8.3000000000000007</v>
      </c>
      <c r="H30" s="13">
        <v>8</v>
      </c>
      <c r="I30" s="13">
        <v>8</v>
      </c>
      <c r="J30" s="13"/>
      <c r="K30" s="13"/>
      <c r="L30" s="13"/>
    </row>
    <row r="31" spans="1:12" x14ac:dyDescent="0.25">
      <c r="A31" s="9" t="s">
        <v>48</v>
      </c>
      <c r="B31" s="15" t="s">
        <v>14</v>
      </c>
      <c r="C31" s="39">
        <f>4.25/(40/60)</f>
        <v>6.375</v>
      </c>
      <c r="D31" s="39">
        <f>4.2/(40/60)</f>
        <v>6.3000000000000007</v>
      </c>
      <c r="E31" s="8"/>
      <c r="F31" s="8"/>
      <c r="H31" s="8"/>
      <c r="I31" s="8"/>
      <c r="J31" s="8"/>
      <c r="K31" s="8"/>
      <c r="L31" s="8"/>
    </row>
    <row r="32" spans="1:12" x14ac:dyDescent="0.25">
      <c r="A32" s="9" t="s">
        <v>49</v>
      </c>
      <c r="B32" s="15" t="s">
        <v>17</v>
      </c>
      <c r="C32" s="41">
        <f t="shared" ref="C32:D32" si="18">C30/C6/C9*10000/60</f>
        <v>74.665281944345963</v>
      </c>
      <c r="D32" s="41">
        <f t="shared" si="18"/>
        <v>70.927225467029544</v>
      </c>
      <c r="E32" s="16">
        <f>E30/E6/E9*10000/60</f>
        <v>54.438118528573042</v>
      </c>
      <c r="F32" s="16">
        <f>F30/F6/F9*10000/60</f>
        <v>56.479547973394546</v>
      </c>
      <c r="H32" s="16">
        <f>H30/H6/H9*10000/60</f>
        <v>54.438118528573042</v>
      </c>
      <c r="I32" s="16">
        <f>I30/I6/I9*10000/60</f>
        <v>54.438118528573042</v>
      </c>
      <c r="J32" s="16"/>
      <c r="K32" s="16"/>
      <c r="L32" s="16"/>
    </row>
    <row r="33" spans="1:12" x14ac:dyDescent="0.25">
      <c r="A33" s="9" t="s">
        <v>50</v>
      </c>
      <c r="B33" s="15" t="s">
        <v>17</v>
      </c>
      <c r="C33" s="41">
        <f t="shared" ref="C33:D33" si="19">C31/C6/C9*10000/60</f>
        <v>41.753611613614517</v>
      </c>
      <c r="D33" s="41">
        <f t="shared" si="19"/>
        <v>41.262392653454349</v>
      </c>
      <c r="E33" s="16"/>
      <c r="F33" s="16"/>
      <c r="H33" s="16"/>
      <c r="I33" s="16"/>
      <c r="J33" s="16"/>
      <c r="K33" s="16"/>
      <c r="L33" s="16"/>
    </row>
    <row r="34" spans="1:12" x14ac:dyDescent="0.25">
      <c r="A34" s="9" t="s">
        <v>51</v>
      </c>
      <c r="B34" s="15" t="s">
        <v>32</v>
      </c>
      <c r="C34" s="38">
        <f t="shared" ref="C34:F34" si="20">C30/C6/60/100</f>
        <v>2.9866112777738389E-5</v>
      </c>
      <c r="D34" s="38">
        <f t="shared" si="20"/>
        <v>2.8370890186811821E-5</v>
      </c>
      <c r="E34" s="31">
        <f t="shared" si="20"/>
        <v>2.0958675633500622E-5</v>
      </c>
      <c r="F34" s="31">
        <f t="shared" si="20"/>
        <v>2.1744625969756902E-5</v>
      </c>
      <c r="H34" s="31">
        <f t="shared" ref="H34:I34" si="21">H30/H6/60/100</f>
        <v>2.0958675633500622E-5</v>
      </c>
      <c r="I34" s="31">
        <f t="shared" si="21"/>
        <v>2.0958675633500622E-5</v>
      </c>
      <c r="J34" s="31"/>
      <c r="K34" s="31"/>
      <c r="L34" s="31"/>
    </row>
    <row r="35" spans="1:12" x14ac:dyDescent="0.25">
      <c r="A35" s="9" t="s">
        <v>52</v>
      </c>
      <c r="B35" s="15" t="s">
        <v>32</v>
      </c>
      <c r="C35" s="38">
        <f t="shared" ref="C35:D35" si="22">C31/C6/60/100</f>
        <v>1.670144464544581E-5</v>
      </c>
      <c r="D35" s="38">
        <f t="shared" si="22"/>
        <v>1.6504957061381741E-5</v>
      </c>
      <c r="E35" s="31"/>
      <c r="F35" s="31"/>
      <c r="H35" s="31"/>
      <c r="I35" s="31"/>
      <c r="J35" s="31"/>
      <c r="K35" s="31"/>
      <c r="L35" s="31"/>
    </row>
    <row r="36" spans="1:12" x14ac:dyDescent="0.25">
      <c r="A36" s="9" t="s">
        <v>53</v>
      </c>
      <c r="B36" s="15" t="s">
        <v>36</v>
      </c>
      <c r="C36" s="42">
        <v>18</v>
      </c>
      <c r="D36" s="42">
        <v>14</v>
      </c>
      <c r="E36" s="14">
        <v>5</v>
      </c>
      <c r="F36" s="32">
        <v>5</v>
      </c>
      <c r="H36" s="14">
        <v>5</v>
      </c>
      <c r="I36" s="14">
        <v>5</v>
      </c>
      <c r="J36" s="14"/>
      <c r="K36" s="14"/>
      <c r="L36" s="14"/>
    </row>
    <row r="37" spans="1:12" x14ac:dyDescent="0.25">
      <c r="A37" s="9" t="s">
        <v>54</v>
      </c>
      <c r="B37" s="15" t="s">
        <v>36</v>
      </c>
      <c r="C37" s="42">
        <v>12</v>
      </c>
      <c r="D37" s="42">
        <v>9.3000000000000007</v>
      </c>
      <c r="E37" s="32"/>
      <c r="F37" s="57"/>
      <c r="H37" s="32"/>
      <c r="I37" s="32"/>
      <c r="J37" s="32"/>
      <c r="K37" s="32"/>
      <c r="L37" s="32"/>
    </row>
    <row r="38" spans="1:12" x14ac:dyDescent="0.25">
      <c r="A38" s="9" t="s">
        <v>55</v>
      </c>
      <c r="B38" s="15" t="s">
        <v>33</v>
      </c>
      <c r="C38" s="40">
        <f t="shared" ref="C38:F38" si="23">C25*9.82*C36/1000</f>
        <v>180.542664</v>
      </c>
      <c r="D38" s="40">
        <f t="shared" si="23"/>
        <v>140.42207199999999</v>
      </c>
      <c r="E38" s="13">
        <f t="shared" si="23"/>
        <v>50.150739999999999</v>
      </c>
      <c r="F38" s="13">
        <f t="shared" si="23"/>
        <v>50.150739999999999</v>
      </c>
      <c r="H38" s="13">
        <f t="shared" ref="H38:I38" si="24">H25*9.82*H36/1000</f>
        <v>50.150739999999999</v>
      </c>
      <c r="I38" s="13">
        <f t="shared" si="24"/>
        <v>50.150739999999999</v>
      </c>
      <c r="J38" s="13"/>
      <c r="K38" s="13"/>
      <c r="L38" s="13"/>
    </row>
    <row r="39" spans="1:12" x14ac:dyDescent="0.25">
      <c r="A39" s="9" t="s">
        <v>56</v>
      </c>
      <c r="B39" s="15" t="s">
        <v>33</v>
      </c>
      <c r="C39" s="40">
        <f>C25*9.82*F37/1000</f>
        <v>0</v>
      </c>
      <c r="D39" s="40">
        <f t="shared" ref="D39" si="25">D25*9.82*D37/1000</f>
        <v>93.280376399999994</v>
      </c>
      <c r="E39" s="13"/>
      <c r="F39" s="13"/>
      <c r="H39" s="13"/>
      <c r="I39" s="13"/>
      <c r="J39" s="13"/>
      <c r="K39" s="13"/>
      <c r="L39" s="13"/>
    </row>
    <row r="40" spans="1:12" x14ac:dyDescent="0.25">
      <c r="A40" s="17" t="s">
        <v>57</v>
      </c>
      <c r="B40" s="18" t="s">
        <v>34</v>
      </c>
      <c r="C40" s="43">
        <f t="shared" ref="C40:F40" si="26">C34*C26 / (C38 / (C27/100))</f>
        <v>1.6128852490121079E-11</v>
      </c>
      <c r="D40" s="43">
        <f t="shared" si="26"/>
        <v>1.9698910248341535E-11</v>
      </c>
      <c r="E40" s="33">
        <f t="shared" si="26"/>
        <v>4.0746574711884826E-11</v>
      </c>
      <c r="F40" s="33">
        <f t="shared" si="26"/>
        <v>4.2274571263580516E-11</v>
      </c>
      <c r="H40" s="33">
        <f t="shared" ref="H40:I40" si="27">H34*H26 / (H38 / (H27/100))</f>
        <v>4.0746574711884826E-11</v>
      </c>
      <c r="I40" s="33">
        <f t="shared" si="27"/>
        <v>4.0746574711884826E-11</v>
      </c>
      <c r="J40" s="33"/>
      <c r="K40" s="33"/>
      <c r="L40" s="33"/>
    </row>
    <row r="41" spans="1:12" ht="15.75" thickBot="1" x14ac:dyDescent="0.3">
      <c r="A41" s="34" t="s">
        <v>58</v>
      </c>
      <c r="B41" s="35" t="s">
        <v>34</v>
      </c>
      <c r="C41" s="44" t="e">
        <f>C35*C26 / (C39 / (C27/100))</f>
        <v>#DIV/0!</v>
      </c>
      <c r="D41" s="44">
        <f>D35*D26 / (D39 / (D27/100))</f>
        <v>1.7251573970757691E-11</v>
      </c>
      <c r="E41" s="33"/>
      <c r="F41" s="53"/>
      <c r="H41" s="33"/>
      <c r="I41" s="33"/>
      <c r="J41" s="33"/>
      <c r="K41" s="33"/>
      <c r="L41" s="33"/>
    </row>
    <row r="42" spans="1:12" x14ac:dyDescent="0.25">
      <c r="C42" s="45" t="e">
        <f>AVERAGE(C40:C41)</f>
        <v>#DIV/0!</v>
      </c>
      <c r="D42" s="45">
        <f>AVERAGE(D40:D41)</f>
        <v>1.8475242109549613E-11</v>
      </c>
      <c r="E42" s="33"/>
      <c r="F42" s="37"/>
      <c r="H42" s="33"/>
      <c r="I42" s="33"/>
      <c r="J42" s="33"/>
      <c r="K42" s="33"/>
      <c r="L42" s="33"/>
    </row>
  </sheetData>
  <mergeCells count="3">
    <mergeCell ref="A1:F1"/>
    <mergeCell ref="A10:F10"/>
    <mergeCell ref="A24:F24"/>
  </mergeCells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I15" sqref="I15"/>
    </sheetView>
  </sheetViews>
  <sheetFormatPr defaultColWidth="9.140625" defaultRowHeight="15" x14ac:dyDescent="0.25"/>
  <cols>
    <col min="1" max="1" width="21" style="36" customWidth="1"/>
    <col min="2" max="2" width="10.140625" style="36" customWidth="1"/>
    <col min="3" max="8" width="9.140625" style="36"/>
    <col min="9" max="16384" width="9.140625" style="1"/>
  </cols>
  <sheetData>
    <row r="1" spans="1:11" ht="15.75" thickBot="1" x14ac:dyDescent="0.3">
      <c r="A1" s="62" t="s">
        <v>41</v>
      </c>
      <c r="B1" s="63"/>
      <c r="C1" s="63"/>
      <c r="D1" s="64"/>
      <c r="E1" s="64"/>
      <c r="F1" s="65"/>
      <c r="G1" s="1" t="s">
        <v>83</v>
      </c>
      <c r="H1" s="1" t="s">
        <v>84</v>
      </c>
    </row>
    <row r="2" spans="1:11" ht="16.5" thickTop="1" thickBot="1" x14ac:dyDescent="0.3">
      <c r="A2" s="54"/>
      <c r="B2" s="55"/>
      <c r="C2" s="55"/>
      <c r="D2" s="56"/>
      <c r="E2" s="56" t="s">
        <v>75</v>
      </c>
      <c r="F2" s="56"/>
      <c r="G2" s="56" t="s">
        <v>82</v>
      </c>
      <c r="H2" s="56" t="s">
        <v>82</v>
      </c>
    </row>
    <row r="3" spans="1:11" ht="15.75" thickTop="1" x14ac:dyDescent="0.25">
      <c r="A3" s="2" t="s">
        <v>42</v>
      </c>
      <c r="B3" s="3"/>
      <c r="C3" s="4">
        <v>1</v>
      </c>
      <c r="D3" s="3">
        <v>2</v>
      </c>
      <c r="E3" s="3">
        <v>1</v>
      </c>
      <c r="F3" s="3" t="s">
        <v>78</v>
      </c>
      <c r="G3" s="3" t="s">
        <v>78</v>
      </c>
      <c r="H3" s="3" t="s">
        <v>78</v>
      </c>
    </row>
    <row r="4" spans="1:11" x14ac:dyDescent="0.25">
      <c r="A4" s="5" t="s">
        <v>0</v>
      </c>
      <c r="B4" s="6" t="s">
        <v>1</v>
      </c>
      <c r="C4" s="39">
        <v>9</v>
      </c>
      <c r="D4" s="39">
        <v>9</v>
      </c>
      <c r="E4" s="7">
        <v>9</v>
      </c>
      <c r="F4" s="7">
        <v>9</v>
      </c>
      <c r="G4" s="7">
        <v>9</v>
      </c>
      <c r="H4" s="7">
        <v>9</v>
      </c>
    </row>
    <row r="5" spans="1:11" x14ac:dyDescent="0.25">
      <c r="A5" s="5" t="s">
        <v>2</v>
      </c>
      <c r="B5" s="6" t="s">
        <v>1</v>
      </c>
      <c r="C5" s="39">
        <v>21.3</v>
      </c>
      <c r="D5" s="39">
        <v>23.2</v>
      </c>
      <c r="E5" s="8">
        <v>20</v>
      </c>
      <c r="F5" s="8">
        <v>6.2</v>
      </c>
      <c r="G5" s="8">
        <v>6.2</v>
      </c>
      <c r="H5" s="8">
        <v>6.2</v>
      </c>
    </row>
    <row r="6" spans="1:11" x14ac:dyDescent="0.25">
      <c r="A6" s="5" t="s">
        <v>3</v>
      </c>
      <c r="B6" s="6" t="s">
        <v>4</v>
      </c>
      <c r="C6" s="39">
        <f t="shared" ref="C6:F6" si="0">PI()*(C4/2)^2</f>
        <v>63.617251235193308</v>
      </c>
      <c r="D6" s="39">
        <f t="shared" si="0"/>
        <v>63.617251235193308</v>
      </c>
      <c r="E6" s="7">
        <f t="shared" si="0"/>
        <v>63.617251235193308</v>
      </c>
      <c r="F6" s="7">
        <f t="shared" si="0"/>
        <v>63.617251235193308</v>
      </c>
      <c r="G6" s="7">
        <f t="shared" ref="G6:H6" si="1">PI()*(G4/2)^2</f>
        <v>63.617251235193308</v>
      </c>
      <c r="H6" s="7">
        <f t="shared" si="1"/>
        <v>63.617251235193308</v>
      </c>
    </row>
    <row r="7" spans="1:11" x14ac:dyDescent="0.25">
      <c r="A7" s="5" t="s">
        <v>5</v>
      </c>
      <c r="B7" s="6" t="s">
        <v>6</v>
      </c>
      <c r="C7" s="39">
        <f t="shared" ref="C7:F7" si="2">C6*C5</f>
        <v>1355.0474513096176</v>
      </c>
      <c r="D7" s="39">
        <f t="shared" si="2"/>
        <v>1475.9202286564846</v>
      </c>
      <c r="E7" s="7">
        <f t="shared" si="2"/>
        <v>1272.3450247038661</v>
      </c>
      <c r="F7" s="7">
        <f t="shared" si="2"/>
        <v>394.42695765819855</v>
      </c>
      <c r="G7" s="7">
        <f t="shared" ref="G7:H7" si="3">G6*G5</f>
        <v>394.42695765819855</v>
      </c>
      <c r="H7" s="7">
        <f t="shared" si="3"/>
        <v>394.42695765819855</v>
      </c>
    </row>
    <row r="8" spans="1:11" x14ac:dyDescent="0.25">
      <c r="A8" s="9" t="s">
        <v>7</v>
      </c>
      <c r="B8" s="6" t="s">
        <v>6</v>
      </c>
      <c r="C8" s="39">
        <f t="shared" ref="C8:F8" si="4">C7*C9</f>
        <v>542.01898052384706</v>
      </c>
      <c r="D8" s="39">
        <f t="shared" si="4"/>
        <v>590.36809146259384</v>
      </c>
      <c r="E8" s="7">
        <f t="shared" si="4"/>
        <v>489.85283451098849</v>
      </c>
      <c r="F8" s="7">
        <f t="shared" si="4"/>
        <v>151.85437869840644</v>
      </c>
      <c r="G8" s="7">
        <f t="shared" ref="G8:H8" si="5">G7*G9</f>
        <v>151.85437869840644</v>
      </c>
      <c r="H8" s="7">
        <f t="shared" si="5"/>
        <v>151.85437869840644</v>
      </c>
    </row>
    <row r="9" spans="1:11" ht="15.75" thickBot="1" x14ac:dyDescent="0.3">
      <c r="A9" s="10" t="s">
        <v>8</v>
      </c>
      <c r="B9" s="11" t="s">
        <v>9</v>
      </c>
      <c r="C9" s="46">
        <v>0.4</v>
      </c>
      <c r="D9" s="46">
        <v>0.4</v>
      </c>
      <c r="E9" s="12">
        <v>0.38500000000000001</v>
      </c>
      <c r="F9" s="12">
        <v>0.38500000000000001</v>
      </c>
      <c r="G9" s="12">
        <v>0.38500000000000001</v>
      </c>
      <c r="H9" s="12">
        <v>0.38500000000000001</v>
      </c>
      <c r="K9" s="1">
        <f>151.85/1.88</f>
        <v>80.771276595744681</v>
      </c>
    </row>
    <row r="10" spans="1:11" ht="15.75" thickBot="1" x14ac:dyDescent="0.3">
      <c r="A10" s="62" t="s">
        <v>43</v>
      </c>
      <c r="B10" s="63"/>
      <c r="C10" s="63"/>
      <c r="D10" s="64"/>
      <c r="E10" s="64"/>
      <c r="F10" s="64"/>
      <c r="G10" s="1"/>
      <c r="H10" s="1"/>
      <c r="K10" s="1">
        <f>0.61*60</f>
        <v>36.6</v>
      </c>
    </row>
    <row r="11" spans="1:11" ht="15.75" thickTop="1" x14ac:dyDescent="0.25">
      <c r="A11" s="5" t="s">
        <v>10</v>
      </c>
      <c r="B11" s="13" t="s">
        <v>9</v>
      </c>
      <c r="C11" s="47">
        <v>100</v>
      </c>
      <c r="D11" s="40">
        <v>100</v>
      </c>
      <c r="E11" s="14">
        <v>100</v>
      </c>
      <c r="F11" s="14">
        <v>100</v>
      </c>
      <c r="G11" s="14">
        <v>107</v>
      </c>
      <c r="H11" s="14"/>
    </row>
    <row r="12" spans="1:11" x14ac:dyDescent="0.25">
      <c r="A12" s="5" t="s">
        <v>11</v>
      </c>
      <c r="B12" s="13" t="s">
        <v>9</v>
      </c>
      <c r="C12" s="40">
        <v>61</v>
      </c>
      <c r="D12" s="40">
        <v>51</v>
      </c>
      <c r="E12" s="14">
        <v>45.3</v>
      </c>
      <c r="F12" s="14">
        <v>75.3</v>
      </c>
      <c r="G12" s="14">
        <v>82</v>
      </c>
      <c r="H12" s="14"/>
    </row>
    <row r="13" spans="1:11" x14ac:dyDescent="0.25">
      <c r="A13" s="9" t="s">
        <v>12</v>
      </c>
      <c r="B13" s="13" t="s">
        <v>9</v>
      </c>
      <c r="C13" s="40">
        <f t="shared" ref="C13:F13" si="6">C11-C12</f>
        <v>39</v>
      </c>
      <c r="D13" s="40">
        <f t="shared" si="6"/>
        <v>49</v>
      </c>
      <c r="E13" s="13">
        <f t="shared" si="6"/>
        <v>54.7</v>
      </c>
      <c r="F13" s="13">
        <f t="shared" si="6"/>
        <v>24.700000000000003</v>
      </c>
      <c r="G13" s="13">
        <f t="shared" ref="G13:H13" si="7">G11-G12</f>
        <v>25</v>
      </c>
      <c r="H13" s="13">
        <f t="shared" si="7"/>
        <v>0</v>
      </c>
    </row>
    <row r="14" spans="1:11" x14ac:dyDescent="0.25">
      <c r="A14" s="9" t="s">
        <v>13</v>
      </c>
      <c r="B14" s="15" t="s">
        <v>14</v>
      </c>
      <c r="C14" s="40">
        <v>14</v>
      </c>
      <c r="D14" s="40">
        <v>13.2</v>
      </c>
      <c r="E14" s="14">
        <v>10</v>
      </c>
      <c r="F14" s="14">
        <v>10</v>
      </c>
      <c r="G14" s="14">
        <v>14</v>
      </c>
      <c r="H14" s="14">
        <v>1.5</v>
      </c>
    </row>
    <row r="15" spans="1:11" x14ac:dyDescent="0.25">
      <c r="A15" s="9" t="s">
        <v>15</v>
      </c>
      <c r="B15" s="15" t="s">
        <v>14</v>
      </c>
      <c r="C15" s="40">
        <f>7.6/(40/60)</f>
        <v>11.4</v>
      </c>
      <c r="D15" s="40">
        <f>7.4/(41/60)</f>
        <v>10.829268292682928</v>
      </c>
      <c r="E15" s="14">
        <v>7</v>
      </c>
      <c r="F15" s="14">
        <v>7.2</v>
      </c>
      <c r="G15" s="14">
        <v>9.8000000000000007</v>
      </c>
      <c r="H15" s="14">
        <v>1.2</v>
      </c>
      <c r="I15" s="1">
        <f>0.01175*F18*24*0.4</f>
        <v>18.547206729806732</v>
      </c>
    </row>
    <row r="16" spans="1:11" x14ac:dyDescent="0.25">
      <c r="A16" s="9" t="s">
        <v>16</v>
      </c>
      <c r="B16" s="15" t="s">
        <v>17</v>
      </c>
      <c r="C16" s="41">
        <f t="shared" ref="C16:F16" si="8">C15/C$6/C$9*10000/60</f>
        <v>74.665281944345963</v>
      </c>
      <c r="D16" s="41">
        <f t="shared" si="8"/>
        <v>70.927225467029544</v>
      </c>
      <c r="E16" s="16">
        <f t="shared" si="8"/>
        <v>47.633353712501417</v>
      </c>
      <c r="F16" s="16">
        <f t="shared" si="8"/>
        <v>48.994306675715741</v>
      </c>
      <c r="G16" s="16">
        <f t="shared" ref="G16:H16" si="9">G15/G$6/G$9*10000/60</f>
        <v>66.686695197501976</v>
      </c>
      <c r="H16" s="16">
        <f t="shared" si="9"/>
        <v>8.1657177792859574</v>
      </c>
    </row>
    <row r="17" spans="1:8" x14ac:dyDescent="0.25">
      <c r="A17" s="17" t="s">
        <v>18</v>
      </c>
      <c r="B17" s="18" t="s">
        <v>19</v>
      </c>
      <c r="C17" s="48">
        <f t="shared" ref="C17:F17" si="10">C$8/C15</f>
        <v>47.545524607355006</v>
      </c>
      <c r="D17" s="48">
        <f t="shared" si="10"/>
        <v>54.515972409834113</v>
      </c>
      <c r="E17" s="19">
        <f t="shared" si="10"/>
        <v>69.978976358712643</v>
      </c>
      <c r="F17" s="19">
        <f t="shared" si="10"/>
        <v>21.090885930334228</v>
      </c>
      <c r="G17" s="19">
        <f t="shared" ref="G17:H17" si="11">G$8/G15</f>
        <v>15.495344765143512</v>
      </c>
      <c r="H17" s="19">
        <f t="shared" si="11"/>
        <v>126.54531558200537</v>
      </c>
    </row>
    <row r="18" spans="1:8" x14ac:dyDescent="0.25">
      <c r="A18" s="17" t="s">
        <v>20</v>
      </c>
      <c r="B18" s="20" t="s">
        <v>21</v>
      </c>
      <c r="C18" s="48">
        <f t="shared" ref="C18:F18" si="12">C13/(C17/60)*C23/100</f>
        <v>123.09624031214281</v>
      </c>
      <c r="D18" s="48">
        <f t="shared" si="12"/>
        <v>134.88452976253276</v>
      </c>
      <c r="E18" s="19">
        <f>E13/(E17/60)*E23/100</f>
        <v>109.74557632993324</v>
      </c>
      <c r="F18" s="19">
        <f t="shared" si="12"/>
        <v>164.4255915763008</v>
      </c>
      <c r="G18" s="19">
        <f t="shared" ref="G18:H18" si="13">G13/(G17/60)*G23/100</f>
        <v>226.5197364833204</v>
      </c>
      <c r="H18" s="19">
        <f t="shared" si="13"/>
        <v>0</v>
      </c>
    </row>
    <row r="19" spans="1:8" x14ac:dyDescent="0.25">
      <c r="A19" s="9" t="s">
        <v>22</v>
      </c>
      <c r="B19" s="6" t="s">
        <v>23</v>
      </c>
      <c r="C19" s="40">
        <f t="shared" ref="C19:F19" si="14">C13/C$5</f>
        <v>1.8309859154929577</v>
      </c>
      <c r="D19" s="40">
        <f t="shared" si="14"/>
        <v>2.1120689655172415</v>
      </c>
      <c r="E19" s="13">
        <f t="shared" si="14"/>
        <v>2.7350000000000003</v>
      </c>
      <c r="F19" s="13">
        <f t="shared" si="14"/>
        <v>3.9838709677419359</v>
      </c>
      <c r="G19" s="13">
        <f t="shared" ref="G19:H19" si="15">G13/G$5</f>
        <v>4.032258064516129</v>
      </c>
      <c r="H19" s="13">
        <f t="shared" si="15"/>
        <v>0</v>
      </c>
    </row>
    <row r="20" spans="1:8" ht="15.75" thickBot="1" x14ac:dyDescent="0.3">
      <c r="A20" s="10" t="s">
        <v>24</v>
      </c>
      <c r="B20" s="11" t="s">
        <v>25</v>
      </c>
      <c r="C20" s="46">
        <f t="shared" ref="C20:F20" si="16">C11/C18</f>
        <v>0.81237249607643391</v>
      </c>
      <c r="D20" s="46">
        <f t="shared" si="16"/>
        <v>0.74137486467908686</v>
      </c>
      <c r="E20" s="21">
        <f t="shared" si="16"/>
        <v>0.91119845869108507</v>
      </c>
      <c r="F20" s="21">
        <f t="shared" si="16"/>
        <v>0.60817783315436968</v>
      </c>
      <c r="G20" s="21">
        <f>G11/G18</f>
        <v>0.47236502064304164</v>
      </c>
      <c r="H20" s="21" t="e">
        <f t="shared" ref="H20" si="17">H11/H18</f>
        <v>#DIV/0!</v>
      </c>
    </row>
    <row r="21" spans="1:8" x14ac:dyDescent="0.25">
      <c r="A21" s="22" t="s">
        <v>26</v>
      </c>
      <c r="B21" s="23" t="s">
        <v>29</v>
      </c>
      <c r="C21" s="49">
        <v>16</v>
      </c>
      <c r="D21" s="49">
        <v>16</v>
      </c>
      <c r="E21" s="24">
        <v>19.8</v>
      </c>
      <c r="F21" s="24">
        <v>19.8</v>
      </c>
      <c r="G21" s="24">
        <v>19.8</v>
      </c>
      <c r="H21" s="24">
        <v>19.8</v>
      </c>
    </row>
    <row r="22" spans="1:8" x14ac:dyDescent="0.25">
      <c r="A22" s="25" t="s">
        <v>28</v>
      </c>
      <c r="B22" s="26" t="s">
        <v>31</v>
      </c>
      <c r="C22" s="50">
        <v>34</v>
      </c>
      <c r="D22" s="50">
        <v>34</v>
      </c>
      <c r="E22" s="27">
        <v>33</v>
      </c>
      <c r="F22" s="27">
        <v>33</v>
      </c>
      <c r="G22" s="27">
        <v>33</v>
      </c>
      <c r="H22" s="27">
        <v>33</v>
      </c>
    </row>
    <row r="23" spans="1:8" ht="15.75" thickBot="1" x14ac:dyDescent="0.3">
      <c r="A23" s="28" t="s">
        <v>27</v>
      </c>
      <c r="B23" s="29" t="s">
        <v>30</v>
      </c>
      <c r="C23" s="51">
        <f t="shared" ref="C23:F23" si="18">(EXP(2.00856+3.224*(LN((298.15-C21)/(273.15+C21)))+3.99063*(LN((298.15-C21)/(273.15+C21)))^2+4.80299*(LN((298.15-C21)/(273.15+C21)))^3+0.978188*(LN((298.15-C21)/(273.15+C21)))^4+1.71069*(LN((298.15-C21)/(273.15+C21)))^5+C22*(-0.00624097-0.00693498*(LN((298.15-C21)/(273.15+C21)))-0.00690358*(LN((298.15-C21)/(273.15+C21)))^2-0.00429155*(LN((298.15-C21)/(273.15+C21)))^3)-0.00000031168*C22^2))/22.4389901823282*1000</f>
        <v>250.11433003563553</v>
      </c>
      <c r="D23" s="51">
        <f t="shared" si="18"/>
        <v>250.11433003563553</v>
      </c>
      <c r="E23" s="30">
        <f>(EXP(2.00856+3.224*(LN((298.15-E21)/(273.15+E21)))+3.99063*(LN((298.15-E21)/(273.15+E21)))^2+4.80299*(LN((298.15-E21)/(273.15+E21)))^3+0.978188*(LN((298.15-E21)/(273.15+E21)))^4+1.71069*(LN((298.15-E21)/(273.15+E21)))^5+E22*(-0.00624097-0.00693498*(LN((298.15-E21)/(273.15+E21)))-0.00690358*(LN((298.15-E21)/(273.15+E21)))^2-0.00429155*(LN((298.15-E21)/(273.15+E21)))^3)-0.00000031168*E22^2))/22.4389901823282*1000</f>
        <v>234.00009419456711</v>
      </c>
      <c r="F23" s="30">
        <f t="shared" si="18"/>
        <v>234.00009419456711</v>
      </c>
      <c r="G23" s="30">
        <f t="shared" ref="G23:H23" si="19">(EXP(2.00856+3.224*(LN((298.15-G21)/(273.15+G21)))+3.99063*(LN((298.15-G21)/(273.15+G21)))^2+4.80299*(LN((298.15-G21)/(273.15+G21)))^3+0.978188*(LN((298.15-G21)/(273.15+G21)))^4+1.71069*(LN((298.15-G21)/(273.15+G21)))^5+G22*(-0.00624097-0.00693498*(LN((298.15-G21)/(273.15+G21)))-0.00690358*(LN((298.15-G21)/(273.15+G21)))^2-0.00429155*(LN((298.15-G21)/(273.15+G21)))^3)-0.00000031168*G22^2))/22.4389901823282*1000</f>
        <v>234.00009419456711</v>
      </c>
      <c r="H23" s="30">
        <f t="shared" si="19"/>
        <v>234.00009419456711</v>
      </c>
    </row>
    <row r="24" spans="1:8" ht="15.75" thickBot="1" x14ac:dyDescent="0.3">
      <c r="A24" s="66" t="s">
        <v>35</v>
      </c>
      <c r="B24" s="67"/>
      <c r="C24" s="67"/>
      <c r="D24" s="68"/>
      <c r="E24" s="68"/>
      <c r="F24" s="68"/>
      <c r="G24" s="1"/>
      <c r="H24" s="1"/>
    </row>
    <row r="25" spans="1:8" ht="15.75" thickTop="1" x14ac:dyDescent="0.25">
      <c r="A25" s="9" t="s">
        <v>39</v>
      </c>
      <c r="B25" s="15" t="s">
        <v>40</v>
      </c>
      <c r="C25" s="42">
        <v>1021.4</v>
      </c>
      <c r="D25" s="42">
        <v>1021.4</v>
      </c>
      <c r="E25" s="6">
        <v>1021.4</v>
      </c>
      <c r="F25" s="6"/>
      <c r="G25" s="6"/>
      <c r="H25" s="6"/>
    </row>
    <row r="26" spans="1:8" x14ac:dyDescent="0.25">
      <c r="A26" s="9" t="s">
        <v>37</v>
      </c>
      <c r="B26" s="15" t="s">
        <v>38</v>
      </c>
      <c r="C26" s="38">
        <v>9.7499999999999996E-4</v>
      </c>
      <c r="D26" s="38">
        <v>9.7499999999999996E-4</v>
      </c>
      <c r="E26" s="31">
        <v>9.7499999999999996E-4</v>
      </c>
      <c r="F26" s="31"/>
      <c r="G26" s="31"/>
      <c r="H26" s="31"/>
    </row>
    <row r="27" spans="1:8" x14ac:dyDescent="0.25">
      <c r="A27" s="5" t="s">
        <v>44</v>
      </c>
      <c r="B27" s="6" t="s">
        <v>1</v>
      </c>
      <c r="C27" s="39">
        <v>10</v>
      </c>
      <c r="D27" s="39">
        <v>10</v>
      </c>
      <c r="E27" s="7">
        <v>10</v>
      </c>
      <c r="F27" s="7"/>
      <c r="G27" s="7"/>
      <c r="H27" s="7"/>
    </row>
    <row r="28" spans="1:8" x14ac:dyDescent="0.25">
      <c r="A28" s="9" t="s">
        <v>45</v>
      </c>
      <c r="B28" s="15" t="s">
        <v>14</v>
      </c>
      <c r="C28" s="40">
        <v>14</v>
      </c>
      <c r="D28" s="40">
        <v>13.2</v>
      </c>
      <c r="E28" s="14">
        <v>10</v>
      </c>
      <c r="F28" s="14"/>
      <c r="G28" s="14"/>
      <c r="H28" s="14"/>
    </row>
    <row r="29" spans="1:8" x14ac:dyDescent="0.25">
      <c r="A29" s="9" t="s">
        <v>46</v>
      </c>
      <c r="B29" s="15" t="s">
        <v>14</v>
      </c>
      <c r="C29" s="42">
        <v>8.06</v>
      </c>
      <c r="D29" s="42">
        <v>8</v>
      </c>
      <c r="E29" s="8"/>
      <c r="F29" s="8"/>
      <c r="G29" s="8"/>
      <c r="H29" s="8"/>
    </row>
    <row r="30" spans="1:8" x14ac:dyDescent="0.25">
      <c r="A30" s="9" t="s">
        <v>47</v>
      </c>
      <c r="B30" s="15" t="s">
        <v>14</v>
      </c>
      <c r="C30" s="40">
        <f>7.6/(40/60)</f>
        <v>11.4</v>
      </c>
      <c r="D30" s="40">
        <f>7.4/(41/60)</f>
        <v>10.829268292682928</v>
      </c>
      <c r="E30" s="13">
        <v>7</v>
      </c>
      <c r="F30" s="13"/>
      <c r="G30" s="13"/>
      <c r="H30" s="13"/>
    </row>
    <row r="31" spans="1:8" x14ac:dyDescent="0.25">
      <c r="A31" s="9" t="s">
        <v>48</v>
      </c>
      <c r="B31" s="15" t="s">
        <v>14</v>
      </c>
      <c r="C31" s="39">
        <f>4.25/(40/60)</f>
        <v>6.375</v>
      </c>
      <c r="D31" s="39">
        <f>4.2/(40/60)</f>
        <v>6.3000000000000007</v>
      </c>
      <c r="E31" s="8"/>
      <c r="F31" s="8"/>
      <c r="G31" s="8"/>
      <c r="H31" s="8"/>
    </row>
    <row r="32" spans="1:8" x14ac:dyDescent="0.25">
      <c r="A32" s="9" t="s">
        <v>49</v>
      </c>
      <c r="B32" s="15" t="s">
        <v>17</v>
      </c>
      <c r="C32" s="41">
        <f t="shared" ref="C32:D32" si="20">C30/C6/C9*10000/60</f>
        <v>74.665281944345963</v>
      </c>
      <c r="D32" s="41">
        <f t="shared" si="20"/>
        <v>70.927225467029544</v>
      </c>
      <c r="E32" s="16">
        <f>E30/E6/E9*10000/60</f>
        <v>47.633353712501417</v>
      </c>
      <c r="F32" s="16"/>
      <c r="G32" s="16"/>
      <c r="H32" s="16"/>
    </row>
    <row r="33" spans="1:8" x14ac:dyDescent="0.25">
      <c r="A33" s="9" t="s">
        <v>50</v>
      </c>
      <c r="B33" s="15" t="s">
        <v>17</v>
      </c>
      <c r="C33" s="41">
        <f t="shared" ref="C33:D33" si="21">C31/C6/C9*10000/60</f>
        <v>41.753611613614517</v>
      </c>
      <c r="D33" s="41">
        <f t="shared" si="21"/>
        <v>41.262392653454349</v>
      </c>
      <c r="E33" s="16"/>
      <c r="F33" s="16"/>
      <c r="G33" s="16"/>
      <c r="H33" s="16"/>
    </row>
    <row r="34" spans="1:8" x14ac:dyDescent="0.25">
      <c r="A34" s="9" t="s">
        <v>51</v>
      </c>
      <c r="B34" s="15" t="s">
        <v>32</v>
      </c>
      <c r="C34" s="38">
        <f t="shared" ref="C34:E34" si="22">C30/C6/60/100</f>
        <v>2.9866112777738389E-5</v>
      </c>
      <c r="D34" s="38">
        <f t="shared" si="22"/>
        <v>2.8370890186811821E-5</v>
      </c>
      <c r="E34" s="31">
        <f t="shared" si="22"/>
        <v>1.8338841179313046E-5</v>
      </c>
      <c r="F34" s="31"/>
      <c r="G34" s="31"/>
      <c r="H34" s="31"/>
    </row>
    <row r="35" spans="1:8" x14ac:dyDescent="0.25">
      <c r="A35" s="9" t="s">
        <v>52</v>
      </c>
      <c r="B35" s="15" t="s">
        <v>32</v>
      </c>
      <c r="C35" s="38">
        <f t="shared" ref="C35:D35" si="23">C31/C6/60/100</f>
        <v>1.670144464544581E-5</v>
      </c>
      <c r="D35" s="38">
        <f t="shared" si="23"/>
        <v>1.6504957061381741E-5</v>
      </c>
      <c r="E35" s="31"/>
      <c r="F35" s="31"/>
      <c r="G35" s="31"/>
      <c r="H35" s="31"/>
    </row>
    <row r="36" spans="1:8" x14ac:dyDescent="0.25">
      <c r="A36" s="9" t="s">
        <v>53</v>
      </c>
      <c r="B36" s="15" t="s">
        <v>36</v>
      </c>
      <c r="C36" s="42">
        <v>18</v>
      </c>
      <c r="D36" s="42">
        <v>14</v>
      </c>
      <c r="E36" s="14">
        <v>10</v>
      </c>
      <c r="F36" s="32" t="s">
        <v>79</v>
      </c>
      <c r="G36" s="32" t="s">
        <v>79</v>
      </c>
      <c r="H36" s="32" t="s">
        <v>79</v>
      </c>
    </row>
    <row r="37" spans="1:8" x14ac:dyDescent="0.25">
      <c r="A37" s="9" t="s">
        <v>54</v>
      </c>
      <c r="B37" s="15" t="s">
        <v>36</v>
      </c>
      <c r="C37" s="42">
        <v>12</v>
      </c>
      <c r="D37" s="42">
        <v>9.3000000000000007</v>
      </c>
      <c r="E37" s="32"/>
      <c r="F37" s="57"/>
      <c r="G37" s="57"/>
      <c r="H37" s="57"/>
    </row>
    <row r="38" spans="1:8" x14ac:dyDescent="0.25">
      <c r="A38" s="9" t="s">
        <v>55</v>
      </c>
      <c r="B38" s="15" t="s">
        <v>33</v>
      </c>
      <c r="C38" s="40">
        <f t="shared" ref="C38:E38" si="24">C25*9.82*C36/1000</f>
        <v>180.542664</v>
      </c>
      <c r="D38" s="40">
        <f t="shared" si="24"/>
        <v>140.42207199999999</v>
      </c>
      <c r="E38" s="13">
        <f t="shared" si="24"/>
        <v>100.30148</v>
      </c>
      <c r="F38" s="13"/>
      <c r="G38" s="13"/>
      <c r="H38" s="13"/>
    </row>
    <row r="39" spans="1:8" x14ac:dyDescent="0.25">
      <c r="A39" s="9" t="s">
        <v>56</v>
      </c>
      <c r="B39" s="15" t="s">
        <v>33</v>
      </c>
      <c r="C39" s="40">
        <f>C25*9.82*F37/1000</f>
        <v>0</v>
      </c>
      <c r="D39" s="40">
        <f t="shared" ref="D39" si="25">D25*9.82*D37/1000</f>
        <v>93.280376399999994</v>
      </c>
      <c r="E39" s="13"/>
      <c r="F39" s="13"/>
      <c r="G39" s="13"/>
      <c r="H39" s="13"/>
    </row>
    <row r="40" spans="1:8" x14ac:dyDescent="0.25">
      <c r="A40" s="17" t="s">
        <v>57</v>
      </c>
      <c r="B40" s="18" t="s">
        <v>34</v>
      </c>
      <c r="C40" s="43">
        <f t="shared" ref="C40:E40" si="26">C34*C26 / (C38 / (C27/100))</f>
        <v>1.6128852490121079E-11</v>
      </c>
      <c r="D40" s="43">
        <f t="shared" si="26"/>
        <v>1.9698910248341535E-11</v>
      </c>
      <c r="E40" s="33">
        <f t="shared" si="26"/>
        <v>1.7826626436449613E-11</v>
      </c>
      <c r="F40" s="33"/>
      <c r="G40" s="33"/>
      <c r="H40" s="33"/>
    </row>
    <row r="41" spans="1:8" ht="15.75" thickBot="1" x14ac:dyDescent="0.3">
      <c r="A41" s="34" t="s">
        <v>58</v>
      </c>
      <c r="B41" s="35" t="s">
        <v>34</v>
      </c>
      <c r="C41" s="44" t="e">
        <f>C35*C26 / (C39 / (C27/100))</f>
        <v>#DIV/0!</v>
      </c>
      <c r="D41" s="44">
        <f>D35*D26 / (D39 / (D27/100))</f>
        <v>1.7251573970757691E-11</v>
      </c>
      <c r="E41" s="33"/>
      <c r="F41" s="53"/>
      <c r="G41" s="53"/>
      <c r="H41" s="53"/>
    </row>
    <row r="42" spans="1:8" x14ac:dyDescent="0.25">
      <c r="C42" s="45" t="e">
        <f>AVERAGE(C40:C41)</f>
        <v>#DIV/0!</v>
      </c>
      <c r="D42" s="45">
        <f>AVERAGE(D40:D41)</f>
        <v>1.8475242109549613E-11</v>
      </c>
      <c r="E42" s="33"/>
      <c r="F42" s="37"/>
      <c r="G42" s="37"/>
      <c r="H42" s="37"/>
    </row>
  </sheetData>
  <mergeCells count="3">
    <mergeCell ref="A1:F1"/>
    <mergeCell ref="A10:F10"/>
    <mergeCell ref="A24:F24"/>
  </mergeCells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" sqref="G3"/>
    </sheetView>
  </sheetViews>
  <sheetFormatPr defaultColWidth="8.85546875" defaultRowHeight="15" x14ac:dyDescent="0.25"/>
  <cols>
    <col min="1" max="1" width="14.7109375" style="58" customWidth="1"/>
    <col min="2" max="2" width="8.85546875" style="58"/>
    <col min="3" max="3" width="11.28515625" style="58" customWidth="1"/>
    <col min="4" max="16384" width="8.85546875" style="58"/>
  </cols>
  <sheetData>
    <row r="1" spans="1:7" x14ac:dyDescent="0.25">
      <c r="C1" s="58" t="s">
        <v>68</v>
      </c>
      <c r="E1" s="58" t="s">
        <v>71</v>
      </c>
      <c r="G1" s="58" t="s">
        <v>81</v>
      </c>
    </row>
    <row r="2" spans="1:7" x14ac:dyDescent="0.25">
      <c r="C2" s="58" t="s">
        <v>69</v>
      </c>
      <c r="D2" s="58" t="s">
        <v>70</v>
      </c>
      <c r="E2" s="58" t="s">
        <v>72</v>
      </c>
      <c r="F2" s="58" t="s">
        <v>73</v>
      </c>
      <c r="G2" s="58" t="s">
        <v>82</v>
      </c>
    </row>
    <row r="3" spans="1:7" x14ac:dyDescent="0.25">
      <c r="A3" s="58" t="s">
        <v>67</v>
      </c>
      <c r="B3" s="58" t="s">
        <v>6</v>
      </c>
      <c r="C3" s="58">
        <v>4.5</v>
      </c>
      <c r="D3" s="58">
        <v>4.5</v>
      </c>
      <c r="E3" s="58">
        <v>4.5999999999999996</v>
      </c>
      <c r="F3" s="58">
        <v>4.5999999999999996</v>
      </c>
      <c r="G3" s="58">
        <v>5.2</v>
      </c>
    </row>
    <row r="4" spans="1:7" x14ac:dyDescent="0.25">
      <c r="A4" s="58" t="s">
        <v>66</v>
      </c>
      <c r="B4" s="58" t="s">
        <v>64</v>
      </c>
      <c r="C4" s="58">
        <v>10</v>
      </c>
      <c r="D4" s="58">
        <v>30</v>
      </c>
      <c r="E4" s="58">
        <v>30</v>
      </c>
      <c r="F4" s="58">
        <v>30</v>
      </c>
      <c r="G4" s="58">
        <v>30</v>
      </c>
    </row>
    <row r="5" spans="1:7" x14ac:dyDescent="0.25">
      <c r="A5" s="58" t="s">
        <v>65</v>
      </c>
      <c r="B5" s="58" t="s">
        <v>64</v>
      </c>
      <c r="C5" s="58">
        <v>100000</v>
      </c>
      <c r="D5" s="58">
        <v>100000</v>
      </c>
      <c r="E5" s="58">
        <v>100000</v>
      </c>
      <c r="F5" s="58">
        <v>100000</v>
      </c>
      <c r="G5" s="58">
        <v>100000</v>
      </c>
    </row>
    <row r="6" spans="1:7" x14ac:dyDescent="0.25">
      <c r="A6" s="58" t="s">
        <v>63</v>
      </c>
      <c r="B6" s="58" t="s">
        <v>62</v>
      </c>
      <c r="C6" s="58">
        <f>C4*C3</f>
        <v>45</v>
      </c>
      <c r="D6" s="58">
        <f>D4*D3</f>
        <v>135</v>
      </c>
      <c r="E6" s="58">
        <f>E4*E3</f>
        <v>138</v>
      </c>
      <c r="F6" s="58">
        <f>F4*F3</f>
        <v>138</v>
      </c>
      <c r="G6" s="58">
        <f>G4*G3</f>
        <v>156</v>
      </c>
    </row>
    <row r="7" spans="1:7" x14ac:dyDescent="0.25">
      <c r="A7" s="58" t="s">
        <v>60</v>
      </c>
      <c r="B7" s="58" t="s">
        <v>61</v>
      </c>
      <c r="C7" s="58">
        <f>C6/C5</f>
        <v>4.4999999999999999E-4</v>
      </c>
      <c r="D7" s="58">
        <f>D6/D5</f>
        <v>1.3500000000000001E-3</v>
      </c>
      <c r="E7" s="58">
        <f>E6/E5</f>
        <v>1.3799999999999999E-3</v>
      </c>
      <c r="F7" s="58">
        <f>F6/F5</f>
        <v>1.3799999999999999E-3</v>
      </c>
      <c r="G7" s="58">
        <f>G6/G5</f>
        <v>1.56E-3</v>
      </c>
    </row>
    <row r="8" spans="1:7" x14ac:dyDescent="0.25">
      <c r="A8" s="58" t="s">
        <v>60</v>
      </c>
      <c r="B8" s="58" t="s">
        <v>6</v>
      </c>
      <c r="C8" s="58">
        <f>C7*1000</f>
        <v>0.45</v>
      </c>
      <c r="D8" s="59">
        <f>D7*1000</f>
        <v>1.35</v>
      </c>
      <c r="E8" s="59">
        <f>E7*1000</f>
        <v>1.38</v>
      </c>
      <c r="F8" s="59">
        <f>F7*1000</f>
        <v>1.38</v>
      </c>
      <c r="G8" s="59">
        <f>G7*1000</f>
        <v>1.56</v>
      </c>
    </row>
    <row r="9" spans="1:7" x14ac:dyDescent="0.25">
      <c r="D9" s="58">
        <f>D8/2</f>
        <v>0.67500000000000004</v>
      </c>
      <c r="E9" s="59">
        <f>E8/2</f>
        <v>0.69</v>
      </c>
      <c r="F9" s="59">
        <f>F8/2</f>
        <v>0.69</v>
      </c>
      <c r="G9" s="59">
        <f>G8/2</f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incubations Sylt1</vt:lpstr>
      <vt:lpstr>incubations Sylt2</vt:lpstr>
      <vt:lpstr>incubations Noah E</vt:lpstr>
      <vt:lpstr>Label</vt:lpstr>
    </vt:vector>
  </TitlesOfParts>
  <Company>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</cp:lastModifiedBy>
  <dcterms:created xsi:type="dcterms:W3CDTF">2014-05-20T18:11:47Z</dcterms:created>
  <dcterms:modified xsi:type="dcterms:W3CDTF">2017-03-21T15:45:04Z</dcterms:modified>
</cp:coreProperties>
</file>