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1DD9A7B9-B8F4-4AF8-BE73-6E541EDB1441}" xr6:coauthVersionLast="46" xr6:coauthVersionMax="46" xr10:uidLastSave="{00000000-0000-0000-0000-000000000000}"/>
  <bookViews>
    <workbookView xWindow="5070" yWindow="5070" windowWidth="17550" windowHeight="1543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2" l="1"/>
  <c r="B19" i="2"/>
  <c r="C42" i="2"/>
  <c r="B46" i="2"/>
  <c r="B59" i="2"/>
  <c r="C26" i="2"/>
  <c r="B38" i="2"/>
  <c r="D8" i="2"/>
  <c r="E64" i="2"/>
  <c r="C59" i="2"/>
  <c r="D41" i="2"/>
  <c r="E59" i="2"/>
  <c r="E9" i="2"/>
  <c r="B9" i="2"/>
  <c r="B41" i="2"/>
  <c r="E72" i="2"/>
  <c r="E42" i="2"/>
  <c r="B11" i="2"/>
  <c r="B18" i="2"/>
  <c r="C8" i="2"/>
  <c r="E8" i="2"/>
  <c r="C38" i="2"/>
  <c r="D21" i="2"/>
  <c r="D7" i="2"/>
  <c r="D42" i="2"/>
  <c r="E38" i="2"/>
  <c r="C18" i="2"/>
  <c r="D38" i="2"/>
  <c r="D26" i="2"/>
  <c r="D59" i="2"/>
  <c r="B26" i="2"/>
  <c r="D64" i="2"/>
  <c r="C41" i="2"/>
  <c r="C64" i="2"/>
  <c r="E7" i="2"/>
  <c r="D11" i="2"/>
  <c r="C72" i="2"/>
  <c r="C21" i="2"/>
  <c r="B72" i="2"/>
  <c r="B42" i="2"/>
  <c r="B7" i="2"/>
  <c r="B8" i="2"/>
  <c r="D19" i="2"/>
  <c r="E21" i="2"/>
  <c r="C46" i="2"/>
  <c r="D46" i="2"/>
  <c r="E19" i="2"/>
  <c r="C11" i="2"/>
  <c r="D18" i="2"/>
  <c r="E46" i="2"/>
  <c r="D9" i="2"/>
  <c r="B64" i="2"/>
  <c r="C9" i="2"/>
  <c r="B21" i="2"/>
  <c r="E11" i="2"/>
  <c r="C7" i="2"/>
  <c r="E18" i="2"/>
  <c r="D72" i="2"/>
  <c r="E41" i="2"/>
  <c r="C19" i="2"/>
  <c r="B66" i="2"/>
  <c r="C76" i="2"/>
  <c r="E22" i="2"/>
  <c r="C37" i="2"/>
  <c r="E37" i="2"/>
  <c r="E66" i="2"/>
  <c r="D74" i="2"/>
  <c r="B61" i="2"/>
  <c r="B12" i="2"/>
  <c r="C22" i="2"/>
  <c r="C44" i="2"/>
  <c r="D63" i="2"/>
  <c r="D12" i="2"/>
  <c r="B63" i="2"/>
  <c r="B44" i="2"/>
  <c r="B25" i="2"/>
  <c r="D61" i="2"/>
  <c r="B76" i="2"/>
  <c r="C74" i="2"/>
  <c r="C66" i="2"/>
  <c r="C61" i="2"/>
  <c r="B22" i="2"/>
  <c r="C63" i="2"/>
  <c r="C25" i="2"/>
  <c r="B74" i="2"/>
  <c r="D44" i="2"/>
  <c r="E76" i="2"/>
  <c r="D25" i="2"/>
  <c r="C12" i="2"/>
  <c r="B37" i="2"/>
  <c r="D22" i="2"/>
  <c r="E74" i="2"/>
  <c r="D37" i="2"/>
  <c r="E44" i="2"/>
  <c r="E63" i="2"/>
  <c r="E25" i="2"/>
  <c r="E61" i="2"/>
  <c r="D76" i="2"/>
  <c r="E12" i="2"/>
  <c r="D66" i="2"/>
  <c r="C20" i="2"/>
  <c r="C3" i="2"/>
  <c r="E5" i="2"/>
  <c r="B40" i="2"/>
  <c r="E49" i="2"/>
  <c r="D40" i="2"/>
  <c r="D70" i="2"/>
  <c r="B5" i="2"/>
  <c r="D45" i="2"/>
  <c r="D49" i="2"/>
  <c r="C40" i="2"/>
  <c r="B20" i="2"/>
  <c r="E3" i="2"/>
  <c r="C49" i="2"/>
  <c r="B23" i="2"/>
  <c r="E36" i="2"/>
  <c r="E45" i="2"/>
  <c r="C5" i="2"/>
  <c r="D23" i="2"/>
  <c r="C45" i="2"/>
  <c r="E23" i="2"/>
  <c r="E53" i="2"/>
  <c r="B53" i="2"/>
  <c r="C53" i="2"/>
  <c r="B36" i="2"/>
  <c r="C70" i="2"/>
  <c r="B45" i="2"/>
  <c r="B3" i="2"/>
  <c r="B49" i="2"/>
  <c r="C23" i="2"/>
  <c r="D3" i="2"/>
  <c r="D53" i="2"/>
  <c r="D36" i="2"/>
  <c r="C36" i="2"/>
  <c r="E20" i="2"/>
  <c r="D20" i="2"/>
  <c r="E40" i="2"/>
  <c r="D5" i="2"/>
  <c r="B70" i="2"/>
  <c r="E70" i="2"/>
  <c r="B54" i="2"/>
  <c r="D47" i="2"/>
  <c r="E30" i="2"/>
  <c r="B65" i="2"/>
  <c r="D55" i="2"/>
  <c r="E13" i="2"/>
  <c r="C71" i="2"/>
  <c r="D65" i="2"/>
  <c r="C30" i="2"/>
  <c r="C35" i="2"/>
  <c r="B16" i="2"/>
  <c r="C55" i="2"/>
  <c r="B13" i="2"/>
  <c r="E16" i="2"/>
  <c r="D16" i="2"/>
  <c r="C65" i="2"/>
  <c r="C27" i="2"/>
  <c r="C47" i="2"/>
  <c r="E54" i="2"/>
  <c r="D35" i="2"/>
  <c r="E27" i="2"/>
  <c r="C54" i="2"/>
  <c r="B30" i="2"/>
  <c r="D13" i="2"/>
  <c r="D71" i="2"/>
  <c r="D27" i="2"/>
  <c r="E47" i="2"/>
  <c r="C16" i="2"/>
  <c r="C13" i="2"/>
  <c r="B27" i="2"/>
  <c r="E71" i="2"/>
  <c r="B55" i="2"/>
  <c r="B71" i="2"/>
  <c r="B47" i="2"/>
  <c r="D30" i="2"/>
  <c r="E55" i="2"/>
  <c r="D54" i="2"/>
  <c r="E65" i="2"/>
  <c r="E35" i="2"/>
  <c r="B35" i="2"/>
  <c r="D43" i="2"/>
  <c r="D75" i="2"/>
  <c r="E14" i="2"/>
  <c r="C69" i="2"/>
  <c r="E67" i="2"/>
  <c r="C33" i="2"/>
  <c r="D24" i="2"/>
  <c r="E24" i="2"/>
  <c r="E34" i="2"/>
  <c r="C14" i="2"/>
  <c r="D50" i="2"/>
  <c r="B67" i="2"/>
  <c r="B33" i="2"/>
  <c r="D33" i="2"/>
  <c r="D17" i="2"/>
  <c r="B24" i="2"/>
  <c r="E69" i="2"/>
  <c r="B14" i="2"/>
  <c r="B75" i="2"/>
  <c r="C17" i="2"/>
  <c r="D69" i="2"/>
  <c r="C67" i="2"/>
  <c r="B34" i="2"/>
  <c r="E75" i="2"/>
  <c r="C50" i="2"/>
  <c r="C43" i="2"/>
  <c r="E50" i="2"/>
  <c r="B43" i="2"/>
  <c r="D34" i="2"/>
  <c r="C24" i="2"/>
  <c r="B50" i="2"/>
  <c r="B17" i="2"/>
  <c r="D14" i="2"/>
  <c r="C75" i="2"/>
  <c r="C34" i="2"/>
  <c r="E43" i="2"/>
  <c r="E33" i="2"/>
  <c r="E17" i="2"/>
  <c r="D67" i="2"/>
  <c r="B69" i="2"/>
  <c r="B48" i="2"/>
  <c r="B51" i="2"/>
  <c r="B57" i="2"/>
  <c r="C51" i="2"/>
  <c r="E57" i="2"/>
  <c r="E52" i="2"/>
  <c r="E48" i="2"/>
  <c r="B2" i="2"/>
  <c r="C48" i="2"/>
  <c r="D6" i="2"/>
  <c r="D52" i="2"/>
  <c r="C32" i="2"/>
  <c r="E32" i="2"/>
  <c r="D28" i="2"/>
  <c r="E2" i="2"/>
  <c r="E60" i="2"/>
  <c r="C10" i="2"/>
  <c r="C28" i="2"/>
  <c r="C6" i="2"/>
  <c r="D10" i="2"/>
  <c r="D2" i="2"/>
  <c r="D51" i="2"/>
  <c r="E6" i="2"/>
  <c r="B60" i="2"/>
  <c r="E28" i="2"/>
  <c r="B52" i="2"/>
  <c r="D57" i="2"/>
  <c r="D32" i="2"/>
  <c r="E10" i="2"/>
  <c r="C60" i="2"/>
  <c r="B32" i="2"/>
  <c r="C57" i="2"/>
  <c r="C52" i="2"/>
  <c r="B28" i="2"/>
  <c r="B6" i="2"/>
  <c r="E51" i="2"/>
  <c r="C2" i="2"/>
  <c r="B10" i="2"/>
  <c r="D48" i="2"/>
  <c r="D60" i="2"/>
  <c r="E56" i="2"/>
  <c r="D15" i="2"/>
  <c r="B39" i="2"/>
  <c r="E31" i="2"/>
  <c r="D62" i="2"/>
  <c r="B58" i="2"/>
  <c r="C4" i="2"/>
  <c r="E4" i="2"/>
  <c r="E29" i="2"/>
  <c r="D39" i="2"/>
  <c r="C56" i="2"/>
  <c r="E15" i="2"/>
  <c r="D29" i="2"/>
  <c r="E62" i="2"/>
  <c r="B68" i="2"/>
  <c r="E73" i="2"/>
  <c r="C58" i="2"/>
  <c r="D4" i="2"/>
  <c r="C29" i="2"/>
  <c r="D73" i="2"/>
  <c r="B31" i="2"/>
  <c r="D56" i="2"/>
  <c r="D31" i="2"/>
  <c r="C39" i="2"/>
  <c r="D58" i="2"/>
  <c r="C73" i="2"/>
  <c r="B15" i="2"/>
  <c r="C62" i="2"/>
  <c r="E68" i="2"/>
  <c r="C15" i="2"/>
  <c r="C31" i="2"/>
  <c r="B29" i="2"/>
  <c r="E58" i="2"/>
  <c r="B4" i="2"/>
  <c r="E39" i="2"/>
  <c r="B56" i="2"/>
  <c r="D68" i="2"/>
  <c r="B73" i="2"/>
  <c r="C68" i="2"/>
  <c r="B62" i="2"/>
</calcChain>
</file>

<file path=xl/sharedStrings.xml><?xml version="1.0" encoding="utf-8"?>
<sst xmlns="http://schemas.openxmlformats.org/spreadsheetml/2006/main" count="80" uniqueCount="80">
  <si>
    <t>Ticker</t>
  </si>
  <si>
    <t>Name</t>
  </si>
  <si>
    <t>Last Price</t>
  </si>
  <si>
    <t>Price Change 1 Day Percent</t>
  </si>
  <si>
    <t>Equity Turnover / Traded Value</t>
  </si>
  <si>
    <t>APT AU Equity</t>
  </si>
  <si>
    <t>BHP AU Equity</t>
  </si>
  <si>
    <t>CSL AU Equity</t>
  </si>
  <si>
    <t>CBA AU Equity</t>
  </si>
  <si>
    <t>IAG AU Equity</t>
  </si>
  <si>
    <t>ANZ AU Equity</t>
  </si>
  <si>
    <t>WBC AU Equity</t>
  </si>
  <si>
    <t>MQG AU Equity</t>
  </si>
  <si>
    <t>FMG AU Equity</t>
  </si>
  <si>
    <t>NAB AU Equity</t>
  </si>
  <si>
    <t>RIO AU Equity</t>
  </si>
  <si>
    <t>QBE AU Equity</t>
  </si>
  <si>
    <t>XRO AU Equity</t>
  </si>
  <si>
    <t>QAN AU Equity</t>
  </si>
  <si>
    <t>TLS AU Equity</t>
  </si>
  <si>
    <t>BXB AU Equity</t>
  </si>
  <si>
    <t>TWE AU Equity</t>
  </si>
  <si>
    <t>NST AU Equity</t>
  </si>
  <si>
    <t>AZJ AU Equity</t>
  </si>
  <si>
    <t>WPL AU Equity</t>
  </si>
  <si>
    <t>WES AU Equity</t>
  </si>
  <si>
    <t>S32 AU Equity</t>
  </si>
  <si>
    <t>CPU AU Equity</t>
  </si>
  <si>
    <t>WOW AU Equity</t>
  </si>
  <si>
    <t>ALL AU Equity</t>
  </si>
  <si>
    <t>STO AU Equity</t>
  </si>
  <si>
    <t>NCM AU Equity</t>
  </si>
  <si>
    <t>OSH AU Equity</t>
  </si>
  <si>
    <t>FPH AU Equity</t>
  </si>
  <si>
    <t>REH AU Equity</t>
  </si>
  <si>
    <t>BSL AU Equity</t>
  </si>
  <si>
    <t>ASX AU Equity</t>
  </si>
  <si>
    <t>SUN AU Equity</t>
  </si>
  <si>
    <t>MFG AU Equity</t>
  </si>
  <si>
    <t>EVN AU Equity</t>
  </si>
  <si>
    <t>AGL AU Equity</t>
  </si>
  <si>
    <t>COH AU Equity</t>
  </si>
  <si>
    <t>AWC AU Equity</t>
  </si>
  <si>
    <t>COL AU Equity</t>
  </si>
  <si>
    <t>LYC AU Equity</t>
  </si>
  <si>
    <t>BOQ AU Equity</t>
  </si>
  <si>
    <t>JBH AU Equity</t>
  </si>
  <si>
    <t>SHL AU Equity</t>
  </si>
  <si>
    <t>DMP AU Equity</t>
  </si>
  <si>
    <t>OZL AU Equity</t>
  </si>
  <si>
    <t>SEK AU Equity</t>
  </si>
  <si>
    <t>WTC AU Equity</t>
  </si>
  <si>
    <t>IPL AU Equity</t>
  </si>
  <si>
    <t>ALD AU Equity</t>
  </si>
  <si>
    <t>A2M AU Equity</t>
  </si>
  <si>
    <t>TAH AU Equity</t>
  </si>
  <si>
    <t>REA AU Equity</t>
  </si>
  <si>
    <t>RHC AU Equity</t>
  </si>
  <si>
    <t>BEN AU Equity</t>
  </si>
  <si>
    <t>ORG AU Equity</t>
  </si>
  <si>
    <t>MIN AU Equity</t>
  </si>
  <si>
    <t>MPL AU Equity</t>
  </si>
  <si>
    <t>CCL AU Equity</t>
  </si>
  <si>
    <t>QUB AU Equity</t>
  </si>
  <si>
    <t>HVN AU Equity</t>
  </si>
  <si>
    <t>ORI AU Equity</t>
  </si>
  <si>
    <t>IEL AU Equity</t>
  </si>
  <si>
    <t>BLD AU Equity</t>
  </si>
  <si>
    <t>CIM AU Equity</t>
  </si>
  <si>
    <t>CWN AU Equity</t>
  </si>
  <si>
    <t>SVW AU Equity</t>
  </si>
  <si>
    <t>WOR AU Equity</t>
  </si>
  <si>
    <t>AST AU Equity</t>
  </si>
  <si>
    <t>SPK AU Equity</t>
  </si>
  <si>
    <t>FBU AU Equity</t>
  </si>
  <si>
    <t>SOL AU Equity</t>
  </si>
  <si>
    <t>TPG AU Equity</t>
  </si>
  <si>
    <t>AIA AU Equity</t>
  </si>
  <si>
    <t>MEZ AU Equity</t>
  </si>
  <si>
    <t>MCY AU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</si>
</sst>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BDP|12784662133098663599</stp>
        <tr r="C41" s="2"/>
      </tp>
      <tp t="s">
        <v>#N/A N/A</v>
        <stp/>
        <stp>BDP|18099554309236869182</stp>
        <tr r="C20" s="2"/>
      </tp>
      <tp t="s">
        <v>#N/A N/A</v>
        <stp/>
        <stp>BDP|18177613995898759524</stp>
        <tr r="B51" s="2"/>
      </tp>
      <tp t="s">
        <v>#N/A N/A</v>
        <stp/>
        <stp>BDP|10133882056727372096</stp>
        <tr r="E21" s="2"/>
      </tp>
      <tp t="s">
        <v>#N/A N/A</v>
        <stp/>
        <stp>BDP|14269758280564157514</stp>
        <tr r="B23" s="2"/>
      </tp>
      <tp t="s">
        <v>#N/A N/A</v>
        <stp/>
        <stp>BDP|14871926394306018979</stp>
        <tr r="B16" s="2"/>
      </tp>
      <tp t="s">
        <v>#N/A N/A</v>
        <stp/>
        <stp>BDP|15010156869379722035</stp>
        <tr r="E72" s="2"/>
      </tp>
      <tp t="s">
        <v>#N/A N/A</v>
        <stp/>
        <stp>BDP|15613973527860992543</stp>
        <tr r="C59" s="2"/>
      </tp>
      <tp t="s">
        <v>#N/A N/A</v>
        <stp/>
        <stp>BDP|16965616282612795127</stp>
        <tr r="E22" s="2"/>
      </tp>
      <tp t="s">
        <v>#N/A N/A</v>
        <stp/>
        <stp>BDP|17121859855880211121</stp>
        <tr r="D15" s="2"/>
      </tp>
      <tp t="s">
        <v>#N/A N/A</v>
        <stp/>
        <stp>BDP|14744869319370345681</stp>
        <tr r="B2" s="2"/>
      </tp>
      <tp t="s">
        <v>#N/A N/A</v>
        <stp/>
        <stp>BDP|18436971906389415329</stp>
        <tr r="D43" s="2"/>
      </tp>
      <tp t="s">
        <v>#N/A N/A</v>
        <stp/>
        <stp>BDP|16464285434998307490</stp>
        <tr r="D24" s="2"/>
      </tp>
      <tp t="s">
        <v>#N/A N/A</v>
        <stp/>
        <stp>BDP|17095615312699006241</stp>
        <tr r="E5" s="2"/>
      </tp>
      <tp t="s">
        <v>#N/A N/A</v>
        <stp/>
        <stp>BDP|12513625574098768038</stp>
        <tr r="C54" s="2"/>
      </tp>
      <tp t="s">
        <v>#N/A N/A</v>
        <stp/>
        <stp>BDP|12275809024239701987</stp>
        <tr r="D74" s="2"/>
      </tp>
      <tp t="s">
        <v>#N/A N/A</v>
        <stp/>
        <stp>BDP|11261579119024360967</stp>
        <tr r="C22" s="2"/>
      </tp>
      <tp t="s">
        <v>#N/A N/A</v>
        <stp/>
        <stp>BDP|15074590984458025843</stp>
        <tr r="B9" s="2"/>
      </tp>
      <tp t="s">
        <v>#N/A N/A</v>
        <stp/>
        <stp>BDP|15549787187770671219</stp>
        <tr r="D41" s="2"/>
      </tp>
      <tp t="s">
        <v>#N/A N/A</v>
        <stp/>
        <stp>BDP|17083091640912587900</stp>
        <tr r="C76" s="2"/>
      </tp>
      <tp t="s">
        <v>#N/A N/A</v>
        <stp/>
        <stp>BDP|12788415632118367567</stp>
        <tr r="E69" s="2"/>
      </tp>
      <tp t="s">
        <v>#N/A N/A</v>
        <stp/>
        <stp>BDP|16523941876292795215</stp>
        <tr r="B54" s="2"/>
      </tp>
      <tp t="s">
        <v>#N/A N/A</v>
        <stp/>
        <stp>BDP|15985552240154418881</stp>
        <tr r="E13" s="2"/>
      </tp>
      <tp t="s">
        <v>#N/A N/A</v>
        <stp/>
        <stp>BDP|14677348939324146880</stp>
        <tr r="C40" s="2"/>
      </tp>
      <tp t="s">
        <v>#N/A N/A</v>
        <stp/>
        <stp>BDP|13887939608855306728</stp>
        <tr r="D26" s="2"/>
      </tp>
      <tp t="s">
        <v>#N/A N/A</v>
        <stp/>
        <stp>BDP|13138767700909610542</stp>
        <tr r="C47" s="2"/>
      </tp>
      <tp t="s">
        <v>#N/A N/A</v>
        <stp/>
        <stp>BDP|14795495093443206353</stp>
        <tr r="B18" s="2"/>
      </tp>
      <tp t="s">
        <v>#N/A N/A</v>
        <stp/>
        <stp>BDP|15924223049099527366</stp>
        <tr r="E31" s="2"/>
      </tp>
      <tp t="s">
        <v>#N/A N/A</v>
        <stp/>
        <stp>BDP|10164078995079002903</stp>
        <tr r="C17" s="2"/>
      </tp>
      <tp t="s">
        <v>#N/A N/A</v>
        <stp/>
        <stp>BDP|14986818426955909257</stp>
        <tr r="B58" s="2"/>
      </tp>
      <tp t="s">
        <v>#N/A N/A</v>
        <stp/>
        <stp>BDP|14440439820738755373</stp>
        <tr r="C48" s="2"/>
      </tp>
      <tp t="s">
        <v>#N/A N/A</v>
        <stp/>
        <stp>BDP|16357392687832661103</stp>
        <tr r="C26" s="2"/>
      </tp>
      <tp t="s">
        <v>#N/A N/A</v>
        <stp/>
        <stp>BDP|17417841043021830401</stp>
        <tr r="C3" s="2"/>
      </tp>
      <tp t="s">
        <v>#N/A N/A</v>
        <stp/>
        <stp>BDP|14691451079468793174</stp>
        <tr r="E8" s="2"/>
      </tp>
      <tp t="s">
        <v>#N/A N/A</v>
        <stp/>
        <stp>BDP|14547970723158932923</stp>
        <tr r="D7" s="2"/>
      </tp>
      <tp t="s">
        <v>#N/A N/A</v>
        <stp/>
        <stp>BDP|10987361255870851880</stp>
        <tr r="E45" s="2"/>
      </tp>
      <tp t="s">
        <v>#N/A N/A</v>
        <stp/>
        <stp>BDP|14824868626419019955</stp>
        <tr r="C55" s="2"/>
      </tp>
      <tp t="s">
        <v>#N/A N/A</v>
        <stp/>
        <stp>BDP|10407279580593823771</stp>
        <tr r="D23" s="2"/>
      </tp>
      <tp t="s">
        <v>#N/A N/A</v>
        <stp/>
        <stp>BDP|10264692904769981198</stp>
        <tr r="B75" s="2"/>
      </tp>
      <tp t="s">
        <v>#N/A N/A</v>
        <stp/>
        <stp>BDP|16876109882984447510</stp>
        <tr r="B46" s="2"/>
      </tp>
      <tp t="s">
        <v>#N/A N/A</v>
        <stp/>
        <stp>BDP|10419353402354145940</stp>
        <tr r="C13" s="2"/>
      </tp>
      <tp t="s">
        <v>#N/A N/A</v>
        <stp/>
        <stp>BDP|11136664180523945367</stp>
        <tr r="C44" s="2"/>
      </tp>
      <tp t="s">
        <v>#N/A N/A</v>
        <stp/>
        <stp>BDP|10691565781783928131</stp>
        <tr r="E47" s="2"/>
      </tp>
      <tp t="s">
        <v>#N/A N/A</v>
        <stp/>
        <stp>BDP|16348382496400424379</stp>
        <tr r="D55" s="2"/>
      </tp>
      <tp t="s">
        <v>#N/A N/A</v>
        <stp/>
        <stp>BDP|18369258516015768173</stp>
        <tr r="D75" s="2"/>
      </tp>
      <tp t="s">
        <v>#N/A N/A</v>
        <stp/>
        <stp>BDP|13289138397685396162</stp>
        <tr r="C27" s="2"/>
      </tp>
      <tp t="s">
        <v>#N/A N/A</v>
        <stp/>
        <stp>BDP|13854868421987246240</stp>
        <tr r="D38" s="2"/>
      </tp>
      <tp t="s">
        <v>#N/A N/A</v>
        <stp/>
        <stp>BDP|15803987597629394093</stp>
        <tr r="D65" s="2"/>
      </tp>
      <tp t="s">
        <v>#N/A N/A</v>
        <stp/>
        <stp>BDP|15446003602830477936</stp>
        <tr r="D49" s="2"/>
      </tp>
      <tp t="s">
        <v>#N/A N/A</v>
        <stp/>
        <stp>BDP|12063478670924308923</stp>
        <tr r="B61" s="2"/>
      </tp>
      <tp t="s">
        <v>#N/A N/A</v>
        <stp/>
        <stp>BDP|16030721098995121036</stp>
        <tr r="E52" s="2"/>
      </tp>
      <tp t="s">
        <v>#N/A N/A</v>
        <stp/>
        <stp>BDP|13263884260150669043</stp>
        <tr r="E66" s="2"/>
      </tp>
      <tp t="s">
        <v>#N/A N/A</v>
        <stp/>
        <stp>BDP|12632845469562942387</stp>
        <tr r="D11" s="2"/>
      </tp>
      <tp t="s">
        <v>#N/A N/A</v>
        <stp/>
        <stp>BDP|13118630792608620997</stp>
        <tr r="C49" s="2"/>
      </tp>
      <tp t="s">
        <v>#N/A N/A</v>
        <stp/>
        <stp>BDP|13585375740959705055</stp>
        <tr r="D59" s="2"/>
      </tp>
      <tp t="s">
        <v>#N/A N/A</v>
        <stp/>
        <stp>BDP|16442844870625107112</stp>
        <tr r="D40" s="2"/>
      </tp>
      <tp t="s">
        <v>#N/A N/A</v>
        <stp/>
        <stp>BDP|16235653483766974380</stp>
        <tr r="D70" s="2"/>
      </tp>
      <tp t="s">
        <v>#N/A N/A</v>
        <stp/>
        <stp>BDP|17291957523307171628</stp>
        <tr r="B57" s="2"/>
      </tp>
      <tp t="s">
        <v>#N/A N/A</v>
        <stp/>
        <stp>BDP|13557133558328128290</stp>
        <tr r="C65" s="2"/>
      </tp>
      <tp t="s">
        <v>#N/A N/A</v>
        <stp/>
        <stp>BDP|14891474258447229085</stp>
        <tr r="E42" s="2"/>
      </tp>
      <tp t="s">
        <v>#N/A N/A</v>
        <stp/>
        <stp>BDP|15597007828590717563</stp>
        <tr r="C30" s="2"/>
      </tp>
      <tp t="s">
        <v>#N/A N/A</v>
        <stp/>
        <stp>BDP|12454975919921263991</stp>
        <tr r="C72" s="2"/>
      </tp>
      <tp t="s">
        <v>#N/A N/A</v>
        <stp/>
        <stp>BDP|13639770343180638244</stp>
        <tr r="E37" s="2"/>
      </tp>
      <tp t="s">
        <v>#N/A N/A</v>
        <stp/>
        <stp>BDP|14014845982627106145</stp>
        <tr r="D50" s="2"/>
      </tp>
      <tp t="s">
        <v>#N/A N/A</v>
        <stp/>
        <stp>BDP|17549622833746012668</stp>
        <tr r="E26" s="2"/>
      </tp>
      <tp t="s">
        <v>#N/A N/A</v>
        <stp/>
        <stp>BDP|15477005752512148057</stp>
        <tr r="C35" s="2"/>
      </tp>
      <tp t="s">
        <v>#N/A N/A</v>
        <stp/>
        <stp>BDP|11453235383018156114</stp>
        <tr r="B8" s="2"/>
      </tp>
      <tp t="s">
        <v>#N/A N/A</v>
        <stp/>
        <stp>BDP|15634274548931564088</stp>
        <tr r="E34" s="2"/>
      </tp>
      <tp t="s">
        <v>#N/A N/A</v>
        <stp/>
        <stp>BDP|13603133383531634962</stp>
        <tr r="D16" s="2"/>
      </tp>
      <tp t="s">
        <v>#N/A N/A</v>
        <stp/>
        <stp>BDP|16508460835464513751</stp>
        <tr r="E49" s="2"/>
      </tp>
      <tp t="s">
        <v>#N/A N/A</v>
        <stp/>
        <stp>BDP|13111453156880257192</stp>
        <tr r="B24" s="2"/>
      </tp>
      <tp t="s">
        <v>#N/A N/A</v>
        <stp/>
        <stp>BDP|10750271310542857269</stp>
        <tr r="D63" s="2"/>
      </tp>
      <tp t="s">
        <v>#N/A N/A</v>
        <stp/>
        <stp>BDP|17056467966146746068</stp>
        <tr r="E67" s="2"/>
      </tp>
      <tp t="s">
        <v>#N/A N/A</v>
        <stp/>
        <stp>BDP|10482781299734712930</stp>
        <tr r="D19" s="2"/>
      </tp>
      <tp t="s">
        <v>#N/A N/A</v>
        <stp/>
        <stp>BDP|16577373461459245910</stp>
        <tr r="B39" s="2"/>
      </tp>
      <tp t="s">
        <v>#N/A N/A</v>
        <stp/>
        <stp>BDP|13516633670172362366</stp>
        <tr r="B26" s="2"/>
      </tp>
      <tp t="s">
        <v>#N/A N/A</v>
        <stp/>
        <stp>BDP|17623308324580618561</stp>
        <tr r="C69" s="2"/>
      </tp>
      <tp t="s">
        <v>#N/A N/A</v>
        <stp/>
        <stp>BDP|16664592638500085329</stp>
        <tr r="B40" s="2"/>
      </tp>
      <tp t="s">
        <v>#N/A N/A</v>
        <stp/>
        <stp>BDP|18291140286316251463</stp>
        <tr r="E56" s="2"/>
      </tp>
      <tp t="s">
        <v>#N/A N/A</v>
        <stp/>
        <stp>BDP|16146135260553658102</stp>
        <tr r="E57" s="2"/>
      </tp>
      <tp t="s">
        <v>#N/A N/A</v>
        <stp/>
        <stp>BDP|12023237682142288948</stp>
        <tr r="C56" s="2"/>
      </tp>
      <tp t="s">
        <v>#N/A N/A</v>
        <stp/>
        <stp>BDP|14165915973740248971</stp>
        <tr r="D42" s="2"/>
      </tp>
      <tp t="s">
        <v>#N/A N/A</v>
        <stp/>
        <stp>BDP|14953759036779143920</stp>
        <tr r="C4" s="2"/>
      </tp>
      <tp t="s">
        <v>#N/A N/A</v>
        <stp/>
        <stp>BDP|11778512416105941002</stp>
        <tr r="E32" s="2"/>
      </tp>
      <tp t="s">
        <v>#N/A N/A</v>
        <stp/>
        <stp>BDP|17995313071300172302</stp>
        <tr r="E14" s="2"/>
      </tp>
      <tp t="s">
        <v>#N/A N/A</v>
        <stp/>
        <stp>BDP|16069820729829698554</stp>
        <tr r="B38" s="2"/>
      </tp>
      <tp t="s">
        <v>#N/A N/A</v>
        <stp/>
        <stp>BDP|11429716681577875970</stp>
        <tr r="B12" s="2"/>
      </tp>
      <tp t="s">
        <v>#N/A N/A</v>
        <stp/>
        <stp>BDP|16693649340197762389</stp>
        <tr r="C33" s="2"/>
      </tp>
      <tp t="s">
        <v>#N/A N/A</v>
        <stp/>
        <stp>BDP|10675089193641561858</stp>
        <tr r="D28" s="2"/>
      </tp>
      <tp t="s">
        <v>#N/A N/A</v>
        <stp/>
        <stp>BDP|10803332175835086118</stp>
        <tr r="D27" s="2"/>
      </tp>
      <tp t="s">
        <v>#N/A N/A</v>
        <stp/>
        <stp>BDP|15897685951272920470</stp>
        <tr r="E24" s="2"/>
      </tp>
      <tp t="s">
        <v>#N/A N/A</v>
        <stp/>
        <stp>BDP|10269757881619526624</stp>
        <tr r="B27" s="2"/>
      </tp>
      <tp t="s">
        <v>#N/A N/A</v>
        <stp/>
        <stp>BDP|13274712923433304535</stp>
        <tr r="D33" s="2"/>
      </tp>
      <tp t="s">
        <v>#N/A N/A</v>
        <stp/>
        <stp>BDP|13473292448293060664</stp>
        <tr r="D52" s="2"/>
      </tp>
      <tp t="s">
        <v>#N/A N/A</v>
        <stp/>
        <stp>BDP|15942187262766734472</stp>
        <tr r="E48" s="2"/>
      </tp>
      <tp t="s">
        <v>#N/A N/A</v>
        <stp/>
        <stp>BDP|12614478743403130112</stp>
        <tr r="E27" s="2"/>
      </tp>
      <tp t="s">
        <v>#N/A N/A</v>
        <stp/>
        <stp>BDP|15676625618193660185</stp>
        <tr r="B5" s="2"/>
      </tp>
      <tp t="s">
        <v>#N/A N/A</v>
        <stp/>
        <stp>BDP|14062115393759376552</stp>
        <tr r="D6" s="2"/>
      </tp>
      <tp t="s">
        <v>#N/A N/A</v>
        <stp/>
        <stp>BDP|15917179578381732276</stp>
        <tr r="C71" s="2"/>
      </tp>
      <tp t="s">
        <v>#N/A N/A</v>
        <stp/>
        <stp>BDP|13745921928709307180</stp>
        <tr r="B33" s="2"/>
      </tp>
      <tp t="s">
        <v>#N/A N/A</v>
        <stp/>
        <stp>BDP|10272231138753718343</stp>
        <tr r="E15" s="2"/>
      </tp>
      <tp t="s">
        <v>#N/A N/A</v>
        <stp/>
        <stp>BDP|13599780666777275453</stp>
        <tr r="E29" s="2"/>
      </tp>
      <tp t="s">
        <v>#N/A N/A</v>
        <stp/>
        <stp>BDP|14152843368923293831</stp>
        <tr r="B13" s="2"/>
      </tp>
      <tp t="s">
        <v>#N/A N/A</v>
        <stp/>
        <stp>BDP|10423374936852892328</stp>
        <tr r="C16" s="2"/>
      </tp>
      <tp t="s">
        <v>#N/A N/A</v>
        <stp/>
        <stp>BDP|16589725759286171307</stp>
        <tr r="B59" s="2"/>
      </tp>
      <tp t="s">
        <v>#N/A N/A</v>
        <stp/>
        <stp>BDP|10747677739032565624</stp>
        <tr r="C5" s="2"/>
      </tp>
      <tp t="s">
        <v>#N/A N/A</v>
        <stp/>
        <stp>BDP|14602431827132448184</stp>
        <tr r="D21" s="2"/>
      </tp>
      <tp t="s">
        <v>#N/A N/A</v>
        <stp/>
        <stp>BDP|12652319123730693222</stp>
        <tr r="D35" s="2"/>
      </tp>
      <tp t="s">
        <v>#N/A N/A</v>
        <stp/>
        <stp>BDP|15893460169186125020</stp>
        <tr r="D62" s="2"/>
      </tp>
      <tp t="s">
        <v>#N/A N/A</v>
        <stp/>
        <stp>BDP|11814899985034957497</stp>
        <tr r="C32" s="2"/>
      </tp>
      <tp t="s">
        <v>#N/A N/A</v>
        <stp/>
        <stp>BDP|15867039028416492033</stp>
        <tr r="E64" s="2"/>
      </tp>
      <tp t="s">
        <v>#N/A N/A</v>
        <stp/>
        <stp>BDP|12194488078527677732</stp>
        <tr r="B30" s="2"/>
      </tp>
      <tp t="s">
        <v>#N/A N/A</v>
        <stp/>
        <stp>BDP|12436937277144469938</stp>
        <tr r="B72" s="2"/>
      </tp>
      <tp t="s">
        <v>#N/A N/A</v>
        <stp/>
        <stp>BDP|16783123330686100337</stp>
        <tr r="B65" s="2"/>
      </tp>
      <tp t="s">
        <v>#N/A N/A</v>
        <stp/>
        <stp>BDP|14687055074205670084</stp>
        <tr r="C38" s="2"/>
      </tp>
      <tp t="s">
        <v>#N/A N/A</v>
        <stp/>
        <stp>BDP|14653017964632948618</stp>
        <tr r="B20" s="2"/>
      </tp>
      <tp t="s">
        <v>#N/A N/A</v>
        <stp/>
        <stp>BDP|16007518375327740591</stp>
        <tr r="D8" s="2"/>
      </tp>
      <tp t="s">
        <v>#N/A N/A</v>
        <stp/>
        <stp>BDP|12666396752457795552</stp>
        <tr r="E7" s="2"/>
      </tp>
      <tp t="s">
        <v>#N/A N/A</v>
        <stp/>
        <stp>BDP|14039385760617095084</stp>
        <tr r="E16" s="2"/>
      </tp>
      <tp t="s">
        <v>#N/A N/A</v>
        <stp/>
        <stp>BDP|14013920570439676560</stp>
        <tr r="B67" s="2"/>
      </tp>
      <tp t="s">
        <v>#N/A N/A</v>
        <stp/>
        <stp>BDP|13185607366566779350</stp>
        <tr r="D39" s="2"/>
      </tp>
      <tp t="s">
        <v>#N/A N/A</v>
        <stp/>
        <stp>BDP|15561439635516512219</stp>
        <tr r="D45" s="2"/>
      </tp>
      <tp t="s">
        <v>#N/A N/A</v>
        <stp/>
        <stp>BDP|14733031014742961007</stp>
        <tr r="C8" s="2"/>
      </tp>
      <tp t="s">
        <v>#N/A N/A</v>
        <stp/>
        <stp>BDP|14572299095448969081</stp>
        <tr r="E3" s="2"/>
      </tp>
      <tp t="s">
        <v>#N/A N/A</v>
        <stp/>
        <stp>BDP|10083981780053079560</stp>
        <tr r="C45" s="2"/>
      </tp>
      <tp t="s">
        <v>#N/A N/A</v>
        <stp/>
        <stp>BDP|14487411839924763054</stp>
        <tr r="E4" s="2"/>
      </tp>
      <tp t="s">
        <v>#N/A N/A</v>
        <stp/>
        <stp>BDP|11776286819364762114</stp>
        <tr r="E36" s="2"/>
      </tp>
      <tp t="s">
        <v>#N/A N/A</v>
        <stp/>
        <stp>BDP|14861011150071906735</stp>
        <tr r="B11" s="2"/>
      </tp>
      <tp t="s">
        <v>#N/A N/A</v>
        <stp/>
        <stp>BDP|10360816555308247260</stp>
        <tr r="B14" s="2"/>
      </tp>
      <tp t="s">
        <v>#N/A N/A</v>
        <stp/>
        <stp>BDP|14053516821313730759</stp>
        <tr r="C18" s="2"/>
      </tp>
      <tp t="s">
        <v>#N/A N/A</v>
        <stp/>
        <stp>BDP|18203473242007711821</stp>
        <tr r="B66" s="2"/>
      </tp>
      <tp t="s">
        <v>#N/A N/A</v>
        <stp/>
        <stp>BDP|13177789821378396996</stp>
        <tr r="D17" s="2"/>
      </tp>
      <tp t="s">
        <v>#N/A N/A</v>
        <stp/>
        <stp>BDP|10150659539505885737</stp>
        <tr r="D29" s="2"/>
      </tp>
      <tp t="s">
        <v>#N/A N/A</v>
        <stp/>
        <stp>BDP|13099691233833439116</stp>
        <tr r="E54" s="2"/>
      </tp>
      <tp t="s">
        <v>#N/A N/A</v>
        <stp/>
        <stp>BDP|15230815883669181813</stp>
        <tr r="E9" s="2"/>
      </tp>
      <tp t="s">
        <v>#N/A N/A</v>
        <stp/>
        <stp>BDP|11892492511549580960</stp>
        <tr r="D71" s="2"/>
      </tp>
      <tp t="s">
        <v>#N/A N/A</v>
        <stp/>
        <stp>BDP|16927110523032918316</stp>
        <tr r="C42" s="2"/>
      </tp>
      <tp t="s">
        <v>#N/A N/A</v>
        <stp/>
        <stp>BDP|12323347443243910285</stp>
        <tr r="B42" s="2"/>
      </tp>
      <tp t="s">
        <v>#N/A N/A</v>
        <stp/>
        <stp>BDP|12937208163041440271</stp>
        <tr r="D64" s="2"/>
      </tp>
      <tp t="s">
        <v>#N/A N/A</v>
        <stp/>
        <stp>BDP|11679412115155270496</stp>
        <tr r="D13" s="2"/>
      </tp>
      <tp t="s">
        <v>#N/A N/A</v>
        <stp/>
        <stp>BDP|11802173925890273735</stp>
        <tr r="B7" s="2"/>
      </tp>
      <tp t="s">
        <v>#N/A N/A</v>
        <stp/>
        <stp>BDP|16458632810033588793</stp>
        <tr r="C51" s="2"/>
      </tp>
      <tp t="s">
        <v>#N/A N/A</v>
        <stp/>
        <stp>BDP|17156849389582441051</stp>
        <tr r="E30" s="2"/>
      </tp>
      <tp t="s">
        <v>#N/A N/A</v>
        <stp/>
        <stp>BDP|14105666269900299138</stp>
        <tr r="E38" s="2"/>
      </tp>
      <tp t="s">
        <v>#N/A N/A</v>
        <stp/>
        <stp>BDP|18390584991385312474</stp>
        <tr r="B48" s="2"/>
      </tp>
      <tp t="s">
        <v>#N/A N/A</v>
        <stp/>
        <stp>BDP|14848880794078972830</stp>
        <tr r="C14" s="2"/>
      </tp>
      <tp t="s">
        <v>#N/A N/A</v>
        <stp/>
        <stp>BDP|10101572877917058016</stp>
        <tr r="E62" s="2"/>
      </tp>
      <tp t="s">
        <v>#N/A N/A</v>
        <stp/>
        <stp>BDP|15045508431614100232</stp>
        <tr r="B41" s="2"/>
      </tp>
      <tp t="s">
        <v>#N/A N/A</v>
        <stp/>
        <stp>BDP|17267336500615454408</stp>
        <tr r="D47" s="2"/>
      </tp>
      <tp t="s">
        <v>#N/A N/A</v>
        <stp/>
        <stp>BDP|15408126811250341014</stp>
        <tr r="E59" s="2"/>
      </tp>
      <tp t="s">
        <v>#N/A N/A</v>
        <stp/>
        <stp>BDP|13966567127500544195</stp>
        <tr r="C37" s="2"/>
      </tp>
      <tp t="s">
        <v>#N/A N/A</v>
        <stp/>
        <stp>BDP|12336810355653558940</stp>
        <tr r="C21" s="2"/>
      </tp>
      <tp t="s">
        <v>#N/A N/A</v>
        <stp/>
        <stp>BDP|17429126304191527217</stp>
        <tr r="B19" s="2"/>
      </tp>
    </main>
    <main first="bofaddin.rtdserver">
      <tp t="s">
        <v>#N/A N/A</v>
        <stp/>
        <stp>BDP|8713495949431788581</stp>
        <tr r="B34" s="2"/>
      </tp>
      <tp t="s">
        <v>#N/A N/A</v>
        <stp/>
        <stp>BDP|4698356905479891266</stp>
        <tr r="D9" s="2"/>
      </tp>
      <tp t="s">
        <v>#N/A N/A</v>
        <stp/>
        <stp>BDP|5792587990810658503</stp>
        <tr r="D51" s="2"/>
      </tp>
      <tp t="s">
        <v>#N/A N/A</v>
        <stp/>
        <stp>BDP|3534580100622847886</stp>
        <tr r="C46" s="2"/>
      </tp>
      <tp t="s">
        <v>#N/A N/A</v>
        <stp/>
        <stp>BDP|2665573817253622920</stp>
        <tr r="D14" s="2"/>
      </tp>
      <tp t="s">
        <v>#N/A N/A</v>
        <stp/>
        <stp>BDP|2711478493696333538</stp>
        <tr r="D57" s="2"/>
      </tp>
      <tp t="s">
        <v>#N/A N/A</v>
        <stp/>
        <stp>BDP|1031130026928489600</stp>
        <tr r="E63" s="2"/>
      </tp>
      <tp t="s">
        <v>#N/A N/A</v>
        <stp/>
        <stp>BDP|1907154698284266100</stp>
        <tr r="B56" s="2"/>
      </tp>
      <tp t="s">
        <v>#N/A N/A</v>
        <stp/>
        <stp>BDP|2854793596987660766</stp>
        <tr r="B50" s="2"/>
      </tp>
      <tp t="s">
        <v>#N/A N/A</v>
        <stp/>
        <stp>BDP|7798063394973269135</stp>
        <tr r="B45" s="2"/>
      </tp>
      <tp t="s">
        <v>#N/A N/A</v>
        <stp/>
        <stp>BDP|8953103547915734557</stp>
        <tr r="E60" s="2"/>
      </tp>
      <tp t="s">
        <v>#N/A N/A</v>
        <stp/>
        <stp>BDP|5352872685421555985</stp>
        <tr r="C63" s="2"/>
      </tp>
      <tp t="s">
        <v>#N/A N/A</v>
        <stp/>
        <stp>BDP|8286647288242485962</stp>
        <tr r="E75" s="2"/>
      </tp>
      <tp t="s">
        <v>#N/A N/A</v>
        <stp/>
        <stp>BDP|9836444336965385645</stp>
        <tr r="E71" s="2"/>
      </tp>
      <tp t="s">
        <v>#N/A N/A</v>
        <stp/>
        <stp>BDP|5257905440886823392</stp>
        <tr r="B60" s="2"/>
      </tp>
      <tp t="s">
        <v>#N/A N/A</v>
        <stp/>
        <stp>BDP|1131436405571458930</stp>
        <tr r="C60" s="2"/>
      </tp>
      <tp t="s">
        <v>#N/A N/A</v>
        <stp/>
        <stp>BDP|6987248060436572994</stp>
        <tr r="D61" s="2"/>
      </tp>
      <tp t="s">
        <v>#N/A N/A</v>
        <stp/>
        <stp>BDP|3851252309795032934</stp>
        <tr r="E11" s="2"/>
      </tp>
      <tp t="s">
        <v>#N/A N/A</v>
        <stp/>
        <stp>BDP|7458998105124685444</stp>
        <tr r="B25" s="2"/>
      </tp>
      <tp t="s">
        <v>#N/A N/A</v>
        <stp/>
        <stp>BDP|2582851703793230799</stp>
        <tr r="E68" s="2"/>
      </tp>
      <tp t="s">
        <v>#N/A N/A</v>
        <stp/>
        <stp>BDP|2274286460218666001</stp>
        <tr r="D67" s="2"/>
      </tp>
      <tp t="s">
        <v>#N/A N/A</v>
        <stp/>
        <stp>BDP|9672072377442736237</stp>
        <tr r="B53" s="2"/>
      </tp>
      <tp t="s">
        <v>#N/A N/A</v>
        <stp/>
        <stp>BDP|8710776675712158443</stp>
        <tr r="D30" s="2"/>
      </tp>
      <tp t="s">
        <v>#N/A N/A</v>
        <stp/>
        <stp>BDP|9988882228955905816</stp>
        <tr r="C64" s="2"/>
      </tp>
      <tp t="s">
        <v>#N/A N/A</v>
        <stp/>
        <stp>BDP|9900713808551085160</stp>
        <tr r="E23" s="2"/>
      </tp>
      <tp t="s">
        <v>#N/A N/A</v>
        <stp/>
        <stp>BDP|2456797979094639854</stp>
        <tr r="E33" s="2"/>
      </tp>
      <tp t="s">
        <v>#N/A N/A</v>
        <stp/>
        <stp>BDP|2864456670969028773</stp>
        <tr r="C24" s="2"/>
      </tp>
      <tp t="s">
        <v>#N/A N/A</v>
        <stp/>
        <stp>BDP|9177388221932641547</stp>
        <tr r="E2" s="2"/>
      </tp>
      <tp t="s">
        <v>#N/A N/A</v>
        <stp/>
        <stp>BDP|3721425921612977864</stp>
        <tr r="C7" s="2"/>
      </tp>
      <tp t="s">
        <v>#N/A N/A</v>
        <stp/>
        <stp>BDP|5070584598960861679</stp>
        <tr r="E28" s="2"/>
      </tp>
      <tp t="s">
        <v>#N/A N/A</v>
        <stp/>
        <stp>BDP|7634672393285799250</stp>
        <tr r="C50" s="2"/>
      </tp>
      <tp t="s">
        <v>#N/A N/A</v>
        <stp/>
        <stp>BDP|5763001293095569603</stp>
        <tr r="D31" s="2"/>
      </tp>
      <tp t="s">
        <v>#N/A N/A</v>
        <stp/>
        <stp>BDP|8800652671006355099</stp>
        <tr r="C10" s="2"/>
      </tp>
      <tp t="s">
        <v>#N/A N/A</v>
        <stp/>
        <stp>BDP|1682698399155535468</stp>
        <tr r="D68" s="2"/>
      </tp>
      <tp t="s">
        <v>#N/A N/A</v>
        <stp/>
        <stp>BDP|5491870969435773672</stp>
        <tr r="D58" s="2"/>
      </tp>
      <tp t="s">
        <v>#N/A N/A</v>
        <stp/>
        <stp>BDP|1280284492274711652</stp>
        <tr r="D22" s="2"/>
      </tp>
      <tp t="s">
        <v>#N/A N/A</v>
        <stp/>
        <stp>BDP|3518528192093778493</stp>
        <tr r="B43" s="2"/>
      </tp>
      <tp t="s">
        <v>#N/A N/A</v>
        <stp/>
        <stp>BDP|4217345198100756610</stp>
        <tr r="C62" s="2"/>
      </tp>
      <tp t="s">
        <v>#N/A N/A</v>
        <stp/>
        <stp>BDP|9034296606155130673</stp>
        <tr r="B71" s="2"/>
      </tp>
      <tp t="s">
        <v>#N/A N/A</v>
        <stp/>
        <stp>BDP|8593592976681695331</stp>
        <tr r="B63" s="2"/>
      </tp>
      <tp t="s">
        <v>#N/A N/A</v>
        <stp/>
        <stp>BDP|4517338386931153632</stp>
        <tr r="B15" s="2"/>
      </tp>
      <tp t="s">
        <v>#N/A N/A</v>
        <stp/>
        <stp>BDP|6068242315604359937</stp>
        <tr r="B22" s="2"/>
      </tp>
      <tp t="s">
        <v>#N/A N/A</v>
        <stp/>
        <stp>BDP|5355052597301305555</stp>
        <tr r="D20" s="2"/>
      </tp>
      <tp t="s">
        <v>#N/A N/A</v>
        <stp/>
        <stp>BDP|8352230673935064072</stp>
        <tr r="D73" s="2"/>
      </tp>
      <tp t="s">
        <v>#N/A N/A</v>
        <stp/>
        <stp>BDP|2537266524958898374</stp>
        <tr r="C34" s="2"/>
      </tp>
      <tp t="s">
        <v>#N/A N/A</v>
        <stp/>
        <stp>BDP|8216482263067553426</stp>
        <tr r="D54" s="2"/>
      </tp>
      <tp t="s">
        <v>#N/A N/A</v>
        <stp/>
        <stp>BDP|8848194409741645199</stp>
        <tr r="B47" s="2"/>
      </tp>
      <tp t="s">
        <v>#N/A N/A</v>
        <stp/>
        <stp>BDP|4729876838133772582</stp>
        <tr r="E46" s="2"/>
      </tp>
      <tp t="s">
        <v>#N/A N/A</v>
        <stp/>
        <stp>BDP|2684948660512508605</stp>
        <tr r="D25" s="2"/>
      </tp>
      <tp t="s">
        <v>#N/A N/A</v>
        <stp/>
        <stp>BDP|1171832887378362032</stp>
        <tr r="E44" s="2"/>
      </tp>
      <tp t="s">
        <v>#N/A N/A</v>
        <stp/>
        <stp>BDP|6520089990144486103</stp>
        <tr r="C74" s="2"/>
      </tp>
      <tp t="s">
        <v>#N/A N/A</v>
        <stp/>
        <stp>BDP|3314666075180657891</stp>
        <tr r="D34" s="2"/>
      </tp>
      <tp t="s">
        <v>#N/A N/A</v>
        <stp/>
        <stp>BDP|4810732281038659933</stp>
        <tr r="E50" s="2"/>
      </tp>
      <tp t="s">
        <v>#N/A N/A</v>
        <stp/>
        <stp>BDP|8702403679373246205</stp>
        <tr r="E55" s="2"/>
      </tp>
      <tp t="s">
        <v>#N/A N/A</v>
        <stp/>
        <stp>BDP|4428864904090515617</stp>
        <tr r="B64" s="2"/>
      </tp>
      <tp t="s">
        <v>#N/A N/A</v>
        <stp/>
        <stp>BDP|6065104524519102642</stp>
        <tr r="D36" s="2"/>
      </tp>
      <tp t="s">
        <v>#N/A N/A</v>
        <stp/>
        <stp>BDP|3658514134727299876</stp>
        <tr r="E18" s="2"/>
      </tp>
      <tp t="s">
        <v>#N/A N/A</v>
        <stp/>
        <stp>BDP|4224205385315770168</stp>
        <tr r="D44" s="2"/>
      </tp>
      <tp t="s">
        <v>#N/A N/A</v>
        <stp/>
        <stp>BDP|2519983610596323698</stp>
        <tr r="E10" s="2"/>
      </tp>
      <tp t="s">
        <v>#N/A N/A</v>
        <stp/>
        <stp>BDP|1986763009509156506</stp>
        <tr r="E58" s="2"/>
      </tp>
      <tp t="s">
        <v>#N/A N/A</v>
        <stp/>
        <stp>BDP|5675321596353636604</stp>
        <tr r="C39" s="2"/>
      </tp>
      <tp t="s">
        <v>#N/A N/A</v>
        <stp/>
        <stp>BDP|8370054554496473122</stp>
        <tr r="C29" s="2"/>
      </tp>
      <tp t="s">
        <v>#N/A N/A</v>
        <stp/>
        <stp>BDP|7966029711135647998</stp>
        <tr r="E65" s="2"/>
      </tp>
      <tp t="s">
        <v>#N/A N/A</v>
        <stp/>
        <stp>BDP|6510177379063125801</stp>
        <tr r="D56" s="2"/>
      </tp>
      <tp t="s">
        <v>#N/A N/A</v>
        <stp/>
        <stp>BDP|8945532223483113725</stp>
        <tr r="C53" s="2"/>
      </tp>
      <tp t="s">
        <v>#N/A N/A</v>
        <stp/>
        <stp>BDP|9255128932212283206</stp>
        <tr r="B68" s="2"/>
      </tp>
      <tp t="s">
        <v>#N/A N/A</v>
        <stp/>
        <stp>BDP|5326307620448712756</stp>
        <tr r="E6" s="2"/>
      </tp>
      <tp t="s">
        <v>#N/A N/A</v>
        <stp/>
        <stp>BDP|3523448446109334101</stp>
        <tr r="E41" s="2"/>
      </tp>
      <tp t="s">
        <v>#N/A N/A</v>
        <stp/>
        <stp>BDP|6276068281374043101</stp>
        <tr r="D53" s="2"/>
      </tp>
      <tp t="s">
        <v>#N/A N/A</v>
        <stp/>
        <stp>BDP|6380953975229015595</stp>
        <tr r="D3" s="2"/>
      </tp>
      <tp t="s">
        <v>#N/A N/A</v>
        <stp/>
        <stp>BDP|1597932679129526206</stp>
        <tr r="C68" s="2"/>
      </tp>
      <tp t="s">
        <v>#N/A N/A</v>
        <stp/>
        <stp>BDP|1916259433183586719</stp>
        <tr r="E39" s="2"/>
      </tp>
      <tp t="s">
        <v>#N/A N/A</v>
        <stp/>
        <stp>BDP|5968660006387757054</stp>
        <tr r="C36" s="2"/>
      </tp>
      <tp t="s">
        <v>#N/A N/A</v>
        <stp/>
        <stp>BDP|7202744624395495384</stp>
        <tr r="E19" s="2"/>
      </tp>
      <tp t="s">
        <v>#N/A N/A</v>
        <stp/>
        <stp>BDP|8005968762331910214</stp>
        <tr r="E35" s="2"/>
      </tp>
      <tp t="s">
        <v>#N/A N/A</v>
        <stp/>
        <stp>BDP|1219032962352478109</stp>
        <tr r="D37" s="2"/>
      </tp>
      <tp t="s">
        <v>#N/A N/A</v>
        <stp/>
        <stp>BDP|8483374933334028859</stp>
        <tr r="D4" s="2"/>
      </tp>
      <tp t="s">
        <v>#N/A N/A</v>
        <stp/>
        <stp>BDP|2192128489367611960</stp>
        <tr r="C15" s="2"/>
      </tp>
      <tp t="s">
        <v>#N/A N/A</v>
        <stp/>
        <stp>BDP|2734653568580681770</stp>
        <tr r="B17" s="2"/>
      </tp>
      <tp t="s">
        <v>#N/A N/A</v>
        <stp/>
        <stp>BDP|9578319992204110212</stp>
        <tr r="C67" s="2"/>
      </tp>
      <tp t="s">
        <v>#N/A N/A</v>
        <stp/>
        <stp>BDP|1266801735397388837</stp>
        <tr r="E74" s="2"/>
      </tp>
      <tp t="s">
        <v>#N/A N/A</v>
        <stp/>
        <stp>BDP|8889482633373162959</stp>
        <tr r="B36" s="2"/>
      </tp>
      <tp t="s">
        <v>#N/A N/A</v>
        <stp/>
        <stp>BDP|5269627223500124469</stp>
        <tr r="E40" s="2"/>
      </tp>
      <tp t="s">
        <v>#N/A N/A</v>
        <stp/>
        <stp>BDP|6059202604755828771</stp>
        <tr r="D10" s="2"/>
      </tp>
      <tp t="s">
        <v>#N/A N/A</v>
        <stp/>
        <stp>BDP|7920033181659740040</stp>
        <tr r="B35" s="2"/>
      </tp>
      <tp t="s">
        <v>#N/A N/A</v>
        <stp/>
        <stp>BDP|8751640798517285659</stp>
        <tr r="C58" s="2"/>
      </tp>
      <tp t="s">
        <v>#N/A N/A</v>
        <stp/>
        <stp>BDP|8291489729398607073</stp>
        <tr r="C28" s="2"/>
      </tp>
      <tp t="s">
        <v>#N/A N/A</v>
        <stp/>
        <stp>BDP|5014616539154994227</stp>
        <tr r="B74" s="2"/>
      </tp>
      <tp t="s">
        <v>#N/A N/A</v>
        <stp/>
        <stp>BDP|7310054753796759221</stp>
        <tr r="C23" s="2"/>
      </tp>
      <tp t="s">
        <v>#N/A N/A</v>
        <stp/>
        <stp>BDP|5400651147044815591</stp>
        <tr r="E20" s="2"/>
      </tp>
      <tp t="s">
        <v>#N/A N/A</v>
        <stp/>
        <stp>BDP|2295362260388688955</stp>
        <tr r="E17" s="2"/>
      </tp>
      <tp t="s">
        <v>#N/A N/A</v>
        <stp/>
        <stp>BDP|2371044523881283736</stp>
        <tr r="C12" s="2"/>
      </tp>
      <tp t="s">
        <v>#N/A N/A</v>
        <stp/>
        <stp>BDP|5633673829990592786</stp>
        <tr r="C61" s="2"/>
      </tp>
      <tp t="s">
        <v>#N/A N/A</v>
        <stp/>
        <stp>BDP|4866646545258141919</stp>
        <tr r="B70" s="2"/>
      </tp>
      <tp t="s">
        <v>#N/A N/A</v>
        <stp/>
        <stp>BDP|8767159135549962400</stp>
        <tr r="C70" s="2"/>
      </tp>
      <tp t="s">
        <v>#N/A N/A</v>
        <stp/>
        <stp>BDP|4277089763694420120</stp>
        <tr r="B21" s="2"/>
      </tp>
      <tp t="s">
        <v>#N/A N/A</v>
        <stp/>
        <stp>BDP|6024075626293453097</stp>
        <tr r="D2" s="2"/>
      </tp>
      <tp t="s">
        <v>#N/A N/A</v>
        <stp/>
        <stp>BDP|2670774238879129898</stp>
        <tr r="D32" s="2"/>
      </tp>
      <tp t="s">
        <v>#N/A N/A</v>
        <stp/>
        <stp>BDP|9953191913166097867</stp>
        <tr r="D46" s="2"/>
      </tp>
      <tp t="s">
        <v>#N/A N/A</v>
        <stp/>
        <stp>BDP|2201711459610622066</stp>
        <tr r="B69" s="2"/>
      </tp>
      <tp t="s">
        <v>#N/A N/A</v>
        <stp/>
        <stp>BDP|1776239239319487944</stp>
        <tr r="B37" s="2"/>
      </tp>
      <tp t="s">
        <v>#N/A N/A</v>
        <stp/>
        <stp>BDP|6551444669456474217</stp>
        <tr r="B76" s="2"/>
      </tp>
      <tp t="s">
        <v>#N/A N/A</v>
        <stp/>
        <stp>BDP|5246301347716551421</stp>
        <tr r="C25" s="2"/>
      </tp>
      <tp t="s">
        <v>#N/A N/A</v>
        <stp/>
        <stp>BDP|9039524991746220321</stp>
        <tr r="B55" s="2"/>
      </tp>
      <tp t="s">
        <v>#N/A N/A</v>
        <stp/>
        <stp>BDP|6473464354980689743</stp>
        <tr r="C66" s="2"/>
      </tp>
      <tp t="s">
        <v>#N/A N/A</v>
        <stp/>
        <stp>BDP|4705124115833243773</stp>
        <tr r="E70" s="2"/>
      </tp>
      <tp t="s">
        <v>#N/A N/A</v>
        <stp/>
        <stp>BDP|1350349479711283570</stp>
        <tr r="B62" s="2"/>
      </tp>
      <tp t="s">
        <v>#N/A N/A</v>
        <stp/>
        <stp>BDP|7005240058009357834</stp>
        <tr r="C11" s="2"/>
      </tp>
      <tp t="s">
        <v>#N/A N/A</v>
        <stp/>
        <stp>BDP|9039032780444469456</stp>
        <tr r="E73" s="2"/>
      </tp>
      <tp t="s">
        <v>#N/A N/A</v>
        <stp/>
        <stp>BDP|9774176603690109956</stp>
        <tr r="E53" s="2"/>
      </tp>
      <tp t="s">
        <v>#N/A N/A</v>
        <stp/>
        <stp>BDP|2123439518031205467</stp>
        <tr r="C31" s="2"/>
      </tp>
      <tp t="s">
        <v>#N/A N/A</v>
        <stp/>
        <stp>BDP|5010234771197987548</stp>
        <tr r="D5" s="2"/>
      </tp>
      <tp t="s">
        <v>#N/A N/A</v>
        <stp/>
        <stp>BDP|7723617519097276526</stp>
        <tr r="B31" s="2"/>
      </tp>
      <tp t="s">
        <v>#N/A N/A</v>
        <stp/>
        <stp>BDP|2049197164300657743</stp>
        <tr r="B29" s="2"/>
      </tp>
      <tp t="s">
        <v>#N/A N/A</v>
        <stp/>
        <stp>BDP|2482333159844139233</stp>
        <tr r="E43" s="2"/>
      </tp>
      <tp t="s">
        <v>#N/A N/A</v>
        <stp/>
        <stp>BDP|6859047124882405493</stp>
        <tr r="D18" s="2"/>
      </tp>
      <tp t="s">
        <v>#N/A N/A</v>
        <stp/>
        <stp>BDP|6915317508790593703</stp>
        <tr r="C6" s="2"/>
      </tp>
      <tp t="s">
        <v>#N/A N/A</v>
        <stp/>
        <stp>BDP|5125861633094344821</stp>
        <tr r="C73" s="2"/>
      </tp>
      <tp t="s">
        <v>#N/A N/A</v>
        <stp/>
        <stp>BDP|2806972284335909589</stp>
        <tr r="B52" s="2"/>
      </tp>
      <tp t="s">
        <v>#N/A N/A</v>
        <stp/>
        <stp>BDP|1927275397968103133</stp>
        <tr r="B4" s="2"/>
      </tp>
      <tp t="s">
        <v>#N/A N/A</v>
        <stp/>
        <stp>BDP|3130035419240254100</stp>
        <tr r="C19" s="2"/>
      </tp>
      <tp t="s">
        <v>#N/A N/A</v>
        <stp/>
        <stp>BDP|2652912320823219996</stp>
        <tr r="C75" s="2"/>
      </tp>
      <tp t="s">
        <v>#N/A N/A</v>
        <stp/>
        <stp>BDP|3359219370482853771</stp>
        <tr r="D72" s="2"/>
      </tp>
      <tp t="s">
        <v>#N/A N/A</v>
        <stp/>
        <stp>BDP|7562093600350479456</stp>
        <tr r="C43" s="2"/>
      </tp>
      <tp t="s">
        <v>#N/A N/A</v>
        <stp/>
        <stp>BDP|1628851345606093852</stp>
        <tr r="B73" s="2"/>
      </tp>
      <tp t="s">
        <v>#N/A N/A</v>
        <stp/>
        <stp>BDP|6642785568216718224</stp>
        <tr r="B49" s="2"/>
      </tp>
      <tp t="s">
        <v>#N/A N/A</v>
        <stp/>
        <stp>BDP|9814091221491734977</stp>
        <tr r="D69" s="2"/>
      </tp>
      <tp t="s">
        <v>#N/A N/A</v>
        <stp/>
        <stp>BDP|7710437447262583668</stp>
        <tr r="B3" s="2"/>
      </tp>
      <tp t="s">
        <v>#N/A N/A</v>
        <stp/>
        <stp>BDP|9095001446227325942</stp>
        <tr r="D12" s="2"/>
      </tp>
      <tp t="s">
        <v>#N/A N/A</v>
        <stp/>
        <stp>BDP|3044644206653664521</stp>
        <tr r="E76" s="2"/>
      </tp>
      <tp t="s">
        <v>#N/A N/A</v>
        <stp/>
        <stp>BDP|4308694501364995573</stp>
        <tr r="C9" s="2"/>
      </tp>
      <tp t="s">
        <v>#N/A N/A</v>
        <stp/>
        <stp>BDP|7658218836443695623</stp>
        <tr r="B44" s="2"/>
      </tp>
      <tp t="s">
        <v>#N/A N/A</v>
        <stp/>
        <stp>BDP|95262489563820222</stp>
        <tr r="D60" s="2"/>
      </tp>
      <tp t="s">
        <v>#N/A N/A</v>
        <stp/>
        <stp>BDP|108602330455649521</stp>
        <tr r="D48" s="2"/>
      </tp>
      <tp t="s">
        <v>#N/A N/A</v>
        <stp/>
        <stp>BDP|455032241905692462</stp>
        <tr r="C57" s="2"/>
      </tp>
      <tp t="s">
        <v>#N/A N/A</v>
        <stp/>
        <stp>BDP|690991872633046936</stp>
        <tr r="E12" s="2"/>
      </tp>
      <tp t="s">
        <v>#N/A N/A</v>
        <stp/>
        <stp>BDP|447670140125000069</stp>
        <tr r="C52" s="2"/>
      </tp>
      <tp t="s">
        <v>#N/A N/A</v>
        <stp/>
        <stp>BDP|941792777918300944</stp>
        <tr r="E25" s="2"/>
      </tp>
      <tp t="s">
        <v>#N/A N/A</v>
        <stp/>
        <stp>BDP|127689349327208514</stp>
        <tr r="B10" s="2"/>
      </tp>
      <tp t="s">
        <v>#N/A N/A</v>
        <stp/>
        <stp>BDP|769342099951620943</stp>
        <tr r="E61" s="2"/>
      </tp>
      <tp t="s">
        <v>#N/A N/A</v>
        <stp/>
        <stp>BDP|687151172414511013</stp>
        <tr r="D66" s="2"/>
      </tp>
      <tp t="s">
        <v>#N/A N/A</v>
        <stp/>
        <stp>BDP|743167243363732983</stp>
        <tr r="D76" s="2"/>
      </tp>
      <tp t="s">
        <v>#N/A N/A</v>
        <stp/>
        <stp>BDP|144863417501208680</stp>
        <tr r="C2" s="2"/>
      </tp>
      <tp t="s">
        <v>#N/A N/A</v>
        <stp/>
        <stp>BDP|392496892111701294</stp>
        <tr r="B28" s="2"/>
      </tp>
      <tp t="s">
        <v>#N/A N/A</v>
        <stp/>
        <stp>BDP|324355571469522528</stp>
        <tr r="B6" s="2"/>
      </tp>
      <tp t="s">
        <v>#N/A N/A</v>
        <stp/>
        <stp>BDP|469536101116260814</stp>
        <tr r="B32" s="2"/>
      </tp>
      <tp t="s">
        <v>#N/A N/A</v>
        <stp/>
        <stp>BDP|248179066574750914</stp>
        <tr r="E51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/>
  </sheetViews>
  <sheetFormatPr defaultRowHeight="15" x14ac:dyDescent="0.25"/>
  <cols>
    <col min="1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tr">
        <f>_xll.BDP("APT AU Equity", "NAME")</f>
        <v>AFTERPAY LTD</v>
      </c>
      <c r="C2">
        <f>_xll.BDP("APT AU Equity", "PX_LAST")</f>
        <v>107.19</v>
      </c>
      <c r="D2">
        <f>_xll.BDP("APT AU Equity", "CHG_PCT_1D")</f>
        <v>-3.606115</v>
      </c>
      <c r="E2">
        <f>_xll.BDP("APT AU Equity", "EQY_TURNOVER")</f>
        <v>512790200</v>
      </c>
    </row>
    <row r="3" spans="1:5" x14ac:dyDescent="0.25">
      <c r="A3" t="s">
        <v>6</v>
      </c>
      <c r="B3" t="str">
        <f>_xll.BDP("BHP AU Equity", "NAME")</f>
        <v>BHP GROUP LTD</v>
      </c>
      <c r="C3">
        <f>_xll.BDP("BHP AU Equity", "PX_LAST")</f>
        <v>48.99</v>
      </c>
      <c r="D3">
        <f>_xll.BDP("BHP AU Equity", "CHG_PCT_1D")</f>
        <v>-0.78979339999999998</v>
      </c>
      <c r="E3">
        <f>_xll.BDP("BHP AU Equity", "EQY_TURNOVER")</f>
        <v>277042400</v>
      </c>
    </row>
    <row r="4" spans="1:5" x14ac:dyDescent="0.25">
      <c r="A4" t="s">
        <v>7</v>
      </c>
      <c r="B4" t="str">
        <f>_xll.BDP("CSL AU Equity", "NAME")</f>
        <v>CSL LTD</v>
      </c>
      <c r="C4">
        <f>_xll.BDP("CSL AU Equity", "PX_LAST")</f>
        <v>250.16</v>
      </c>
      <c r="D4">
        <f>_xll.BDP("CSL AU Equity", "CHG_PCT_1D")</f>
        <v>1.691057</v>
      </c>
      <c r="E4">
        <f>_xll.BDP("CSL AU Equity", "EQY_TURNOVER")</f>
        <v>243639500</v>
      </c>
    </row>
    <row r="5" spans="1:5" x14ac:dyDescent="0.25">
      <c r="A5" t="s">
        <v>8</v>
      </c>
      <c r="B5" t="str">
        <f>_xll.BDP("CBA AU Equity", "NAME")</f>
        <v>COMMONWEALTH BANK OF AUSTRAL</v>
      </c>
      <c r="C5">
        <f>_xll.BDP("CBA AU Equity", "PX_LAST")</f>
        <v>87.89</v>
      </c>
      <c r="D5">
        <f>_xll.BDP("CBA AU Equity", "CHG_PCT_1D")</f>
        <v>0.6527714</v>
      </c>
      <c r="E5">
        <f>_xll.BDP("CBA AU Equity", "EQY_TURNOVER")</f>
        <v>229757900</v>
      </c>
    </row>
    <row r="6" spans="1:5" x14ac:dyDescent="0.25">
      <c r="A6" t="s">
        <v>9</v>
      </c>
      <c r="B6" t="str">
        <f>_xll.BDP("IAG AU Equity", "NAME")</f>
        <v>INSURANCE AUSTRALIA GROUP</v>
      </c>
      <c r="C6">
        <f>_xll.BDP("IAG AU Equity", "PX_LAST")</f>
        <v>4.62</v>
      </c>
      <c r="D6">
        <f>_xll.BDP("IAG AU Equity", "CHG_PCT_1D")</f>
        <v>-3.9501040000000001</v>
      </c>
      <c r="E6">
        <f>_xll.BDP("IAG AU Equity", "EQY_TURNOVER")</f>
        <v>221748900</v>
      </c>
    </row>
    <row r="7" spans="1:5" x14ac:dyDescent="0.25">
      <c r="A7" t="s">
        <v>10</v>
      </c>
      <c r="B7" t="str">
        <f>_xll.BDP("ANZ AU Equity", "NAME")</f>
        <v>AUST AND NZ BANKING GROUP</v>
      </c>
      <c r="C7">
        <f>_xll.BDP("ANZ AU Equity", "PX_LAST")</f>
        <v>29.1</v>
      </c>
      <c r="D7">
        <f>_xll.BDP("ANZ AU Equity", "CHG_PCT_1D")</f>
        <v>1.3231200000000001</v>
      </c>
      <c r="E7">
        <f>_xll.BDP("ANZ AU Equity", "EQY_TURNOVER")</f>
        <v>206137300</v>
      </c>
    </row>
    <row r="8" spans="1:5" x14ac:dyDescent="0.25">
      <c r="A8" t="s">
        <v>11</v>
      </c>
      <c r="B8" t="str">
        <f>_xll.BDP("WBC AU Equity", "NAME")</f>
        <v>WESTPAC BANKING CORP</v>
      </c>
      <c r="C8">
        <f>_xll.BDP("WBC AU Equity", "PX_LAST")</f>
        <v>24.92</v>
      </c>
      <c r="D8">
        <f>_xll.BDP("WBC AU Equity", "CHG_PCT_1D")</f>
        <v>0.72756670000000001</v>
      </c>
      <c r="E8">
        <f>_xll.BDP("WBC AU Equity", "EQY_TURNOVER")</f>
        <v>205305400</v>
      </c>
    </row>
    <row r="9" spans="1:5" x14ac:dyDescent="0.25">
      <c r="A9" t="s">
        <v>12</v>
      </c>
      <c r="B9" t="str">
        <f>_xll.BDP("MQG AU Equity", "NAME")</f>
        <v>MACQUARIE GROUP LTD</v>
      </c>
      <c r="C9">
        <f>_xll.BDP("MQG AU Equity", "PX_LAST")</f>
        <v>152.05000000000001</v>
      </c>
      <c r="D9">
        <f>_xll.BDP("MQG AU Equity", "CHG_PCT_1D")</f>
        <v>2.4250590000000001</v>
      </c>
      <c r="E9">
        <f>_xll.BDP("MQG AU Equity", "EQY_TURNOVER")</f>
        <v>196763700</v>
      </c>
    </row>
    <row r="10" spans="1:5" x14ac:dyDescent="0.25">
      <c r="A10" t="s">
        <v>13</v>
      </c>
      <c r="B10" t="str">
        <f>_xll.BDP("FMG AU Equity", "NAME")</f>
        <v>FORTESCUE METALS GROUP LTD</v>
      </c>
      <c r="C10">
        <f>_xll.BDP("FMG AU Equity", "PX_LAST")</f>
        <v>22.18</v>
      </c>
      <c r="D10">
        <f>_xll.BDP("FMG AU Equity", "CHG_PCT_1D")</f>
        <v>-0.13507430000000001</v>
      </c>
      <c r="E10">
        <f>_xll.BDP("FMG AU Equity", "EQY_TURNOVER")</f>
        <v>201080000</v>
      </c>
    </row>
    <row r="11" spans="1:5" x14ac:dyDescent="0.25">
      <c r="A11" t="s">
        <v>14</v>
      </c>
      <c r="B11" t="str">
        <f>_xll.BDP("NAB AU Equity", "NAME")</f>
        <v>NATIONAL AUSTRALIA BANK LTD</v>
      </c>
      <c r="C11">
        <f>_xll.BDP("NAB AU Equity", "PX_LAST")</f>
        <v>26.65</v>
      </c>
      <c r="D11">
        <f>_xll.BDP("NAB AU Equity", "CHG_PCT_1D")</f>
        <v>0.8323874</v>
      </c>
      <c r="E11">
        <f>_xll.BDP("NAB AU Equity", "EQY_TURNOVER")</f>
        <v>169988600</v>
      </c>
    </row>
    <row r="12" spans="1:5" x14ac:dyDescent="0.25">
      <c r="A12" t="s">
        <v>15</v>
      </c>
      <c r="B12" t="str">
        <f>_xll.BDP("RIO AU Equity", "NAME")</f>
        <v>RIO TINTO LTD</v>
      </c>
      <c r="C12">
        <f>_xll.BDP("RIO AU Equity", "PX_LAST")</f>
        <v>121.21</v>
      </c>
      <c r="D12">
        <f>_xll.BDP("RIO AU Equity", "CHG_PCT_1D")</f>
        <v>8.256956E-2</v>
      </c>
      <c r="E12">
        <f>_xll.BDP("RIO AU Equity", "EQY_TURNOVER")</f>
        <v>150000800</v>
      </c>
    </row>
    <row r="13" spans="1:5" x14ac:dyDescent="0.25">
      <c r="A13" t="s">
        <v>16</v>
      </c>
      <c r="B13" t="str">
        <f>_xll.BDP("QBE AU Equity", "NAME")</f>
        <v>QBE INSURANCE GROUP LTD</v>
      </c>
      <c r="C13">
        <f>_xll.BDP("QBE AU Equity", "PX_LAST")</f>
        <v>9.76</v>
      </c>
      <c r="D13">
        <f>_xll.BDP("QBE AU Equity", "CHG_PCT_1D")</f>
        <v>3.8297870000000001</v>
      </c>
      <c r="E13">
        <f>_xll.BDP("QBE AU Equity", "EQY_TURNOVER")</f>
        <v>119657400</v>
      </c>
    </row>
    <row r="14" spans="1:5" x14ac:dyDescent="0.25">
      <c r="A14" t="s">
        <v>17</v>
      </c>
      <c r="B14" t="str">
        <f>_xll.BDP("XRO AU Equity", "NAME")</f>
        <v>XERO LTD</v>
      </c>
      <c r="C14">
        <f>_xll.BDP("XRO AU Equity", "PX_LAST")</f>
        <v>108.32</v>
      </c>
      <c r="D14">
        <f>_xll.BDP("XRO AU Equity", "CHG_PCT_1D")</f>
        <v>-3.8010660000000001</v>
      </c>
      <c r="E14">
        <f>_xll.BDP("XRO AU Equity", "EQY_TURNOVER")</f>
        <v>115343000</v>
      </c>
    </row>
    <row r="15" spans="1:5" x14ac:dyDescent="0.25">
      <c r="A15" t="s">
        <v>18</v>
      </c>
      <c r="B15" t="str">
        <f>_xll.BDP("QAN AU Equity", "NAME")</f>
        <v>QANTAS AIRWAYS LTD</v>
      </c>
      <c r="C15">
        <f>_xll.BDP("QAN AU Equity", "PX_LAST")</f>
        <v>5.14</v>
      </c>
      <c r="D15">
        <f>_xll.BDP("QAN AU Equity", "CHG_PCT_1D")</f>
        <v>2.3904380000000001</v>
      </c>
      <c r="E15">
        <f>_xll.BDP("QAN AU Equity", "EQY_TURNOVER")</f>
        <v>112459400</v>
      </c>
    </row>
    <row r="16" spans="1:5" x14ac:dyDescent="0.25">
      <c r="A16" t="s">
        <v>19</v>
      </c>
      <c r="B16" t="str">
        <f>_xll.BDP("TLS AU Equity", "NAME")</f>
        <v>TELSTRA CORP LTD</v>
      </c>
      <c r="C16">
        <f>_xll.BDP("TLS AU Equity", "PX_LAST")</f>
        <v>3.1</v>
      </c>
      <c r="D16">
        <f>_xll.BDP("TLS AU Equity", "CHG_PCT_1D")</f>
        <v>-0.64102559999999997</v>
      </c>
      <c r="E16">
        <f>_xll.BDP("TLS AU Equity", "EQY_TURNOVER")</f>
        <v>99852610</v>
      </c>
    </row>
    <row r="17" spans="1:5" x14ac:dyDescent="0.25">
      <c r="A17" t="s">
        <v>20</v>
      </c>
      <c r="B17" t="str">
        <f>_xll.BDP("BXB AU Equity", "NAME")</f>
        <v>BRAMBLES LTD</v>
      </c>
      <c r="C17">
        <f>_xll.BDP("BXB AU Equity", "PX_LAST")</f>
        <v>9.98</v>
      </c>
      <c r="D17">
        <f>_xll.BDP("BXB AU Equity", "CHG_PCT_1D")</f>
        <v>-1.2858560000000001</v>
      </c>
      <c r="E17">
        <f>_xll.BDP("BXB AU Equity", "EQY_TURNOVER")</f>
        <v>97861540</v>
      </c>
    </row>
    <row r="18" spans="1:5" x14ac:dyDescent="0.25">
      <c r="A18" t="s">
        <v>21</v>
      </c>
      <c r="B18" t="str">
        <f>_xll.BDP("TWE AU Equity", "NAME")</f>
        <v>TREASURY WINE ESTATES LTD</v>
      </c>
      <c r="C18">
        <f>_xll.BDP("TWE AU Equity", "PX_LAST")</f>
        <v>11.1</v>
      </c>
      <c r="D18">
        <f>_xll.BDP("TWE AU Equity", "CHG_PCT_1D")</f>
        <v>1.1850499999999999</v>
      </c>
      <c r="E18">
        <f>_xll.BDP("TWE AU Equity", "EQY_TURNOVER")</f>
        <v>95219800</v>
      </c>
    </row>
    <row r="19" spans="1:5" x14ac:dyDescent="0.25">
      <c r="A19" t="s">
        <v>22</v>
      </c>
      <c r="B19" t="str">
        <f>_xll.BDP("NST AU Equity", "NAME")</f>
        <v>NORTHERN STAR RESOURCES LTD</v>
      </c>
      <c r="C19">
        <f>_xll.BDP("NST AU Equity", "PX_LAST")</f>
        <v>9.3699999999999992</v>
      </c>
      <c r="D19">
        <f>_xll.BDP("NST AU Equity", "CHG_PCT_1D")</f>
        <v>-1.264489</v>
      </c>
      <c r="E19">
        <f>_xll.BDP("NST AU Equity", "EQY_TURNOVER")</f>
        <v>89892600</v>
      </c>
    </row>
    <row r="20" spans="1:5" x14ac:dyDescent="0.25">
      <c r="A20" t="s">
        <v>23</v>
      </c>
      <c r="B20" t="str">
        <f>_xll.BDP("AZJ AU Equity", "NAME")</f>
        <v>AURIZON HOLDINGS LTD</v>
      </c>
      <c r="C20">
        <f>_xll.BDP("AZJ AU Equity", "PX_LAST")</f>
        <v>3.71</v>
      </c>
      <c r="D20">
        <f>_xll.BDP("AZJ AU Equity", "CHG_PCT_1D")</f>
        <v>2.4861879999999998</v>
      </c>
      <c r="E20">
        <f>_xll.BDP("AZJ AU Equity", "EQY_TURNOVER")</f>
        <v>89800120</v>
      </c>
    </row>
    <row r="21" spans="1:5" x14ac:dyDescent="0.25">
      <c r="A21" t="s">
        <v>24</v>
      </c>
      <c r="B21" t="str">
        <f>_xll.BDP("WPL AU Equity", "NAME")</f>
        <v>WOODSIDE PETROLEUM LTD</v>
      </c>
      <c r="C21">
        <f>_xll.BDP("WPL AU Equity", "PX_LAST")</f>
        <v>25.64</v>
      </c>
      <c r="D21">
        <f>_xll.BDP("WPL AU Equity", "CHG_PCT_1D")</f>
        <v>-7.7942319999999995E-2</v>
      </c>
      <c r="E21">
        <f>_xll.BDP("WPL AU Equity", "EQY_TURNOVER")</f>
        <v>84594850</v>
      </c>
    </row>
    <row r="22" spans="1:5" x14ac:dyDescent="0.25">
      <c r="A22" t="s">
        <v>25</v>
      </c>
      <c r="B22" t="str">
        <f>_xll.BDP("WES AU Equity", "NAME")</f>
        <v>WESFARMERS LTD</v>
      </c>
      <c r="C22">
        <f>_xll.BDP("WES AU Equity", "PX_LAST")</f>
        <v>49.88</v>
      </c>
      <c r="D22">
        <f>_xll.BDP("WES AU Equity", "CHG_PCT_1D")</f>
        <v>1.2175320000000001</v>
      </c>
      <c r="E22">
        <f>_xll.BDP("WES AU Equity", "EQY_TURNOVER")</f>
        <v>83056930</v>
      </c>
    </row>
    <row r="23" spans="1:5" x14ac:dyDescent="0.25">
      <c r="A23" t="s">
        <v>26</v>
      </c>
      <c r="B23" t="str">
        <f>_xll.BDP("S32 AU Equity", "NAME")</f>
        <v>SOUTH32 LTD</v>
      </c>
      <c r="C23">
        <f>_xll.BDP("S32 AU Equity", "PX_LAST")</f>
        <v>2.86</v>
      </c>
      <c r="D23">
        <f>_xll.BDP("S32 AU Equity", "CHG_PCT_1D")</f>
        <v>0</v>
      </c>
      <c r="E23">
        <f>_xll.BDP("S32 AU Equity", "EQY_TURNOVER")</f>
        <v>82776060</v>
      </c>
    </row>
    <row r="24" spans="1:5" x14ac:dyDescent="0.25">
      <c r="A24" t="s">
        <v>27</v>
      </c>
      <c r="B24" t="str">
        <f>_xll.BDP("CPU AU Equity", "NAME")</f>
        <v>COMPUTERSHARE LTD</v>
      </c>
      <c r="C24">
        <f>_xll.BDP("CPU AU Equity", "PX_LAST")</f>
        <v>15.21</v>
      </c>
      <c r="D24">
        <f>_xll.BDP("CPU AU Equity", "CHG_PCT_1D")</f>
        <v>1.5353810000000001</v>
      </c>
      <c r="E24">
        <f>_xll.BDP("CPU AU Equity", "EQY_TURNOVER")</f>
        <v>81686810</v>
      </c>
    </row>
    <row r="25" spans="1:5" x14ac:dyDescent="0.25">
      <c r="A25" t="s">
        <v>28</v>
      </c>
      <c r="B25" t="str">
        <f>_xll.BDP("WOW AU Equity", "NAME")</f>
        <v>WOOLWORTHS GROUP LTD</v>
      </c>
      <c r="C25">
        <f>_xll.BDP("WOW AU Equity", "PX_LAST")</f>
        <v>39.22</v>
      </c>
      <c r="D25">
        <f>_xll.BDP("WOW AU Equity", "CHG_PCT_1D")</f>
        <v>0.15321760000000001</v>
      </c>
      <c r="E25">
        <f>_xll.BDP("WOW AU Equity", "EQY_TURNOVER")</f>
        <v>75035600</v>
      </c>
    </row>
    <row r="26" spans="1:5" x14ac:dyDescent="0.25">
      <c r="A26" t="s">
        <v>29</v>
      </c>
      <c r="B26" t="str">
        <f>_xll.BDP("ALL AU Equity", "NAME")</f>
        <v>ARISTOCRAT LEISURE LTD</v>
      </c>
      <c r="C26">
        <f>_xll.BDP("ALL AU Equity", "PX_LAST")</f>
        <v>32.29</v>
      </c>
      <c r="D26">
        <f>_xll.BDP("ALL AU Equity", "CHG_PCT_1D")</f>
        <v>0.62324710000000005</v>
      </c>
      <c r="E26">
        <f>_xll.BDP("ALL AU Equity", "EQY_TURNOVER")</f>
        <v>74850510</v>
      </c>
    </row>
    <row r="27" spans="1:5" x14ac:dyDescent="0.25">
      <c r="A27" t="s">
        <v>30</v>
      </c>
      <c r="B27" t="str">
        <f>_xll.BDP("STO AU Equity", "NAME")</f>
        <v>SANTOS LTD</v>
      </c>
      <c r="C27">
        <f>_xll.BDP("STO AU Equity", "PX_LAST")</f>
        <v>7.41</v>
      </c>
      <c r="D27">
        <f>_xll.BDP("STO AU Equity", "CHG_PCT_1D")</f>
        <v>-1.8543050000000001</v>
      </c>
      <c r="E27">
        <f>_xll.BDP("STO AU Equity", "EQY_TURNOVER")</f>
        <v>72805340</v>
      </c>
    </row>
    <row r="28" spans="1:5" x14ac:dyDescent="0.25">
      <c r="A28" t="s">
        <v>31</v>
      </c>
      <c r="B28" t="str">
        <f>_xll.BDP("NCM AU Equity", "NAME")</f>
        <v>NEWCREST MINING LTD</v>
      </c>
      <c r="C28">
        <f>_xll.BDP("NCM AU Equity", "PX_LAST")</f>
        <v>23.5</v>
      </c>
      <c r="D28">
        <f>_xll.BDP("NCM AU Equity", "CHG_PCT_1D")</f>
        <v>-1.550063</v>
      </c>
      <c r="E28">
        <f>_xll.BDP("NCM AU Equity", "EQY_TURNOVER")</f>
        <v>67366530</v>
      </c>
    </row>
    <row r="29" spans="1:5" x14ac:dyDescent="0.25">
      <c r="A29" t="s">
        <v>32</v>
      </c>
      <c r="B29" t="str">
        <f>_xll.BDP("OSH AU Equity", "NAME")</f>
        <v>OIL SEARCH LTD</v>
      </c>
      <c r="C29">
        <f>_xll.BDP("OSH AU Equity", "PX_LAST")</f>
        <v>4.47</v>
      </c>
      <c r="D29">
        <f>_xll.BDP("OSH AU Equity", "CHG_PCT_1D")</f>
        <v>-2.1881840000000001</v>
      </c>
      <c r="E29">
        <f>_xll.BDP("OSH AU Equity", "EQY_TURNOVER")</f>
        <v>64293420</v>
      </c>
    </row>
    <row r="30" spans="1:5" x14ac:dyDescent="0.25">
      <c r="A30" t="s">
        <v>33</v>
      </c>
      <c r="B30" t="str">
        <f>_xll.BDP("FPH AU Equity", "NAME")</f>
        <v>FISHER &amp; PAYKEL HEALTHCARE C</v>
      </c>
      <c r="C30">
        <f>_xll.BDP("FPH AU Equity", "PX_LAST")</f>
        <v>25.99</v>
      </c>
      <c r="D30">
        <f>_xll.BDP("FPH AU Equity", "CHG_PCT_1D")</f>
        <v>2.0816970000000001</v>
      </c>
      <c r="E30">
        <f>_xll.BDP("FPH AU Equity", "EQY_TURNOVER")</f>
        <v>60698250</v>
      </c>
    </row>
    <row r="31" spans="1:5" x14ac:dyDescent="0.25">
      <c r="A31" t="s">
        <v>34</v>
      </c>
      <c r="B31" t="str">
        <f>_xll.BDP("REH AU Equity", "NAME")</f>
        <v>REECE LTD</v>
      </c>
      <c r="C31">
        <f>_xll.BDP("REH AU Equity", "PX_LAST")</f>
        <v>16.559999999999999</v>
      </c>
      <c r="D31">
        <f>_xll.BDP("REH AU Equity", "CHG_PCT_1D")</f>
        <v>-0.83832340000000005</v>
      </c>
      <c r="E31">
        <f>_xll.BDP("REH AU Equity", "EQY_TURNOVER")</f>
        <v>60352230</v>
      </c>
    </row>
    <row r="32" spans="1:5" x14ac:dyDescent="0.25">
      <c r="A32" t="s">
        <v>35</v>
      </c>
      <c r="B32" t="str">
        <f>_xll.BDP("BSL AU Equity", "NAME")</f>
        <v>BLUESCOPE STEEL LTD</v>
      </c>
      <c r="C32">
        <f>_xll.BDP("BSL AU Equity", "PX_LAST")</f>
        <v>18.43</v>
      </c>
      <c r="D32">
        <f>_xll.BDP("BSL AU Equity", "CHG_PCT_1D")</f>
        <v>2.5027810000000001</v>
      </c>
      <c r="E32">
        <f>_xll.BDP("BSL AU Equity", "EQY_TURNOVER")</f>
        <v>56780220</v>
      </c>
    </row>
    <row r="33" spans="1:5" x14ac:dyDescent="0.25">
      <c r="A33" t="s">
        <v>36</v>
      </c>
      <c r="B33" t="str">
        <f>_xll.BDP("ASX AU Equity", "NAME")</f>
        <v>ASX LTD</v>
      </c>
      <c r="C33">
        <f>_xll.BDP("ASX AU Equity", "PX_LAST")</f>
        <v>69.180000000000007</v>
      </c>
      <c r="D33">
        <f>_xll.BDP("ASX AU Equity", "CHG_PCT_1D")</f>
        <v>-0.78875660000000003</v>
      </c>
      <c r="E33">
        <f>_xll.BDP("ASX AU Equity", "EQY_TURNOVER")</f>
        <v>53614570</v>
      </c>
    </row>
    <row r="34" spans="1:5" x14ac:dyDescent="0.25">
      <c r="A34" t="s">
        <v>37</v>
      </c>
      <c r="B34" t="str">
        <f>_xll.BDP("SUN AU Equity", "NAME")</f>
        <v>SUNCORP GROUP LTD</v>
      </c>
      <c r="C34">
        <f>_xll.BDP("SUN AU Equity", "PX_LAST")</f>
        <v>10.53</v>
      </c>
      <c r="D34">
        <f>_xll.BDP("SUN AU Equity", "CHG_PCT_1D")</f>
        <v>2.9325510000000001</v>
      </c>
      <c r="E34">
        <f>_xll.BDP("SUN AU Equity", "EQY_TURNOVER")</f>
        <v>53509470</v>
      </c>
    </row>
    <row r="35" spans="1:5" x14ac:dyDescent="0.25">
      <c r="A35" t="s">
        <v>38</v>
      </c>
      <c r="B35" t="str">
        <f>_xll.BDP("MFG AU Equity", "NAME")</f>
        <v>MAGELLAN FINANCIAL GROUP LTD</v>
      </c>
      <c r="C35">
        <f>_xll.BDP("MFG AU Equity", "PX_LAST")</f>
        <v>42.32</v>
      </c>
      <c r="D35">
        <f>_xll.BDP("MFG AU Equity", "CHG_PCT_1D")</f>
        <v>-0.91313509999999998</v>
      </c>
      <c r="E35">
        <f>_xll.BDP("MFG AU Equity", "EQY_TURNOVER")</f>
        <v>47959620</v>
      </c>
    </row>
    <row r="36" spans="1:5" x14ac:dyDescent="0.25">
      <c r="A36" t="s">
        <v>39</v>
      </c>
      <c r="B36" t="str">
        <f>_xll.BDP("EVN AU Equity", "NAME")</f>
        <v>EVOLUTION MINING LTD</v>
      </c>
      <c r="C36">
        <f>_xll.BDP("EVN AU Equity", "PX_LAST")</f>
        <v>3.87</v>
      </c>
      <c r="D36">
        <f>_xll.BDP("EVN AU Equity", "CHG_PCT_1D")</f>
        <v>-1.2755099999999999</v>
      </c>
      <c r="E36">
        <f>_xll.BDP("EVN AU Equity", "EQY_TURNOVER")</f>
        <v>47723250</v>
      </c>
    </row>
    <row r="37" spans="1:5" x14ac:dyDescent="0.25">
      <c r="A37" t="s">
        <v>40</v>
      </c>
      <c r="B37" t="str">
        <f>_xll.BDP("AGL AU Equity", "NAME")</f>
        <v>AGL ENERGY LTD</v>
      </c>
      <c r="C37">
        <f>_xll.BDP("AGL AU Equity", "PX_LAST")</f>
        <v>9.77</v>
      </c>
      <c r="D37">
        <f>_xll.BDP("AGL AU Equity", "CHG_PCT_1D")</f>
        <v>2.0898639999999999</v>
      </c>
      <c r="E37">
        <f>_xll.BDP("AGL AU Equity", "EQY_TURNOVER")</f>
        <v>45441190</v>
      </c>
    </row>
    <row r="38" spans="1:5" x14ac:dyDescent="0.25">
      <c r="A38" t="s">
        <v>41</v>
      </c>
      <c r="B38" t="str">
        <f>_xll.BDP("COH AU Equity", "NAME")</f>
        <v>COCHLEAR LTD</v>
      </c>
      <c r="C38">
        <f>_xll.BDP("COH AU Equity", "PX_LAST")</f>
        <v>203.13</v>
      </c>
      <c r="D38">
        <f>_xll.BDP("COH AU Equity", "CHG_PCT_1D")</f>
        <v>1.407818</v>
      </c>
      <c r="E38">
        <f>_xll.BDP("COH AU Equity", "EQY_TURNOVER")</f>
        <v>44330400</v>
      </c>
    </row>
    <row r="39" spans="1:5" x14ac:dyDescent="0.25">
      <c r="A39" t="s">
        <v>42</v>
      </c>
      <c r="B39" t="str">
        <f>_xll.BDP("AWC AU Equity", "NAME")</f>
        <v>ALUMINA LTD</v>
      </c>
      <c r="C39">
        <f>_xll.BDP("AWC AU Equity", "PX_LAST")</f>
        <v>1.79</v>
      </c>
      <c r="D39">
        <f>_xll.BDP("AWC AU Equity", "CHG_PCT_1D")</f>
        <v>2.8735629999999999</v>
      </c>
      <c r="E39">
        <f>_xll.BDP("AWC AU Equity", "EQY_TURNOVER")</f>
        <v>43885150</v>
      </c>
    </row>
    <row r="40" spans="1:5" x14ac:dyDescent="0.25">
      <c r="A40" t="s">
        <v>43</v>
      </c>
      <c r="B40" t="str">
        <f>_xll.BDP("COL AU Equity", "NAME")</f>
        <v>COLES GROUP LTD</v>
      </c>
      <c r="C40">
        <f>_xll.BDP("COL AU Equity", "PX_LAST")</f>
        <v>15.49</v>
      </c>
      <c r="D40">
        <f>_xll.BDP("COL AU Equity", "CHG_PCT_1D")</f>
        <v>-6.4516130000000005E-2</v>
      </c>
      <c r="E40">
        <f>_xll.BDP("COL AU Equity", "EQY_TURNOVER")</f>
        <v>43334150</v>
      </c>
    </row>
    <row r="41" spans="1:5" x14ac:dyDescent="0.25">
      <c r="A41" t="s">
        <v>44</v>
      </c>
      <c r="B41" t="str">
        <f>_xll.BDP("LYC AU Equity", "NAME")</f>
        <v>LYNAS RARE EARTHS LTD</v>
      </c>
      <c r="C41">
        <f>_xll.BDP("LYC AU Equity", "PX_LAST")</f>
        <v>6.01</v>
      </c>
      <c r="D41">
        <f>_xll.BDP("LYC AU Equity", "CHG_PCT_1D")</f>
        <v>1.52027</v>
      </c>
      <c r="E41">
        <f>_xll.BDP("LYC AU Equity", "EQY_TURNOVER")</f>
        <v>43230550</v>
      </c>
    </row>
    <row r="42" spans="1:5" x14ac:dyDescent="0.25">
      <c r="A42" t="s">
        <v>45</v>
      </c>
      <c r="B42" t="str">
        <f>_xll.BDP("BOQ AU Equity", "NAME")</f>
        <v>BANK OF QUEENSLAND LTD</v>
      </c>
      <c r="C42">
        <f>_xll.BDP("BOQ AU Equity", "PX_LAST")</f>
        <v>8.86</v>
      </c>
      <c r="D42">
        <f>_xll.BDP("BOQ AU Equity", "CHG_PCT_1D")</f>
        <v>-2.3153250000000001</v>
      </c>
      <c r="E42">
        <f>_xll.BDP("BOQ AU Equity", "EQY_TURNOVER")</f>
        <v>42028690</v>
      </c>
    </row>
    <row r="43" spans="1:5" x14ac:dyDescent="0.25">
      <c r="A43" t="s">
        <v>46</v>
      </c>
      <c r="B43" t="str">
        <f>_xll.BDP("JBH AU Equity", "NAME")</f>
        <v>JB HI-FI LTD</v>
      </c>
      <c r="C43">
        <f>_xll.BDP("JBH AU Equity", "PX_LAST")</f>
        <v>46.54</v>
      </c>
      <c r="D43">
        <f>_xll.BDP("JBH AU Equity", "CHG_PCT_1D")</f>
        <v>1.217921</v>
      </c>
      <c r="E43">
        <f>_xll.BDP("JBH AU Equity", "EQY_TURNOVER")</f>
        <v>40441210</v>
      </c>
    </row>
    <row r="44" spans="1:5" x14ac:dyDescent="0.25">
      <c r="A44" t="s">
        <v>47</v>
      </c>
      <c r="B44" t="str">
        <f>_xll.BDP("SHL AU Equity", "NAME")</f>
        <v>SONIC HEALTHCARE LTD</v>
      </c>
      <c r="C44">
        <f>_xll.BDP("SHL AU Equity", "PX_LAST")</f>
        <v>30.7</v>
      </c>
      <c r="D44">
        <f>_xll.BDP("SHL AU Equity", "CHG_PCT_1D")</f>
        <v>9.7815449999999998E-2</v>
      </c>
      <c r="E44">
        <f>_xll.BDP("SHL AU Equity", "EQY_TURNOVER")</f>
        <v>39250060</v>
      </c>
    </row>
    <row r="45" spans="1:5" x14ac:dyDescent="0.25">
      <c r="A45" t="s">
        <v>48</v>
      </c>
      <c r="B45" t="str">
        <f>_xll.BDP("DMP AU Equity", "NAME")</f>
        <v>DOMINO'S PIZZA ENTERPRISES L</v>
      </c>
      <c r="C45">
        <f>_xll.BDP("DMP AU Equity", "PX_LAST")</f>
        <v>86.3</v>
      </c>
      <c r="D45">
        <f>_xll.BDP("DMP AU Equity", "CHG_PCT_1D")</f>
        <v>-1.4840180000000001</v>
      </c>
      <c r="E45">
        <f>_xll.BDP("DMP AU Equity", "EQY_TURNOVER")</f>
        <v>37442620</v>
      </c>
    </row>
    <row r="46" spans="1:5" x14ac:dyDescent="0.25">
      <c r="A46" t="s">
        <v>49</v>
      </c>
      <c r="B46" t="str">
        <f>_xll.BDP("OZL AU Equity", "NAME")</f>
        <v>OZ MINERALS LTD</v>
      </c>
      <c r="C46">
        <f>_xll.BDP("OZL AU Equity", "PX_LAST")</f>
        <v>21.81</v>
      </c>
      <c r="D46">
        <f>_xll.BDP("OZL AU Equity", "CHG_PCT_1D")</f>
        <v>2.011225</v>
      </c>
      <c r="E46">
        <f>_xll.BDP("OZL AU Equity", "EQY_TURNOVER")</f>
        <v>36172530</v>
      </c>
    </row>
    <row r="47" spans="1:5" x14ac:dyDescent="0.25">
      <c r="A47" t="s">
        <v>50</v>
      </c>
      <c r="B47" t="str">
        <f>_xll.BDP("SEK AU Equity", "NAME")</f>
        <v>SEEK LTD</v>
      </c>
      <c r="C47">
        <f>_xll.BDP("SEK AU Equity", "PX_LAST")</f>
        <v>26.36</v>
      </c>
      <c r="D47">
        <f>_xll.BDP("SEK AU Equity", "CHG_PCT_1D")</f>
        <v>0.99616859999999996</v>
      </c>
      <c r="E47">
        <f>_xll.BDP("SEK AU Equity", "EQY_TURNOVER")</f>
        <v>35560500</v>
      </c>
    </row>
    <row r="48" spans="1:5" x14ac:dyDescent="0.25">
      <c r="A48" t="s">
        <v>51</v>
      </c>
      <c r="B48" t="str">
        <f>_xll.BDP("WTC AU Equity", "NAME")</f>
        <v>WISETECH GLOBAL LTD</v>
      </c>
      <c r="C48">
        <f>_xll.BDP("WTC AU Equity", "PX_LAST")</f>
        <v>26.16</v>
      </c>
      <c r="D48">
        <f>_xll.BDP("WTC AU Equity", "CHG_PCT_1D")</f>
        <v>-1.6171489999999999</v>
      </c>
      <c r="E48">
        <f>_xll.BDP("WTC AU Equity", "EQY_TURNOVER")</f>
        <v>35557200</v>
      </c>
    </row>
    <row r="49" spans="1:5" x14ac:dyDescent="0.25">
      <c r="A49" t="s">
        <v>52</v>
      </c>
      <c r="B49" t="str">
        <f>_xll.BDP("IPL AU Equity", "NAME")</f>
        <v>INCITEC PIVOT LTD</v>
      </c>
      <c r="C49">
        <f>_xll.BDP("IPL AU Equity", "PX_LAST")</f>
        <v>2.79</v>
      </c>
      <c r="D49">
        <f>_xll.BDP("IPL AU Equity", "CHG_PCT_1D")</f>
        <v>0</v>
      </c>
      <c r="E49">
        <f>_xll.BDP("IPL AU Equity", "EQY_TURNOVER")</f>
        <v>33714210</v>
      </c>
    </row>
    <row r="50" spans="1:5" x14ac:dyDescent="0.25">
      <c r="A50" t="s">
        <v>53</v>
      </c>
      <c r="B50" t="str">
        <f>_xll.BDP("ALD AU Equity", "NAME")</f>
        <v>AMPOL LTD</v>
      </c>
      <c r="C50">
        <f>_xll.BDP("ALD AU Equity", "PX_LAST")</f>
        <v>23.89</v>
      </c>
      <c r="D50">
        <f>_xll.BDP("ALD AU Equity", "CHG_PCT_1D")</f>
        <v>0.58947369999999999</v>
      </c>
      <c r="E50">
        <f>_xll.BDP("ALD AU Equity", "EQY_TURNOVER")</f>
        <v>33534670</v>
      </c>
    </row>
    <row r="51" spans="1:5" x14ac:dyDescent="0.25">
      <c r="A51" t="s">
        <v>54</v>
      </c>
      <c r="B51" t="str">
        <f>_xll.BDP("A2M AU Equity", "NAME")</f>
        <v>A2 MILK CO LTD</v>
      </c>
      <c r="C51">
        <f>_xll.BDP("A2M AU Equity", "PX_LAST")</f>
        <v>9.1199999999999992</v>
      </c>
      <c r="D51">
        <f>_xll.BDP("A2M AU Equity", "CHG_PCT_1D")</f>
        <v>-0.86956520000000004</v>
      </c>
      <c r="E51">
        <f>_xll.BDP("A2M AU Equity", "EQY_TURNOVER")</f>
        <v>33272340</v>
      </c>
    </row>
    <row r="52" spans="1:5" x14ac:dyDescent="0.25">
      <c r="A52" t="s">
        <v>55</v>
      </c>
      <c r="B52" t="str">
        <f>_xll.BDP("TAH AU Equity", "NAME")</f>
        <v>TABCORP HOLDINGS LTD</v>
      </c>
      <c r="C52">
        <f>_xll.BDP("TAH AU Equity", "PX_LAST")</f>
        <v>4.63</v>
      </c>
      <c r="D52">
        <f>_xll.BDP("TAH AU Equity", "CHG_PCT_1D")</f>
        <v>1.0917030000000001</v>
      </c>
      <c r="E52">
        <f>_xll.BDP("TAH AU Equity", "EQY_TURNOVER")</f>
        <v>32940160</v>
      </c>
    </row>
    <row r="53" spans="1:5" x14ac:dyDescent="0.25">
      <c r="A53" t="s">
        <v>56</v>
      </c>
      <c r="B53" t="str">
        <f>_xll.BDP("REA AU Equity", "NAME")</f>
        <v>REA GROUP LTD</v>
      </c>
      <c r="C53">
        <f>_xll.BDP("REA AU Equity", "PX_LAST")</f>
        <v>133.30000000000001</v>
      </c>
      <c r="D53">
        <f>_xll.BDP("REA AU Equity", "CHG_PCT_1D")</f>
        <v>-1.200712</v>
      </c>
      <c r="E53">
        <f>_xll.BDP("REA AU Equity", "EQY_TURNOVER")</f>
        <v>32734720</v>
      </c>
    </row>
    <row r="54" spans="1:5" x14ac:dyDescent="0.25">
      <c r="A54" t="s">
        <v>57</v>
      </c>
      <c r="B54" t="str">
        <f>_xll.BDP("RHC AU Equity", "NAME")</f>
        <v>RAMSAY HEALTH CARE LTD</v>
      </c>
      <c r="C54">
        <f>_xll.BDP("RHC AU Equity", "PX_LAST")</f>
        <v>63.49</v>
      </c>
      <c r="D54">
        <f>_xll.BDP("RHC AU Equity", "CHG_PCT_1D")</f>
        <v>0.1735563</v>
      </c>
      <c r="E54">
        <f>_xll.BDP("RHC AU Equity", "EQY_TURNOVER")</f>
        <v>32517340</v>
      </c>
    </row>
    <row r="55" spans="1:5" x14ac:dyDescent="0.25">
      <c r="A55" t="s">
        <v>58</v>
      </c>
      <c r="B55" t="str">
        <f>_xll.BDP("BEN AU Equity", "NAME")</f>
        <v>BENDIGO AND ADELAIDE BANK</v>
      </c>
      <c r="C55">
        <f>_xll.BDP("BEN AU Equity", "PX_LAST")</f>
        <v>10.19</v>
      </c>
      <c r="D55">
        <f>_xll.BDP("BEN AU Equity", "CHG_PCT_1D")</f>
        <v>-1.1639189999999999</v>
      </c>
      <c r="E55">
        <f>_xll.BDP("BEN AU Equity", "EQY_TURNOVER")</f>
        <v>31779340</v>
      </c>
    </row>
    <row r="56" spans="1:5" x14ac:dyDescent="0.25">
      <c r="A56" t="s">
        <v>59</v>
      </c>
      <c r="B56" t="str">
        <f>_xll.BDP("ORG AU Equity", "NAME")</f>
        <v>ORIGIN ENERGY LTD</v>
      </c>
      <c r="C56">
        <f>_xll.BDP("ORG AU Equity", "PX_LAST")</f>
        <v>4.59</v>
      </c>
      <c r="D56">
        <f>_xll.BDP("ORG AU Equity", "CHG_PCT_1D")</f>
        <v>0.43763679999999999</v>
      </c>
      <c r="E56">
        <f>_xll.BDP("ORG AU Equity", "EQY_TURNOVER")</f>
        <v>31536430</v>
      </c>
    </row>
    <row r="57" spans="1:5" x14ac:dyDescent="0.25">
      <c r="A57" t="s">
        <v>60</v>
      </c>
      <c r="B57" t="str">
        <f>_xll.BDP("MIN AU Equity", "NAME")</f>
        <v>MINERAL RESOURCES LTD</v>
      </c>
      <c r="C57">
        <f>_xll.BDP("MIN AU Equity", "PX_LAST")</f>
        <v>38.69</v>
      </c>
      <c r="D57">
        <f>_xll.BDP("MIN AU Equity", "CHG_PCT_1D")</f>
        <v>0.389206</v>
      </c>
      <c r="E57">
        <f>_xll.BDP("MIN AU Equity", "EQY_TURNOVER")</f>
        <v>30438930</v>
      </c>
    </row>
    <row r="58" spans="1:5" x14ac:dyDescent="0.25">
      <c r="A58" t="s">
        <v>61</v>
      </c>
      <c r="B58" t="str">
        <f>_xll.BDP("MPL AU Equity", "NAME")</f>
        <v>MEDIBANK PRIVATE LTD</v>
      </c>
      <c r="C58">
        <f>_xll.BDP("MPL AU Equity", "PX_LAST")</f>
        <v>2.83</v>
      </c>
      <c r="D58">
        <f>_xll.BDP("MPL AU Equity", "CHG_PCT_1D")</f>
        <v>1.433692</v>
      </c>
      <c r="E58">
        <f>_xll.BDP("MPL AU Equity", "EQY_TURNOVER")</f>
        <v>30397910</v>
      </c>
    </row>
    <row r="59" spans="1:5" x14ac:dyDescent="0.25">
      <c r="A59" t="s">
        <v>62</v>
      </c>
      <c r="B59" t="str">
        <f>_xll.BDP("CCL AU Equity", "NAME")</f>
        <v>COCA-COLA AMATIL LTD</v>
      </c>
      <c r="C59">
        <f>_xll.BDP("CCL AU Equity", "PX_LAST")</f>
        <v>13.44</v>
      </c>
      <c r="D59">
        <f>_xll.BDP("CCL AU Equity", "CHG_PCT_1D")</f>
        <v>0.14903130000000001</v>
      </c>
      <c r="E59">
        <f>_xll.BDP("CCL AU Equity", "EQY_TURNOVER")</f>
        <v>30069980</v>
      </c>
    </row>
    <row r="60" spans="1:5" x14ac:dyDescent="0.25">
      <c r="A60" t="s">
        <v>63</v>
      </c>
      <c r="B60" t="str">
        <f>_xll.BDP("QUB AU Equity", "NAME")</f>
        <v>QUBE HOLDINGS LTD</v>
      </c>
      <c r="C60">
        <f>_xll.BDP("QUB AU Equity", "PX_LAST")</f>
        <v>3.03</v>
      </c>
      <c r="D60">
        <f>_xll.BDP("QUB AU Equity", "CHG_PCT_1D")</f>
        <v>2.1922429999999999</v>
      </c>
      <c r="E60">
        <f>_xll.BDP("QUB AU Equity", "EQY_TURNOVER")</f>
        <v>29461130</v>
      </c>
    </row>
    <row r="61" spans="1:5" x14ac:dyDescent="0.25">
      <c r="A61" t="s">
        <v>64</v>
      </c>
      <c r="B61" t="str">
        <f>_xll.BDP("HVN AU Equity", "NAME")</f>
        <v>HARVEY NORMAN HOLDINGS LTD</v>
      </c>
      <c r="C61">
        <f>_xll.BDP("HVN AU Equity", "PX_LAST")</f>
        <v>5.31</v>
      </c>
      <c r="D61">
        <f>_xll.BDP("HVN AU Equity", "CHG_PCT_1D")</f>
        <v>-0.37523450000000003</v>
      </c>
      <c r="E61">
        <f>_xll.BDP("HVN AU Equity", "EQY_TURNOVER")</f>
        <v>25587070</v>
      </c>
    </row>
    <row r="62" spans="1:5" x14ac:dyDescent="0.25">
      <c r="A62" t="s">
        <v>65</v>
      </c>
      <c r="B62" t="str">
        <f>_xll.BDP("ORI AU Equity", "NAME")</f>
        <v>ORICA LTD</v>
      </c>
      <c r="C62">
        <f>_xll.BDP("ORI AU Equity", "PX_LAST")</f>
        <v>12.63</v>
      </c>
      <c r="D62">
        <f>_xll.BDP("ORI AU Equity", "CHG_PCT_1D")</f>
        <v>1.8548389999999999</v>
      </c>
      <c r="E62">
        <f>_xll.BDP("ORI AU Equity", "EQY_TURNOVER")</f>
        <v>23427460</v>
      </c>
    </row>
    <row r="63" spans="1:5" x14ac:dyDescent="0.25">
      <c r="A63" t="s">
        <v>66</v>
      </c>
      <c r="B63" t="str">
        <f>_xll.BDP("IEL AU Equity", "NAME")</f>
        <v>IDP EDUCATION LTD</v>
      </c>
      <c r="C63">
        <f>_xll.BDP("IEL AU Equity", "PX_LAST")</f>
        <v>24.33</v>
      </c>
      <c r="D63">
        <f>_xll.BDP("IEL AU Equity", "CHG_PCT_1D")</f>
        <v>0.12345680000000001</v>
      </c>
      <c r="E63">
        <f>_xll.BDP("IEL AU Equity", "EQY_TURNOVER")</f>
        <v>21415940</v>
      </c>
    </row>
    <row r="64" spans="1:5" x14ac:dyDescent="0.25">
      <c r="A64" t="s">
        <v>67</v>
      </c>
      <c r="B64" t="str">
        <f>_xll.BDP("BLD AU Equity", "NAME")</f>
        <v>BORAL LTD</v>
      </c>
      <c r="C64">
        <f>_xll.BDP("BLD AU Equity", "PX_LAST")</f>
        <v>5.52</v>
      </c>
      <c r="D64">
        <f>_xll.BDP("BLD AU Equity", "CHG_PCT_1D")</f>
        <v>2.9850750000000001</v>
      </c>
      <c r="E64">
        <f>_xll.BDP("BLD AU Equity", "EQY_TURNOVER")</f>
        <v>19193380</v>
      </c>
    </row>
    <row r="65" spans="1:5" x14ac:dyDescent="0.25">
      <c r="A65" t="s">
        <v>68</v>
      </c>
      <c r="B65" t="str">
        <f>_xll.BDP("CIM AU Equity", "NAME")</f>
        <v>CIMIC GROUP LTD</v>
      </c>
      <c r="C65">
        <f>_xll.BDP("CIM AU Equity", "PX_LAST")</f>
        <v>18.63</v>
      </c>
      <c r="D65">
        <f>_xll.BDP("CIM AU Equity", "CHG_PCT_1D")</f>
        <v>-0.95693779999999995</v>
      </c>
      <c r="E65">
        <f>_xll.BDP("CIM AU Equity", "EQY_TURNOVER")</f>
        <v>16137540</v>
      </c>
    </row>
    <row r="66" spans="1:5" x14ac:dyDescent="0.25">
      <c r="A66" t="s">
        <v>69</v>
      </c>
      <c r="B66" t="str">
        <f>_xll.BDP("CWN AU Equity", "NAME")</f>
        <v>CROWN RESORTS LTD</v>
      </c>
      <c r="C66">
        <f>_xll.BDP("CWN AU Equity", "PX_LAST")</f>
        <v>9.9</v>
      </c>
      <c r="D66">
        <f>_xll.BDP("CWN AU Equity", "CHG_PCT_1D")</f>
        <v>0.50761420000000002</v>
      </c>
      <c r="E66">
        <f>_xll.BDP("CWN AU Equity", "EQY_TURNOVER")</f>
        <v>16080230</v>
      </c>
    </row>
    <row r="67" spans="1:5" x14ac:dyDescent="0.25">
      <c r="A67" t="s">
        <v>70</v>
      </c>
      <c r="B67" t="str">
        <f>_xll.BDP("SVW AU Equity", "NAME")</f>
        <v>SEVEN GROUP HOLDINGS LTD</v>
      </c>
      <c r="C67">
        <f>_xll.BDP("SVW AU Equity", "PX_LAST")</f>
        <v>21.69</v>
      </c>
      <c r="D67">
        <f>_xll.BDP("SVW AU Equity", "CHG_PCT_1D")</f>
        <v>1.213252</v>
      </c>
      <c r="E67">
        <f>_xll.BDP("SVW AU Equity", "EQY_TURNOVER")</f>
        <v>14269280</v>
      </c>
    </row>
    <row r="68" spans="1:5" x14ac:dyDescent="0.25">
      <c r="A68" t="s">
        <v>71</v>
      </c>
      <c r="B68" t="str">
        <f>_xll.BDP("WOR AU Equity", "NAME")</f>
        <v>WORLEY LTD</v>
      </c>
      <c r="C68">
        <f>_xll.BDP("WOR AU Equity", "PX_LAST")</f>
        <v>10.65</v>
      </c>
      <c r="D68">
        <f>_xll.BDP("WOR AU Equity", "CHG_PCT_1D")</f>
        <v>-0.46728969999999997</v>
      </c>
      <c r="E68">
        <f>_xll.BDP("WOR AU Equity", "EQY_TURNOVER")</f>
        <v>12744300</v>
      </c>
    </row>
    <row r="69" spans="1:5" x14ac:dyDescent="0.25">
      <c r="A69" t="s">
        <v>72</v>
      </c>
      <c r="B69" t="str">
        <f>_xll.BDP("AST AU Equity", "NAME")</f>
        <v>AUSNET SERVICES</v>
      </c>
      <c r="C69">
        <f>_xll.BDP("AST AU Equity", "PX_LAST")</f>
        <v>1.73</v>
      </c>
      <c r="D69">
        <f>_xll.BDP("AST AU Equity", "CHG_PCT_1D")</f>
        <v>1.4662759999999999</v>
      </c>
      <c r="E69">
        <f>_xll.BDP("AST AU Equity", "EQY_TURNOVER")</f>
        <v>12013360</v>
      </c>
    </row>
    <row r="70" spans="1:5" x14ac:dyDescent="0.25">
      <c r="A70" t="s">
        <v>73</v>
      </c>
      <c r="B70" t="str">
        <f>_xll.BDP("SPK AU Equity", "NAME")</f>
        <v>SPARK NEW ZEALAND LTD</v>
      </c>
      <c r="C70">
        <f>_xll.BDP("SPK AU Equity", "PX_LAST")</f>
        <v>4.2300000000000004</v>
      </c>
      <c r="D70">
        <f>_xll.BDP("SPK AU Equity", "CHG_PCT_1D")</f>
        <v>-0.93676809999999999</v>
      </c>
      <c r="E70">
        <f>_xll.BDP("SPK AU Equity", "EQY_TURNOVER")</f>
        <v>9684830</v>
      </c>
    </row>
    <row r="71" spans="1:5" x14ac:dyDescent="0.25">
      <c r="A71" t="s">
        <v>74</v>
      </c>
      <c r="B71" t="str">
        <f>_xll.BDP("FBU AU Equity", "NAME")</f>
        <v>FLETCHER BUILDING LTD</v>
      </c>
      <c r="C71">
        <f>_xll.BDP("FBU AU Equity", "PX_LAST")</f>
        <v>6.18</v>
      </c>
      <c r="D71">
        <f>_xll.BDP("FBU AU Equity", "CHG_PCT_1D")</f>
        <v>1.6447369999999999</v>
      </c>
      <c r="E71">
        <f>_xll.BDP("FBU AU Equity", "EQY_TURNOVER")</f>
        <v>8972168</v>
      </c>
    </row>
    <row r="72" spans="1:5" x14ac:dyDescent="0.25">
      <c r="A72" t="s">
        <v>75</v>
      </c>
      <c r="B72" t="str">
        <f>_xll.BDP("SOL AU Equity", "NAME")</f>
        <v>WASHINGTON H. SOUL PATTINSON</v>
      </c>
      <c r="C72">
        <f>_xll.BDP("SOL AU Equity", "PX_LAST")</f>
        <v>30.86</v>
      </c>
      <c r="D72">
        <f>_xll.BDP("SOL AU Equity", "CHG_PCT_1D")</f>
        <v>0.48844019999999999</v>
      </c>
      <c r="E72">
        <f>_xll.BDP("SOL AU Equity", "EQY_TURNOVER")</f>
        <v>8662805</v>
      </c>
    </row>
    <row r="73" spans="1:5" x14ac:dyDescent="0.25">
      <c r="A73" t="s">
        <v>76</v>
      </c>
      <c r="B73" t="str">
        <f>_xll.BDP("TPG AU Equity", "NAME")</f>
        <v>TPG TELECOM LTD</v>
      </c>
      <c r="C73">
        <f>_xll.BDP("TPG AU Equity", "PX_LAST")</f>
        <v>6.8</v>
      </c>
      <c r="D73">
        <f>_xll.BDP("TPG AU Equity", "CHG_PCT_1D")</f>
        <v>0.89020770000000005</v>
      </c>
      <c r="E73">
        <f>_xll.BDP("TPG AU Equity", "EQY_TURNOVER")</f>
        <v>6939030</v>
      </c>
    </row>
    <row r="74" spans="1:5" x14ac:dyDescent="0.25">
      <c r="A74" t="s">
        <v>77</v>
      </c>
      <c r="B74" t="str">
        <f>_xll.BDP("AIA AU Equity", "NAME")</f>
        <v>AUCKLAND INTL AIRPORT LTD</v>
      </c>
      <c r="C74">
        <f>_xll.BDP("AIA AU Equity", "PX_LAST")</f>
        <v>6.52</v>
      </c>
      <c r="D74">
        <f>_xll.BDP("AIA AU Equity", "CHG_PCT_1D")</f>
        <v>-0.76103500000000002</v>
      </c>
      <c r="E74">
        <f>_xll.BDP("AIA AU Equity", "EQY_TURNOVER")</f>
        <v>4480828</v>
      </c>
    </row>
    <row r="75" spans="1:5" x14ac:dyDescent="0.25">
      <c r="A75" t="s">
        <v>78</v>
      </c>
      <c r="B75" t="str">
        <f>_xll.BDP("MEZ AU Equity", "NAME")</f>
        <v>MERIDIAN ENERGY LTD</v>
      </c>
      <c r="C75">
        <f>_xll.BDP("MEZ AU Equity", "PX_LAST")</f>
        <v>5.0599999999999996</v>
      </c>
      <c r="D75">
        <f>_xll.BDP("MEZ AU Equity", "CHG_PCT_1D")</f>
        <v>2.636917</v>
      </c>
      <c r="E75">
        <f>_xll.BDP("MEZ AU Equity", "EQY_TURNOVER")</f>
        <v>287585.40000000002</v>
      </c>
    </row>
    <row r="76" spans="1:5" x14ac:dyDescent="0.25">
      <c r="A76" t="s">
        <v>79</v>
      </c>
      <c r="B76" t="str">
        <f>_xll.BDP("MCY AU Equity", "NAME")</f>
        <v>MERCURY NZ LTD</v>
      </c>
      <c r="C76">
        <f>_xll.BDP("MCY AU Equity", "PX_LAST")</f>
        <v>5.7</v>
      </c>
      <c r="D76">
        <f>_xll.BDP("MCY AU Equity", "CHG_PCT_1D")</f>
        <v>-5.7851239999999997</v>
      </c>
      <c r="E76">
        <f>_xll.BDP("MCY AU Equity", "EQY_TURNOVER")</f>
        <v>60919.83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ASUS</cp:lastModifiedBy>
  <dcterms:created xsi:type="dcterms:W3CDTF">2013-04-03T15:49:21Z</dcterms:created>
  <dcterms:modified xsi:type="dcterms:W3CDTF">2021-03-09T10:55:25Z</dcterms:modified>
</cp:coreProperties>
</file>