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C66B4076-24DE-47DC-82CA-BE503DBE39F2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2" l="1"/>
  <c r="E70" i="2"/>
  <c r="B92" i="2"/>
  <c r="D21" i="2"/>
  <c r="D43" i="2"/>
  <c r="B9" i="2"/>
  <c r="D70" i="2"/>
  <c r="E53" i="2"/>
  <c r="B21" i="2"/>
  <c r="D101" i="2"/>
  <c r="C9" i="2"/>
  <c r="C72" i="2"/>
  <c r="E67" i="2"/>
  <c r="B43" i="2"/>
  <c r="D9" i="2"/>
  <c r="C101" i="2"/>
  <c r="B70" i="2"/>
  <c r="B65" i="2"/>
  <c r="D65" i="2"/>
  <c r="D72" i="2"/>
  <c r="C92" i="2"/>
  <c r="E43" i="2"/>
  <c r="C21" i="2"/>
  <c r="B67" i="2"/>
  <c r="D53" i="2"/>
  <c r="C67" i="2"/>
  <c r="C65" i="2"/>
  <c r="E72" i="2"/>
  <c r="E101" i="2"/>
  <c r="E92" i="2"/>
  <c r="C70" i="2"/>
  <c r="E65" i="2"/>
  <c r="C53" i="2"/>
  <c r="D67" i="2"/>
  <c r="E21" i="2"/>
  <c r="D92" i="2"/>
  <c r="B72" i="2"/>
  <c r="B101" i="2"/>
  <c r="E9" i="2"/>
  <c r="C43" i="2"/>
  <c r="C95" i="2"/>
  <c r="D73" i="2"/>
  <c r="E6" i="2"/>
  <c r="C86" i="2"/>
  <c r="B78" i="2"/>
  <c r="D50" i="2"/>
  <c r="E50" i="2"/>
  <c r="E41" i="2"/>
  <c r="B95" i="2"/>
  <c r="D6" i="2"/>
  <c r="B16" i="2"/>
  <c r="B41" i="2"/>
  <c r="E73" i="2"/>
  <c r="E16" i="2"/>
  <c r="D33" i="2"/>
  <c r="E78" i="2"/>
  <c r="B100" i="2"/>
  <c r="B73" i="2"/>
  <c r="C100" i="2"/>
  <c r="C41" i="2"/>
  <c r="C6" i="2"/>
  <c r="C16" i="2"/>
  <c r="B86" i="2"/>
  <c r="D95" i="2"/>
  <c r="C33" i="2"/>
  <c r="D86" i="2"/>
  <c r="E100" i="2"/>
  <c r="E33" i="2"/>
  <c r="C50" i="2"/>
  <c r="D78" i="2"/>
  <c r="B6" i="2"/>
  <c r="B50" i="2"/>
  <c r="D100" i="2"/>
  <c r="E95" i="2"/>
  <c r="D16" i="2"/>
  <c r="B33" i="2"/>
  <c r="D41" i="2"/>
  <c r="E86" i="2"/>
  <c r="C78" i="2"/>
  <c r="C73" i="2"/>
  <c r="C52" i="2"/>
  <c r="C96" i="2"/>
  <c r="B47" i="2"/>
  <c r="B45" i="2"/>
  <c r="C74" i="2"/>
  <c r="D94" i="2"/>
  <c r="D39" i="2"/>
  <c r="C64" i="2"/>
  <c r="D47" i="2"/>
  <c r="E45" i="2"/>
  <c r="D2" i="2"/>
  <c r="C39" i="2"/>
  <c r="D20" i="2"/>
  <c r="D96" i="2"/>
  <c r="B2" i="2"/>
  <c r="B52" i="2"/>
  <c r="E64" i="2"/>
  <c r="D64" i="2"/>
  <c r="D52" i="2"/>
  <c r="E20" i="2"/>
  <c r="B94" i="2"/>
  <c r="B39" i="2"/>
  <c r="B74" i="2"/>
  <c r="E94" i="2"/>
  <c r="B20" i="2"/>
  <c r="D45" i="2"/>
  <c r="E74" i="2"/>
  <c r="E2" i="2"/>
  <c r="E96" i="2"/>
  <c r="E47" i="2"/>
  <c r="B64" i="2"/>
  <c r="D74" i="2"/>
  <c r="E52" i="2"/>
  <c r="C20" i="2"/>
  <c r="E39" i="2"/>
  <c r="C94" i="2"/>
  <c r="B96" i="2"/>
  <c r="C45" i="2"/>
  <c r="C2" i="2"/>
  <c r="C47" i="2"/>
  <c r="E77" i="2"/>
  <c r="D14" i="2"/>
  <c r="C37" i="2"/>
  <c r="B13" i="2"/>
  <c r="B77" i="2"/>
  <c r="C13" i="2"/>
  <c r="C48" i="2"/>
  <c r="E98" i="2"/>
  <c r="E30" i="2"/>
  <c r="B15" i="2"/>
  <c r="B30" i="2"/>
  <c r="E48" i="2"/>
  <c r="B14" i="2"/>
  <c r="E14" i="2"/>
  <c r="C12" i="2"/>
  <c r="D37" i="2"/>
  <c r="D98" i="2"/>
  <c r="D48" i="2"/>
  <c r="D7" i="2"/>
  <c r="B7" i="2"/>
  <c r="E7" i="2"/>
  <c r="E13" i="2"/>
  <c r="D77" i="2"/>
  <c r="D13" i="2"/>
  <c r="D30" i="2"/>
  <c r="D15" i="2"/>
  <c r="D12" i="2"/>
  <c r="B12" i="2"/>
  <c r="B98" i="2"/>
  <c r="C98" i="2"/>
  <c r="C7" i="2"/>
  <c r="C14" i="2"/>
  <c r="C15" i="2"/>
  <c r="C77" i="2"/>
  <c r="B37" i="2"/>
  <c r="E15" i="2"/>
  <c r="C30" i="2"/>
  <c r="E37" i="2"/>
  <c r="E12" i="2"/>
  <c r="B48" i="2"/>
  <c r="B88" i="2"/>
  <c r="D44" i="2"/>
  <c r="D46" i="2"/>
  <c r="E88" i="2"/>
  <c r="E63" i="2"/>
  <c r="D59" i="2"/>
  <c r="D8" i="2"/>
  <c r="C90" i="2"/>
  <c r="B23" i="2"/>
  <c r="E90" i="2"/>
  <c r="B90" i="2"/>
  <c r="B62" i="2"/>
  <c r="B46" i="2"/>
  <c r="D63" i="2"/>
  <c r="C63" i="2"/>
  <c r="D60" i="2"/>
  <c r="C88" i="2"/>
  <c r="E59" i="2"/>
  <c r="E62" i="2"/>
  <c r="B59" i="2"/>
  <c r="C23" i="2"/>
  <c r="C44" i="2"/>
  <c r="B44" i="2"/>
  <c r="E60" i="2"/>
  <c r="B60" i="2"/>
  <c r="E8" i="2"/>
  <c r="C62" i="2"/>
  <c r="D23" i="2"/>
  <c r="E46" i="2"/>
  <c r="C8" i="2"/>
  <c r="E44" i="2"/>
  <c r="D62" i="2"/>
  <c r="D88" i="2"/>
  <c r="C60" i="2"/>
  <c r="B8" i="2"/>
  <c r="E23" i="2"/>
  <c r="B63" i="2"/>
  <c r="C46" i="2"/>
  <c r="C59" i="2"/>
  <c r="D90" i="2"/>
  <c r="D76" i="2"/>
  <c r="B75" i="2"/>
  <c r="C3" i="2"/>
  <c r="B83" i="2"/>
  <c r="C76" i="2"/>
  <c r="C55" i="2"/>
  <c r="C80" i="2"/>
  <c r="E83" i="2"/>
  <c r="E54" i="2"/>
  <c r="C83" i="2"/>
  <c r="E80" i="2"/>
  <c r="D55" i="2"/>
  <c r="C69" i="2"/>
  <c r="D89" i="2"/>
  <c r="E89" i="2"/>
  <c r="C75" i="2"/>
  <c r="E3" i="2"/>
  <c r="E69" i="2"/>
  <c r="D83" i="2"/>
  <c r="D75" i="2"/>
  <c r="B54" i="2"/>
  <c r="D69" i="2"/>
  <c r="B80" i="2"/>
  <c r="C54" i="2"/>
  <c r="B69" i="2"/>
  <c r="B76" i="2"/>
  <c r="B3" i="2"/>
  <c r="B89" i="2"/>
  <c r="D80" i="2"/>
  <c r="E58" i="2"/>
  <c r="E55" i="2"/>
  <c r="B55" i="2"/>
  <c r="D58" i="2"/>
  <c r="C58" i="2"/>
  <c r="D3" i="2"/>
  <c r="E76" i="2"/>
  <c r="B58" i="2"/>
  <c r="C89" i="2"/>
  <c r="E75" i="2"/>
  <c r="D54" i="2"/>
  <c r="D10" i="2"/>
  <c r="E51" i="2"/>
  <c r="E19" i="2"/>
  <c r="C19" i="2"/>
  <c r="B40" i="2"/>
  <c r="D49" i="2"/>
  <c r="C18" i="2"/>
  <c r="B82" i="2"/>
  <c r="E32" i="2"/>
  <c r="B10" i="2"/>
  <c r="E18" i="2"/>
  <c r="C51" i="2"/>
  <c r="C82" i="2"/>
  <c r="B22" i="2"/>
  <c r="B35" i="2"/>
  <c r="B19" i="2"/>
  <c r="E49" i="2"/>
  <c r="B18" i="2"/>
  <c r="C22" i="2"/>
  <c r="D32" i="2"/>
  <c r="D51" i="2"/>
  <c r="C35" i="2"/>
  <c r="E22" i="2"/>
  <c r="C10" i="2"/>
  <c r="C40" i="2"/>
  <c r="B49" i="2"/>
  <c r="D35" i="2"/>
  <c r="E40" i="2"/>
  <c r="C32" i="2"/>
  <c r="C49" i="2"/>
  <c r="E35" i="2"/>
  <c r="E82" i="2"/>
  <c r="E10" i="2"/>
  <c r="D40" i="2"/>
  <c r="D22" i="2"/>
  <c r="D19" i="2"/>
  <c r="D82" i="2"/>
  <c r="B32" i="2"/>
  <c r="B51" i="2"/>
  <c r="D18" i="2"/>
  <c r="B85" i="2"/>
  <c r="D71" i="2"/>
  <c r="D87" i="2"/>
  <c r="E27" i="2"/>
  <c r="B93" i="2"/>
  <c r="C87" i="2"/>
  <c r="E42" i="2"/>
  <c r="E31" i="2"/>
  <c r="D36" i="2"/>
  <c r="E93" i="2"/>
  <c r="B31" i="2"/>
  <c r="C85" i="2"/>
  <c r="D27" i="2"/>
  <c r="D42" i="2"/>
  <c r="E11" i="2"/>
  <c r="E26" i="2"/>
  <c r="C31" i="2"/>
  <c r="C26" i="2"/>
  <c r="D85" i="2"/>
  <c r="D11" i="2"/>
  <c r="B27" i="2"/>
  <c r="E71" i="2"/>
  <c r="C36" i="2"/>
  <c r="C71" i="2"/>
  <c r="C42" i="2"/>
  <c r="B26" i="2"/>
  <c r="B87" i="2"/>
  <c r="D93" i="2"/>
  <c r="B36" i="2"/>
  <c r="C11" i="2"/>
  <c r="E85" i="2"/>
  <c r="C27" i="2"/>
  <c r="B71" i="2"/>
  <c r="E36" i="2"/>
  <c r="D31" i="2"/>
  <c r="B42" i="2"/>
  <c r="E87" i="2"/>
  <c r="B11" i="2"/>
  <c r="D26" i="2"/>
  <c r="C93" i="2"/>
  <c r="D97" i="2"/>
  <c r="E24" i="2"/>
  <c r="C91" i="2"/>
  <c r="C79" i="2"/>
  <c r="E56" i="2"/>
  <c r="C97" i="2"/>
  <c r="D4" i="2"/>
  <c r="C28" i="2"/>
  <c r="E97" i="2"/>
  <c r="D56" i="2"/>
  <c r="B17" i="2"/>
  <c r="B28" i="2"/>
  <c r="D24" i="2"/>
  <c r="E28" i="2"/>
  <c r="B56" i="2"/>
  <c r="E79" i="2"/>
  <c r="B4" i="2"/>
  <c r="C61" i="2"/>
  <c r="E91" i="2"/>
  <c r="D79" i="2"/>
  <c r="B91" i="2"/>
  <c r="D29" i="2"/>
  <c r="E17" i="2"/>
  <c r="C4" i="2"/>
  <c r="D61" i="2"/>
  <c r="E61" i="2"/>
  <c r="C24" i="2"/>
  <c r="D17" i="2"/>
  <c r="B29" i="2"/>
  <c r="E29" i="2"/>
  <c r="B79" i="2"/>
  <c r="C17" i="2"/>
  <c r="B24" i="2"/>
  <c r="C29" i="2"/>
  <c r="B97" i="2"/>
  <c r="C56" i="2"/>
  <c r="D28" i="2"/>
  <c r="B61" i="2"/>
  <c r="E4" i="2"/>
  <c r="D91" i="2"/>
  <c r="D84" i="2"/>
  <c r="B57" i="2"/>
  <c r="E66" i="2"/>
  <c r="C38" i="2"/>
  <c r="E99" i="2"/>
  <c r="E57" i="2"/>
  <c r="D68" i="2"/>
  <c r="D5" i="2"/>
  <c r="D57" i="2"/>
  <c r="B38" i="2"/>
  <c r="E68" i="2"/>
  <c r="C99" i="2"/>
  <c r="C81" i="2"/>
  <c r="D34" i="2"/>
  <c r="B34" i="2"/>
  <c r="C66" i="2"/>
  <c r="B66" i="2"/>
  <c r="C68" i="2"/>
  <c r="E81" i="2"/>
  <c r="E34" i="2"/>
  <c r="B25" i="2"/>
  <c r="C5" i="2"/>
  <c r="C84" i="2"/>
  <c r="D38" i="2"/>
  <c r="B84" i="2"/>
  <c r="D81" i="2"/>
  <c r="B99" i="2"/>
  <c r="B5" i="2"/>
  <c r="E25" i="2"/>
  <c r="D25" i="2"/>
  <c r="D66" i="2"/>
  <c r="E5" i="2"/>
  <c r="E38" i="2"/>
  <c r="C57" i="2"/>
  <c r="B68" i="2"/>
  <c r="C34" i="2"/>
  <c r="E84" i="2"/>
  <c r="C25" i="2"/>
  <c r="D99" i="2"/>
  <c r="B81" i="2"/>
</calcChain>
</file>

<file path=xl/sharedStrings.xml><?xml version="1.0" encoding="utf-8"?>
<sst xmlns="http://schemas.openxmlformats.org/spreadsheetml/2006/main" count="105" uniqueCount="105">
  <si>
    <t>Ticker</t>
  </si>
  <si>
    <t>Name</t>
  </si>
  <si>
    <t>Last Price</t>
  </si>
  <si>
    <t>Price Change 1 Day Percent</t>
  </si>
  <si>
    <t>Equity Turnover / Traded Value</t>
  </si>
  <si>
    <t>700 HK Equity</t>
  </si>
  <si>
    <t>1810 HK Equity</t>
  </si>
  <si>
    <t>3690 HK Equity</t>
  </si>
  <si>
    <t>9988 HK Equity</t>
  </si>
  <si>
    <t>3800 HK Equity</t>
  </si>
  <si>
    <t>939 HK Equity</t>
  </si>
  <si>
    <t>388 HK Equity</t>
  </si>
  <si>
    <t>1299 HK Equity</t>
  </si>
  <si>
    <t>941 HK Equity</t>
  </si>
  <si>
    <t>9618 HK Equity</t>
  </si>
  <si>
    <t>6969 HK Equity</t>
  </si>
  <si>
    <t>2318 HK Equity</t>
  </si>
  <si>
    <t>1093 HK Equity</t>
  </si>
  <si>
    <t>2269 HK Equity</t>
  </si>
  <si>
    <t>1211 HK Equity</t>
  </si>
  <si>
    <t>1024 HK Equity</t>
  </si>
  <si>
    <t>708 HK Equity</t>
  </si>
  <si>
    <t>1918 HK Equity</t>
  </si>
  <si>
    <t>688 HK Equity</t>
  </si>
  <si>
    <t>1833 HK Equity</t>
  </si>
  <si>
    <t>27 HK Equity</t>
  </si>
  <si>
    <t>175 HK Equity</t>
  </si>
  <si>
    <t>3968 HK Equity</t>
  </si>
  <si>
    <t>5 HK Equity</t>
  </si>
  <si>
    <t>981 HK Equity</t>
  </si>
  <si>
    <t>2382 HK Equity</t>
  </si>
  <si>
    <t>1398 HK Equity</t>
  </si>
  <si>
    <t>883 HK Equity</t>
  </si>
  <si>
    <t>1177 HK Equity</t>
  </si>
  <si>
    <t>2020 HK Equity</t>
  </si>
  <si>
    <t>2013 HK Equity</t>
  </si>
  <si>
    <t>3988 HK Equity</t>
  </si>
  <si>
    <t>992 HK Equity</t>
  </si>
  <si>
    <t>2899 HK Equity</t>
  </si>
  <si>
    <t>136 HK Equity</t>
  </si>
  <si>
    <t>788 HK Equity</t>
  </si>
  <si>
    <t>968 HK Equity</t>
  </si>
  <si>
    <t>1801 HK Equity</t>
  </si>
  <si>
    <t>9999 HK Equity</t>
  </si>
  <si>
    <t>1755 HK Equity</t>
  </si>
  <si>
    <t>1378 HK Equity</t>
  </si>
  <si>
    <t>291 HK Equity</t>
  </si>
  <si>
    <t>2319 HK Equity</t>
  </si>
  <si>
    <t>728 HK Equity</t>
  </si>
  <si>
    <t>6618 HK Equity</t>
  </si>
  <si>
    <t>386 HK Equity</t>
  </si>
  <si>
    <t>1919 HK Equity</t>
  </si>
  <si>
    <t>669 HK Equity</t>
  </si>
  <si>
    <t>241 HK Equity</t>
  </si>
  <si>
    <t>1610 HK Equity</t>
  </si>
  <si>
    <t>1928 HK Equity</t>
  </si>
  <si>
    <t>2333 HK Equity</t>
  </si>
  <si>
    <t>2628 HK Equity</t>
  </si>
  <si>
    <t>493 HK Equity</t>
  </si>
  <si>
    <t>1 HK Equity</t>
  </si>
  <si>
    <t>2313 HK Equity</t>
  </si>
  <si>
    <t>762 HK Equity</t>
  </si>
  <si>
    <t>2388 HK Equity</t>
  </si>
  <si>
    <t>1288 HK Equity</t>
  </si>
  <si>
    <t>9633 HK Equity</t>
  </si>
  <si>
    <t>268 HK Equity</t>
  </si>
  <si>
    <t>873 HK Equity</t>
  </si>
  <si>
    <t>1658 HK Equity</t>
  </si>
  <si>
    <t>914 HK Equity</t>
  </si>
  <si>
    <t>1313 HK Equity</t>
  </si>
  <si>
    <t>1109 HK Equity</t>
  </si>
  <si>
    <t>2202 HK Equity</t>
  </si>
  <si>
    <t>753 HK Equity</t>
  </si>
  <si>
    <t>6098 HK Equity</t>
  </si>
  <si>
    <t>2007 HK Equity</t>
  </si>
  <si>
    <t>772 HK Equity</t>
  </si>
  <si>
    <t>6666 HK Equity</t>
  </si>
  <si>
    <t>6862 HK Equity</t>
  </si>
  <si>
    <t>857 HK Equity</t>
  </si>
  <si>
    <t>9992 HK Equity</t>
  </si>
  <si>
    <t>916 HK Equity</t>
  </si>
  <si>
    <t>960 HK Equity</t>
  </si>
  <si>
    <t>909 HK Equity</t>
  </si>
  <si>
    <t>16 HK Equity</t>
  </si>
  <si>
    <t>3323 HK Equity</t>
  </si>
  <si>
    <t>2600 HK Equity</t>
  </si>
  <si>
    <t>2601 HK Equity</t>
  </si>
  <si>
    <t>1347 HK Equity</t>
  </si>
  <si>
    <t>1772 HK Equity</t>
  </si>
  <si>
    <t>3606 HK Equity</t>
  </si>
  <si>
    <t>1579 HK Equity</t>
  </si>
  <si>
    <t>6060 HK Equity</t>
  </si>
  <si>
    <t>813 HK Equity</t>
  </si>
  <si>
    <t>1113 HK Equity</t>
  </si>
  <si>
    <t>6186 HK Equity</t>
  </si>
  <si>
    <t>285 HK Equity</t>
  </si>
  <si>
    <t>9923 HK Equity</t>
  </si>
  <si>
    <t>853 HK Equity</t>
  </si>
  <si>
    <t>3888 HK Equity</t>
  </si>
  <si>
    <t>1128 HK Equity</t>
  </si>
  <si>
    <t>3898 HK Equity</t>
  </si>
  <si>
    <t>6878 HK Equity</t>
  </si>
  <si>
    <t>2359 HK Equity</t>
  </si>
  <si>
    <t>2328 HK Equity</t>
  </si>
  <si>
    <t>358 HK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</si>
</sst>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26" xr:uid="{00000000-0005-0000-0000-000019000000}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BDP|10844264505961295938</stp>
        <tr r="D27" s="2"/>
      </tp>
      <tp t="s">
        <v>#N/A N/A</v>
        <stp/>
        <stp>BDP|16315438560817808950</stp>
        <tr r="D43" s="2"/>
      </tp>
      <tp t="s">
        <v>#N/A N/A</v>
        <stp/>
        <stp>BDP|16626364066160069999</stp>
        <tr r="D21" s="2"/>
      </tp>
      <tp t="s">
        <v>#N/A N/A</v>
        <stp/>
        <stp>BDP|13862068575797713934</stp>
        <tr r="D75" s="2"/>
      </tp>
      <tp t="s">
        <v>#N/A N/A</v>
        <stp/>
        <stp>BDP|11421681657470984835</stp>
        <tr r="D34" s="2"/>
      </tp>
      <tp t="s">
        <v>#N/A N/A</v>
        <stp/>
        <stp>BDP|14302804128193240796</stp>
        <tr r="B10" s="2"/>
      </tp>
      <tp t="s">
        <v>#N/A N/A</v>
        <stp/>
        <stp>BDP|15090339542701794923</stp>
        <tr r="E73" s="2"/>
      </tp>
      <tp t="s">
        <v>#N/A N/A</v>
        <stp/>
        <stp>BDP|13541073550594044864</stp>
        <tr r="D101" s="2"/>
      </tp>
      <tp t="s">
        <v>#N/A N/A</v>
        <stp/>
        <stp>BDP|17938353980404850205</stp>
        <tr r="E24" s="2"/>
      </tp>
      <tp t="s">
        <v>#N/A N/A</v>
        <stp/>
        <stp>BDP|10035331227598771344</stp>
        <tr r="B58" s="2"/>
      </tp>
      <tp t="s">
        <v>#N/A N/A</v>
        <stp/>
        <stp>BDP|10528579682533320456</stp>
        <tr r="C6" s="2"/>
      </tp>
      <tp t="s">
        <v>#N/A N/A</v>
        <stp/>
        <stp>BDP|18034661980094865880</stp>
        <tr r="D14" s="2"/>
      </tp>
      <tp t="s">
        <v>#N/A N/A</v>
        <stp/>
        <stp>BDP|16748474552138987420</stp>
        <tr r="C97" s="2"/>
      </tp>
      <tp t="s">
        <v>#N/A N/A</v>
        <stp/>
        <stp>BDP|13922782880411100692</stp>
        <tr r="B21" s="2"/>
      </tp>
      <tp t="s">
        <v>#N/A N/A</v>
        <stp/>
        <stp>BDP|15352992222751254421</stp>
        <tr r="E80" s="2"/>
      </tp>
      <tp t="s">
        <v>#N/A N/A</v>
        <stp/>
        <stp>BDP|10888970032239675872</stp>
        <tr r="E58" s="2"/>
      </tp>
      <tp t="s">
        <v>#N/A N/A</v>
        <stp/>
        <stp>BDP|15427805930321831438</stp>
        <tr r="D70" s="2"/>
      </tp>
      <tp t="s">
        <v>#N/A N/A</v>
        <stp/>
        <stp>BDP|10916013304973622859</stp>
        <tr r="C82" s="2"/>
      </tp>
      <tp t="s">
        <v>#N/A N/A</v>
        <stp/>
        <stp>BDP|17487639108589659378</stp>
        <tr r="E51" s="2"/>
      </tp>
      <tp t="s">
        <v>#N/A N/A</v>
        <stp/>
        <stp>BDP|11673585106506933906</stp>
        <tr r="D84" s="2"/>
      </tp>
      <tp t="s">
        <v>#N/A N/A</v>
        <stp/>
        <stp>BDP|14656652995786147661</stp>
        <tr r="E3" s="2"/>
      </tp>
      <tp t="s">
        <v>#N/A N/A</v>
        <stp/>
        <stp>BDP|17793798884062946169</stp>
        <tr r="B92" s="2"/>
      </tp>
      <tp t="s">
        <v>#N/A N/A</v>
        <stp/>
        <stp>BDP|15272055963480052807</stp>
        <tr r="D55" s="2"/>
      </tp>
      <tp t="s">
        <v>#N/A N/A</v>
        <stp/>
        <stp>BDP|10497228076904151983</stp>
        <tr r="E7" s="2"/>
      </tp>
      <tp t="s">
        <v>#N/A N/A</v>
        <stp/>
        <stp>BDP|18164077319075414420</stp>
        <tr r="D73" s="2"/>
      </tp>
      <tp t="s">
        <v>#N/A N/A</v>
        <stp/>
        <stp>BDP|12856006871705785855</stp>
        <tr r="E67" s="2"/>
      </tp>
      <tp t="s">
        <v>#N/A N/A</v>
        <stp/>
        <stp>BDP|12723429374381551883</stp>
        <tr r="B3" s="2"/>
      </tp>
      <tp t="s">
        <v>#N/A N/A</v>
        <stp/>
        <stp>BDP|17456637601551253885</stp>
        <tr r="D50" s="2"/>
      </tp>
      <tp t="s">
        <v>#N/A N/A</v>
        <stp/>
        <stp>BDP|16233726527308023392</stp>
        <tr r="C48" s="2"/>
      </tp>
      <tp t="s">
        <v>#N/A N/A</v>
        <stp/>
        <stp>BDP|13604212293382148273</stp>
        <tr r="E18" s="2"/>
      </tp>
      <tp t="s">
        <v>#N/A N/A</v>
        <stp/>
        <stp>BDP|14696272772749445022</stp>
        <tr r="E32" s="2"/>
      </tp>
      <tp t="s">
        <v>#N/A N/A</v>
        <stp/>
        <stp>BDP|18069082965335952309</stp>
        <tr r="E70" s="2"/>
      </tp>
      <tp t="s">
        <v>#N/A N/A</v>
        <stp/>
        <stp>BDP|13089361591132107303</stp>
        <tr r="E91" s="2"/>
      </tp>
      <tp t="s">
        <v>#N/A N/A</v>
        <stp/>
        <stp>BDP|12718847870864254088</stp>
        <tr r="C51" s="2"/>
      </tp>
      <tp t="s">
        <v>#N/A N/A</v>
        <stp/>
        <stp>BDP|10682257865559977468</stp>
        <tr r="B55" s="2"/>
      </tp>
      <tp t="s">
        <v>#N/A N/A</v>
        <stp/>
        <stp>BDP|13036091367978907492</stp>
        <tr r="C9" s="2"/>
      </tp>
      <tp t="s">
        <v>#N/A N/A</v>
        <stp/>
        <stp>BDP|12489584010449438668</stp>
        <tr r="D36" s="2"/>
      </tp>
      <tp t="s">
        <v>#N/A N/A</v>
        <stp/>
        <stp>BDP|15633897954447278692</stp>
        <tr r="B41" s="2"/>
      </tp>
      <tp t="s">
        <v>#N/A N/A</v>
        <stp/>
        <stp>BDP|14320429805470662909</stp>
        <tr r="E53" s="2"/>
      </tp>
      <tp t="s">
        <v>#N/A N/A</v>
        <stp/>
        <stp>BDP|10020950183601374975</stp>
        <tr r="B66" s="2"/>
      </tp>
      <tp t="s">
        <v>#N/A N/A</v>
        <stp/>
        <stp>BDP|13697429801457380934</stp>
        <tr r="D8" s="2"/>
      </tp>
      <tp t="s">
        <v>#N/A N/A</v>
        <stp/>
        <stp>BDP|13424877307432169016</stp>
        <tr r="B30" s="2"/>
      </tp>
      <tp t="s">
        <v>#N/A N/A</v>
        <stp/>
        <stp>BDP|13191772690716955285</stp>
        <tr r="C54" s="2"/>
      </tp>
      <tp t="s">
        <v>#N/A N/A</v>
        <stp/>
        <stp>BDP|14642922866362180049</stp>
        <tr r="B28" s="2"/>
      </tp>
      <tp t="s">
        <v>#N/A N/A</v>
        <stp/>
        <stp>BDP|18389295311045479790</stp>
        <tr r="B53" s="2"/>
      </tp>
      <tp t="s">
        <v>#N/A N/A</v>
        <stp/>
        <stp>BDP|16626480194175508791</stp>
        <tr r="E27" s="2"/>
      </tp>
      <tp t="s">
        <v>#N/A N/A</v>
        <stp/>
        <stp>BDP|17046396591823032056</stp>
        <tr r="E99" s="2"/>
      </tp>
      <tp t="s">
        <v>#N/A N/A</v>
        <stp/>
        <stp>BDP|15913176251756103936</stp>
        <tr r="C19" s="2"/>
      </tp>
      <tp t="s">
        <v>#N/A N/A</v>
        <stp/>
        <stp>BDP|15585357218771285843</stp>
        <tr r="C83" s="2"/>
      </tp>
      <tp t="s">
        <v>#N/A N/A</v>
        <stp/>
        <stp>BDP|17624795564398177094</stp>
        <tr r="C37" s="2"/>
      </tp>
      <tp t="s">
        <v>#N/A N/A</v>
        <stp/>
        <stp>BDP|17740568293163402644</stp>
        <tr r="C52" s="2"/>
      </tp>
      <tp t="s">
        <v>#N/A N/A</v>
        <stp/>
        <stp>BDP|12792876754489365853</stp>
        <tr r="B76" s="2"/>
      </tp>
      <tp t="s">
        <v>#N/A N/A</v>
        <stp/>
        <stp>BDP|12157964357814477431</stp>
        <tr r="B73" s="2"/>
      </tp>
      <tp t="s">
        <v>#N/A N/A</v>
        <stp/>
        <stp>BDP|16776166505268407160</stp>
        <tr r="D44" s="2"/>
      </tp>
      <tp t="s">
        <v>#N/A N/A</v>
        <stp/>
        <stp>BDP|10357995232486887387</stp>
        <tr r="E13" s="2"/>
      </tp>
      <tp t="s">
        <v>#N/A N/A</v>
        <stp/>
        <stp>BDP|14985509350733622879</stp>
        <tr r="D59" s="2"/>
      </tp>
      <tp t="s">
        <v>#N/A N/A</v>
        <stp/>
        <stp>BDP|10840559855496655935</stp>
        <tr r="B22" s="2"/>
      </tp>
      <tp t="s">
        <v>#N/A N/A</v>
        <stp/>
        <stp>BDP|10530392394734302167</stp>
        <tr r="D63" s="2"/>
      </tp>
      <tp t="s">
        <v>#N/A N/A</v>
        <stp/>
        <stp>BDP|12971446280080854192</stp>
        <tr r="B69" s="2"/>
      </tp>
      <tp t="s">
        <v>#N/A N/A</v>
        <stp/>
        <stp>BDP|18033688903836201778</stp>
        <tr r="D76" s="2"/>
      </tp>
      <tp t="s">
        <v>#N/A N/A</v>
        <stp/>
        <stp>BDP|16409004789258223916</stp>
        <tr r="B45" s="2"/>
      </tp>
      <tp t="s">
        <v>#N/A N/A</v>
        <stp/>
        <stp>BDP|10633860928674442121</stp>
        <tr r="C58" s="2"/>
      </tp>
      <tp t="s">
        <v>#N/A N/A</v>
        <stp/>
        <stp>BDP|16963533805188828492</stp>
        <tr r="D4" s="2"/>
      </tp>
      <tp t="s">
        <v>#N/A N/A</v>
        <stp/>
        <stp>BDP|11729316710404282853</stp>
        <tr r="D29" s="2"/>
      </tp>
      <tp t="s">
        <v>#N/A N/A</v>
        <stp/>
        <stp>BDP|10708753781967583778</stp>
        <tr r="B7" s="2"/>
      </tp>
      <tp t="s">
        <v>#N/A N/A</v>
        <stp/>
        <stp>BDP|18391580182033984903</stp>
        <tr r="B57" s="2"/>
      </tp>
      <tp t="s">
        <v>#N/A N/A</v>
        <stp/>
        <stp>BDP|16637839455691604527</stp>
        <tr r="D87" s="2"/>
      </tp>
      <tp t="s">
        <v>#N/A N/A</v>
        <stp/>
        <stp>BDP|14887662733996810813</stp>
        <tr r="E89" s="2"/>
      </tp>
      <tp t="s">
        <v>#N/A N/A</v>
        <stp/>
        <stp>BDP|18174451466454288283</stp>
        <tr r="B85" s="2"/>
      </tp>
      <tp t="s">
        <v>#N/A N/A</v>
        <stp/>
        <stp>BDP|11162996906827672308</stp>
        <tr r="D48" s="2"/>
      </tp>
      <tp t="s">
        <v>#N/A N/A</v>
        <stp/>
        <stp>BDP|15169959327547968514</stp>
        <tr r="D94" s="2"/>
      </tp>
      <tp t="s">
        <v>#N/A N/A</v>
        <stp/>
        <stp>BDP|13384678508190373941</stp>
        <tr r="D47" s="2"/>
      </tp>
      <tp t="s">
        <v>#N/A N/A</v>
        <stp/>
        <stp>BDP|15652172215728933115</stp>
        <tr r="E97" s="2"/>
      </tp>
      <tp t="s">
        <v>#N/A N/A</v>
        <stp/>
        <stp>BDP|15971413437366484893</stp>
        <tr r="C87" s="2"/>
      </tp>
      <tp t="s">
        <v>#N/A N/A</v>
        <stp/>
        <stp>BDP|10568525668359886606</stp>
        <tr r="D42" s="2"/>
      </tp>
      <tp t="s">
        <v>#N/A N/A</v>
        <stp/>
        <stp>BDP|11115910838830230677</stp>
        <tr r="B34" s="2"/>
      </tp>
      <tp t="s">
        <v>#N/A N/A</v>
        <stp/>
        <stp>BDP|14843155972838240709</stp>
        <tr r="C75" s="2"/>
      </tp>
      <tp t="s">
        <v>#N/A N/A</v>
        <stp/>
        <stp>BDP|14663842390950844860</stp>
        <tr r="D56" s="2"/>
      </tp>
      <tp t="s">
        <v>#N/A N/A</v>
        <stp/>
        <stp>BDP|10003955093708600510</stp>
        <tr r="B35" s="2"/>
      </tp>
      <tp t="s">
        <v>#N/A N/A</v>
        <stp/>
        <stp>BDP|17512707491117066350</stp>
        <tr r="B83" s="2"/>
      </tp>
      <tp t="s">
        <v>#N/A N/A</v>
        <stp/>
        <stp>BDP|12150774283827324761</stp>
        <tr r="D98" s="2"/>
      </tp>
      <tp t="s">
        <v>#N/A N/A</v>
        <stp/>
        <stp>BDP|17888730302059081493</stp>
        <tr r="C91" s="2"/>
      </tp>
      <tp t="s">
        <v>#N/A N/A</v>
        <stp/>
        <stp>BDP|17848953870890937467</stp>
        <tr r="C79" s="2"/>
      </tp>
      <tp t="s">
        <v>#N/A N/A</v>
        <stp/>
        <stp>BDP|13177949025063498613</stp>
        <tr r="E48" s="2"/>
      </tp>
      <tp t="s">
        <v>#N/A N/A</v>
        <stp/>
        <stp>BDP|18061646603087091401</stp>
        <tr r="E66" s="2"/>
      </tp>
      <tp t="s">
        <v>#N/A N/A</v>
        <stp/>
        <stp>BDP|12460790995673790289</stp>
        <tr r="C12" s="2"/>
      </tp>
      <tp t="s">
        <v>#N/A N/A</v>
        <stp/>
        <stp>BDP|16063435341512112689</stp>
        <tr r="D5" s="2"/>
      </tp>
      <tp t="s">
        <v>#N/A N/A</v>
        <stp/>
        <stp>BDP|10513587713210589601</stp>
        <tr r="E11" s="2"/>
      </tp>
      <tp t="s">
        <v>#N/A N/A</v>
        <stp/>
        <stp>BDP|14100571521830586191</stp>
        <tr r="B56" s="2"/>
      </tp>
      <tp t="s">
        <v>#N/A N/A</v>
        <stp/>
        <stp>BDP|17745689241005447206</stp>
        <tr r="B75" s="2"/>
      </tp>
      <tp t="s">
        <v>#N/A N/A</v>
        <stp/>
        <stp>BDP|15972830104529505612</stp>
        <tr r="E63" s="2"/>
      </tp>
      <tp t="s">
        <v>#N/A N/A</v>
        <stp/>
        <stp>BDP|14018789036402644057</stp>
        <tr r="E79" s="2"/>
      </tp>
      <tp t="s">
        <v>#N/A N/A</v>
        <stp/>
        <stp>BDP|12397987782086650734</stp>
        <tr r="B31" s="2"/>
      </tp>
      <tp t="s">
        <v>#N/A N/A</v>
        <stp/>
        <stp>BDP|11848608290285179960</stp>
        <tr r="B90" s="2"/>
      </tp>
      <tp t="s">
        <v>#N/A N/A</v>
        <stp/>
        <stp>BDP|17963727391332010949</stp>
        <tr r="D10" s="2"/>
      </tp>
      <tp t="s">
        <v>#N/A N/A</v>
        <stp/>
        <stp>BDP|13512708976833585277</stp>
        <tr r="B80" s="2"/>
      </tp>
      <tp t="s">
        <v>#N/A N/A</v>
        <stp/>
        <stp>BDP|10726740330244315212</stp>
        <tr r="B46" s="2"/>
      </tp>
      <tp t="s">
        <v>#N/A N/A</v>
        <stp/>
        <stp>BDP|12637547453711291133</stp>
        <tr r="B23" s="2"/>
      </tp>
      <tp t="s">
        <v>#N/A N/A</v>
        <stp/>
        <stp>BDP|13514237072743009744</stp>
        <tr r="C61" s="2"/>
      </tp>
      <tp t="s">
        <v>#N/A N/A</v>
        <stp/>
        <stp>BDP|13059149337213199040</stp>
        <tr r="D2" s="2"/>
      </tp>
      <tp t="s">
        <v>#N/A N/A</v>
        <stp/>
        <stp>BDP|10637224548597554203</stp>
        <tr r="E17" s="2"/>
      </tp>
      <tp t="s">
        <v>#N/A N/A</v>
        <stp/>
        <stp>BDP|16180780385119736337</stp>
        <tr r="C80" s="2"/>
      </tp>
      <tp t="s">
        <v>#N/A N/A</v>
        <stp/>
        <stp>BDP|15759237574375329689</stp>
        <tr r="B16" s="2"/>
      </tp>
      <tp t="s">
        <v>#N/A N/A</v>
        <stp/>
        <stp>BDP|16623941370223155886</stp>
        <tr r="C55" s="2"/>
      </tp>
      <tp t="s">
        <v>#N/A N/A</v>
        <stp/>
        <stp>BDP|17354771389658365335</stp>
        <tr r="E41" s="2"/>
      </tp>
      <tp t="s">
        <v>#N/A N/A</v>
        <stp/>
        <stp>BDP|10172581193396662916</stp>
        <tr r="C4" s="2"/>
      </tp>
      <tp t="s">
        <v>#N/A N/A</v>
        <stp/>
        <stp>BDP|11311785625321784651</stp>
        <tr r="C66" s="2"/>
      </tp>
      <tp t="s">
        <v>#N/A N/A</v>
        <stp/>
        <stp>BDP|17479383617892189452</stp>
        <tr r="B13" s="2"/>
      </tp>
      <tp t="s">
        <v>#N/A N/A</v>
        <stp/>
        <stp>BDP|13389697556164100780</stp>
        <tr r="E78" s="2"/>
      </tp>
      <tp t="s">
        <v>#N/A N/A</v>
        <stp/>
        <stp>BDP|16079072967032670134</stp>
        <tr r="E83" s="2"/>
      </tp>
      <tp t="s">
        <v>#N/A N/A</v>
        <stp/>
        <stp>BDP|16254659962797792262</stp>
        <tr r="D68" s="2"/>
      </tp>
      <tp t="s">
        <v>#N/A N/A</v>
        <stp/>
        <stp>BDP|17371340836383795711</stp>
        <tr r="C96" s="2"/>
      </tp>
      <tp t="s">
        <v>#N/A N/A</v>
        <stp/>
        <stp>BDP|13978036760161288415</stp>
        <tr r="D83" s="2"/>
      </tp>
      <tp t="s">
        <v>#N/A N/A</v>
        <stp/>
        <stp>BDP|11127688961524216567</stp>
        <tr r="B43" s="2"/>
      </tp>
      <tp t="s">
        <v>#N/A N/A</v>
        <stp/>
        <stp>BDP|17701290451824550465</stp>
        <tr r="C3" s="2"/>
      </tp>
      <tp t="s">
        <v>#N/A N/A</v>
        <stp/>
        <stp>BDP|13252847704088796396</stp>
        <tr r="E45" s="2"/>
      </tp>
      <tp t="s">
        <v>#N/A N/A</v>
        <stp/>
        <stp>BDP|10195300744901814625</stp>
        <tr r="C16" s="2"/>
      </tp>
      <tp t="s">
        <v>#N/A N/A</v>
        <stp/>
        <stp>BDP|16916291835276544113</stp>
        <tr r="B77" s="2"/>
      </tp>
      <tp t="s">
        <v>#N/A N/A</v>
        <stp/>
        <stp>BDP|13535271712040671066</stp>
        <tr r="E68" s="2"/>
      </tp>
      <tp t="s">
        <v>#N/A N/A</v>
        <stp/>
        <stp>BDP|11350218616803752136</stp>
        <tr r="C72" s="2"/>
      </tp>
      <tp t="s">
        <v>#N/A N/A</v>
        <stp/>
        <stp>BDP|12423258261683606530</stp>
        <tr r="E93" s="2"/>
      </tp>
      <tp t="s">
        <v>#N/A N/A</v>
        <stp/>
        <stp>BDP|18113924174611716752</stp>
        <tr r="B88" s="2"/>
      </tp>
      <tp t="s">
        <v>#N/A N/A</v>
        <stp/>
        <stp>BDP|10965290000233118143</stp>
        <tr r="D80" s="2"/>
      </tp>
      <tp t="s">
        <v>#N/A N/A</v>
        <stp/>
        <stp>BDP|12586587869650352129</stp>
        <tr r="D79" s="2"/>
      </tp>
      <tp t="s">
        <v>#N/A N/A</v>
        <stp/>
        <stp>BDP|15788448587378661146</stp>
        <tr r="D6" s="2"/>
      </tp>
      <tp t="s">
        <v>#N/A N/A</v>
        <stp/>
        <stp>BDP|10864387368042493669</stp>
        <tr r="B62" s="2"/>
      </tp>
      <tp t="s">
        <v>#N/A N/A</v>
        <stp/>
        <stp>BDP|16353787166074257237</stp>
        <tr r="D46" s="2"/>
      </tp>
      <tp t="s">
        <v>#N/A N/A</v>
        <stp/>
        <stp>BDP|14399050345765509491</stp>
        <tr r="E42" s="2"/>
      </tp>
      <tp t="s">
        <v>#N/A N/A</v>
        <stp/>
        <stp>BDP|16298069146771977258</stp>
        <tr r="B40" s="2"/>
      </tp>
      <tp t="s">
        <v>#N/A N/A</v>
        <stp/>
        <stp>BDP|11175247337702161321</stp>
        <tr r="B89" s="2"/>
      </tp>
      <tp t="s">
        <v>#N/A N/A</v>
        <stp/>
        <stp>BDP|14458524353926392362</stp>
        <tr r="E69" s="2"/>
      </tp>
      <tp t="s">
        <v>#N/A N/A</v>
        <stp/>
        <stp>BDP|18121887496881973951</stp>
        <tr r="E77" s="2"/>
      </tp>
      <tp t="s">
        <v>#N/A N/A</v>
        <stp/>
        <stp>BDP|17252310702683788653</stp>
        <tr r="C76" s="2"/>
      </tp>
      <tp t="s">
        <v>#N/A N/A</v>
        <stp/>
        <stp>BDP|16784061052043164110</stp>
        <tr r="B95" s="2"/>
      </tp>
      <tp t="s">
        <v>#N/A N/A</v>
        <stp/>
        <stp>BDP|17072520834594761427</stp>
        <tr r="C38" s="2"/>
      </tp>
      <tp t="s">
        <v>#N/A N/A</v>
        <stp/>
        <stp>BDP|13538815264635163942</stp>
        <tr r="C90" s="2"/>
      </tp>
      <tp t="s">
        <v>#N/A N/A</v>
        <stp/>
        <stp>BDP|16165782156272964710</stp>
        <tr r="E88" s="2"/>
      </tp>
      <tp t="s">
        <v>#N/A N/A</v>
        <stp/>
        <stp>BDP|15305271872949550854</stp>
        <tr r="B82" s="2"/>
      </tp>
      <tp t="s">
        <v>#N/A N/A</v>
        <stp/>
        <stp>BDP|13801959404658105410</stp>
        <tr r="D33" s="2"/>
      </tp>
      <tp t="s">
        <v>#N/A N/A</v>
        <stp/>
        <stp>BDP|14404730768456743503</stp>
        <tr r="B17" s="2"/>
      </tp>
      <tp t="s">
        <v>#N/A N/A</v>
        <stp/>
        <stp>BDP|16261772828391355440</stp>
        <tr r="B93" s="2"/>
      </tp>
      <tp t="s">
        <v>#N/A N/A</v>
        <stp/>
        <stp>BDP|14258693266900363215</stp>
        <tr r="D24" s="2"/>
      </tp>
      <tp t="s">
        <v>#N/A N/A</v>
        <stp/>
        <stp>BDP|10032379671436854402</stp>
        <tr r="D96" s="2"/>
      </tp>
      <tp t="s">
        <v>#N/A N/A</v>
        <stp/>
        <stp>BDP|10249210651858553976</stp>
        <tr r="D77" s="2"/>
      </tp>
      <tp t="s">
        <v>#N/A N/A</v>
        <stp/>
        <stp>BDP|14408950106992378975</stp>
        <tr r="D39" s="2"/>
      </tp>
      <tp t="s">
        <v>#N/A N/A</v>
        <stp/>
        <stp>BDP|17703344668434684089</stp>
        <tr r="C86" s="2"/>
      </tp>
      <tp t="s">
        <v>#N/A N/A</v>
        <stp/>
        <stp>BDP|18385034897867700048</stp>
        <tr r="C95" s="2"/>
      </tp>
      <tp t="s">
        <v>#N/A N/A</v>
        <stp/>
        <stp>BDP|12607645935047454672</stp>
        <tr r="B100" s="2"/>
      </tp>
      <tp t="s">
        <v>#N/A N/A</v>
        <stp/>
        <stp>BDP|12849788378890756488</stp>
        <tr r="B14" s="2"/>
      </tp>
      <tp t="s">
        <v>#N/A N/A</v>
        <stp/>
        <stp>BDP|11210708820031632338</stp>
        <tr r="D20" s="2"/>
      </tp>
      <tp t="s">
        <v>#N/A N/A</v>
        <stp/>
        <stp>BDP|13894718854704888336</stp>
        <tr r="B4" s="2"/>
      </tp>
      <tp t="s">
        <v>#N/A N/A</v>
        <stp/>
        <stp>BDP|10730263228606764083</stp>
        <tr r="E55" s="2"/>
      </tp>
      <tp t="s">
        <v>#N/A N/A</v>
        <stp/>
        <stp>BDP|18399621657934782882</stp>
        <tr r="D97" s="2"/>
      </tp>
      <tp t="s">
        <v>#N/A N/A</v>
        <stp/>
        <stp>BDP|13657280570653770215</stp>
        <tr r="B54" s="2"/>
      </tp>
      <tp t="s">
        <v>#N/A N/A</v>
        <stp/>
        <stp>BDP|12360979749748465028</stp>
        <tr r="D37" s="2"/>
      </tp>
      <tp t="s">
        <v>#N/A N/A</v>
        <stp/>
        <stp>BDP|13923761328716903748</stp>
        <tr r="C64" s="2"/>
      </tp>
      <tp t="s">
        <v>#N/A N/A</v>
        <stp/>
        <stp>BDP|15128637921985742398</stp>
        <tr r="E30" s="2"/>
      </tp>
      <tp t="s">
        <v>#N/A N/A</v>
        <stp/>
        <stp>BDP|14300780771275418629</stp>
        <tr r="E28" s="2"/>
      </tp>
      <tp t="s">
        <v>#N/A N/A</v>
        <stp/>
        <stp>BDP|15634574886269396683</stp>
        <tr r="D49" s="2"/>
      </tp>
      <tp t="s">
        <v>#N/A N/A</v>
        <stp/>
        <stp>BDP|16543660908090717707</stp>
        <tr r="E57" s="2"/>
      </tp>
      <tp t="s">
        <v>#N/A N/A</v>
        <stp/>
        <stp>BDP|15828834930031013840</stp>
        <tr r="B9" s="2"/>
      </tp>
      <tp t="s">
        <v>#N/A N/A</v>
        <stp/>
        <stp>BDP|17190209529029523931</stp>
        <tr r="D71" s="2"/>
      </tp>
      <tp t="s">
        <v>#N/A N/A</v>
        <stp/>
        <stp>BDP|10199740107873714347</stp>
        <tr r="C63" s="2"/>
      </tp>
      <tp t="s">
        <v>#N/A N/A</v>
        <stp/>
        <stp>BDP|15064217930813000010</stp>
        <tr r="C69" s="2"/>
      </tp>
      <tp t="s">
        <v>#N/A N/A</v>
        <stp/>
        <stp>BDP|11507218062016296475</stp>
        <tr r="C39" s="2"/>
      </tp>
      <tp t="s">
        <v>#N/A N/A</v>
        <stp/>
        <stp>BDP|14584044716416130432</stp>
        <tr r="E16" s="2"/>
      </tp>
      <tp t="s">
        <v>#N/A N/A</v>
        <stp/>
        <stp>BDP|18041333202054454800</stp>
        <tr r="E6" s="2"/>
      </tp>
      <tp t="s">
        <v>#N/A N/A</v>
        <stp/>
        <stp>BDP|12207344153400026315</stp>
        <tr r="C81" s="2"/>
      </tp>
      <tp t="s">
        <v>#N/A N/A</v>
        <stp/>
        <stp>BDP|17287506565783399033</stp>
        <tr r="E56" s="2"/>
      </tp>
      <tp t="s">
        <v>#N/A N/A</v>
        <stp/>
        <stp>BDP|14983485809631600680</stp>
        <tr r="D89" s="2"/>
      </tp>
      <tp t="s">
        <v>#N/A N/A</v>
        <stp/>
        <stp>BDP|13601163996628623467</stp>
        <tr r="D69" s="2"/>
      </tp>
      <tp t="s">
        <v>#N/A N/A</v>
        <stp/>
        <stp>BDP|16654251813293949228</stp>
        <tr r="C28" s="2"/>
      </tp>
      <tp t="s">
        <v>#N/A N/A</v>
        <stp/>
        <stp>BDP|10865796261940359593</stp>
        <tr r="D7" s="2"/>
      </tp>
      <tp t="s">
        <v>#N/A N/A</v>
        <stp/>
        <stp>BDP|13427233621707468086</stp>
        <tr r="C99" s="2"/>
      </tp>
      <tp t="s">
        <v>#N/A N/A</v>
        <stp/>
        <stp>BDP|15785880580854155528</stp>
        <tr r="C74" s="2"/>
      </tp>
      <tp t="s">
        <v>#N/A N/A</v>
        <stp/>
        <stp>BDP|10635470419126056740</stp>
        <tr r="D58" s="2"/>
      </tp>
      <tp t="s">
        <v>#N/A N/A</v>
        <stp/>
        <stp>BDP|15345499502692178786</stp>
        <tr r="D57" s="2"/>
      </tp>
      <tp t="s">
        <v>#N/A N/A</v>
        <stp/>
        <stp>BDP|15951562041722993264</stp>
        <tr r="E54" s="2"/>
      </tp>
      <tp t="s">
        <v>#N/A N/A</v>
        <stp/>
        <stp>BDP|13694286951046875671</stp>
        <tr r="E31" s="2"/>
      </tp>
      <tp t="s">
        <v>#N/A N/A</v>
        <stp/>
        <stp>BDP|16416362580218043110</stp>
        <tr r="E19" s="2"/>
      </tp>
      <tp t="s">
        <v>#N/A N/A</v>
        <stp/>
        <stp>BDP|17341366429170936279</stp>
        <tr r="E50" s="2"/>
      </tp>
      <tp t="s">
        <v>#N/A N/A</v>
        <stp/>
        <stp>BDP|11833958309435644905</stp>
        <tr r="C41" s="2"/>
      </tp>
      <tp t="s">
        <v>#N/A N/A</v>
        <stp/>
        <stp>BDP|12251830585332270421</stp>
        <tr r="E90" s="2"/>
      </tp>
      <tp t="s">
        <v>#N/A N/A</v>
        <stp/>
        <stp>BDP|11729352378990242018</stp>
        <tr r="B91" s="2"/>
      </tp>
      <tp t="s">
        <v>#N/A N/A</v>
        <stp/>
        <stp>BDP|16567686178820834257</stp>
        <tr r="C13" s="2"/>
      </tp>
      <tp t="s">
        <v>#N/A N/A</v>
        <stp/>
        <stp>BDP|15313218015462790180</stp>
        <tr r="C18" s="2"/>
      </tp>
      <tp t="s">
        <v>#N/A N/A</v>
        <stp/>
        <stp>BDP|12123145418540467722</stp>
        <tr r="C100" s="2"/>
      </tp>
      <tp t="s">
        <v>#N/A N/A</v>
        <stp/>
        <stp>BDP|10542535374594911317</stp>
        <tr r="D9" s="2"/>
      </tp>
      <tp t="s">
        <v>#N/A N/A</v>
        <stp/>
        <stp>BDP|15899923378478636682</stp>
        <tr r="E98" s="2"/>
      </tp>
      <tp t="s">
        <v>#N/A N/A</v>
        <stp/>
        <stp>BDP|13827955281817692055</stp>
        <tr r="B15" s="2"/>
      </tp>
      <tp t="s">
        <v>#N/A N/A</v>
        <stp/>
        <stp>BDP|12274679869293487474</stp>
        <tr r="C85" s="2"/>
      </tp>
      <tp t="s">
        <v>#N/A N/A</v>
        <stp/>
        <stp>BDP|10407250769282038377</stp>
        <tr r="D3" s="2"/>
      </tp>
      <tp t="s">
        <v>#N/A N/A</v>
        <stp/>
        <stp>BDP|12461922333124881936</stp>
        <tr r="E14" s="2"/>
      </tp>
      <tp t="s">
        <v>#N/A N/A</v>
        <stp/>
        <stp>BDP|16430406200574500335</stp>
        <tr r="B47" s="2"/>
      </tp>
      <tp t="s">
        <v>#N/A N/A</v>
        <stp/>
        <stp>BDP|17531495007576918006</stp>
        <tr r="B78" s="2"/>
      </tp>
      <tp t="s">
        <v>#N/A N/A</v>
        <stp/>
        <stp>BDP|10190628435610608049</stp>
        <tr r="E76" s="2"/>
      </tp>
      <tp t="s">
        <v>#N/A N/A</v>
        <stp/>
        <stp>BDP|13548156162689715826</stp>
        <tr r="B38" s="2"/>
      </tp>
    </main>
    <main first="bofaddin.rtdserver">
      <tp t="s">
        <v>#N/A N/A</v>
        <stp/>
        <stp>BDP|9861175212974207141</stp>
        <tr r="D61" s="2"/>
      </tp>
      <tp t="s">
        <v>#N/A N/A</v>
        <stp/>
        <stp>BDP|8181294844535439703</stp>
        <tr r="B59" s="2"/>
      </tp>
      <tp t="s">
        <v>#N/A N/A</v>
        <stp/>
        <stp>BDP|6848915353616497064</stp>
        <tr r="E37" s="2"/>
      </tp>
      <tp t="s">
        <v>#N/A N/A</v>
        <stp/>
        <stp>BDP|4928594554410405897</stp>
        <tr r="E2" s="2"/>
      </tp>
      <tp t="s">
        <v>#N/A N/A</v>
        <stp/>
        <stp>BDP|8877198471734664668</stp>
        <tr r="D54" s="2"/>
      </tp>
      <tp t="s">
        <v>#N/A N/A</v>
        <stp/>
        <stp>BDP|3032800376822704273</stp>
        <tr r="C11" s="2"/>
      </tp>
      <tp t="s">
        <v>#N/A N/A</v>
        <stp/>
        <stp>BDP|1638534960238874693</stp>
        <tr r="D88" s="2"/>
      </tp>
      <tp t="s">
        <v>#N/A N/A</v>
        <stp/>
        <stp>BDP|9743273824230064503</stp>
        <tr r="D60" s="2"/>
      </tp>
      <tp t="s">
        <v>#N/A N/A</v>
        <stp/>
        <stp>BDP|9586558006255237503</stp>
        <tr r="D12" s="2"/>
      </tp>
      <tp t="s">
        <v>#N/A N/A</v>
        <stp/>
        <stp>BDP|9163724637677443644</stp>
        <tr r="C68" s="2"/>
      </tp>
      <tp t="s">
        <v>#N/A N/A</v>
        <stp/>
        <stp>BDP|7931799980132808705</stp>
        <tr r="E49" s="2"/>
      </tp>
      <tp t="s">
        <v>#N/A N/A</v>
        <stp/>
        <stp>BDP|2593376684861833527</stp>
        <tr r="E85" s="2"/>
      </tp>
      <tp t="s">
        <v>#N/A N/A</v>
        <stp/>
        <stp>BDP|3408193576650583837</stp>
        <tr r="B81" s="2"/>
      </tp>
      <tp t="s">
        <v>#N/A N/A</v>
        <stp/>
        <stp>BDP|8417864487517061276</stp>
        <tr r="C7" s="2"/>
      </tp>
      <tp t="s">
        <v>#N/A N/A</v>
        <stp/>
        <stp>BDP|4775002981906191770</stp>
        <tr r="D16" s="2"/>
      </tp>
      <tp t="s">
        <v>#N/A N/A</v>
        <stp/>
        <stp>BDP|8678676165441409472</stp>
        <tr r="E59" s="2"/>
      </tp>
      <tp t="s">
        <v>#N/A N/A</v>
        <stp/>
        <stp>BDP|6707629366163235858</stp>
        <tr r="B29" s="2"/>
      </tp>
      <tp t="s">
        <v>#N/A N/A</v>
        <stp/>
        <stp>BDP|9797084919556139323</stp>
        <tr r="D30" s="2"/>
      </tp>
      <tp t="s">
        <v>#N/A N/A</v>
        <stp/>
        <stp>BDP|8596772554465184226</stp>
        <tr r="D13" s="2"/>
      </tp>
      <tp t="s">
        <v>#N/A N/A</v>
        <stp/>
        <stp>BDP|9289080860201506018</stp>
        <tr r="B86" s="2"/>
      </tp>
      <tp t="s">
        <v>#N/A N/A</v>
        <stp/>
        <stp>BDP|2685733884096897552</stp>
        <tr r="C2" s="2"/>
      </tp>
      <tp t="s">
        <v>#N/A N/A</v>
        <stp/>
        <stp>BDP|6601080453415674862</stp>
        <tr r="E71" s="2"/>
      </tp>
      <tp t="s">
        <v>#N/A N/A</v>
        <stp/>
        <stp>BDP|7131721491405702284</stp>
        <tr r="E33" s="2"/>
      </tp>
      <tp t="s">
        <v>#N/A N/A</v>
        <stp/>
        <stp>BDP|4903730646738904178</stp>
        <tr r="C42" s="2"/>
      </tp>
      <tp t="s">
        <v>#N/A N/A</v>
        <stp/>
        <stp>BDP|3600928615447663244</stp>
        <tr r="E84" s="2"/>
      </tp>
      <tp t="s">
        <v>#N/A N/A</v>
        <stp/>
        <stp>BDP|3657348166718038048</stp>
        <tr r="C34" s="2"/>
      </tp>
      <tp t="s">
        <v>#N/A N/A</v>
        <stp/>
        <stp>BDP|5361195059067301866</stp>
        <tr r="E25" s="2"/>
      </tp>
      <tp t="s">
        <v>#N/A N/A</v>
        <stp/>
        <stp>BDP|6209859566381865618</stp>
        <tr r="B44" s="2"/>
      </tp>
      <tp t="s">
        <v>#N/A N/A</v>
        <stp/>
        <stp>BDP|7667309389865014635</stp>
        <tr r="C77" s="2"/>
      </tp>
      <tp t="s">
        <v>#N/A N/A</v>
        <stp/>
        <stp>BDP|2339924740248647840</stp>
        <tr r="B49" s="2"/>
      </tp>
      <tp t="s">
        <v>#N/A N/A</v>
        <stp/>
        <stp>BDP|5991846352283742491</stp>
        <tr r="E8" s="2"/>
      </tp>
      <tp t="s">
        <v>#N/A N/A</v>
        <stp/>
        <stp>BDP|9470252841324952481</stp>
        <tr r="D64" s="2"/>
      </tp>
      <tp t="s">
        <v>#N/A N/A</v>
        <stp/>
        <stp>BDP|7403105734358202241</stp>
        <tr r="E15" s="2"/>
      </tp>
      <tp t="s">
        <v>#N/A N/A</v>
        <stp/>
        <stp>BDP|4529062462855645803</stp>
        <tr r="B26" s="2"/>
      </tp>
      <tp t="s">
        <v>#N/A N/A</v>
        <stp/>
        <stp>BDP|9020029061721690106</stp>
        <tr r="D95" s="2"/>
      </tp>
      <tp t="s">
        <v>#N/A N/A</v>
        <stp/>
        <stp>BDP|9263713514952867515</stp>
        <tr r="C88" s="2"/>
      </tp>
      <tp t="s">
        <v>#N/A N/A</v>
        <stp/>
        <stp>BDP|6892516291347364543</stp>
        <tr r="C22" s="2"/>
      </tp>
      <tp t="s">
        <v>#N/A N/A</v>
        <stp/>
        <stp>BDP|9410500098168711573</stp>
        <tr r="C31" s="2"/>
      </tp>
      <tp t="s">
        <v>#N/A N/A</v>
        <stp/>
        <stp>BDP|8552432271427495415</stp>
        <tr r="B70" s="2"/>
      </tp>
      <tp t="s">
        <v>#N/A N/A</v>
        <stp/>
        <stp>BDP|7089548171228439512</stp>
        <tr r="C5" s="2"/>
      </tp>
      <tp t="s">
        <v>#N/A N/A</v>
        <stp/>
        <stp>BDP|4190597362316342983</stp>
        <tr r="C73" s="2"/>
      </tp>
      <tp t="s">
        <v>#N/A N/A</v>
        <stp/>
        <stp>BDP|8656225105986682463</stp>
        <tr r="E100" s="2"/>
      </tp>
      <tp t="s">
        <v>#N/A N/A</v>
        <stp/>
        <stp>BDP|9506335050875183232</stp>
        <tr r="E64" s="2"/>
      </tp>
      <tp t="s">
        <v>#N/A N/A</v>
        <stp/>
        <stp>BDP|9637531015571077456</stp>
        <tr r="B52" s="2"/>
      </tp>
      <tp t="s">
        <v>#N/A N/A</v>
        <stp/>
        <stp>BDP|2230867860120681595</stp>
        <tr r="D26" s="2"/>
      </tp>
      <tp t="s">
        <v>#N/A N/A</v>
        <stp/>
        <stp>BDP|6361939219150107709</stp>
        <tr r="D38" s="2"/>
      </tp>
      <tp t="s">
        <v>#N/A N/A</v>
        <stp/>
        <stp>BDP|4383755488656662412</stp>
        <tr r="B67" s="2"/>
      </tp>
      <tp t="s">
        <v>#N/A N/A</v>
        <stp/>
        <stp>BDP|7033986832791786548</stp>
        <tr r="C30" s="2"/>
      </tp>
      <tp t="s">
        <v>#N/A N/A</v>
        <stp/>
        <stp>BDP|7214062708079648788</stp>
        <tr r="B25" s="2"/>
      </tp>
      <tp t="s">
        <v>#N/A N/A</v>
        <stp/>
        <stp>BDP|6453226765068787377</stp>
        <tr r="E29" s="2"/>
      </tp>
      <tp t="s">
        <v>#N/A N/A</v>
        <stp/>
        <stp>BDP|9717709535691711563</stp>
        <tr r="B2" s="2"/>
      </tp>
      <tp t="s">
        <v>#N/A N/A</v>
        <stp/>
        <stp>BDP|5555524094306085633</stp>
        <tr r="C56" s="2"/>
      </tp>
      <tp t="s">
        <v>#N/A N/A</v>
        <stp/>
        <stp>BDP|5492666735378586159</stp>
        <tr r="D28" s="2"/>
      </tp>
      <tp t="s">
        <v>#N/A N/A</v>
        <stp/>
        <stp>BDP|1233288130518853154</stp>
        <tr r="E23" s="2"/>
      </tp>
      <tp t="s">
        <v>#N/A N/A</v>
        <stp/>
        <stp>BDP|5054312270338144041</stp>
        <tr r="B6" s="2"/>
      </tp>
      <tp t="s">
        <v>#N/A N/A</v>
        <stp/>
        <stp>BDP|2697936972530537691</stp>
        <tr r="B96" s="2"/>
      </tp>
      <tp t="s">
        <v>#N/A N/A</v>
        <stp/>
        <stp>BDP|5997097418239095708</stp>
        <tr r="B60" s="2"/>
      </tp>
      <tp t="s">
        <v>#N/A N/A</v>
        <stp/>
        <stp>BDP|5350023710107819914</stp>
        <tr r="C71" s="2"/>
      </tp>
      <tp t="s">
        <v>#N/A N/A</v>
        <stp/>
        <stp>BDP|1868064051977424929</stp>
        <tr r="E44" s="2"/>
      </tp>
      <tp t="s">
        <v>#N/A N/A</v>
        <stp/>
        <stp>BDP|2380619776340854914</stp>
        <tr r="B42" s="2"/>
      </tp>
      <tp t="s">
        <v>#N/A N/A</v>
        <stp/>
        <stp>BDP|5366945738256828357</stp>
        <tr r="C62" s="2"/>
      </tp>
      <tp t="s">
        <v>#N/A N/A</v>
        <stp/>
        <stp>BDP|2580651485031137770</stp>
        <tr r="C27" s="2"/>
      </tp>
      <tp t="s">
        <v>#N/A N/A</v>
        <stp/>
        <stp>BDP|5201745969877430981</stp>
        <tr r="E74" s="2"/>
      </tp>
      <tp t="s">
        <v>#N/A N/A</v>
        <stp/>
        <stp>BDP|9971641126933894424</stp>
        <tr r="E26" s="2"/>
      </tp>
      <tp t="s">
        <v>#N/A N/A</v>
        <stp/>
        <stp>BDP|3875862902044974544</stp>
        <tr r="E38" s="2"/>
      </tp>
      <tp t="s">
        <v>#N/A N/A</v>
        <stp/>
        <stp>BDP|2500478576702548978</stp>
        <tr r="E72" s="2"/>
      </tp>
      <tp t="s">
        <v>#N/A N/A</v>
        <stp/>
        <stp>BDP|7140693209322681901</stp>
        <tr r="D72" s="2"/>
      </tp>
      <tp t="s">
        <v>#N/A N/A</v>
        <stp/>
        <stp>BDP|2568063482299317889</stp>
        <tr r="B71" s="2"/>
      </tp>
      <tp t="s">
        <v>#N/A N/A</v>
        <stp/>
        <stp>BDP|6103330148348459248</stp>
        <tr r="D78" s="2"/>
      </tp>
      <tp t="s">
        <v>#N/A N/A</v>
        <stp/>
        <stp>BDP|3661025085246994607</stp>
        <tr r="B68" s="2"/>
      </tp>
      <tp t="s">
        <v>#N/A N/A</v>
        <stp/>
        <stp>BDP|6884829265370385325</stp>
        <tr r="C84" s="2"/>
      </tp>
      <tp t="s">
        <v>#N/A N/A</v>
        <stp/>
        <stp>BDP|5032626380017434796</stp>
        <tr r="D25" s="2"/>
      </tp>
      <tp t="s">
        <v>#N/A N/A</v>
        <stp/>
        <stp>BDP|4897220927279519679</stp>
        <tr r="D100" s="2"/>
      </tp>
      <tp t="s">
        <v>#N/A N/A</v>
        <stp/>
        <stp>BDP|7760271568811188951</stp>
        <tr r="B65" s="2"/>
      </tp>
      <tp t="s">
        <v>#N/A N/A</v>
        <stp/>
        <stp>BDP|8208493073197691730</stp>
        <tr r="E62" s="2"/>
      </tp>
      <tp t="s">
        <v>#N/A N/A</v>
        <stp/>
        <stp>BDP|5457875005483618523</stp>
        <tr r="E43" s="2"/>
      </tp>
      <tp t="s">
        <v>#N/A N/A</v>
        <stp/>
        <stp>BDP|8815320228705675740</stp>
        <tr r="D86" s="2"/>
      </tp>
      <tp t="s">
        <v>#N/A N/A</v>
        <stp/>
        <stp>BDP|6533277182946022111</stp>
        <tr r="E12" s="2"/>
      </tp>
      <tp t="s">
        <v>#N/A N/A</v>
        <stp/>
        <stp>BDP|3968220786981332389</stp>
        <tr r="B87" s="2"/>
      </tp>
      <tp t="s">
        <v>#N/A N/A</v>
        <stp/>
        <stp>BDP|1611561481336308147</stp>
        <tr r="C60" s="2"/>
      </tp>
      <tp t="s">
        <v>#N/A N/A</v>
        <stp/>
        <stp>BDP|8460681729701615678</stp>
        <tr r="C98" s="2"/>
      </tp>
      <tp t="s">
        <v>#N/A N/A</v>
        <stp/>
        <stp>BDP|6039452863244959444</stp>
        <tr r="B74" s="2"/>
      </tp>
      <tp t="s">
        <v>#N/A N/A</v>
        <stp/>
        <stp>BDP|2387295760425404723</stp>
        <tr r="D31" s="2"/>
      </tp>
      <tp t="s">
        <v>#N/A N/A</v>
        <stp/>
        <stp>BDP|7373484931832213652</stp>
        <tr r="E34" s="2"/>
      </tp>
      <tp t="s">
        <v>#N/A N/A</v>
        <stp/>
        <stp>BDP|4245059221556869430</stp>
        <tr r="C78" s="2"/>
      </tp>
      <tp t="s">
        <v>#N/A N/A</v>
        <stp/>
        <stp>BDP|5594073124644715734</stp>
        <tr r="B97" s="2"/>
      </tp>
      <tp t="s">
        <v>#N/A N/A</v>
        <stp/>
        <stp>BDP|4364828476947761822</stp>
        <tr r="E86" s="2"/>
      </tp>
      <tp t="s">
        <v>#N/A N/A</v>
        <stp/>
        <stp>BDP|7913455421824919146</stp>
        <tr r="C44" s="2"/>
      </tp>
      <tp t="s">
        <v>#N/A N/A</v>
        <stp/>
        <stp>BDP|5993734876954975553</stp>
        <tr r="C36" s="2"/>
      </tp>
      <tp t="s">
        <v>#N/A N/A</v>
        <stp/>
        <stp>BDP|6024566337693753708</stp>
        <tr r="E60" s="2"/>
      </tp>
      <tp t="s">
        <v>#N/A N/A</v>
        <stp/>
        <stp>BDP|5405496507310934571</stp>
        <tr r="D45" s="2"/>
      </tp>
      <tp t="s">
        <v>#N/A N/A</v>
        <stp/>
        <stp>BDP|9071001823449906709</stp>
        <tr r="E81" s="2"/>
      </tp>
      <tp t="s">
        <v>#N/A N/A</v>
        <stp/>
        <stp>BDP|6035157388099578307</stp>
        <tr r="C17" s="2"/>
      </tp>
      <tp t="s">
        <v>#N/A N/A</v>
        <stp/>
        <stp>BDP|7804604326245587373</stp>
        <tr r="D85" s="2"/>
      </tp>
      <tp t="s">
        <v>#N/A N/A</v>
        <stp/>
        <stp>BDP|2594541239055293488</stp>
        <tr r="C47" s="2"/>
      </tp>
      <tp t="s">
        <v>#N/A N/A</v>
        <stp/>
        <stp>BDP|3329358911820429401</stp>
        <tr r="C8" s="2"/>
      </tp>
      <tp t="s">
        <v>#N/A N/A</v>
        <stp/>
        <stp>BDP|4717037247110122521</stp>
        <tr r="C10" s="2"/>
      </tp>
      <tp t="s">
        <v>#N/A N/A</v>
        <stp/>
        <stp>BDP|2755763417824113512</stp>
        <tr r="C94" s="2"/>
      </tp>
      <tp t="s">
        <v>#N/A N/A</v>
        <stp/>
        <stp>BDP|3585090842226810406</stp>
        <tr r="C25" s="2"/>
      </tp>
      <tp t="s">
        <v>#N/A N/A</v>
        <stp/>
        <stp>BDP|5124236428830625361</stp>
        <tr r="E4" s="2"/>
      </tp>
      <tp t="s">
        <v>#N/A N/A</v>
        <stp/>
        <stp>BDP|1760787004147359727</stp>
        <tr r="D35" s="2"/>
      </tp>
      <tp t="s">
        <v>#N/A N/A</v>
        <stp/>
        <stp>BDP|4145049596528015381</stp>
        <tr r="D66" s="2"/>
      </tp>
      <tp t="s">
        <v>#N/A N/A</v>
        <stp/>
        <stp>BDP|6005011901796293692</stp>
        <tr r="E94" s="2"/>
      </tp>
      <tp t="s">
        <v>#N/A N/A</v>
        <stp/>
        <stp>BDP|3962878254890751853</stp>
        <tr r="E5" s="2"/>
      </tp>
      <tp t="s">
        <v>#N/A N/A</v>
        <stp/>
        <stp>BDP|7435722218335256259</stp>
        <tr r="D65" s="2"/>
      </tp>
      <tp t="s">
        <v>#N/A N/A</v>
        <stp/>
        <stp>BDP|4278307416618271882</stp>
        <tr r="E96" s="2"/>
      </tp>
      <tp t="s">
        <v>#N/A N/A</v>
        <stp/>
        <stp>BDP|8102016347282322886</stp>
        <tr r="E61" s="2"/>
      </tp>
      <tp t="s">
        <v>#N/A N/A</v>
        <stp/>
        <stp>BDP|5123093636931494192</stp>
        <tr r="D91" s="2"/>
      </tp>
      <tp t="s">
        <v>#N/A N/A</v>
        <stp/>
        <stp>BDP|8883931944760894379</stp>
        <tr r="E75" s="2"/>
      </tp>
      <tp t="s">
        <v>#N/A N/A</v>
        <stp/>
        <stp>BDP|8552810061846274666</stp>
        <tr r="E20" s="2"/>
      </tp>
      <tp t="s">
        <v>#N/A N/A</v>
        <stp/>
        <stp>BDP|3037397175681829054</stp>
        <tr r="C20" s="2"/>
      </tp>
      <tp t="s">
        <v>#N/A N/A</v>
        <stp/>
        <stp>BDP|2332239278499868879</stp>
        <tr r="C93" s="2"/>
      </tp>
      <tp t="s">
        <v>#N/A N/A</v>
        <stp/>
        <stp>BDP|5432174756441047625</stp>
        <tr r="B61" s="2"/>
      </tp>
      <tp t="s">
        <v>#N/A N/A</v>
        <stp/>
        <stp>BDP|2798643116854084728</stp>
        <tr r="C67" s="2"/>
      </tp>
      <tp t="s">
        <v>#N/A N/A</v>
        <stp/>
        <stp>BDP|5030513317416447168</stp>
        <tr r="B50" s="2"/>
      </tp>
      <tp t="s">
        <v>#N/A N/A</v>
        <stp/>
        <stp>BDP|3653570615827311620</stp>
        <tr r="D93" s="2"/>
      </tp>
      <tp t="s">
        <v>#N/A N/A</v>
        <stp/>
        <stp>BDP|7217003258037096208</stp>
        <tr r="B39" s="2"/>
      </tp>
      <tp t="s">
        <v>#N/A N/A</v>
        <stp/>
        <stp>BDP|4826176106670510270</stp>
        <tr r="E22" s="2"/>
      </tp>
      <tp t="s">
        <v>#N/A N/A</v>
        <stp/>
        <stp>BDP|5872374206547232638</stp>
        <tr r="C35" s="2"/>
      </tp>
      <tp t="s">
        <v>#N/A N/A</v>
        <stp/>
        <stp>BDP|9783416514408459347</stp>
        <tr r="C89" s="2"/>
      </tp>
      <tp t="s">
        <v>#N/A N/A</v>
        <stp/>
        <stp>BDP|5831659216402920715</stp>
        <tr r="B99" s="2"/>
      </tp>
      <tp t="s">
        <v>#N/A N/A</v>
        <stp/>
        <stp>BDP|5701497858394095764</stp>
        <tr r="C29" s="2"/>
      </tp>
      <tp t="s">
        <v>#N/A N/A</v>
        <stp/>
        <stp>BDP|3523290559774072758</stp>
        <tr r="D99" s="2"/>
      </tp>
      <tp t="s">
        <v>#N/A N/A</v>
        <stp/>
        <stp>BDP|5826989694582604036</stp>
        <tr r="B24" s="2"/>
      </tp>
      <tp t="s">
        <v>#N/A N/A</v>
        <stp/>
        <stp>BDP|4059667265922708154</stp>
        <tr r="D23" s="2"/>
      </tp>
      <tp t="s">
        <v>#N/A N/A</v>
        <stp/>
        <stp>BDP|7504491724623912578</stp>
        <tr r="B18" s="2"/>
      </tp>
      <tp t="s">
        <v>#N/A N/A</v>
        <stp/>
        <stp>BDP|3378348069341088085</stp>
        <tr r="E46" s="2"/>
      </tp>
      <tp t="s">
        <v>#N/A N/A</v>
        <stp/>
        <stp>BDP|1809248758758043906</stp>
        <tr r="D62" s="2"/>
      </tp>
      <tp t="s">
        <v>#N/A N/A</v>
        <stp/>
        <stp>BDP|6625430543430790146</stp>
        <tr r="C50" s="2"/>
      </tp>
      <tp t="s">
        <v>#N/A N/A</v>
        <stp/>
        <stp>BDP|9500921672012582259</stp>
        <tr r="B12" s="2"/>
      </tp>
      <tp t="s">
        <v>#N/A N/A</v>
        <stp/>
        <stp>BDP|1216784251255973688</stp>
        <tr r="C32" s="2"/>
      </tp>
      <tp t="s">
        <v>#N/A N/A</v>
        <stp/>
        <stp>BDP|8235474470563714887</stp>
        <tr r="B19" s="2"/>
      </tp>
      <tp t="s">
        <v>#N/A N/A</v>
        <stp/>
        <stp>BDP|3807514885279269765</stp>
        <tr r="C57" s="2"/>
      </tp>
      <tp t="s">
        <v>#N/A N/A</v>
        <stp/>
        <stp>BDP|3237534632356191325</stp>
        <tr r="D74" s="2"/>
      </tp>
      <tp t="s">
        <v>#N/A N/A</v>
        <stp/>
        <stp>BDP|7678903987322809492</stp>
        <tr r="D11" s="2"/>
      </tp>
      <tp t="s">
        <v>#N/A N/A</v>
        <stp/>
        <stp>BDP|8016892415034982543</stp>
        <tr r="C15" s="2"/>
      </tp>
      <tp t="s">
        <v>#N/A N/A</v>
        <stp/>
        <stp>BDP|4723417275725428266</stp>
        <tr r="C92" s="2"/>
      </tp>
      <tp t="s">
        <v>#N/A N/A</v>
        <stp/>
        <stp>BDP|2344249086208256050</stp>
        <tr r="E87" s="2"/>
      </tp>
      <tp t="s">
        <v>#N/A N/A</v>
        <stp/>
        <stp>BDP|4038609367177539373</stp>
        <tr r="D53" s="2"/>
      </tp>
      <tp t="s">
        <v>#N/A N/A</v>
        <stp/>
        <stp>BDP|9515403994884622024</stp>
        <tr r="C101" s="2"/>
      </tp>
      <tp t="s">
        <v>#N/A N/A</v>
        <stp/>
        <stp>BDP|7345498547964071273</stp>
        <tr r="B27" s="2"/>
      </tp>
      <tp t="s">
        <v>#N/A N/A</v>
        <stp/>
        <stp>BDP|3210519469401154018</stp>
        <tr r="C40" s="2"/>
      </tp>
      <tp t="s">
        <v>#N/A N/A</v>
        <stp/>
        <stp>BDP|3401360549451280416</stp>
        <tr r="B64" s="2"/>
      </tp>
      <tp t="s">
        <v>#N/A N/A</v>
        <stp/>
        <stp>BDP|9719142185640879165</stp>
        <tr r="D15" s="2"/>
      </tp>
      <tp t="s">
        <v>#N/A N/A</v>
        <stp/>
        <stp>BDP|1890420324077655174</stp>
        <tr r="E101" s="2"/>
      </tp>
      <tp t="s">
        <v>#N/A N/A</v>
        <stp/>
        <stp>BDP|7047748213677331782</stp>
        <tr r="D17" s="2"/>
      </tp>
      <tp t="s">
        <v>#N/A N/A</v>
        <stp/>
        <stp>BDP|5992331346125623674</stp>
        <tr r="B20" s="2"/>
      </tp>
      <tp t="s">
        <v>#N/A N/A</v>
        <stp/>
        <stp>BDP|4469804418889776598</stp>
        <tr r="C21" s="2"/>
      </tp>
      <tp t="s">
        <v>#N/A N/A</v>
        <stp/>
        <stp>BDP|2475325303995482525</stp>
        <tr r="E36" s="2"/>
      </tp>
      <tp t="s">
        <v>#N/A N/A</v>
        <stp/>
        <stp>BDP|6054281157229763981</stp>
        <tr r="B84" s="2"/>
      </tp>
      <tp t="s">
        <v>#N/A N/A</v>
        <stp/>
        <stp>BDP|8171620197594400270</stp>
        <tr r="C23" s="2"/>
      </tp>
      <tp t="s">
        <v>#N/A N/A</v>
        <stp/>
        <stp>BDP|5561624936497172649</stp>
        <tr r="D81" s="2"/>
      </tp>
      <tp t="s">
        <v>#N/A N/A</v>
        <stp/>
        <stp>BDP|1477496136110745785</stp>
        <tr r="B8" s="2"/>
      </tp>
      <tp t="s">
        <v>#N/A N/A</v>
        <stp/>
        <stp>BDP|7403436016994866430</stp>
        <tr r="B37" s="2"/>
      </tp>
      <tp t="s">
        <v>#N/A N/A</v>
        <stp/>
        <stp>BDP|6626693037369210816</stp>
        <tr r="D32" s="2"/>
      </tp>
      <tp t="s">
        <v>#N/A N/A</v>
        <stp/>
        <stp>BDP|8999093378835053816</stp>
        <tr r="C33" s="2"/>
      </tp>
      <tp t="s">
        <v>#N/A N/A</v>
        <stp/>
        <stp>BDP|8020985691363717919</stp>
        <tr r="C14" s="2"/>
      </tp>
      <tp t="s">
        <v>#N/A N/A</v>
        <stp/>
        <stp>BDP|1144644920316120169</stp>
        <tr r="B63" s="2"/>
      </tp>
      <tp t="s">
        <v>#N/A N/A</v>
        <stp/>
        <stp>BDP|9340965556046139105</stp>
        <tr r="D52" s="2"/>
      </tp>
      <tp t="s">
        <v>#N/A N/A</v>
        <stp/>
        <stp>BDP|6046239477523765229</stp>
        <tr r="B48" s="2"/>
      </tp>
      <tp t="s">
        <v>#N/A N/A</v>
        <stp/>
        <stp>BDP|3215221423521743056</stp>
        <tr r="B36" s="2"/>
      </tp>
      <tp t="s">
        <v>#N/A N/A</v>
        <stp/>
        <stp>BDP|2634038462490010615</stp>
        <tr r="C45" s="2"/>
      </tp>
      <tp t="s">
        <v>#N/A N/A</v>
        <stp/>
        <stp>BDP|7763112566353141159</stp>
        <tr r="B94" s="2"/>
      </tp>
      <tp t="s">
        <v>#N/A N/A</v>
        <stp/>
        <stp>BDP|5935011466284937527</stp>
        <tr r="B79" s="2"/>
      </tp>
      <tp t="s">
        <v>#N/A N/A</v>
        <stp/>
        <stp>BDP|4654277919505239127</stp>
        <tr r="D41" s="2"/>
      </tp>
      <tp t="s">
        <v>#N/A N/A</v>
        <stp/>
        <stp>BDP|8741855654864734286</stp>
        <tr r="B98" s="2"/>
      </tp>
      <tp t="s">
        <v>#N/A N/A</v>
        <stp/>
        <stp>BDP|3420384607686075577</stp>
        <tr r="E47" s="2"/>
      </tp>
      <tp t="s">
        <v>#N/A N/A</v>
        <stp/>
        <stp>BDP|3144226558334411328</stp>
        <tr r="E52" s="2"/>
      </tp>
      <tp t="s">
        <v>#N/A N/A</v>
        <stp/>
        <stp>BDP|5505788800786171717</stp>
        <tr r="B5" s="2"/>
      </tp>
      <tp t="s">
        <v>#N/A N/A</v>
        <stp/>
        <stp>BDP|3006847114618458168</stp>
        <tr r="E39" s="2"/>
      </tp>
      <tp t="s">
        <v>#N/A N/A</v>
        <stp/>
        <stp>BDP|6617797487733845924</stp>
        <tr r="D51" s="2"/>
      </tp>
      <tp t="s">
        <v>#N/A N/A</v>
        <stp/>
        <stp>BDP|7308601019151969209</stp>
        <tr r="C24" s="2"/>
      </tp>
      <tp t="s">
        <v>#N/A N/A</v>
        <stp/>
        <stp>BDP|2726054659326850233</stp>
        <tr r="C65" s="2"/>
      </tp>
      <tp t="s">
        <v>#N/A N/A</v>
        <stp/>
        <stp>BDP|2055709824750308468</stp>
        <tr r="B11" s="2"/>
      </tp>
      <tp t="s">
        <v>#N/A N/A</v>
        <stp/>
        <stp>BDP|4779321004663610709</stp>
        <tr r="E95" s="2"/>
      </tp>
      <tp t="s">
        <v>#N/A N/A</v>
        <stp/>
        <stp>BDP|9085675027439629719</stp>
        <tr r="C26" s="2"/>
      </tp>
      <tp t="s">
        <v>#N/A N/A</v>
        <stp/>
        <stp>BDP|2207010219753550384</stp>
        <tr r="E40" s="2"/>
      </tp>
      <tp t="s">
        <v>#N/A N/A</v>
        <stp/>
        <stp>BDP|1069943383962374104</stp>
        <tr r="C59" s="2"/>
      </tp>
      <tp t="s">
        <v>#N/A N/A</v>
        <stp/>
        <stp>BDP|1392433155954443755</stp>
        <tr r="E92" s="2"/>
      </tp>
      <tp t="s">
        <v>#N/A N/A</v>
        <stp/>
        <stp>BDP|4680471379575816150</stp>
        <tr r="B33" s="2"/>
      </tp>
      <tp t="s">
        <v>#N/A N/A</v>
        <stp/>
        <stp>BDP|824554115080100155</stp>
        <tr r="E10" s="2"/>
      </tp>
      <tp t="s">
        <v>#N/A N/A</v>
        <stp/>
        <stp>BDP|462057553050226130</stp>
        <tr r="E65" s="2"/>
      </tp>
      <tp t="s">
        <v>#N/A N/A</v>
        <stp/>
        <stp>BDP|652197587947984967</stp>
        <tr r="B51" s="2"/>
      </tp>
      <tp t="s">
        <v>#N/A N/A</v>
        <stp/>
        <stp>BDP|682770503703463265</stp>
        <tr r="B32" s="2"/>
      </tp>
      <tp t="s">
        <v>#N/A N/A</v>
        <stp/>
        <stp>BDP|500750142705044015</stp>
        <tr r="C70" s="2"/>
      </tp>
      <tp t="s">
        <v>#N/A N/A</v>
        <stp/>
        <stp>BDP|278486620310134711</stp>
        <tr r="B72" s="2"/>
      </tp>
      <tp t="s">
        <v>#N/A N/A</v>
        <stp/>
        <stp>BDP|127774072185213472</stp>
        <tr r="C43" s="2"/>
      </tp>
      <tp t="s">
        <v>#N/A N/A</v>
        <stp/>
        <stp>BDP|220516819883999608</stp>
        <tr r="B101" s="2"/>
      </tp>
      <tp t="s">
        <v>#N/A N/A</v>
        <stp/>
        <stp>BDP|728046602292143260</stp>
        <tr r="D82" s="2"/>
      </tp>
      <tp t="s">
        <v>#N/A N/A</v>
        <stp/>
        <stp>BDP|792005056837956290</stp>
        <tr r="D22" s="2"/>
      </tp>
      <tp t="s">
        <v>#N/A N/A</v>
        <stp/>
        <stp>BDP|740377186270546829</stp>
        <tr r="D19" s="2"/>
      </tp>
      <tp t="s">
        <v>#N/A N/A</v>
        <stp/>
        <stp>BDP|940881476019115434</stp>
        <tr r="D90" s="2"/>
      </tp>
      <tp t="s">
        <v>#N/A N/A</v>
        <stp/>
        <stp>BDP|435172799912354664</stp>
        <tr r="E21" s="2"/>
      </tp>
      <tp t="s">
        <v>#N/A N/A</v>
        <stp/>
        <stp>BDP|860419850008779675</stp>
        <tr r="E82" s="2"/>
      </tp>
      <tp t="s">
        <v>#N/A N/A</v>
        <stp/>
        <stp>BDP|535079174607052995</stp>
        <tr r="D18" s="2"/>
      </tp>
      <tp t="s">
        <v>#N/A N/A</v>
        <stp/>
        <stp>BDP|878267650678862628</stp>
        <tr r="E35" s="2"/>
      </tp>
      <tp t="s">
        <v>#N/A N/A</v>
        <stp/>
        <stp>BDP|971997953885513152</stp>
        <tr r="C46" s="2"/>
      </tp>
      <tp t="s">
        <v>#N/A N/A</v>
        <stp/>
        <stp>BDP|439489713909546776</stp>
        <tr r="C53" s="2"/>
      </tp>
      <tp t="s">
        <v>#N/A N/A</v>
        <stp/>
        <stp>BDP|436686155759071164</stp>
        <tr r="D67" s="2"/>
      </tp>
      <tp t="s">
        <v>#N/A N/A</v>
        <stp/>
        <stp>BDP|139795385981812528</stp>
        <tr r="E9" s="2"/>
      </tp>
      <tp t="s">
        <v>#N/A N/A</v>
        <stp/>
        <stp>BDP|795681754238048085</stp>
        <tr r="D40" s="2"/>
      </tp>
      <tp t="s">
        <v>#N/A N/A</v>
        <stp/>
        <stp>BDP|881683920838965678</stp>
        <tr r="C49" s="2"/>
      </tp>
      <tp t="s">
        <v>#N/A N/A</v>
        <stp/>
        <stp>BDP|420555856548745292</stp>
        <tr r="D9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P16" sqref="P16"/>
    </sheetView>
  </sheetViews>
  <sheetFormatPr defaultRowHeight="15" x14ac:dyDescent="0.25"/>
  <cols>
    <col min="1" max="5" width="2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tr">
        <f>_xll.BDP("700 HK Equity", "NAME")</f>
        <v>TENCENT HOLDINGS LTD</v>
      </c>
      <c r="C2">
        <f>_xll.BDP("700 HK Equity", "PX_LAST")</f>
        <v>630.5</v>
      </c>
      <c r="D2">
        <f>_xll.BDP("700 HK Equity", "CHG_PCT_1D")</f>
        <v>0.39808919999999998</v>
      </c>
      <c r="E2">
        <f>_xll.BDP("700 HK Equity", "EQY_TURNOVER")</f>
        <v>12361190000</v>
      </c>
    </row>
    <row r="3" spans="1:5" x14ac:dyDescent="0.25">
      <c r="A3" t="s">
        <v>6</v>
      </c>
      <c r="B3" t="str">
        <f>_xll.BDP("1810 HK Equity", "NAME")</f>
        <v>XIAOMI CORP-CLASS B</v>
      </c>
      <c r="C3">
        <f>_xll.BDP("1810 HK Equity", "PX_LAST")</f>
        <v>26.3</v>
      </c>
      <c r="D3">
        <f>_xll.BDP("1810 HK Equity", "CHG_PCT_1D")</f>
        <v>8.0082140000000006</v>
      </c>
      <c r="E3">
        <f>_xll.BDP("1810 HK Equity", "EQY_TURNOVER")</f>
        <v>9706416000</v>
      </c>
    </row>
    <row r="4" spans="1:5" x14ac:dyDescent="0.25">
      <c r="A4" t="s">
        <v>7</v>
      </c>
      <c r="B4" t="str">
        <f>_xll.BDP("3690 HK Equity", "NAME")</f>
        <v>MEITUAN-CLASS B</v>
      </c>
      <c r="C4">
        <f>_xll.BDP("3690 HK Equity", "PX_LAST")</f>
        <v>329.6</v>
      </c>
      <c r="D4">
        <f>_xll.BDP("3690 HK Equity", "CHG_PCT_1D")</f>
        <v>3.9092060000000002</v>
      </c>
      <c r="E4">
        <f>_xll.BDP("3690 HK Equity", "EQY_TURNOVER")</f>
        <v>4621343000</v>
      </c>
    </row>
    <row r="5" spans="1:5" x14ac:dyDescent="0.25">
      <c r="A5" t="s">
        <v>8</v>
      </c>
      <c r="B5" t="str">
        <f>_xll.BDP("9988 HK Equity", "NAME")</f>
        <v>ALIBABA GROUP HOLDING LTD</v>
      </c>
      <c r="C5">
        <f>_xll.BDP("9988 HK Equity", "PX_LAST")</f>
        <v>221.4</v>
      </c>
      <c r="D5">
        <f>_xll.BDP("9988 HK Equity", "CHG_PCT_1D")</f>
        <v>0</v>
      </c>
      <c r="E5">
        <f>_xll.BDP("9988 HK Equity", "EQY_TURNOVER")</f>
        <v>4622070000</v>
      </c>
    </row>
    <row r="6" spans="1:5" x14ac:dyDescent="0.25">
      <c r="A6" t="s">
        <v>9</v>
      </c>
      <c r="B6" t="str">
        <f>_xll.BDP("3800 HK Equity", "NAME")</f>
        <v>GCL-POLY ENERGY HOLDINGS LTD</v>
      </c>
      <c r="C6">
        <f>_xll.BDP("3800 HK Equity", "PX_LAST")</f>
        <v>2.52</v>
      </c>
      <c r="D6">
        <f>_xll.BDP("3800 HK Equity", "CHG_PCT_1D")</f>
        <v>9.5652170000000005</v>
      </c>
      <c r="E6">
        <f>_xll.BDP("3800 HK Equity", "EQY_TURNOVER")</f>
        <v>2573290000</v>
      </c>
    </row>
    <row r="7" spans="1:5" x14ac:dyDescent="0.25">
      <c r="A7" t="s">
        <v>10</v>
      </c>
      <c r="B7" t="str">
        <f>_xll.BDP("939 HK Equity", "NAME")</f>
        <v>CHINA CONSTRUCTION BANK-H</v>
      </c>
      <c r="C7">
        <f>_xll.BDP("939 HK Equity", "PX_LAST")</f>
        <v>6.58</v>
      </c>
      <c r="D7">
        <f>_xll.BDP("939 HK Equity", "CHG_PCT_1D")</f>
        <v>-0.45385779999999998</v>
      </c>
      <c r="E7">
        <f>_xll.BDP("939 HK Equity", "EQY_TURNOVER")</f>
        <v>2366928000</v>
      </c>
    </row>
    <row r="8" spans="1:5" x14ac:dyDescent="0.25">
      <c r="A8" t="s">
        <v>11</v>
      </c>
      <c r="B8" t="str">
        <f>_xll.BDP("388 HK Equity", "NAME")</f>
        <v>HONG KONG EXCHANGES &amp; CLEAR</v>
      </c>
      <c r="C8">
        <f>_xll.BDP("388 HK Equity", "PX_LAST")</f>
        <v>453.2</v>
      </c>
      <c r="D8">
        <f>_xll.BDP("388 HK Equity", "CHG_PCT_1D")</f>
        <v>1.61435</v>
      </c>
      <c r="E8">
        <f>_xll.BDP("388 HK Equity", "EQY_TURNOVER")</f>
        <v>2288517000</v>
      </c>
    </row>
    <row r="9" spans="1:5" x14ac:dyDescent="0.25">
      <c r="A9" t="s">
        <v>12</v>
      </c>
      <c r="B9" t="str">
        <f>_xll.BDP("1299 HK Equity", "NAME")</f>
        <v>AIA GROUP LTD</v>
      </c>
      <c r="C9">
        <f>_xll.BDP("1299 HK Equity", "PX_LAST")</f>
        <v>97.5</v>
      </c>
      <c r="D9">
        <f>_xll.BDP("1299 HK Equity", "CHG_PCT_1D")</f>
        <v>-2.5</v>
      </c>
      <c r="E9">
        <f>_xll.BDP("1299 HK Equity", "EQY_TURNOVER")</f>
        <v>2322415000</v>
      </c>
    </row>
    <row r="10" spans="1:5" x14ac:dyDescent="0.25">
      <c r="A10" t="s">
        <v>13</v>
      </c>
      <c r="B10" t="str">
        <f>_xll.BDP("941 HK Equity", "NAME")</f>
        <v>CHINA MOBILE LTD</v>
      </c>
      <c r="C10">
        <f>_xll.BDP("941 HK Equity", "PX_LAST")</f>
        <v>53.05</v>
      </c>
      <c r="D10">
        <f>_xll.BDP("941 HK Equity", "CHG_PCT_1D")</f>
        <v>1.92123</v>
      </c>
      <c r="E10">
        <f>_xll.BDP("941 HK Equity", "EQY_TURNOVER")</f>
        <v>2245509000</v>
      </c>
    </row>
    <row r="11" spans="1:5" x14ac:dyDescent="0.25">
      <c r="A11" t="s">
        <v>14</v>
      </c>
      <c r="B11" t="str">
        <f>_xll.BDP("9618 HK Equity", "NAME")</f>
        <v>JD.COM INC - CL A</v>
      </c>
      <c r="C11">
        <f>_xll.BDP("9618 HK Equity", "PX_LAST")</f>
        <v>331</v>
      </c>
      <c r="D11">
        <f>_xll.BDP("9618 HK Equity", "CHG_PCT_1D")</f>
        <v>2.731223</v>
      </c>
      <c r="E11">
        <f>_xll.BDP("9618 HK Equity", "EQY_TURNOVER")</f>
        <v>1881345000</v>
      </c>
    </row>
    <row r="12" spans="1:5" x14ac:dyDescent="0.25">
      <c r="A12" t="s">
        <v>15</v>
      </c>
      <c r="B12" t="str">
        <f>_xll.BDP("6969 HK Equity", "NAME")</f>
        <v>SMOORE INTERNATIONAL HOLDING</v>
      </c>
      <c r="C12">
        <f>_xll.BDP("6969 HK Equity", "PX_LAST")</f>
        <v>67.95</v>
      </c>
      <c r="D12">
        <f>_xll.BDP("6969 HK Equity", "CHG_PCT_1D")</f>
        <v>12.03627</v>
      </c>
      <c r="E12">
        <f>_xll.BDP("6969 HK Equity", "EQY_TURNOVER")</f>
        <v>1832190000</v>
      </c>
    </row>
    <row r="13" spans="1:5" x14ac:dyDescent="0.25">
      <c r="A13" t="s">
        <v>16</v>
      </c>
      <c r="B13" t="str">
        <f>_xll.BDP("2318 HK Equity", "NAME")</f>
        <v>PING AN INSURANCE GROUP CO-H</v>
      </c>
      <c r="C13">
        <f>_xll.BDP("2318 HK Equity", "PX_LAST")</f>
        <v>97.85</v>
      </c>
      <c r="D13">
        <f>_xll.BDP("2318 HK Equity", "CHG_PCT_1D")</f>
        <v>-0.20397760000000001</v>
      </c>
      <c r="E13">
        <f>_xll.BDP("2318 HK Equity", "EQY_TURNOVER")</f>
        <v>1770229000</v>
      </c>
    </row>
    <row r="14" spans="1:5" x14ac:dyDescent="0.25">
      <c r="A14" t="s">
        <v>17</v>
      </c>
      <c r="B14" t="str">
        <f>_xll.BDP("1093 HK Equity", "NAME")</f>
        <v>CSPC PHARMACEUTICAL GROUP LT</v>
      </c>
      <c r="C14">
        <f>_xll.BDP("1093 HK Equity", "PX_LAST")</f>
        <v>9.92</v>
      </c>
      <c r="D14">
        <f>_xll.BDP("1093 HK Equity", "CHG_PCT_1D")</f>
        <v>5.084746</v>
      </c>
      <c r="E14">
        <f>_xll.BDP("1093 HK Equity", "EQY_TURNOVER")</f>
        <v>1442826000</v>
      </c>
    </row>
    <row r="15" spans="1:5" x14ac:dyDescent="0.25">
      <c r="A15" t="s">
        <v>18</v>
      </c>
      <c r="B15" t="str">
        <f>_xll.BDP("2269 HK Equity", "NAME")</f>
        <v>WUXI BIOLOGICS CAYMAN INC</v>
      </c>
      <c r="C15">
        <f>_xll.BDP("2269 HK Equity", "PX_LAST")</f>
        <v>91.25</v>
      </c>
      <c r="D15">
        <f>_xll.BDP("2269 HK Equity", "CHG_PCT_1D")</f>
        <v>5.4913290000000003</v>
      </c>
      <c r="E15">
        <f>_xll.BDP("2269 HK Equity", "EQY_TURNOVER")</f>
        <v>1374291000</v>
      </c>
    </row>
    <row r="16" spans="1:5" x14ac:dyDescent="0.25">
      <c r="A16" t="s">
        <v>19</v>
      </c>
      <c r="B16" t="str">
        <f>_xll.BDP("1211 HK Equity", "NAME")</f>
        <v>BYD CO LTD-H</v>
      </c>
      <c r="C16">
        <f>_xll.BDP("1211 HK Equity", "PX_LAST")</f>
        <v>191</v>
      </c>
      <c r="D16">
        <f>_xll.BDP("1211 HK Equity", "CHG_PCT_1D")</f>
        <v>2.9094829999999998</v>
      </c>
      <c r="E16">
        <f>_xll.BDP("1211 HK Equity", "EQY_TURNOVER")</f>
        <v>1246106000</v>
      </c>
    </row>
    <row r="17" spans="1:5" x14ac:dyDescent="0.25">
      <c r="A17" t="s">
        <v>20</v>
      </c>
      <c r="B17" t="str">
        <f>_xll.BDP("1024 HK Equity", "NAME")</f>
        <v>KUAISHOU TECHNOLOGY</v>
      </c>
      <c r="C17">
        <f>_xll.BDP("1024 HK Equity", "PX_LAST")</f>
        <v>302.8</v>
      </c>
      <c r="D17">
        <f>_xll.BDP("1024 HK Equity", "CHG_PCT_1D")</f>
        <v>4.5580109999999996</v>
      </c>
      <c r="E17">
        <f>_xll.BDP("1024 HK Equity", "EQY_TURNOVER")</f>
        <v>1208968000</v>
      </c>
    </row>
    <row r="18" spans="1:5" x14ac:dyDescent="0.25">
      <c r="A18" t="s">
        <v>21</v>
      </c>
      <c r="B18" t="str">
        <f>_xll.BDP("708 HK Equity", "NAME")</f>
        <v>CHINA EVERGRANDE NEW ENERGY</v>
      </c>
      <c r="C18">
        <f>_xll.BDP("708 HK Equity", "PX_LAST")</f>
        <v>59.25</v>
      </c>
      <c r="D18">
        <f>_xll.BDP("708 HK Equity", "CHG_PCT_1D")</f>
        <v>10.74766</v>
      </c>
      <c r="E18">
        <f>_xll.BDP("708 HK Equity", "EQY_TURNOVER")</f>
        <v>1189453000</v>
      </c>
    </row>
    <row r="19" spans="1:5" x14ac:dyDescent="0.25">
      <c r="A19" t="s">
        <v>22</v>
      </c>
      <c r="B19" t="str">
        <f>_xll.BDP("1918 HK Equity", "NAME")</f>
        <v>SUNAC CHINA HOLDINGS LTD</v>
      </c>
      <c r="C19">
        <f>_xll.BDP("1918 HK Equity", "PX_LAST")</f>
        <v>34.200000000000003</v>
      </c>
      <c r="D19">
        <f>_xll.BDP("1918 HK Equity", "CHG_PCT_1D")</f>
        <v>2.2421519999999999</v>
      </c>
      <c r="E19">
        <f>_xll.BDP("1918 HK Equity", "EQY_TURNOVER")</f>
        <v>1180367000</v>
      </c>
    </row>
    <row r="20" spans="1:5" x14ac:dyDescent="0.25">
      <c r="A20" t="s">
        <v>23</v>
      </c>
      <c r="B20" t="str">
        <f>_xll.BDP("688 HK Equity", "NAME")</f>
        <v>CHINA OVERSEAS LAND &amp; INVEST</v>
      </c>
      <c r="C20">
        <f>_xll.BDP("688 HK Equity", "PX_LAST")</f>
        <v>20.9</v>
      </c>
      <c r="D20">
        <f>_xll.BDP("688 HK Equity", "CHG_PCT_1D")</f>
        <v>4.5</v>
      </c>
      <c r="E20">
        <f>_xll.BDP("688 HK Equity", "EQY_TURNOVER")</f>
        <v>1163636000</v>
      </c>
    </row>
    <row r="21" spans="1:5" x14ac:dyDescent="0.25">
      <c r="A21" t="s">
        <v>24</v>
      </c>
      <c r="B21" t="str">
        <f>_xll.BDP("1833 HK Equity", "NAME")</f>
        <v>PING AN HEALTHCARE AND TECHN</v>
      </c>
      <c r="C21">
        <f>_xll.BDP("1833 HK Equity", "PX_LAST")</f>
        <v>101.9</v>
      </c>
      <c r="D21">
        <f>_xll.BDP("1833 HK Equity", "CHG_PCT_1D")</f>
        <v>7.6597989999999996</v>
      </c>
      <c r="E21">
        <f>_xll.BDP("1833 HK Equity", "EQY_TURNOVER")</f>
        <v>1121672000</v>
      </c>
    </row>
    <row r="22" spans="1:5" x14ac:dyDescent="0.25">
      <c r="A22" t="s">
        <v>25</v>
      </c>
      <c r="B22" t="str">
        <f>_xll.BDP("27 HK Equity", "NAME")</f>
        <v>GALAXY ENTERTAINMENT GROUP L</v>
      </c>
      <c r="C22">
        <f>_xll.BDP("27 HK Equity", "PX_LAST")</f>
        <v>74.8</v>
      </c>
      <c r="D22">
        <f>_xll.BDP("27 HK Equity", "CHG_PCT_1D")</f>
        <v>3.1724139999999998</v>
      </c>
      <c r="E22">
        <f>_xll.BDP("27 HK Equity", "EQY_TURNOVER")</f>
        <v>1050065000</v>
      </c>
    </row>
    <row r="23" spans="1:5" x14ac:dyDescent="0.25">
      <c r="A23" t="s">
        <v>26</v>
      </c>
      <c r="B23" t="str">
        <f>_xll.BDP("175 HK Equity", "NAME")</f>
        <v>GEELY AUTOMOBILE HOLDINGS LT</v>
      </c>
      <c r="C23">
        <f>_xll.BDP("175 HK Equity", "PX_LAST")</f>
        <v>23.95</v>
      </c>
      <c r="D23">
        <f>_xll.BDP("175 HK Equity", "CHG_PCT_1D")</f>
        <v>3.0107529999999998</v>
      </c>
      <c r="E23">
        <f>_xll.BDP("175 HK Equity", "EQY_TURNOVER")</f>
        <v>1113074000</v>
      </c>
    </row>
    <row r="24" spans="1:5" x14ac:dyDescent="0.25">
      <c r="A24" t="s">
        <v>27</v>
      </c>
      <c r="B24" t="str">
        <f>_xll.BDP("3968 HK Equity", "NAME")</f>
        <v>CHINA MERCHANTS BANK-H</v>
      </c>
      <c r="C24">
        <f>_xll.BDP("3968 HK Equity", "PX_LAST")</f>
        <v>63.6</v>
      </c>
      <c r="D24">
        <f>_xll.BDP("3968 HK Equity", "CHG_PCT_1D")</f>
        <v>1.9230769999999999</v>
      </c>
      <c r="E24">
        <f>_xll.BDP("3968 HK Equity", "EQY_TURNOVER")</f>
        <v>1061124000</v>
      </c>
    </row>
    <row r="25" spans="1:5" x14ac:dyDescent="0.25">
      <c r="A25" t="s">
        <v>28</v>
      </c>
      <c r="B25" t="str">
        <f>_xll.BDP("5 HK Equity", "NAME")</f>
        <v>HSBC HOLDINGS PLC</v>
      </c>
      <c r="C25">
        <f>_xll.BDP("5 HK Equity", "PX_LAST")</f>
        <v>45.8</v>
      </c>
      <c r="D25">
        <f>_xll.BDP("5 HK Equity", "CHG_PCT_1D")</f>
        <v>-1.505376</v>
      </c>
      <c r="E25">
        <f>_xll.BDP("5 HK Equity", "EQY_TURNOVER")</f>
        <v>1147465000</v>
      </c>
    </row>
    <row r="26" spans="1:5" x14ac:dyDescent="0.25">
      <c r="A26" t="s">
        <v>29</v>
      </c>
      <c r="B26" t="str">
        <f>_xll.BDP("981 HK Equity", "NAME")</f>
        <v>SEMICONDUCTOR MANUFACTURING</v>
      </c>
      <c r="C26">
        <f>_xll.BDP("981 HK Equity", "PX_LAST")</f>
        <v>25.95</v>
      </c>
      <c r="D26">
        <f>_xll.BDP("981 HK Equity", "CHG_PCT_1D")</f>
        <v>1.7647060000000001</v>
      </c>
      <c r="E26">
        <f>_xll.BDP("981 HK Equity", "EQY_TURNOVER")</f>
        <v>925552700</v>
      </c>
    </row>
    <row r="27" spans="1:5" x14ac:dyDescent="0.25">
      <c r="A27" t="s">
        <v>30</v>
      </c>
      <c r="B27" t="str">
        <f>_xll.BDP("2382 HK Equity", "NAME")</f>
        <v>SUNNY OPTICAL TECH</v>
      </c>
      <c r="C27">
        <f>_xll.BDP("2382 HK Equity", "PX_LAST")</f>
        <v>184</v>
      </c>
      <c r="D27">
        <f>_xll.BDP("2382 HK Equity", "CHG_PCT_1D")</f>
        <v>3.3127460000000002</v>
      </c>
      <c r="E27">
        <f>_xll.BDP("2382 HK Equity", "EQY_TURNOVER")</f>
        <v>900656200</v>
      </c>
    </row>
    <row r="28" spans="1:5" x14ac:dyDescent="0.25">
      <c r="A28" t="s">
        <v>31</v>
      </c>
      <c r="B28" t="str">
        <f>_xll.BDP("1398 HK Equity", "NAME")</f>
        <v>IND &amp; COMM BK OF CHINA-H</v>
      </c>
      <c r="C28">
        <f>_xll.BDP("1398 HK Equity", "PX_LAST")</f>
        <v>5.53</v>
      </c>
      <c r="D28">
        <f>_xll.BDP("1398 HK Equity", "CHG_PCT_1D")</f>
        <v>-1.25</v>
      </c>
      <c r="E28">
        <f>_xll.BDP("1398 HK Equity", "EQY_TURNOVER")</f>
        <v>906846100</v>
      </c>
    </row>
    <row r="29" spans="1:5" x14ac:dyDescent="0.25">
      <c r="A29" t="s">
        <v>32</v>
      </c>
      <c r="B29" t="str">
        <f>_xll.BDP("883 HK Equity", "NAME")</f>
        <v>CNOOC LTD</v>
      </c>
      <c r="C29">
        <f>_xll.BDP("883 HK Equity", "PX_LAST")</f>
        <v>9.07</v>
      </c>
      <c r="D29">
        <f>_xll.BDP("883 HK Equity", "CHG_PCT_1D")</f>
        <v>-0.5482456</v>
      </c>
      <c r="E29">
        <f>_xll.BDP("883 HK Equity", "EQY_TURNOVER")</f>
        <v>747903400</v>
      </c>
    </row>
    <row r="30" spans="1:5" x14ac:dyDescent="0.25">
      <c r="A30" t="s">
        <v>33</v>
      </c>
      <c r="B30" t="str">
        <f>_xll.BDP("1177 HK Equity", "NAME")</f>
        <v>SINO BIOPHARMACEUTICAL</v>
      </c>
      <c r="C30">
        <f>_xll.BDP("1177 HK Equity", "PX_LAST")</f>
        <v>8.8000000000000007</v>
      </c>
      <c r="D30">
        <f>_xll.BDP("1177 HK Equity", "CHG_PCT_1D")</f>
        <v>3.407756</v>
      </c>
      <c r="E30">
        <f>_xll.BDP("1177 HK Equity", "EQY_TURNOVER")</f>
        <v>742744200</v>
      </c>
    </row>
    <row r="31" spans="1:5" x14ac:dyDescent="0.25">
      <c r="A31" t="s">
        <v>34</v>
      </c>
      <c r="B31" t="str">
        <f>_xll.BDP("2020 HK Equity", "NAME")</f>
        <v>ANTA SPORTS PRODUCTS LTD</v>
      </c>
      <c r="C31">
        <f>_xll.BDP("2020 HK Equity", "PX_LAST")</f>
        <v>121.1</v>
      </c>
      <c r="D31">
        <f>_xll.BDP("2020 HK Equity", "CHG_PCT_1D")</f>
        <v>2.5402200000000001</v>
      </c>
      <c r="E31">
        <f>_xll.BDP("2020 HK Equity", "EQY_TURNOVER")</f>
        <v>723917100</v>
      </c>
    </row>
    <row r="32" spans="1:5" x14ac:dyDescent="0.25">
      <c r="A32" t="s">
        <v>35</v>
      </c>
      <c r="B32" t="str">
        <f>_xll.BDP("2013 HK Equity", "NAME")</f>
        <v>WEIMOB INC</v>
      </c>
      <c r="C32">
        <f>_xll.BDP("2013 HK Equity", "PX_LAST")</f>
        <v>20.55</v>
      </c>
      <c r="D32">
        <f>_xll.BDP("2013 HK Equity", "CHG_PCT_1D")</f>
        <v>4.3147209999999996</v>
      </c>
      <c r="E32">
        <f>_xll.BDP("2013 HK Equity", "EQY_TURNOVER")</f>
        <v>683930400</v>
      </c>
    </row>
    <row r="33" spans="1:5" x14ac:dyDescent="0.25">
      <c r="A33" t="s">
        <v>36</v>
      </c>
      <c r="B33" t="str">
        <f>_xll.BDP("3988 HK Equity", "NAME")</f>
        <v>BANK OF CHINA LTD-H</v>
      </c>
      <c r="C33">
        <f>_xll.BDP("3988 HK Equity", "PX_LAST")</f>
        <v>2.89</v>
      </c>
      <c r="D33">
        <f>_xll.BDP("3988 HK Equity", "CHG_PCT_1D")</f>
        <v>-0.68728520000000004</v>
      </c>
      <c r="E33">
        <f>_xll.BDP("3988 HK Equity", "EQY_TURNOVER")</f>
        <v>630613400</v>
      </c>
    </row>
    <row r="34" spans="1:5" x14ac:dyDescent="0.25">
      <c r="A34" t="s">
        <v>37</v>
      </c>
      <c r="B34" t="str">
        <f>_xll.BDP("992 HK Equity", "NAME")</f>
        <v>LENOVO GROUP LTD</v>
      </c>
      <c r="C34">
        <f>_xll.BDP("992 HK Equity", "PX_LAST")</f>
        <v>9.08</v>
      </c>
      <c r="D34">
        <f>_xll.BDP("992 HK Equity", "CHG_PCT_1D")</f>
        <v>-0.4385965</v>
      </c>
      <c r="E34">
        <f>_xll.BDP("992 HK Equity", "EQY_TURNOVER")</f>
        <v>628736300</v>
      </c>
    </row>
    <row r="35" spans="1:5" x14ac:dyDescent="0.25">
      <c r="A35" t="s">
        <v>38</v>
      </c>
      <c r="B35" t="str">
        <f>_xll.BDP("2899 HK Equity", "NAME")</f>
        <v>ZIJIN MINING GROUP CO LTD-H</v>
      </c>
      <c r="C35">
        <f>_xll.BDP("2899 HK Equity", "PX_LAST")</f>
        <v>11.1</v>
      </c>
      <c r="D35">
        <f>_xll.BDP("2899 HK Equity", "CHG_PCT_1D")</f>
        <v>3.3519549999999998</v>
      </c>
      <c r="E35">
        <f>_xll.BDP("2899 HK Equity", "EQY_TURNOVER")</f>
        <v>609349800</v>
      </c>
    </row>
    <row r="36" spans="1:5" x14ac:dyDescent="0.25">
      <c r="A36" t="s">
        <v>39</v>
      </c>
      <c r="B36" t="str">
        <f>_xll.BDP("136 HK Equity", "NAME")</f>
        <v>HENGTEN NETWORKS GROUP LTD</v>
      </c>
      <c r="C36">
        <f>_xll.BDP("136 HK Equity", "PX_LAST")</f>
        <v>10.3</v>
      </c>
      <c r="D36">
        <f>_xll.BDP("136 HK Equity", "CHG_PCT_1D")</f>
        <v>11.59263</v>
      </c>
      <c r="E36">
        <f>_xll.BDP("136 HK Equity", "EQY_TURNOVER")</f>
        <v>607873700</v>
      </c>
    </row>
    <row r="37" spans="1:5" x14ac:dyDescent="0.25">
      <c r="A37" t="s">
        <v>40</v>
      </c>
      <c r="B37" t="str">
        <f>_xll.BDP("788 HK Equity", "NAME")</f>
        <v>CHINA TOWER CORP LTD-H</v>
      </c>
      <c r="C37">
        <f>_xll.BDP("788 HK Equity", "PX_LAST")</f>
        <v>1.19</v>
      </c>
      <c r="D37">
        <f>_xll.BDP("788 HK Equity", "CHG_PCT_1D")</f>
        <v>1.7094020000000001</v>
      </c>
      <c r="E37">
        <f>_xll.BDP("788 HK Equity", "EQY_TURNOVER")</f>
        <v>598583300</v>
      </c>
    </row>
    <row r="38" spans="1:5" x14ac:dyDescent="0.25">
      <c r="A38" t="s">
        <v>41</v>
      </c>
      <c r="B38" t="str">
        <f>_xll.BDP("968 HK Equity", "NAME")</f>
        <v>XINYI SOLAR HOLDINGS LTD</v>
      </c>
      <c r="C38">
        <f>_xll.BDP("968 HK Equity", "PX_LAST")</f>
        <v>14.44</v>
      </c>
      <c r="D38">
        <f>_xll.BDP("968 HK Equity", "CHG_PCT_1D")</f>
        <v>-1.36612</v>
      </c>
      <c r="E38">
        <f>_xll.BDP("968 HK Equity", "EQY_TURNOVER")</f>
        <v>598010700</v>
      </c>
    </row>
    <row r="39" spans="1:5" x14ac:dyDescent="0.25">
      <c r="A39" t="s">
        <v>42</v>
      </c>
      <c r="B39" t="str">
        <f>_xll.BDP("1801 HK Equity", "NAME")</f>
        <v>INNOVENT BIOLOGICS INC</v>
      </c>
      <c r="C39">
        <f>_xll.BDP("1801 HK Equity", "PX_LAST")</f>
        <v>80.150000000000006</v>
      </c>
      <c r="D39">
        <f>_xll.BDP("1801 HK Equity", "CHG_PCT_1D")</f>
        <v>4.3619789999999998</v>
      </c>
      <c r="E39">
        <f>_xll.BDP("1801 HK Equity", "EQY_TURNOVER")</f>
        <v>577384300</v>
      </c>
    </row>
    <row r="40" spans="1:5" x14ac:dyDescent="0.25">
      <c r="A40" t="s">
        <v>43</v>
      </c>
      <c r="B40" t="str">
        <f>_xll.BDP("9999 HK Equity", "NAME")</f>
        <v>NETEASE INC</v>
      </c>
      <c r="C40">
        <f>_xll.BDP("9999 HK Equity", "PX_LAST")</f>
        <v>169</v>
      </c>
      <c r="D40">
        <f>_xll.BDP("9999 HK Equity", "CHG_PCT_1D")</f>
        <v>2.176542</v>
      </c>
      <c r="E40">
        <f>_xll.BDP("9999 HK Equity", "EQY_TURNOVER")</f>
        <v>561653000</v>
      </c>
    </row>
    <row r="41" spans="1:5" x14ac:dyDescent="0.25">
      <c r="A41" t="s">
        <v>44</v>
      </c>
      <c r="B41" t="str">
        <f>_xll.BDP("1755 HK Equity", "NAME")</f>
        <v>S-ENJOY SERVICE GROUP CO LTD</v>
      </c>
      <c r="C41">
        <f>_xll.BDP("1755 HK Equity", "PX_LAST")</f>
        <v>21.8</v>
      </c>
      <c r="D41">
        <f>_xll.BDP("1755 HK Equity", "CHG_PCT_1D")</f>
        <v>-8.2105259999999998</v>
      </c>
      <c r="E41">
        <f>_xll.BDP("1755 HK Equity", "EQY_TURNOVER")</f>
        <v>546908800</v>
      </c>
    </row>
    <row r="42" spans="1:5" x14ac:dyDescent="0.25">
      <c r="A42" t="s">
        <v>45</v>
      </c>
      <c r="B42" t="str">
        <f>_xll.BDP("1378 HK Equity", "NAME")</f>
        <v>CHINA HONGQIAO GROUP LTD</v>
      </c>
      <c r="C42">
        <f>_xll.BDP("1378 HK Equity", "PX_LAST")</f>
        <v>11.94</v>
      </c>
      <c r="D42">
        <f>_xll.BDP("1378 HK Equity", "CHG_PCT_1D")</f>
        <v>-3.7096770000000001</v>
      </c>
      <c r="E42">
        <f>_xll.BDP("1378 HK Equity", "EQY_TURNOVER")</f>
        <v>536619900</v>
      </c>
    </row>
    <row r="43" spans="1:5" x14ac:dyDescent="0.25">
      <c r="A43" t="s">
        <v>46</v>
      </c>
      <c r="B43" t="str">
        <f>_xll.BDP("291 HK Equity", "NAME")</f>
        <v>CHINA RESOURCES BEER HOLDING</v>
      </c>
      <c r="C43">
        <f>_xll.BDP("291 HK Equity", "PX_LAST")</f>
        <v>58.4</v>
      </c>
      <c r="D43">
        <f>_xll.BDP("291 HK Equity", "CHG_PCT_1D")</f>
        <v>3.362832</v>
      </c>
      <c r="E43">
        <f>_xll.BDP("291 HK Equity", "EQY_TURNOVER")</f>
        <v>531400100</v>
      </c>
    </row>
    <row r="44" spans="1:5" x14ac:dyDescent="0.25">
      <c r="A44" t="s">
        <v>47</v>
      </c>
      <c r="B44" t="str">
        <f>_xll.BDP("2319 HK Equity", "NAME")</f>
        <v>CHINA MENGNIU DAIRY CO</v>
      </c>
      <c r="C44">
        <f>_xll.BDP("2319 HK Equity", "PX_LAST")</f>
        <v>44</v>
      </c>
      <c r="D44">
        <f>_xll.BDP("2319 HK Equity", "CHG_PCT_1D")</f>
        <v>3.407756</v>
      </c>
      <c r="E44">
        <f>_xll.BDP("2319 HK Equity", "EQY_TURNOVER")</f>
        <v>529094300</v>
      </c>
    </row>
    <row r="45" spans="1:5" x14ac:dyDescent="0.25">
      <c r="A45" t="s">
        <v>48</v>
      </c>
      <c r="B45" t="str">
        <f>_xll.BDP("728 HK Equity", "NAME")</f>
        <v>CHINA TELECOM CORP LTD-H</v>
      </c>
      <c r="C45">
        <f>_xll.BDP("728 HK Equity", "PX_LAST")</f>
        <v>2.65</v>
      </c>
      <c r="D45">
        <f>_xll.BDP("728 HK Equity", "CHG_PCT_1D")</f>
        <v>0.37878790000000001</v>
      </c>
      <c r="E45">
        <f>_xll.BDP("728 HK Equity", "EQY_TURNOVER")</f>
        <v>524480300</v>
      </c>
    </row>
    <row r="46" spans="1:5" x14ac:dyDescent="0.25">
      <c r="A46" t="s">
        <v>49</v>
      </c>
      <c r="B46" t="str">
        <f>_xll.BDP("6618 HK Equity", "NAME")</f>
        <v>JD HEALTH INTERNATIONAL INC</v>
      </c>
      <c r="C46">
        <f>_xll.BDP("6618 HK Equity", "PX_LAST")</f>
        <v>112.2</v>
      </c>
      <c r="D46">
        <f>_xll.BDP("6618 HK Equity", "CHG_PCT_1D")</f>
        <v>6.0491489999999999</v>
      </c>
      <c r="E46">
        <f>_xll.BDP("6618 HK Equity", "EQY_TURNOVER")</f>
        <v>522039900</v>
      </c>
    </row>
    <row r="47" spans="1:5" x14ac:dyDescent="0.25">
      <c r="A47" t="s">
        <v>50</v>
      </c>
      <c r="B47" t="str">
        <f>_xll.BDP("386 HK Equity", "NAME")</f>
        <v>CHINA PETROLEUM &amp; CHEMICAL-H</v>
      </c>
      <c r="C47">
        <f>_xll.BDP("386 HK Equity", "PX_LAST")</f>
        <v>4.47</v>
      </c>
      <c r="D47">
        <f>_xll.BDP("386 HK Equity", "CHG_PCT_1D")</f>
        <v>0</v>
      </c>
      <c r="E47">
        <f>_xll.BDP("386 HK Equity", "EQY_TURNOVER")</f>
        <v>521104600</v>
      </c>
    </row>
    <row r="48" spans="1:5" x14ac:dyDescent="0.25">
      <c r="A48" t="s">
        <v>51</v>
      </c>
      <c r="B48" t="str">
        <f>_xll.BDP("1919 HK Equity", "NAME")</f>
        <v>COSCO SHIPPING HOLDINGS CO-H</v>
      </c>
      <c r="C48">
        <f>_xll.BDP("1919 HK Equity", "PX_LAST")</f>
        <v>8.85</v>
      </c>
      <c r="D48">
        <f>_xll.BDP("1919 HK Equity", "CHG_PCT_1D")</f>
        <v>8.190709</v>
      </c>
      <c r="E48">
        <f>_xll.BDP("1919 HK Equity", "EQY_TURNOVER")</f>
        <v>519696100</v>
      </c>
    </row>
    <row r="49" spans="1:5" x14ac:dyDescent="0.25">
      <c r="A49" t="s">
        <v>52</v>
      </c>
      <c r="B49" t="str">
        <f>_xll.BDP("669 HK Equity", "NAME")</f>
        <v>TECHTRONIC INDUSTRIES CO LTD</v>
      </c>
      <c r="C49">
        <f>_xll.BDP("669 HK Equity", "PX_LAST")</f>
        <v>135</v>
      </c>
      <c r="D49">
        <f>_xll.BDP("669 HK Equity", "CHG_PCT_1D")</f>
        <v>5.2221359999999999</v>
      </c>
      <c r="E49">
        <f>_xll.BDP("669 HK Equity", "EQY_TURNOVER")</f>
        <v>516877600</v>
      </c>
    </row>
    <row r="50" spans="1:5" x14ac:dyDescent="0.25">
      <c r="A50" t="s">
        <v>53</v>
      </c>
      <c r="B50" t="str">
        <f>_xll.BDP("241 HK Equity", "NAME")</f>
        <v>ALIBABA HEALTH INFORMATION T</v>
      </c>
      <c r="C50">
        <f>_xll.BDP("241 HK Equity", "PX_LAST")</f>
        <v>24</v>
      </c>
      <c r="D50">
        <f>_xll.BDP("241 HK Equity", "CHG_PCT_1D")</f>
        <v>2.1276600000000001</v>
      </c>
      <c r="E50">
        <f>_xll.BDP("241 HK Equity", "EQY_TURNOVER")</f>
        <v>504243200</v>
      </c>
    </row>
    <row r="51" spans="1:5" x14ac:dyDescent="0.25">
      <c r="A51" t="s">
        <v>54</v>
      </c>
      <c r="B51" t="str">
        <f>_xll.BDP("1610 HK Equity", "NAME")</f>
        <v>COFCO JOYCOME FOODS LTD</v>
      </c>
      <c r="C51">
        <f>_xll.BDP("1610 HK Equity", "PX_LAST")</f>
        <v>4.99</v>
      </c>
      <c r="D51">
        <f>_xll.BDP("1610 HK Equity", "CHG_PCT_1D")</f>
        <v>8.0086580000000005</v>
      </c>
      <c r="E51">
        <f>_xll.BDP("1610 HK Equity", "EQY_TURNOVER")</f>
        <v>485407900</v>
      </c>
    </row>
    <row r="52" spans="1:5" x14ac:dyDescent="0.25">
      <c r="A52" t="s">
        <v>55</v>
      </c>
      <c r="B52" t="str">
        <f>_xll.BDP("1928 HK Equity", "NAME")</f>
        <v>SANDS CHINA LTD</v>
      </c>
      <c r="C52">
        <f>_xll.BDP("1928 HK Equity", "PX_LAST")</f>
        <v>39.1</v>
      </c>
      <c r="D52">
        <f>_xll.BDP("1928 HK Equity", "CHG_PCT_1D")</f>
        <v>1.5584420000000001</v>
      </c>
      <c r="E52">
        <f>_xll.BDP("1928 HK Equity", "EQY_TURNOVER")</f>
        <v>483508400</v>
      </c>
    </row>
    <row r="53" spans="1:5" x14ac:dyDescent="0.25">
      <c r="A53" t="s">
        <v>56</v>
      </c>
      <c r="B53" t="str">
        <f>_xll.BDP("2333 HK Equity", "NAME")</f>
        <v>GREAT WALL MOTOR COMPANY-H</v>
      </c>
      <c r="C53">
        <f>_xll.BDP("2333 HK Equity", "PX_LAST")</f>
        <v>22.15</v>
      </c>
      <c r="D53">
        <f>_xll.BDP("2333 HK Equity", "CHG_PCT_1D")</f>
        <v>3.9906100000000002</v>
      </c>
      <c r="E53">
        <f>_xll.BDP("2333 HK Equity", "EQY_TURNOVER")</f>
        <v>465265800</v>
      </c>
    </row>
    <row r="54" spans="1:5" x14ac:dyDescent="0.25">
      <c r="A54" t="s">
        <v>57</v>
      </c>
      <c r="B54" t="str">
        <f>_xll.BDP("2628 HK Equity", "NAME")</f>
        <v>CHINA LIFE INSURANCE CO-H</v>
      </c>
      <c r="C54">
        <f>_xll.BDP("2628 HK Equity", "PX_LAST")</f>
        <v>16.440000000000001</v>
      </c>
      <c r="D54">
        <f>_xll.BDP("2628 HK Equity", "CHG_PCT_1D")</f>
        <v>0.24390239999999999</v>
      </c>
      <c r="E54">
        <f>_xll.BDP("2628 HK Equity", "EQY_TURNOVER")</f>
        <v>455033500</v>
      </c>
    </row>
    <row r="55" spans="1:5" x14ac:dyDescent="0.25">
      <c r="A55" t="s">
        <v>58</v>
      </c>
      <c r="B55" t="str">
        <f>_xll.BDP("493 HK Equity", "NAME")</f>
        <v>GOME RETAIL HOLDINGS LTD</v>
      </c>
      <c r="C55">
        <f>_xll.BDP("493 HK Equity", "PX_LAST")</f>
        <v>1.6</v>
      </c>
      <c r="D55">
        <f>_xll.BDP("493 HK Equity", "CHG_PCT_1D")</f>
        <v>3.225806</v>
      </c>
      <c r="E55">
        <f>_xll.BDP("493 HK Equity", "EQY_TURNOVER")</f>
        <v>444487400</v>
      </c>
    </row>
    <row r="56" spans="1:5" x14ac:dyDescent="0.25">
      <c r="A56" t="s">
        <v>59</v>
      </c>
      <c r="B56" t="str">
        <f>_xll.BDP("1 HK Equity", "NAME")</f>
        <v>CK HUTCHISON HOLDINGS LTD</v>
      </c>
      <c r="C56">
        <f>_xll.BDP("1 HK Equity", "PX_LAST")</f>
        <v>62.65</v>
      </c>
      <c r="D56">
        <f>_xll.BDP("1 HK Equity", "CHG_PCT_1D")</f>
        <v>-1.1049720000000001</v>
      </c>
      <c r="E56">
        <f>_xll.BDP("1 HK Equity", "EQY_TURNOVER")</f>
        <v>443535900</v>
      </c>
    </row>
    <row r="57" spans="1:5" x14ac:dyDescent="0.25">
      <c r="A57" t="s">
        <v>60</v>
      </c>
      <c r="B57" t="str">
        <f>_xll.BDP("2313 HK Equity", "NAME")</f>
        <v>SHENZHOU INTERNATIONAL GROUP</v>
      </c>
      <c r="C57">
        <f>_xll.BDP("2313 HK Equity", "PX_LAST")</f>
        <v>165.5</v>
      </c>
      <c r="D57">
        <f>_xll.BDP("2313 HK Equity", "CHG_PCT_1D")</f>
        <v>3.051059</v>
      </c>
      <c r="E57">
        <f>_xll.BDP("2313 HK Equity", "EQY_TURNOVER")</f>
        <v>514581700</v>
      </c>
    </row>
    <row r="58" spans="1:5" x14ac:dyDescent="0.25">
      <c r="A58" t="s">
        <v>61</v>
      </c>
      <c r="B58" t="str">
        <f>_xll.BDP("762 HK Equity", "NAME")</f>
        <v>CHINA UNICOM HONG KONG LTD</v>
      </c>
      <c r="C58">
        <f>_xll.BDP("762 HK Equity", "PX_LAST")</f>
        <v>4.6399999999999997</v>
      </c>
      <c r="D58">
        <f>_xll.BDP("762 HK Equity", "CHG_PCT_1D")</f>
        <v>0</v>
      </c>
      <c r="E58">
        <f>_xll.BDP("762 HK Equity", "EQY_TURNOVER")</f>
        <v>394305700</v>
      </c>
    </row>
    <row r="59" spans="1:5" x14ac:dyDescent="0.25">
      <c r="A59" t="s">
        <v>62</v>
      </c>
      <c r="B59" t="str">
        <f>_xll.BDP("2388 HK Equity", "NAME")</f>
        <v>BOC HONG KONG HOLDINGS LTD</v>
      </c>
      <c r="C59">
        <f>_xll.BDP("2388 HK Equity", "PX_LAST")</f>
        <v>28.7</v>
      </c>
      <c r="D59">
        <f>_xll.BDP("2388 HK Equity", "CHG_PCT_1D")</f>
        <v>-0.69204149999999998</v>
      </c>
      <c r="E59">
        <f>_xll.BDP("2388 HK Equity", "EQY_TURNOVER")</f>
        <v>391310800</v>
      </c>
    </row>
    <row r="60" spans="1:5" x14ac:dyDescent="0.25">
      <c r="A60" t="s">
        <v>63</v>
      </c>
      <c r="B60" t="str">
        <f>_xll.BDP("1288 HK Equity", "NAME")</f>
        <v>AGRICULTURAL BANK OF CHINA-H</v>
      </c>
      <c r="C60">
        <f>_xll.BDP("1288 HK Equity", "PX_LAST")</f>
        <v>3.2</v>
      </c>
      <c r="D60">
        <f>_xll.BDP("1288 HK Equity", "CHG_PCT_1D")</f>
        <v>-0.92879259999999997</v>
      </c>
      <c r="E60">
        <f>_xll.BDP("1288 HK Equity", "EQY_TURNOVER")</f>
        <v>388660400</v>
      </c>
    </row>
    <row r="61" spans="1:5" x14ac:dyDescent="0.25">
      <c r="A61" t="s">
        <v>64</v>
      </c>
      <c r="B61" t="str">
        <f>_xll.BDP("9633 HK Equity", "NAME")</f>
        <v>NONGFU SPRING CO LTD-H</v>
      </c>
      <c r="C61">
        <f>_xll.BDP("9633 HK Equity", "PX_LAST")</f>
        <v>44.3</v>
      </c>
      <c r="D61">
        <f>_xll.BDP("9633 HK Equity", "CHG_PCT_1D")</f>
        <v>0.68181820000000004</v>
      </c>
      <c r="E61">
        <f>_xll.BDP("9633 HK Equity", "EQY_TURNOVER")</f>
        <v>383241100</v>
      </c>
    </row>
    <row r="62" spans="1:5" x14ac:dyDescent="0.25">
      <c r="A62" t="s">
        <v>65</v>
      </c>
      <c r="B62" t="str">
        <f>_xll.BDP("268 HK Equity", "NAME")</f>
        <v>KINGDEE INTERNATIONAL SFTWR</v>
      </c>
      <c r="C62">
        <f>_xll.BDP("268 HK Equity", "PX_LAST")</f>
        <v>27.05</v>
      </c>
      <c r="D62">
        <f>_xll.BDP("268 HK Equity", "CHG_PCT_1D")</f>
        <v>4.4401539999999997</v>
      </c>
      <c r="E62">
        <f>_xll.BDP("268 HK Equity", "EQY_TURNOVER")</f>
        <v>392932200</v>
      </c>
    </row>
    <row r="63" spans="1:5" x14ac:dyDescent="0.25">
      <c r="A63" t="s">
        <v>66</v>
      </c>
      <c r="B63" t="str">
        <f>_xll.BDP("873 HK Equity", "NAME")</f>
        <v>SHIMAO SERVICES HOLDINGS LTD</v>
      </c>
      <c r="C63">
        <f>_xll.BDP("873 HK Equity", "PX_LAST")</f>
        <v>16</v>
      </c>
      <c r="D63">
        <f>_xll.BDP("873 HK Equity", "CHG_PCT_1D")</f>
        <v>9.1405180000000001</v>
      </c>
      <c r="E63">
        <f>_xll.BDP("873 HK Equity", "EQY_TURNOVER")</f>
        <v>381102700</v>
      </c>
    </row>
    <row r="64" spans="1:5" x14ac:dyDescent="0.25">
      <c r="A64" t="s">
        <v>67</v>
      </c>
      <c r="B64" t="str">
        <f>_xll.BDP("1658 HK Equity", "NAME")</f>
        <v>POSTAL SAVINGS BANK OF CHI-H</v>
      </c>
      <c r="C64">
        <f>_xll.BDP("1658 HK Equity", "PX_LAST")</f>
        <v>6.16</v>
      </c>
      <c r="D64">
        <f>_xll.BDP("1658 HK Equity", "CHG_PCT_1D")</f>
        <v>0.9836066</v>
      </c>
      <c r="E64">
        <f>_xll.BDP("1658 HK Equity", "EQY_TURNOVER")</f>
        <v>381031800</v>
      </c>
    </row>
    <row r="65" spans="1:5" x14ac:dyDescent="0.25">
      <c r="A65" t="s">
        <v>68</v>
      </c>
      <c r="B65" t="str">
        <f>_xll.BDP("914 HK Equity", "NAME")</f>
        <v>ANHUI CONCH CEMENT CO LTD-H</v>
      </c>
      <c r="C65">
        <f>_xll.BDP("914 HK Equity", "PX_LAST")</f>
        <v>52.05</v>
      </c>
      <c r="D65">
        <f>_xll.BDP("914 HK Equity", "CHG_PCT_1D")</f>
        <v>0.19249279999999999</v>
      </c>
      <c r="E65">
        <f>_xll.BDP("914 HK Equity", "EQY_TURNOVER")</f>
        <v>380192700</v>
      </c>
    </row>
    <row r="66" spans="1:5" x14ac:dyDescent="0.25">
      <c r="A66" t="s">
        <v>69</v>
      </c>
      <c r="B66" t="str">
        <f>_xll.BDP("1313 HK Equity", "NAME")</f>
        <v>CHINA RESOURCES CEMENT</v>
      </c>
      <c r="C66">
        <f>_xll.BDP("1313 HK Equity", "PX_LAST")</f>
        <v>8.75</v>
      </c>
      <c r="D66">
        <f>_xll.BDP("1313 HK Equity", "CHG_PCT_1D")</f>
        <v>-1.9058299999999999</v>
      </c>
      <c r="E66">
        <f>_xll.BDP("1313 HK Equity", "EQY_TURNOVER")</f>
        <v>373848700</v>
      </c>
    </row>
    <row r="67" spans="1:5" x14ac:dyDescent="0.25">
      <c r="A67" t="s">
        <v>70</v>
      </c>
      <c r="B67" t="str">
        <f>_xll.BDP("1109 HK Equity", "NAME")</f>
        <v>CHINA RESOURCES LAND LTD</v>
      </c>
      <c r="C67">
        <f>_xll.BDP("1109 HK Equity", "PX_LAST")</f>
        <v>37.950000000000003</v>
      </c>
      <c r="D67">
        <f>_xll.BDP("1109 HK Equity", "CHG_PCT_1D")</f>
        <v>0.52980130000000003</v>
      </c>
      <c r="E67">
        <f>_xll.BDP("1109 HK Equity", "EQY_TURNOVER")</f>
        <v>365407100</v>
      </c>
    </row>
    <row r="68" spans="1:5" x14ac:dyDescent="0.25">
      <c r="A68" t="s">
        <v>71</v>
      </c>
      <c r="B68" t="str">
        <f>_xll.BDP("2202 HK Equity", "NAME")</f>
        <v>CHINA VANKE CO LTD-H</v>
      </c>
      <c r="C68">
        <f>_xll.BDP("2202 HK Equity", "PX_LAST")</f>
        <v>33.1</v>
      </c>
      <c r="D68">
        <f>_xll.BDP("2202 HK Equity", "CHG_PCT_1D")</f>
        <v>4.9128369999999997</v>
      </c>
      <c r="E68">
        <f>_xll.BDP("2202 HK Equity", "EQY_TURNOVER")</f>
        <v>362677500</v>
      </c>
    </row>
    <row r="69" spans="1:5" x14ac:dyDescent="0.25">
      <c r="A69" t="s">
        <v>72</v>
      </c>
      <c r="B69" t="str">
        <f>_xll.BDP("753 HK Equity", "NAME")</f>
        <v>AIR CHINA LTD-H</v>
      </c>
      <c r="C69">
        <f>_xll.BDP("753 HK Equity", "PX_LAST")</f>
        <v>7.36</v>
      </c>
      <c r="D69">
        <f>_xll.BDP("753 HK Equity", "CHG_PCT_1D")</f>
        <v>4.101839</v>
      </c>
      <c r="E69">
        <f>_xll.BDP("753 HK Equity", "EQY_TURNOVER")</f>
        <v>359239300</v>
      </c>
    </row>
    <row r="70" spans="1:5" x14ac:dyDescent="0.25">
      <c r="A70" t="s">
        <v>73</v>
      </c>
      <c r="B70" t="str">
        <f>_xll.BDP("6098 HK Equity", "NAME")</f>
        <v>COUNTRY GARDEN SERVICES HOLD</v>
      </c>
      <c r="C70">
        <f>_xll.BDP("6098 HK Equity", "PX_LAST")</f>
        <v>63</v>
      </c>
      <c r="D70">
        <f>_xll.BDP("6098 HK Equity", "CHG_PCT_1D")</f>
        <v>3.9603959999999998</v>
      </c>
      <c r="E70">
        <f>_xll.BDP("6098 HK Equity", "EQY_TURNOVER")</f>
        <v>355388400</v>
      </c>
    </row>
    <row r="71" spans="1:5" x14ac:dyDescent="0.25">
      <c r="A71" t="s">
        <v>74</v>
      </c>
      <c r="B71" t="str">
        <f>_xll.BDP("2007 HK Equity", "NAME")</f>
        <v>COUNTRY GARDEN HOLDINGS CO</v>
      </c>
      <c r="C71">
        <f>_xll.BDP("2007 HK Equity", "PX_LAST")</f>
        <v>9.69</v>
      </c>
      <c r="D71">
        <f>_xll.BDP("2007 HK Equity", "CHG_PCT_1D")</f>
        <v>2.8662420000000002</v>
      </c>
      <c r="E71">
        <f>_xll.BDP("2007 HK Equity", "EQY_TURNOVER")</f>
        <v>354659600</v>
      </c>
    </row>
    <row r="72" spans="1:5" x14ac:dyDescent="0.25">
      <c r="A72" t="s">
        <v>75</v>
      </c>
      <c r="B72" t="str">
        <f>_xll.BDP("772 HK Equity", "NAME")</f>
        <v>CHINA LITERATURE LTD</v>
      </c>
      <c r="C72">
        <f>_xll.BDP("772 HK Equity", "PX_LAST")</f>
        <v>76.3</v>
      </c>
      <c r="D72">
        <f>_xll.BDP("772 HK Equity", "CHG_PCT_1D")</f>
        <v>7.2382289999999996</v>
      </c>
      <c r="E72">
        <f>_xll.BDP("772 HK Equity", "EQY_TURNOVER")</f>
        <v>376636200</v>
      </c>
    </row>
    <row r="73" spans="1:5" x14ac:dyDescent="0.25">
      <c r="A73" t="s">
        <v>76</v>
      </c>
      <c r="B73" t="str">
        <f>_xll.BDP("6666 HK Equity", "NAME")</f>
        <v>EVERGRANDE PROPERTY SERVICES</v>
      </c>
      <c r="C73">
        <f>_xll.BDP("6666 HK Equity", "PX_LAST")</f>
        <v>16.3</v>
      </c>
      <c r="D73">
        <f>_xll.BDP("6666 HK Equity", "CHG_PCT_1D")</f>
        <v>7.3781290000000004</v>
      </c>
      <c r="E73">
        <f>_xll.BDP("6666 HK Equity", "EQY_TURNOVER")</f>
        <v>351300900</v>
      </c>
    </row>
    <row r="74" spans="1:5" x14ac:dyDescent="0.25">
      <c r="A74" t="s">
        <v>77</v>
      </c>
      <c r="B74" t="str">
        <f>_xll.BDP("6862 HK Equity", "NAME")</f>
        <v>HAIDILAO INTERNATIONAL HOLDI</v>
      </c>
      <c r="C74">
        <f>_xll.BDP("6862 HK Equity", "PX_LAST")</f>
        <v>56.2</v>
      </c>
      <c r="D74">
        <f>_xll.BDP("6862 HK Equity", "CHG_PCT_1D")</f>
        <v>2.08901</v>
      </c>
      <c r="E74">
        <f>_xll.BDP("6862 HK Equity", "EQY_TURNOVER")</f>
        <v>357586200</v>
      </c>
    </row>
    <row r="75" spans="1:5" x14ac:dyDescent="0.25">
      <c r="A75" t="s">
        <v>78</v>
      </c>
      <c r="B75" t="str">
        <f>_xll.BDP("857 HK Equity", "NAME")</f>
        <v>PETROCHINA CO LTD-H</v>
      </c>
      <c r="C75">
        <f>_xll.BDP("857 HK Equity", "PX_LAST")</f>
        <v>3.03</v>
      </c>
      <c r="D75">
        <f>_xll.BDP("857 HK Equity", "CHG_PCT_1D")</f>
        <v>-0.98039220000000005</v>
      </c>
      <c r="E75">
        <f>_xll.BDP("857 HK Equity", "EQY_TURNOVER")</f>
        <v>349207000</v>
      </c>
    </row>
    <row r="76" spans="1:5" x14ac:dyDescent="0.25">
      <c r="A76" t="s">
        <v>79</v>
      </c>
      <c r="B76" t="str">
        <f>_xll.BDP("9992 HK Equity", "NAME")</f>
        <v>POP MART INTERNATIONAL GROUP</v>
      </c>
      <c r="C76">
        <f>_xll.BDP("9992 HK Equity", "PX_LAST")</f>
        <v>69</v>
      </c>
      <c r="D76">
        <f>_xll.BDP("9992 HK Equity", "CHG_PCT_1D")</f>
        <v>5.022831</v>
      </c>
      <c r="E76">
        <f>_xll.BDP("9992 HK Equity", "EQY_TURNOVER")</f>
        <v>348435900</v>
      </c>
    </row>
    <row r="77" spans="1:5" x14ac:dyDescent="0.25">
      <c r="A77" t="s">
        <v>80</v>
      </c>
      <c r="B77" t="str">
        <f>_xll.BDP("916 HK Equity", "NAME")</f>
        <v>CHINA LONGYUAN POWER GROUP-H</v>
      </c>
      <c r="C77">
        <f>_xll.BDP("916 HK Equity", "PX_LAST")</f>
        <v>9.69</v>
      </c>
      <c r="D77">
        <f>_xll.BDP("916 HK Equity", "CHG_PCT_1D")</f>
        <v>5.3260870000000002</v>
      </c>
      <c r="E77">
        <f>_xll.BDP("916 HK Equity", "EQY_TURNOVER")</f>
        <v>340150300</v>
      </c>
    </row>
    <row r="78" spans="1:5" x14ac:dyDescent="0.25">
      <c r="A78" t="s">
        <v>81</v>
      </c>
      <c r="B78" t="str">
        <f>_xll.BDP("960 HK Equity", "NAME")</f>
        <v>LONGFOR GROUP HOLDINGS LTD</v>
      </c>
      <c r="C78">
        <f>_xll.BDP("960 HK Equity", "PX_LAST")</f>
        <v>48.05</v>
      </c>
      <c r="D78">
        <f>_xll.BDP("960 HK Equity", "CHG_PCT_1D")</f>
        <v>-0.1039501</v>
      </c>
      <c r="E78">
        <f>_xll.BDP("960 HK Equity", "EQY_TURNOVER")</f>
        <v>331507300</v>
      </c>
    </row>
    <row r="79" spans="1:5" x14ac:dyDescent="0.25">
      <c r="A79" t="s">
        <v>82</v>
      </c>
      <c r="B79" t="str">
        <f>_xll.BDP("909 HK Equity", "NAME")</f>
        <v>MING YUAN CLOUD GROUP HOLDIN</v>
      </c>
      <c r="C79">
        <f>_xll.BDP("909 HK Equity", "PX_LAST")</f>
        <v>40.200000000000003</v>
      </c>
      <c r="D79">
        <f>_xll.BDP("909 HK Equity", "CHG_PCT_1D")</f>
        <v>4.9608359999999996</v>
      </c>
      <c r="E79">
        <f>_xll.BDP("909 HK Equity", "EQY_TURNOVER")</f>
        <v>329958700</v>
      </c>
    </row>
    <row r="80" spans="1:5" x14ac:dyDescent="0.25">
      <c r="A80" t="s">
        <v>83</v>
      </c>
      <c r="B80" t="str">
        <f>_xll.BDP("16 HK Equity", "NAME")</f>
        <v>SUN HUNG KAI PROPERTIES</v>
      </c>
      <c r="C80">
        <f>_xll.BDP("16 HK Equity", "PX_LAST")</f>
        <v>116.8</v>
      </c>
      <c r="D80">
        <f>_xll.BDP("16 HK Equity", "CHG_PCT_1D")</f>
        <v>-0.42625750000000001</v>
      </c>
      <c r="E80">
        <f>_xll.BDP("16 HK Equity", "EQY_TURNOVER")</f>
        <v>329423300</v>
      </c>
    </row>
    <row r="81" spans="1:5" x14ac:dyDescent="0.25">
      <c r="A81" t="s">
        <v>84</v>
      </c>
      <c r="B81" t="str">
        <f>_xll.BDP("3323 HK Equity", "NAME")</f>
        <v>CHINA NATIONAL BUILDING MA-H</v>
      </c>
      <c r="C81">
        <f>_xll.BDP("3323 HK Equity", "PX_LAST")</f>
        <v>11.02</v>
      </c>
      <c r="D81">
        <f>_xll.BDP("3323 HK Equity", "CHG_PCT_1D")</f>
        <v>-1.25448</v>
      </c>
      <c r="E81">
        <f>_xll.BDP("3323 HK Equity", "EQY_TURNOVER")</f>
        <v>323664800</v>
      </c>
    </row>
    <row r="82" spans="1:5" x14ac:dyDescent="0.25">
      <c r="A82" t="s">
        <v>85</v>
      </c>
      <c r="B82" t="str">
        <f>_xll.BDP("2600 HK Equity", "NAME")</f>
        <v>ALUMINUM CORP OF CHINA LTD-H</v>
      </c>
      <c r="C82">
        <f>_xll.BDP("2600 HK Equity", "PX_LAST")</f>
        <v>4.04</v>
      </c>
      <c r="D82">
        <f>_xll.BDP("2600 HK Equity", "CHG_PCT_1D")</f>
        <v>-2.8846150000000002</v>
      </c>
      <c r="E82">
        <f>_xll.BDP("2600 HK Equity", "EQY_TURNOVER")</f>
        <v>299718000</v>
      </c>
    </row>
    <row r="83" spans="1:5" x14ac:dyDescent="0.25">
      <c r="A83" t="s">
        <v>86</v>
      </c>
      <c r="B83" t="str">
        <f>_xll.BDP("2601 HK Equity", "NAME")</f>
        <v>CHINA PACIFIC INSURANCE GR-H</v>
      </c>
      <c r="C83">
        <f>_xll.BDP("2601 HK Equity", "PX_LAST")</f>
        <v>35.450000000000003</v>
      </c>
      <c r="D83">
        <f>_xll.BDP("2601 HK Equity", "CHG_PCT_1D")</f>
        <v>0.8534851</v>
      </c>
      <c r="E83">
        <f>_xll.BDP("2601 HK Equity", "EQY_TURNOVER")</f>
        <v>299576100</v>
      </c>
    </row>
    <row r="84" spans="1:5" x14ac:dyDescent="0.25">
      <c r="A84" t="s">
        <v>87</v>
      </c>
      <c r="B84" t="str">
        <f>_xll.BDP("1347 HK Equity", "NAME")</f>
        <v>HUA HONG SEMICONDUCTOR LTD</v>
      </c>
      <c r="C84">
        <f>_xll.BDP("1347 HK Equity", "PX_LAST")</f>
        <v>43.75</v>
      </c>
      <c r="D84">
        <f>_xll.BDP("1347 HK Equity", "CHG_PCT_1D")</f>
        <v>1.156069</v>
      </c>
      <c r="E84">
        <f>_xll.BDP("1347 HK Equity", "EQY_TURNOVER")</f>
        <v>289428700</v>
      </c>
    </row>
    <row r="85" spans="1:5" x14ac:dyDescent="0.25">
      <c r="A85" t="s">
        <v>88</v>
      </c>
      <c r="B85" t="str">
        <f>_xll.BDP("1772 HK Equity", "NAME")</f>
        <v>GANFENG LITHIUM CO LTD-H</v>
      </c>
      <c r="C85">
        <f>_xll.BDP("1772 HK Equity", "PX_LAST")</f>
        <v>99.5</v>
      </c>
      <c r="D85">
        <f>_xll.BDP("1772 HK Equity", "CHG_PCT_1D")</f>
        <v>0</v>
      </c>
      <c r="E85">
        <f>_xll.BDP("1772 HK Equity", "EQY_TURNOVER")</f>
        <v>286428100</v>
      </c>
    </row>
    <row r="86" spans="1:5" x14ac:dyDescent="0.25">
      <c r="A86" t="s">
        <v>89</v>
      </c>
      <c r="B86" t="str">
        <f>_xll.BDP("3606 HK Equity", "NAME")</f>
        <v>FUYAO GLASS INDUSTRY GROUP-H</v>
      </c>
      <c r="C86">
        <f>_xll.BDP("3606 HK Equity", "PX_LAST")</f>
        <v>47.3</v>
      </c>
      <c r="D86">
        <f>_xll.BDP("3606 HK Equity", "CHG_PCT_1D")</f>
        <v>8.1142859999999999</v>
      </c>
      <c r="E86">
        <f>_xll.BDP("3606 HK Equity", "EQY_TURNOVER")</f>
        <v>283076200</v>
      </c>
    </row>
    <row r="87" spans="1:5" x14ac:dyDescent="0.25">
      <c r="A87" t="s">
        <v>90</v>
      </c>
      <c r="B87" t="str">
        <f>_xll.BDP("1579 HK Equity", "NAME")</f>
        <v>YIHAI INTERNATIONAL HOLDING</v>
      </c>
      <c r="C87">
        <f>_xll.BDP("1579 HK Equity", "PX_LAST")</f>
        <v>100</v>
      </c>
      <c r="D87">
        <f>_xll.BDP("1579 HK Equity", "CHG_PCT_1D")</f>
        <v>-0.2991027</v>
      </c>
      <c r="E87">
        <f>_xll.BDP("1579 HK Equity", "EQY_TURNOVER")</f>
        <v>281925100</v>
      </c>
    </row>
    <row r="88" spans="1:5" x14ac:dyDescent="0.25">
      <c r="A88" t="s">
        <v>91</v>
      </c>
      <c r="B88" t="str">
        <f>_xll.BDP("6060 HK Equity", "NAME")</f>
        <v>ZHONGAN ONLINE P&amp;C INSURAN-H</v>
      </c>
      <c r="C88">
        <f>_xll.BDP("6060 HK Equity", "PX_LAST")</f>
        <v>53.1</v>
      </c>
      <c r="D88">
        <f>_xll.BDP("6060 HK Equity", "CHG_PCT_1D")</f>
        <v>0.47303689999999998</v>
      </c>
      <c r="E88">
        <f>_xll.BDP("6060 HK Equity", "EQY_TURNOVER")</f>
        <v>280898100</v>
      </c>
    </row>
    <row r="89" spans="1:5" x14ac:dyDescent="0.25">
      <c r="A89" t="s">
        <v>92</v>
      </c>
      <c r="B89" t="str">
        <f>_xll.BDP("813 HK Equity", "NAME")</f>
        <v>SHIMAO GROUP HOLDINGS LTD</v>
      </c>
      <c r="C89">
        <f>_xll.BDP("813 HK Equity", "PX_LAST")</f>
        <v>25.45</v>
      </c>
      <c r="D89">
        <f>_xll.BDP("813 HK Equity", "CHG_PCT_1D")</f>
        <v>4.7325100000000004</v>
      </c>
      <c r="E89">
        <f>_xll.BDP("813 HK Equity", "EQY_TURNOVER")</f>
        <v>278520900</v>
      </c>
    </row>
    <row r="90" spans="1:5" x14ac:dyDescent="0.25">
      <c r="A90" t="s">
        <v>93</v>
      </c>
      <c r="B90" t="str">
        <f>_xll.BDP("1113 HK Equity", "NAME")</f>
        <v>CK ASSET HOLDINGS LTD</v>
      </c>
      <c r="C90">
        <f>_xll.BDP("1113 HK Equity", "PX_LAST")</f>
        <v>46.05</v>
      </c>
      <c r="D90">
        <f>_xll.BDP("1113 HK Equity", "CHG_PCT_1D")</f>
        <v>-1.7075769999999999</v>
      </c>
      <c r="E90">
        <f>_xll.BDP("1113 HK Equity", "EQY_TURNOVER")</f>
        <v>277602900</v>
      </c>
    </row>
    <row r="91" spans="1:5" x14ac:dyDescent="0.25">
      <c r="A91" t="s">
        <v>94</v>
      </c>
      <c r="B91" t="str">
        <f>_xll.BDP("6186 HK Equity", "NAME")</f>
        <v>CHINA FEIHE LTD</v>
      </c>
      <c r="C91">
        <f>_xll.BDP("6186 HK Equity", "PX_LAST")</f>
        <v>20.75</v>
      </c>
      <c r="D91">
        <f>_xll.BDP("6186 HK Equity", "CHG_PCT_1D")</f>
        <v>3.4912719999999999</v>
      </c>
      <c r="E91">
        <f>_xll.BDP("6186 HK Equity", "EQY_TURNOVER")</f>
        <v>273124200</v>
      </c>
    </row>
    <row r="92" spans="1:5" x14ac:dyDescent="0.25">
      <c r="A92" t="s">
        <v>95</v>
      </c>
      <c r="B92" t="str">
        <f>_xll.BDP("285 HK Equity", "NAME")</f>
        <v>BYD ELECTRONIC INTL CO LTD</v>
      </c>
      <c r="C92">
        <f>_xll.BDP("285 HK Equity", "PX_LAST")</f>
        <v>44.85</v>
      </c>
      <c r="D92">
        <f>_xll.BDP("285 HK Equity", "CHG_PCT_1D")</f>
        <v>4.6674449999999998</v>
      </c>
      <c r="E92">
        <f>_xll.BDP("285 HK Equity", "EQY_TURNOVER")</f>
        <v>267585900</v>
      </c>
    </row>
    <row r="93" spans="1:5" x14ac:dyDescent="0.25">
      <c r="A93" t="s">
        <v>96</v>
      </c>
      <c r="B93" t="str">
        <f>_xll.BDP("9923 HK Equity", "NAME")</f>
        <v>YEAHKA LTD</v>
      </c>
      <c r="C93">
        <f>_xll.BDP("9923 HK Equity", "PX_LAST")</f>
        <v>81.849999999999994</v>
      </c>
      <c r="D93">
        <f>_xll.BDP("9923 HK Equity", "CHG_PCT_1D")</f>
        <v>7.4146979999999996</v>
      </c>
      <c r="E93">
        <f>_xll.BDP("9923 HK Equity", "EQY_TURNOVER")</f>
        <v>264422700</v>
      </c>
    </row>
    <row r="94" spans="1:5" x14ac:dyDescent="0.25">
      <c r="A94" t="s">
        <v>97</v>
      </c>
      <c r="B94" t="str">
        <f>_xll.BDP("853 HK Equity", "NAME")</f>
        <v>MICROPORT SCIENTIFIC CORP</v>
      </c>
      <c r="C94">
        <f>_xll.BDP("853 HK Equity", "PX_LAST")</f>
        <v>41.65</v>
      </c>
      <c r="D94">
        <f>_xll.BDP("853 HK Equity", "CHG_PCT_1D")</f>
        <v>5.5766790000000004</v>
      </c>
      <c r="E94">
        <f>_xll.BDP("853 HK Equity", "EQY_TURNOVER")</f>
        <v>251008700</v>
      </c>
    </row>
    <row r="95" spans="1:5" x14ac:dyDescent="0.25">
      <c r="A95" t="s">
        <v>98</v>
      </c>
      <c r="B95" t="str">
        <f>_xll.BDP("3888 HK Equity", "NAME")</f>
        <v>KINGSOFT CORP LTD</v>
      </c>
      <c r="C95">
        <f>_xll.BDP("3888 HK Equity", "PX_LAST")</f>
        <v>53.25</v>
      </c>
      <c r="D95">
        <f>_xll.BDP("3888 HK Equity", "CHG_PCT_1D")</f>
        <v>4.6168959999999997</v>
      </c>
      <c r="E95">
        <f>_xll.BDP("3888 HK Equity", "EQY_TURNOVER")</f>
        <v>243407000</v>
      </c>
    </row>
    <row r="96" spans="1:5" x14ac:dyDescent="0.25">
      <c r="A96" t="s">
        <v>99</v>
      </c>
      <c r="B96" t="str">
        <f>_xll.BDP("1128 HK Equity", "NAME")</f>
        <v>WYNN MACAU LTD</v>
      </c>
      <c r="C96">
        <f>_xll.BDP("1128 HK Equity", "PX_LAST")</f>
        <v>16.440000000000001</v>
      </c>
      <c r="D96">
        <f>_xll.BDP("1128 HK Equity", "CHG_PCT_1D")</f>
        <v>3.9190900000000002</v>
      </c>
      <c r="E96">
        <f>_xll.BDP("1128 HK Equity", "EQY_TURNOVER")</f>
        <v>242645500</v>
      </c>
    </row>
    <row r="97" spans="1:5" x14ac:dyDescent="0.25">
      <c r="A97" t="s">
        <v>100</v>
      </c>
      <c r="B97" t="str">
        <f>_xll.BDP("3898 HK Equity", "NAME")</f>
        <v>ZHUZHOU CRRC TIMES ELECTRI-H</v>
      </c>
      <c r="C97">
        <f>_xll.BDP("3898 HK Equity", "PX_LAST")</f>
        <v>34.25</v>
      </c>
      <c r="D97">
        <f>_xll.BDP("3898 HK Equity", "CHG_PCT_1D")</f>
        <v>5.5469949999999999</v>
      </c>
      <c r="E97">
        <f>_xll.BDP("3898 HK Equity", "EQY_TURNOVER")</f>
        <v>242407900</v>
      </c>
    </row>
    <row r="98" spans="1:5" x14ac:dyDescent="0.25">
      <c r="A98" t="s">
        <v>101</v>
      </c>
      <c r="B98" t="str">
        <f>_xll.BDP("6878 HK Equity", "NAME")</f>
        <v>DIFFER GROUP HOLDING CO LTD</v>
      </c>
      <c r="C98">
        <f>_xll.BDP("6878 HK Equity", "PX_LAST")</f>
        <v>1.21</v>
      </c>
      <c r="D98">
        <f>_xll.BDP("6878 HK Equity", "CHG_PCT_1D")</f>
        <v>-13.571429999999999</v>
      </c>
      <c r="E98">
        <f>_xll.BDP("6878 HK Equity", "EQY_TURNOVER")</f>
        <v>238081500</v>
      </c>
    </row>
    <row r="99" spans="1:5" x14ac:dyDescent="0.25">
      <c r="A99" t="s">
        <v>102</v>
      </c>
      <c r="B99" t="str">
        <f>_xll.BDP("2359 HK Equity", "NAME")</f>
        <v>WUXI APPTEC CO LTD-H</v>
      </c>
      <c r="C99">
        <f>_xll.BDP("2359 HK Equity", "PX_LAST")</f>
        <v>148.19999999999999</v>
      </c>
      <c r="D99">
        <f>_xll.BDP("2359 HK Equity", "CHG_PCT_1D")</f>
        <v>4.2927520000000001</v>
      </c>
      <c r="E99">
        <f>_xll.BDP("2359 HK Equity", "EQY_TURNOVER")</f>
        <v>235379900</v>
      </c>
    </row>
    <row r="100" spans="1:5" x14ac:dyDescent="0.25">
      <c r="A100" t="s">
        <v>103</v>
      </c>
      <c r="B100" t="str">
        <f>_xll.BDP("2328 HK Equity", "NAME")</f>
        <v>PICC PROPERTY &amp; CASUALTY-H</v>
      </c>
      <c r="C100">
        <f>_xll.BDP("2328 HK Equity", "PX_LAST")</f>
        <v>6.49</v>
      </c>
      <c r="D100">
        <f>_xll.BDP("2328 HK Equity", "CHG_PCT_1D")</f>
        <v>1.0903430000000001</v>
      </c>
      <c r="E100">
        <f>_xll.BDP("2328 HK Equity", "EQY_TURNOVER")</f>
        <v>232036900</v>
      </c>
    </row>
    <row r="101" spans="1:5" x14ac:dyDescent="0.25">
      <c r="A101" t="s">
        <v>104</v>
      </c>
      <c r="B101" t="str">
        <f>_xll.BDP("358 HK Equity", "NAME")</f>
        <v>JIANGXI COPPER CO LTD-H</v>
      </c>
      <c r="C101">
        <f>_xll.BDP("358 HK Equity", "PX_LAST")</f>
        <v>17.28</v>
      </c>
      <c r="D101">
        <f>_xll.BDP("358 HK Equity", "CHG_PCT_1D")</f>
        <v>0.58207220000000004</v>
      </c>
      <c r="E101">
        <f>_xll.BDP("358 HK Equity", "EQY_TURNOVER")</f>
        <v>231412700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ASUS</cp:lastModifiedBy>
  <dcterms:created xsi:type="dcterms:W3CDTF">2013-04-03T15:49:21Z</dcterms:created>
  <dcterms:modified xsi:type="dcterms:W3CDTF">2021-03-16T13:35:41Z</dcterms:modified>
</cp:coreProperties>
</file>