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3B4767CA-CC00-4324-B64E-F984DC8731A2}" xr6:coauthVersionLast="46" xr6:coauthVersionMax="46" xr10:uidLastSave="{00000000-0000-0000-0000-000000000000}"/>
  <bookViews>
    <workbookView xWindow="29130" yWindow="3495" windowWidth="17550" windowHeight="1543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2" l="1"/>
  <c r="D92" i="2"/>
  <c r="E16" i="2"/>
  <c r="C96" i="2"/>
  <c r="E31" i="2"/>
  <c r="B92" i="2"/>
  <c r="D31" i="2"/>
  <c r="C16" i="2"/>
  <c r="B96" i="2"/>
  <c r="E92" i="2"/>
  <c r="D16" i="2"/>
  <c r="C31" i="2"/>
  <c r="B31" i="2"/>
  <c r="C92" i="2"/>
  <c r="B16" i="2"/>
  <c r="D96" i="2"/>
  <c r="C48" i="2"/>
  <c r="B59" i="2"/>
  <c r="D97" i="2"/>
  <c r="E59" i="2"/>
  <c r="B48" i="2"/>
  <c r="C95" i="2"/>
  <c r="B97" i="2"/>
  <c r="D95" i="2"/>
  <c r="D59" i="2"/>
  <c r="E97" i="2"/>
  <c r="E48" i="2"/>
  <c r="C59" i="2"/>
  <c r="E95" i="2"/>
  <c r="D48" i="2"/>
  <c r="B95" i="2"/>
  <c r="C97" i="2"/>
  <c r="E3" i="2"/>
  <c r="C29" i="2"/>
  <c r="E68" i="2"/>
  <c r="B80" i="2"/>
  <c r="D29" i="2"/>
  <c r="C3" i="2"/>
  <c r="B38" i="2"/>
  <c r="D80" i="2"/>
  <c r="B3" i="2"/>
  <c r="B68" i="2"/>
  <c r="C35" i="2"/>
  <c r="E35" i="2"/>
  <c r="B29" i="2"/>
  <c r="E38" i="2"/>
  <c r="C68" i="2"/>
  <c r="D38" i="2"/>
  <c r="B35" i="2"/>
  <c r="E80" i="2"/>
  <c r="C80" i="2"/>
  <c r="D68" i="2"/>
  <c r="D35" i="2"/>
  <c r="C38" i="2"/>
  <c r="D3" i="2"/>
  <c r="E29" i="2"/>
  <c r="D65" i="2"/>
  <c r="C64" i="2"/>
  <c r="E36" i="2"/>
  <c r="E65" i="2"/>
  <c r="E64" i="2"/>
  <c r="B65" i="2"/>
  <c r="B36" i="2"/>
  <c r="B64" i="2"/>
  <c r="C65" i="2"/>
  <c r="D36" i="2"/>
  <c r="B23" i="2"/>
  <c r="D23" i="2"/>
  <c r="E2" i="2"/>
  <c r="C2" i="2"/>
  <c r="B2" i="2"/>
  <c r="C23" i="2"/>
  <c r="E23" i="2"/>
  <c r="D64" i="2"/>
  <c r="D2" i="2"/>
  <c r="C36" i="2"/>
  <c r="C89" i="2"/>
  <c r="B70" i="2"/>
  <c r="E43" i="2"/>
  <c r="D70" i="2"/>
  <c r="C26" i="2"/>
  <c r="E89" i="2"/>
  <c r="E83" i="2"/>
  <c r="D26" i="2"/>
  <c r="D43" i="2"/>
  <c r="C70" i="2"/>
  <c r="C10" i="2"/>
  <c r="B43" i="2"/>
  <c r="E26" i="2"/>
  <c r="B83" i="2"/>
  <c r="D10" i="2"/>
  <c r="B89" i="2"/>
  <c r="C83" i="2"/>
  <c r="B10" i="2"/>
  <c r="B26" i="2"/>
  <c r="E10" i="2"/>
  <c r="E70" i="2"/>
  <c r="D83" i="2"/>
  <c r="D89" i="2"/>
  <c r="C43" i="2"/>
  <c r="D4" i="2"/>
  <c r="B42" i="2"/>
  <c r="D5" i="2"/>
  <c r="E93" i="2"/>
  <c r="B45" i="2"/>
  <c r="B93" i="2"/>
  <c r="C93" i="2"/>
  <c r="E86" i="2"/>
  <c r="E5" i="2"/>
  <c r="D45" i="2"/>
  <c r="C45" i="2"/>
  <c r="C86" i="2"/>
  <c r="E42" i="2"/>
  <c r="B86" i="2"/>
  <c r="B4" i="2"/>
  <c r="E4" i="2"/>
  <c r="D42" i="2"/>
  <c r="C4" i="2"/>
  <c r="C5" i="2"/>
  <c r="B5" i="2"/>
  <c r="C42" i="2"/>
  <c r="D93" i="2"/>
  <c r="D86" i="2"/>
  <c r="E45" i="2"/>
  <c r="B88" i="2"/>
  <c r="D51" i="2"/>
  <c r="E51" i="2"/>
  <c r="E72" i="2"/>
  <c r="C44" i="2"/>
  <c r="C72" i="2"/>
  <c r="B72" i="2"/>
  <c r="C88" i="2"/>
  <c r="B44" i="2"/>
  <c r="C51" i="2"/>
  <c r="E44" i="2"/>
  <c r="B51" i="2"/>
  <c r="D88" i="2"/>
  <c r="D72" i="2"/>
  <c r="E88" i="2"/>
  <c r="D44" i="2"/>
  <c r="D84" i="2"/>
  <c r="C94" i="2"/>
  <c r="B94" i="2"/>
  <c r="D94" i="2"/>
  <c r="D18" i="2"/>
  <c r="C84" i="2"/>
  <c r="C18" i="2"/>
  <c r="E18" i="2"/>
  <c r="B84" i="2"/>
  <c r="B18" i="2"/>
  <c r="E84" i="2"/>
  <c r="E94" i="2"/>
  <c r="B58" i="2"/>
  <c r="E41" i="2"/>
  <c r="E82" i="2"/>
  <c r="D87" i="2"/>
  <c r="E58" i="2"/>
  <c r="E91" i="2"/>
  <c r="D58" i="2"/>
  <c r="C87" i="2"/>
  <c r="D91" i="2"/>
  <c r="B87" i="2"/>
  <c r="C41" i="2"/>
  <c r="D41" i="2"/>
  <c r="B91" i="2"/>
  <c r="B82" i="2"/>
  <c r="C82" i="2"/>
  <c r="D82" i="2"/>
  <c r="E87" i="2"/>
  <c r="C91" i="2"/>
  <c r="C58" i="2"/>
  <c r="B41" i="2"/>
  <c r="C22" i="2"/>
  <c r="E17" i="2"/>
  <c r="D85" i="2"/>
  <c r="B85" i="2"/>
  <c r="E85" i="2"/>
  <c r="B22" i="2"/>
  <c r="D66" i="2"/>
  <c r="B66" i="2"/>
  <c r="D17" i="2"/>
  <c r="E66" i="2"/>
  <c r="D22" i="2"/>
  <c r="B17" i="2"/>
  <c r="C17" i="2"/>
  <c r="C66" i="2"/>
  <c r="C85" i="2"/>
  <c r="E22" i="2"/>
  <c r="B62" i="2"/>
  <c r="E62" i="2"/>
  <c r="E74" i="2"/>
  <c r="E46" i="2"/>
  <c r="D25" i="2"/>
  <c r="B100" i="2"/>
  <c r="C74" i="2"/>
  <c r="C62" i="2"/>
  <c r="C46" i="2"/>
  <c r="B74" i="2"/>
  <c r="E25" i="2"/>
  <c r="D100" i="2"/>
  <c r="E63" i="2"/>
  <c r="B77" i="2"/>
  <c r="D74" i="2"/>
  <c r="B49" i="2"/>
  <c r="E77" i="2"/>
  <c r="C28" i="2"/>
  <c r="C100" i="2"/>
  <c r="D62" i="2"/>
  <c r="B46" i="2"/>
  <c r="D49" i="2"/>
  <c r="E49" i="2"/>
  <c r="D81" i="2"/>
  <c r="B63" i="2"/>
  <c r="E100" i="2"/>
  <c r="D28" i="2"/>
  <c r="D46" i="2"/>
  <c r="B9" i="2"/>
  <c r="B25" i="2"/>
  <c r="C25" i="2"/>
  <c r="C81" i="2"/>
  <c r="B81" i="2"/>
  <c r="E9" i="2"/>
  <c r="D77" i="2"/>
  <c r="B28" i="2"/>
  <c r="D9" i="2"/>
  <c r="D63" i="2"/>
  <c r="E28" i="2"/>
  <c r="C9" i="2"/>
  <c r="C77" i="2"/>
  <c r="C63" i="2"/>
  <c r="C49" i="2"/>
  <c r="E81" i="2"/>
  <c r="E8" i="2"/>
  <c r="B14" i="2"/>
  <c r="B98" i="2"/>
  <c r="D14" i="2"/>
  <c r="E71" i="2"/>
  <c r="C37" i="2"/>
  <c r="B37" i="2"/>
  <c r="E101" i="2"/>
  <c r="C101" i="2"/>
  <c r="D8" i="2"/>
  <c r="E78" i="2"/>
  <c r="E98" i="2"/>
  <c r="B78" i="2"/>
  <c r="E37" i="2"/>
  <c r="B71" i="2"/>
  <c r="B8" i="2"/>
  <c r="D78" i="2"/>
  <c r="D71" i="2"/>
  <c r="D98" i="2"/>
  <c r="E14" i="2"/>
  <c r="B101" i="2"/>
  <c r="D37" i="2"/>
  <c r="C14" i="2"/>
  <c r="C78" i="2"/>
  <c r="C8" i="2"/>
  <c r="C98" i="2"/>
  <c r="D101" i="2"/>
  <c r="C71" i="2"/>
  <c r="C20" i="2"/>
  <c r="D47" i="2"/>
  <c r="E13" i="2"/>
  <c r="D53" i="2"/>
  <c r="D56" i="2"/>
  <c r="D13" i="2"/>
  <c r="B90" i="2"/>
  <c r="E12" i="2"/>
  <c r="D20" i="2"/>
  <c r="D30" i="2"/>
  <c r="E27" i="2"/>
  <c r="B19" i="2"/>
  <c r="B20" i="2"/>
  <c r="C53" i="2"/>
  <c r="C47" i="2"/>
  <c r="D90" i="2"/>
  <c r="B67" i="2"/>
  <c r="E56" i="2"/>
  <c r="D27" i="2"/>
  <c r="B27" i="2"/>
  <c r="E53" i="2"/>
  <c r="B56" i="2"/>
  <c r="C56" i="2"/>
  <c r="E20" i="2"/>
  <c r="D67" i="2"/>
  <c r="E67" i="2"/>
  <c r="E30" i="2"/>
  <c r="C27" i="2"/>
  <c r="E19" i="2"/>
  <c r="C19" i="2"/>
  <c r="B30" i="2"/>
  <c r="C30" i="2"/>
  <c r="D19" i="2"/>
  <c r="B53" i="2"/>
  <c r="C99" i="2"/>
  <c r="B12" i="2"/>
  <c r="B13" i="2"/>
  <c r="B47" i="2"/>
  <c r="E90" i="2"/>
  <c r="E99" i="2"/>
  <c r="D12" i="2"/>
  <c r="B99" i="2"/>
  <c r="C12" i="2"/>
  <c r="E47" i="2"/>
  <c r="D99" i="2"/>
  <c r="C13" i="2"/>
  <c r="C90" i="2"/>
  <c r="C67" i="2"/>
  <c r="E54" i="2"/>
  <c r="D61" i="2"/>
  <c r="C34" i="2"/>
  <c r="E40" i="2"/>
  <c r="B61" i="2"/>
  <c r="B34" i="2"/>
  <c r="C40" i="2"/>
  <c r="C6" i="2"/>
  <c r="E11" i="2"/>
  <c r="D76" i="2"/>
  <c r="B6" i="2"/>
  <c r="D40" i="2"/>
  <c r="E76" i="2"/>
  <c r="C54" i="2"/>
  <c r="C11" i="2"/>
  <c r="D6" i="2"/>
  <c r="D11" i="2"/>
  <c r="D69" i="2"/>
  <c r="C69" i="2"/>
  <c r="B69" i="2"/>
  <c r="D34" i="2"/>
  <c r="D54" i="2"/>
  <c r="B76" i="2"/>
  <c r="C61" i="2"/>
  <c r="E34" i="2"/>
  <c r="B40" i="2"/>
  <c r="E6" i="2"/>
  <c r="B54" i="2"/>
  <c r="E61" i="2"/>
  <c r="B11" i="2"/>
  <c r="E69" i="2"/>
  <c r="C76" i="2"/>
  <c r="B55" i="2"/>
  <c r="B15" i="2"/>
  <c r="C55" i="2"/>
  <c r="E79" i="2"/>
  <c r="B32" i="2"/>
  <c r="E73" i="2"/>
  <c r="C79" i="2"/>
  <c r="D79" i="2"/>
  <c r="C73" i="2"/>
  <c r="E32" i="2"/>
  <c r="D55" i="2"/>
  <c r="D32" i="2"/>
  <c r="E15" i="2"/>
  <c r="E55" i="2"/>
  <c r="D15" i="2"/>
  <c r="C32" i="2"/>
  <c r="D73" i="2"/>
  <c r="B79" i="2"/>
  <c r="B73" i="2"/>
  <c r="C15" i="2"/>
  <c r="D75" i="2"/>
  <c r="E24" i="2"/>
  <c r="B21" i="2"/>
  <c r="C24" i="2"/>
  <c r="E21" i="2"/>
  <c r="B75" i="2"/>
  <c r="B24" i="2"/>
  <c r="E75" i="2"/>
  <c r="C21" i="2"/>
  <c r="D21" i="2"/>
  <c r="D24" i="2"/>
  <c r="C75" i="2"/>
  <c r="E57" i="2"/>
  <c r="E60" i="2"/>
  <c r="C33" i="2"/>
  <c r="D33" i="2"/>
  <c r="B7" i="2"/>
  <c r="C39" i="2"/>
  <c r="C52" i="2"/>
  <c r="C57" i="2"/>
  <c r="D39" i="2"/>
  <c r="E33" i="2"/>
  <c r="E52" i="2"/>
  <c r="D60" i="2"/>
  <c r="B39" i="2"/>
  <c r="E50" i="2"/>
  <c r="E7" i="2"/>
  <c r="D7" i="2"/>
  <c r="B57" i="2"/>
  <c r="D50" i="2"/>
  <c r="B60" i="2"/>
  <c r="D52" i="2"/>
  <c r="B33" i="2"/>
  <c r="C7" i="2"/>
  <c r="B52" i="2"/>
  <c r="E39" i="2"/>
  <c r="C60" i="2"/>
  <c r="B50" i="2"/>
  <c r="D57" i="2"/>
  <c r="C50" i="2"/>
</calcChain>
</file>

<file path=xl/sharedStrings.xml><?xml version="1.0" encoding="utf-8"?>
<sst xmlns="http://schemas.openxmlformats.org/spreadsheetml/2006/main" count="105" uniqueCount="105">
  <si>
    <t>Ticker</t>
  </si>
  <si>
    <t>Name</t>
  </si>
  <si>
    <t>Last Price</t>
  </si>
  <si>
    <t>Price Change 1 Day Percent</t>
  </si>
  <si>
    <t>Equity Turnover / Traded Value</t>
  </si>
  <si>
    <t>005930 KS Equity</t>
  </si>
  <si>
    <t>000660 KS Equity</t>
  </si>
  <si>
    <t>068290 KS Equity</t>
  </si>
  <si>
    <t>019550 KS Equity</t>
  </si>
  <si>
    <t>000270 KS Equity</t>
  </si>
  <si>
    <t>064260 KS Equity</t>
  </si>
  <si>
    <t>051910 KS Equity</t>
  </si>
  <si>
    <t>096770 KS Equity</t>
  </si>
  <si>
    <t>189980 KS Equity</t>
  </si>
  <si>
    <t>007460 KS Equity</t>
  </si>
  <si>
    <t>000910 KS Equity</t>
  </si>
  <si>
    <t>100790 KS Equity</t>
  </si>
  <si>
    <t>035420 KS Equity</t>
  </si>
  <si>
    <t>048410 KS Equity</t>
  </si>
  <si>
    <t>006400 KS Equity</t>
  </si>
  <si>
    <t>027360 KS Equity</t>
  </si>
  <si>
    <t>005380 KS Equity</t>
  </si>
  <si>
    <t>027830 KS Equity</t>
  </si>
  <si>
    <t>035720 KS Equity</t>
  </si>
  <si>
    <t>241520 KS Equity</t>
  </si>
  <si>
    <t>008770 KS Equity</t>
  </si>
  <si>
    <t>052460 KS Equity</t>
  </si>
  <si>
    <t>003780 KS Equity</t>
  </si>
  <si>
    <t>323990 KS Equity</t>
  </si>
  <si>
    <t>378850 KS Equity</t>
  </si>
  <si>
    <t>075970 KS Equity</t>
  </si>
  <si>
    <t>121800 KS Equity</t>
  </si>
  <si>
    <t>011780 KS Equity</t>
  </si>
  <si>
    <t>068270 KS Equity</t>
  </si>
  <si>
    <t>067010 KS Equity</t>
  </si>
  <si>
    <t>246690 KS Equity</t>
  </si>
  <si>
    <t>066570 KS Equity</t>
  </si>
  <si>
    <t>005490 KS Equity</t>
  </si>
  <si>
    <t>012330 KS Equity</t>
  </si>
  <si>
    <t>054630 KS Equity</t>
  </si>
  <si>
    <t>011200 KS Equity</t>
  </si>
  <si>
    <t>047400 KS Equity</t>
  </si>
  <si>
    <t>036630 KS Equity</t>
  </si>
  <si>
    <t>307930 KS Equity</t>
  </si>
  <si>
    <t>103840 KS Equity</t>
  </si>
  <si>
    <t>105560 KS Equity</t>
  </si>
  <si>
    <t>063440 KS Equity</t>
  </si>
  <si>
    <t>298050 KS Equity</t>
  </si>
  <si>
    <t>009540 KS Equity</t>
  </si>
  <si>
    <t>027710 KS Equity</t>
  </si>
  <si>
    <t>047040 KS Equity</t>
  </si>
  <si>
    <t>004410 KS Equity</t>
  </si>
  <si>
    <t>026890 KS Equity</t>
  </si>
  <si>
    <t>013520 KS Equity</t>
  </si>
  <si>
    <t>009520 KS Equity</t>
  </si>
  <si>
    <t>004140 KS Equity</t>
  </si>
  <si>
    <t>017000 KS Equity</t>
  </si>
  <si>
    <t>009150 KS Equity</t>
  </si>
  <si>
    <t>009830 KS Equity</t>
  </si>
  <si>
    <t>019170 KS Equity</t>
  </si>
  <si>
    <t>006360 KS Equity</t>
  </si>
  <si>
    <t>096040 KS Equity</t>
  </si>
  <si>
    <t>041190 KS Equity</t>
  </si>
  <si>
    <t>352820 KS Equity</t>
  </si>
  <si>
    <t>053030 KS Equity</t>
  </si>
  <si>
    <t>042510 KS Equity</t>
  </si>
  <si>
    <t>011500 KS Equity</t>
  </si>
  <si>
    <t>334970 KS Equity</t>
  </si>
  <si>
    <t>081150 KS Equity</t>
  </si>
  <si>
    <t>285130 KS Equity</t>
  </si>
  <si>
    <t>375500 KS Equity</t>
  </si>
  <si>
    <t>091990 KS Equity</t>
  </si>
  <si>
    <t>055550 KS Equity</t>
  </si>
  <si>
    <t>109960 KS Equity</t>
  </si>
  <si>
    <t>053800 KS Equity</t>
  </si>
  <si>
    <t>078130 KS Equity</t>
  </si>
  <si>
    <t>025880 KS Equity</t>
  </si>
  <si>
    <t>298020 KS Equity</t>
  </si>
  <si>
    <t>006200 KS Equity</t>
  </si>
  <si>
    <t>003060 KS Equity</t>
  </si>
  <si>
    <t>028300 KS Equity</t>
  </si>
  <si>
    <t>094360 KS Equity</t>
  </si>
  <si>
    <t>010620 KS Equity</t>
  </si>
  <si>
    <t>035080 KS Equity</t>
  </si>
  <si>
    <t>034730 KS Equity</t>
  </si>
  <si>
    <t>000720 KS Equity</t>
  </si>
  <si>
    <t>028670 KS Equity</t>
  </si>
  <si>
    <t>007390 KS Equity</t>
  </si>
  <si>
    <t>036570 KS Equity</t>
  </si>
  <si>
    <t>217270 KS Equity</t>
  </si>
  <si>
    <t>010140 KS Equity</t>
  </si>
  <si>
    <t>011170 KS Equity</t>
  </si>
  <si>
    <t>298000 KS Equity</t>
  </si>
  <si>
    <t>215480 KS Equity</t>
  </si>
  <si>
    <t>083640 KS Equity</t>
  </si>
  <si>
    <t>004020 KS Equity</t>
  </si>
  <si>
    <t>356890 KS Equity</t>
  </si>
  <si>
    <t>005440 KS Equity</t>
  </si>
  <si>
    <t>033830 KS Equity</t>
  </si>
  <si>
    <t>005670 KS Equity</t>
  </si>
  <si>
    <t>112610 KS Equity</t>
  </si>
  <si>
    <t>086790 KS Equity</t>
  </si>
  <si>
    <t>326030 KS Equity</t>
  </si>
  <si>
    <t>017670 KS Equity</t>
  </si>
  <si>
    <t>263700 KS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</si>
</sst>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BDP|17335452512569924143</stp>
        <tr r="E60" s="2"/>
      </tp>
      <tp t="s">
        <v>#N/A N/A</v>
        <stp/>
        <stp>BDP|15918928326896437206</stp>
        <tr r="C52" s="2"/>
      </tp>
      <tp t="s">
        <v>#N/A N/A</v>
        <stp/>
        <stp>BDP|13301681246929578202</stp>
        <tr r="B80" s="2"/>
      </tp>
      <tp t="s">
        <v>#N/A N/A</v>
        <stp/>
        <stp>BDP|14138391471042939884</stp>
        <tr r="C100" s="2"/>
      </tp>
      <tp t="s">
        <v>#N/A N/A</v>
        <stp/>
        <stp>BDP|12723833704410668098</stp>
        <tr r="D49" s="2"/>
      </tp>
      <tp t="s">
        <v>#N/A N/A</v>
        <stp/>
        <stp>BDP|14757937869649090832</stp>
        <tr r="E36" s="2"/>
      </tp>
      <tp t="s">
        <v>#N/A N/A</v>
        <stp/>
        <stp>BDP|10295897655972306532</stp>
        <tr r="C93" s="2"/>
      </tp>
      <tp t="s">
        <v>#N/A N/A</v>
        <stp/>
        <stp>BDP|17197537491520485123</stp>
        <tr r="D92" s="2"/>
      </tp>
      <tp t="s">
        <v>#N/A N/A</v>
        <stp/>
        <stp>BDP|15978478488273514073</stp>
        <tr r="D4" s="2"/>
      </tp>
      <tp t="s">
        <v>#N/A N/A</v>
        <stp/>
        <stp>BDP|13684158987307748778</stp>
        <tr r="D30" s="2"/>
      </tp>
      <tp t="s">
        <v>#N/A N/A</v>
        <stp/>
        <stp>BDP|11896065669169284438</stp>
        <tr r="B83" s="2"/>
      </tp>
      <tp t="s">
        <v>#N/A N/A</v>
        <stp/>
        <stp>BDP|11545854730699776916</stp>
        <tr r="C101" s="2"/>
      </tp>
      <tp t="s">
        <v>#N/A N/A</v>
        <stp/>
        <stp>BDP|11294367642155964862</stp>
        <tr r="D8" s="2"/>
      </tp>
      <tp t="s">
        <v>#N/A N/A</v>
        <stp/>
        <stp>BDP|12873439226717747805</stp>
        <tr r="C95" s="2"/>
      </tp>
      <tp t="s">
        <v>#N/A N/A</v>
        <stp/>
        <stp>BDP|10897102981231692328</stp>
        <tr r="D10" s="2"/>
      </tp>
      <tp t="s">
        <v>#N/A N/A</v>
        <stp/>
        <stp>BDP|12243949314474730596</stp>
        <tr r="E52" s="2"/>
      </tp>
      <tp t="s">
        <v>#N/A N/A</v>
        <stp/>
        <stp>BDP|17691693286321564326</stp>
        <tr r="E54" s="2"/>
      </tp>
      <tp t="s">
        <v>#N/A N/A</v>
        <stp/>
        <stp>BDP|15978712549128657571</stp>
        <tr r="B49" s="2"/>
      </tp>
      <tp t="s">
        <v>#N/A N/A</v>
        <stp/>
        <stp>BDP|13995992901661623079</stp>
        <tr r="C37" s="2"/>
      </tp>
      <tp t="s">
        <v>#N/A N/A</v>
        <stp/>
        <stp>BDP|15242918545060382369</stp>
        <tr r="E77" s="2"/>
      </tp>
      <tp t="s">
        <v>#N/A N/A</v>
        <stp/>
        <stp>BDP|15230459374635472855</stp>
        <tr r="D56" s="2"/>
      </tp>
      <tp t="s">
        <v>#N/A N/A</v>
        <stp/>
        <stp>BDP|11286273972956100931</stp>
        <tr r="B97" s="2"/>
      </tp>
      <tp t="s">
        <v>#N/A N/A</v>
        <stp/>
        <stp>BDP|10418578697861068610</stp>
        <tr r="C56" s="2"/>
      </tp>
      <tp t="s">
        <v>#N/A N/A</v>
        <stp/>
        <stp>BDP|13691925475722383475</stp>
        <tr r="E68" s="2"/>
      </tp>
      <tp t="s">
        <v>#N/A N/A</v>
        <stp/>
        <stp>BDP|13067317937551811990</stp>
        <tr r="B19" s="2"/>
      </tp>
      <tp t="s">
        <v>#N/A N/A</v>
        <stp/>
        <stp>BDP|12015943749974357363</stp>
        <tr r="D29" s="2"/>
      </tp>
      <tp t="s">
        <v>#N/A N/A</v>
        <stp/>
        <stp>BDP|17280836561181654076</stp>
        <tr r="B77" s="2"/>
      </tp>
      <tp t="s">
        <v>#N/A N/A</v>
        <stp/>
        <stp>BDP|17422009288447917048</stp>
        <tr r="B14" s="2"/>
      </tp>
      <tp t="s">
        <v>#N/A N/A</v>
        <stp/>
        <stp>BDP|14355457982245591516</stp>
        <tr r="E65" s="2"/>
      </tp>
      <tp t="s">
        <v>#N/A N/A</v>
        <stp/>
        <stp>BDP|12495824922564565432</stp>
        <tr r="B63" s="2"/>
      </tp>
      <tp t="s">
        <v>#N/A N/A</v>
        <stp/>
        <stp>BDP|17760430787005573636</stp>
        <tr r="D51" s="2"/>
      </tp>
      <tp t="s">
        <v>#N/A N/A</v>
        <stp/>
        <stp>BDP|11143143043549339511</stp>
        <tr r="D46" s="2"/>
      </tp>
      <tp t="s">
        <v>#N/A N/A</v>
        <stp/>
        <stp>BDP|13131512630159022444</stp>
        <tr r="C10" s="2"/>
      </tp>
      <tp t="s">
        <v>#N/A N/A</v>
        <stp/>
        <stp>BDP|17624627263006866869</stp>
        <tr r="D47" s="2"/>
      </tp>
      <tp t="s">
        <v>#N/A N/A</v>
        <stp/>
        <stp>BDP|10943865886369083007</stp>
        <tr r="B9" s="2"/>
      </tp>
      <tp t="s">
        <v>#N/A N/A</v>
        <stp/>
        <stp>BDP|10990796938924658956</stp>
        <tr r="B45" s="2"/>
      </tp>
      <tp t="s">
        <v>#N/A N/A</v>
        <stp/>
        <stp>BDP|14323502100219016190</stp>
        <tr r="C57" s="2"/>
      </tp>
      <tp t="s">
        <v>#N/A N/A</v>
        <stp/>
        <stp>BDP|11976368896850100222</stp>
        <tr r="B67" s="2"/>
      </tp>
      <tp t="s">
        <v>#N/A N/A</v>
        <stp/>
        <stp>BDP|14188962145092821262</stp>
        <tr r="C28" s="2"/>
      </tp>
      <tp t="s">
        <v>#N/A N/A</v>
        <stp/>
        <stp>BDP|10053751079138184112</stp>
        <tr r="E67" s="2"/>
      </tp>
      <tp t="s">
        <v>#N/A N/A</v>
        <stp/>
        <stp>BDP|13746938274291801542</stp>
        <tr r="B94" s="2"/>
      </tp>
      <tp t="s">
        <v>#N/A N/A</v>
        <stp/>
        <stp>BDP|17693855033513975663</stp>
        <tr r="E96" s="2"/>
      </tp>
      <tp t="s">
        <v>#N/A N/A</v>
        <stp/>
        <stp>BDP|16222565684132319036</stp>
        <tr r="E72" s="2"/>
      </tp>
      <tp t="s">
        <v>#N/A N/A</v>
        <stp/>
        <stp>BDP|10692010221948145304</stp>
        <tr r="B85" s="2"/>
      </tp>
      <tp t="s">
        <v>#N/A N/A</v>
        <stp/>
        <stp>BDP|12495831436504868315</stp>
        <tr r="D15" s="2"/>
      </tp>
      <tp t="s">
        <v>#N/A N/A</v>
        <stp/>
        <stp>BDP|12722590993497019767</stp>
        <tr r="B44" s="2"/>
      </tp>
      <tp t="s">
        <v>#N/A N/A</v>
        <stp/>
        <stp>BDP|10861844140971017368</stp>
        <tr r="B38" s="2"/>
      </tp>
      <tp t="s">
        <v>#N/A N/A</v>
        <stp/>
        <stp>BDP|16704697550663528879</stp>
        <tr r="E51" s="2"/>
      </tp>
      <tp t="s">
        <v>#N/A N/A</v>
        <stp/>
        <stp>BDP|18097205011790949547</stp>
        <tr r="B59" s="2"/>
      </tp>
      <tp t="s">
        <v>#N/A N/A</v>
        <stp/>
        <stp>BDP|13660028800969036480</stp>
        <tr r="E15" s="2"/>
      </tp>
      <tp t="s">
        <v>#N/A N/A</v>
        <stp/>
        <stp>BDP|10233584885506392535</stp>
        <tr r="D80" s="2"/>
      </tp>
      <tp t="s">
        <v>#N/A N/A</v>
        <stp/>
        <stp>BDP|11820537725811476942</stp>
        <tr r="B73" s="2"/>
      </tp>
      <tp t="s">
        <v>#N/A N/A</v>
        <stp/>
        <stp>BDP|18265978423745497812</stp>
        <tr r="C48" s="2"/>
      </tp>
      <tp t="s">
        <v>#N/A N/A</v>
        <stp/>
        <stp>BDP|16436572531598178605</stp>
        <tr r="B7" s="2"/>
      </tp>
      <tp t="s">
        <v>#N/A N/A</v>
        <stp/>
        <stp>BDP|12339893548913453349</stp>
        <tr r="B43" s="2"/>
      </tp>
      <tp t="s">
        <v>#N/A N/A</v>
        <stp/>
        <stp>BDP|14536578897290155601</stp>
        <tr r="D14" s="2"/>
      </tp>
      <tp t="s">
        <v>#N/A N/A</v>
        <stp/>
        <stp>BDP|16236540097625214159</stp>
        <tr r="D97" s="2"/>
      </tp>
      <tp t="s">
        <v>#N/A N/A</v>
        <stp/>
        <stp>BDP|13148983020845850286</stp>
        <tr r="D43" s="2"/>
      </tp>
      <tp t="s">
        <v>#N/A N/A</v>
        <stp/>
        <stp>BDP|15913809264304402010</stp>
        <tr r="C79" s="2"/>
      </tp>
      <tp t="s">
        <v>#N/A N/A</v>
        <stp/>
        <stp>BDP|11998893927427451380</stp>
        <tr r="E26" s="2"/>
      </tp>
      <tp t="s">
        <v>#N/A N/A</v>
        <stp/>
        <stp>BDP|13488892061443063170</stp>
        <tr r="B48" s="2"/>
      </tp>
      <tp t="s">
        <v>#N/A N/A</v>
        <stp/>
        <stp>BDP|16874975512181682006</stp>
        <tr r="C64" s="2"/>
      </tp>
      <tp t="s">
        <v>#N/A N/A</v>
        <stp/>
        <stp>BDP|12868578509260842837</stp>
        <tr r="B92" s="2"/>
      </tp>
      <tp t="s">
        <v>#N/A N/A</v>
        <stp/>
        <stp>BDP|13875516797984239429</stp>
        <tr r="E82" s="2"/>
      </tp>
      <tp t="s">
        <v>#N/A N/A</v>
        <stp/>
        <stp>BDP|12410500783963329343</stp>
        <tr r="D94" s="2"/>
      </tp>
      <tp t="s">
        <v>#N/A N/A</v>
        <stp/>
        <stp>BDP|11084955987367334851</stp>
        <tr r="D91" s="2"/>
      </tp>
      <tp t="s">
        <v>#N/A N/A</v>
        <stp/>
        <stp>BDP|16923529668392245871</stp>
        <tr r="E40" s="2"/>
      </tp>
      <tp t="s">
        <v>#N/A N/A</v>
        <stp/>
        <stp>BDP|10640205864598036022</stp>
        <tr r="B87" s="2"/>
      </tp>
      <tp t="s">
        <v>#N/A N/A</v>
        <stp/>
        <stp>BDP|10791221884582163439</stp>
        <tr r="E44" s="2"/>
      </tp>
      <tp t="s">
        <v>#N/A N/A</v>
        <stp/>
        <stp>BDP|10676894171126822557</stp>
        <tr r="B39" s="2"/>
      </tp>
      <tp t="s">
        <v>#N/A N/A</v>
        <stp/>
        <stp>BDP|10601566545769192462</stp>
        <tr r="D31" s="2"/>
      </tp>
      <tp t="s">
        <v>#N/A N/A</v>
        <stp/>
        <stp>BDP|10652970403054612166</stp>
        <tr r="D95" s="2"/>
      </tp>
      <tp t="s">
        <v>#N/A N/A</v>
        <stp/>
        <stp>BDP|11539039895992577642</stp>
        <tr r="D28" s="2"/>
      </tp>
      <tp t="s">
        <v>#N/A N/A</v>
        <stp/>
        <stp>BDP|11346716784926049415</stp>
        <tr r="D76" s="2"/>
      </tp>
      <tp t="s">
        <v>#N/A N/A</v>
        <stp/>
        <stp>BDP|11699555884393881386</stp>
        <tr r="E56" s="2"/>
      </tp>
      <tp t="s">
        <v>#N/A N/A</v>
        <stp/>
        <stp>BDP|15917366353309938631</stp>
        <tr r="E16" s="2"/>
      </tp>
      <tp t="s">
        <v>#N/A N/A</v>
        <stp/>
        <stp>BDP|12158780745974461801</stp>
        <tr r="D90" s="2"/>
      </tp>
      <tp t="s">
        <v>#N/A N/A</v>
        <stp/>
        <stp>BDP|16356660689633722662</stp>
        <tr r="E43" s="2"/>
      </tp>
      <tp t="s">
        <v>#N/A N/A</v>
        <stp/>
        <stp>BDP|10272987556039517858</stp>
        <tr r="C84" s="2"/>
      </tp>
      <tp t="s">
        <v>#N/A N/A</v>
        <stp/>
        <stp>BDP|13284881056826379535</stp>
        <tr r="B37" s="2"/>
      </tp>
      <tp t="s">
        <v>#N/A N/A</v>
        <stp/>
        <stp>BDP|16957376109029136145</stp>
        <tr r="B32" s="2"/>
      </tp>
      <tp t="s">
        <v>#N/A N/A</v>
        <stp/>
        <stp>BDP|12177185523218827461</stp>
        <tr r="C6" s="2"/>
      </tp>
      <tp t="s">
        <v>#N/A N/A</v>
        <stp/>
        <stp>BDP|12857439288518238485</stp>
        <tr r="E91" s="2"/>
      </tp>
      <tp t="s">
        <v>#N/A N/A</v>
        <stp/>
        <stp>BDP|11341750258297259652</stp>
        <tr r="E64" s="2"/>
      </tp>
      <tp t="s">
        <v>#N/A N/A</v>
        <stp/>
        <stp>BDP|14085935636154532880</stp>
        <tr r="C40" s="2"/>
      </tp>
      <tp t="s">
        <v>#N/A N/A</v>
        <stp/>
        <stp>BDP|10103474635307216296</stp>
        <tr r="D67" s="2"/>
      </tp>
      <tp t="s">
        <v>#N/A N/A</v>
        <stp/>
        <stp>BDP|15767241341460814104</stp>
        <tr r="D79" s="2"/>
      </tp>
      <tp t="s">
        <v>#N/A N/A</v>
        <stp/>
        <stp>BDP|17476441059405078147</stp>
        <tr r="E63" s="2"/>
      </tp>
      <tp t="s">
        <v>#N/A N/A</v>
        <stp/>
        <stp>BDP|10879047068824937034</stp>
        <tr r="B93" s="2"/>
      </tp>
      <tp t="s">
        <v>#N/A N/A</v>
        <stp/>
        <stp>BDP|17966341820650578464</stp>
        <tr r="C22" s="2"/>
      </tp>
      <tp t="s">
        <v>#N/A N/A</v>
        <stp/>
        <stp>BDP|13120145163491546720</stp>
        <tr r="E27" s="2"/>
      </tp>
      <tp t="s">
        <v>#N/A N/A</v>
        <stp/>
        <stp>BDP|10245086020041845133</stp>
        <tr r="C25" s="2"/>
      </tp>
      <tp t="s">
        <v>#N/A N/A</v>
        <stp/>
        <stp>BDP|15476337916946406364</stp>
        <tr r="C26" s="2"/>
      </tp>
      <tp t="s">
        <v>#N/A N/A</v>
        <stp/>
        <stp>BDP|11631735051454386549</stp>
        <tr r="C87" s="2"/>
      </tp>
      <tp t="s">
        <v>#N/A N/A</v>
        <stp/>
        <stp>BDP|10103655200086948296</stp>
        <tr r="B6" s="2"/>
      </tp>
      <tp t="s">
        <v>#N/A N/A</v>
        <stp/>
        <stp>BDP|15770968097436093119</stp>
        <tr r="C94" s="2"/>
      </tp>
      <tp t="s">
        <v>#N/A N/A</v>
        <stp/>
        <stp>BDP|15315664344193465630</stp>
        <tr r="C44" s="2"/>
      </tp>
      <tp t="s">
        <v>#N/A N/A</v>
        <stp/>
        <stp>BDP|16334172115627125363</stp>
        <tr r="D74" s="2"/>
      </tp>
      <tp t="s">
        <v>#N/A N/A</v>
        <stp/>
        <stp>BDP|16686390307307537146</stp>
        <tr r="E13" s="2"/>
      </tp>
      <tp t="s">
        <v>#N/A N/A</v>
        <stp/>
        <stp>BDP|17512022712800924559</stp>
        <tr r="D61" s="2"/>
      </tp>
      <tp t="s">
        <v>#N/A N/A</v>
        <stp/>
        <stp>BDP|16827146365077633554</stp>
        <tr r="D65" s="2"/>
      </tp>
      <tp t="s">
        <v>#N/A N/A</v>
        <stp/>
        <stp>BDP|14312347355560820103</stp>
        <tr r="E3" s="2"/>
      </tp>
      <tp t="s">
        <v>#N/A N/A</v>
        <stp/>
        <stp>BDP|12574530075641948262</stp>
        <tr r="D58" s="2"/>
      </tp>
      <tp t="s">
        <v>#N/A N/A</v>
        <stp/>
        <stp>BDP|10853085744535936222</stp>
        <tr r="B25" s="2"/>
      </tp>
      <tp t="s">
        <v>#N/A N/A</v>
        <stp/>
        <stp>BDP|12166694340947679408</stp>
        <tr r="C47" s="2"/>
      </tp>
      <tp t="s">
        <v>#N/A N/A</v>
        <stp/>
        <stp>BDP|16254787809545360710</stp>
        <tr r="C29" s="2"/>
      </tp>
      <tp t="s">
        <v>#N/A N/A</v>
        <stp/>
        <stp>BDP|12810681669171364098</stp>
        <tr r="B20" s="2"/>
      </tp>
      <tp t="s">
        <v>#N/A N/A</v>
        <stp/>
        <stp>BDP|13362724957952001056</stp>
        <tr r="D87" s="2"/>
      </tp>
      <tp t="s">
        <v>#N/A N/A</v>
        <stp/>
        <stp>BDP|14474922426864376807</stp>
        <tr r="E41" s="2"/>
      </tp>
      <tp t="s">
        <v>#N/A N/A</v>
        <stp/>
        <stp>BDP|18411624397826791256</stp>
        <tr r="B88" s="2"/>
      </tp>
      <tp t="s">
        <v>#N/A N/A</v>
        <stp/>
        <stp>BDP|10159608253381533127</stp>
        <tr r="C18" s="2"/>
      </tp>
      <tp t="s">
        <v>#N/A N/A</v>
        <stp/>
        <stp>BDP|13996663400966161371</stp>
        <tr r="E71" s="2"/>
      </tp>
      <tp t="s">
        <v>#N/A N/A</v>
        <stp/>
        <stp>BDP|11553685846552287147</stp>
        <tr r="D18" s="2"/>
      </tp>
      <tp t="s">
        <v>#N/A N/A</v>
        <stp/>
        <stp>BDP|17006636715168835813</stp>
        <tr r="B70" s="2"/>
      </tp>
      <tp t="s">
        <v>#N/A N/A</v>
        <stp/>
        <stp>BDP|12568673319402317776</stp>
        <tr r="E49" s="2"/>
      </tp>
      <tp t="s">
        <v>#N/A N/A</v>
        <stp/>
        <stp>BDP|15362531603358772858</stp>
        <tr r="B42" s="2"/>
      </tp>
      <tp t="s">
        <v>#N/A N/A</v>
        <stp/>
        <stp>BDP|16930996751889746340</stp>
        <tr r="D33" s="2"/>
      </tp>
      <tp t="s">
        <v>#N/A N/A</v>
        <stp/>
        <stp>BDP|13419020047505210219</stp>
        <tr r="D26" s="2"/>
      </tp>
      <tp t="s">
        <v>#N/A N/A</v>
        <stp/>
        <stp>BDP|11183904594949035806</stp>
        <tr r="D60" s="2"/>
      </tp>
      <tp t="s">
        <v>#N/A N/A</v>
        <stp/>
        <stp>BDP|15358028147359650846</stp>
        <tr r="D53" s="2"/>
      </tp>
      <tp t="s">
        <v>#N/A N/A</v>
        <stp/>
        <stp>BDP|14956423945554017098</stp>
        <tr r="B72" s="2"/>
      </tp>
      <tp t="s">
        <v>#N/A N/A</v>
        <stp/>
        <stp>BDP|17329487541081986640</stp>
        <tr r="C55" s="2"/>
      </tp>
      <tp t="s">
        <v>#N/A N/A</v>
        <stp/>
        <stp>BDP|11656732250476973456</stp>
        <tr r="E11" s="2"/>
      </tp>
      <tp t="s">
        <v>#N/A N/A</v>
        <stp/>
        <stp>BDP|17339082916474489337</stp>
        <tr r="E57" s="2"/>
      </tp>
      <tp t="s">
        <v>#N/A N/A</v>
        <stp/>
        <stp>BDP|17549554278977409325</stp>
        <tr r="B15" s="2"/>
      </tp>
      <tp t="s">
        <v>#N/A N/A</v>
        <stp/>
        <stp>BDP|15270911767949396296</stp>
        <tr r="D5" s="2"/>
      </tp>
      <tp t="s">
        <v>#N/A N/A</v>
        <stp/>
        <stp>BDP|17098699628354717685</stp>
        <tr r="C34" s="2"/>
      </tp>
      <tp t="s">
        <v>#N/A N/A</v>
        <stp/>
        <stp>BDP|14946844988417964227</stp>
        <tr r="B90" s="2"/>
      </tp>
      <tp t="s">
        <v>#N/A N/A</v>
        <stp/>
        <stp>BDP|10926341765132804616</stp>
        <tr r="D85" s="2"/>
      </tp>
      <tp t="s">
        <v>#N/A N/A</v>
        <stp/>
        <stp>BDP|14664731923947233744</stp>
        <tr r="E12" s="2"/>
      </tp>
      <tp t="s">
        <v>#N/A N/A</v>
        <stp/>
        <stp>BDP|11864676647105304797</stp>
        <tr r="E100" s="2"/>
      </tp>
      <tp t="s">
        <v>#N/A N/A</v>
        <stp/>
        <stp>BDP|15280185224982892514</stp>
        <tr r="C73" s="2"/>
      </tp>
      <tp t="s">
        <v>#N/A N/A</v>
        <stp/>
        <stp>BDP|13734083502400295281</stp>
        <tr r="D32" s="2"/>
      </tp>
      <tp t="s">
        <v>#N/A N/A</v>
        <stp/>
        <stp>BDP|16680548801383162141</stp>
        <tr r="B58" s="2"/>
      </tp>
      <tp t="s">
        <v>#N/A N/A</v>
        <stp/>
        <stp>BDP|17516208042621963671</stp>
        <tr r="C89" s="2"/>
      </tp>
      <tp t="s">
        <v>#N/A N/A</v>
        <stp/>
        <stp>BDP|11016462709152102159</stp>
        <tr r="C15" s="2"/>
      </tp>
      <tp t="s">
        <v>#N/A N/A</v>
        <stp/>
        <stp>BDP|18410217189302253652</stp>
        <tr r="C20" s="2"/>
      </tp>
      <tp t="s">
        <v>#N/A N/A</v>
        <stp/>
        <stp>BDP|11654064954423748186</stp>
        <tr r="C51" s="2"/>
      </tp>
      <tp t="s">
        <v>#N/A N/A</v>
        <stp/>
        <stp>BDP|13105432452986306290</stp>
        <tr r="E58" s="2"/>
      </tp>
      <tp t="s">
        <v>#N/A N/A</v>
        <stp/>
        <stp>BDP|15283439130792880635</stp>
        <tr r="E89" s="2"/>
      </tp>
      <tp t="s">
        <v>#N/A N/A</v>
        <stp/>
        <stp>BDP|17141777171559573884</stp>
        <tr r="C33" s="2"/>
      </tp>
      <tp t="s">
        <v>#N/A N/A</v>
        <stp/>
        <stp>BDP|10323771289688223113</stp>
        <tr r="E97" s="2"/>
      </tp>
      <tp t="s">
        <v>#N/A N/A</v>
        <stp/>
        <stp>BDP|17529382355671013693</stp>
        <tr r="E17" s="2"/>
      </tp>
      <tp t="s">
        <v>#N/A N/A</v>
        <stp/>
        <stp>BDP|12423117454253217332</stp>
        <tr r="D73" s="2"/>
      </tp>
      <tp t="s">
        <v>#N/A N/A</v>
        <stp/>
        <stp>BDP|16177758299829926768</stp>
        <tr r="E24" s="2"/>
      </tp>
      <tp t="s">
        <v>#N/A N/A</v>
        <stp/>
        <stp>BDP|15922583276535536440</stp>
        <tr r="E73" s="2"/>
      </tp>
      <tp t="s">
        <v>#N/A N/A</v>
        <stp/>
        <stp>BDP|16842286130338838819</stp>
        <tr r="D75" s="2"/>
      </tp>
      <tp t="s">
        <v>#N/A N/A</v>
        <stp/>
        <stp>BDP|10894950657489046235</stp>
        <tr r="B65" s="2"/>
      </tp>
      <tp t="s">
        <v>#N/A N/A</v>
        <stp/>
        <stp>BDP|13485292374830741166</stp>
        <tr r="E93" s="2"/>
      </tp>
      <tp t="s">
        <v>#N/A N/A</v>
        <stp/>
        <stp>BDP|14557127617353913015</stp>
        <tr r="D55" s="2"/>
      </tp>
      <tp t="s">
        <v>#N/A N/A</v>
        <stp/>
        <stp>BDP|12178077733633967508</stp>
        <tr r="C53" s="2"/>
      </tp>
      <tp t="s">
        <v>#N/A N/A</v>
        <stp/>
        <stp>BDP|13994700824056283732</stp>
        <tr r="D62" s="2"/>
      </tp>
      <tp t="s">
        <v>#N/A N/A</v>
        <stp/>
        <stp>BDP|16179080454235575144</stp>
        <tr r="D84" s="2"/>
      </tp>
      <tp t="s">
        <v>#N/A N/A</v>
        <stp/>
        <stp>BDP|14974464128317948217</stp>
        <tr r="D13" s="2"/>
      </tp>
      <tp t="s">
        <v>#N/A N/A</v>
        <stp/>
        <stp>BDP|13345414415609253818</stp>
        <tr r="D39" s="2"/>
      </tp>
      <tp t="s">
        <v>#N/A N/A</v>
        <stp/>
        <stp>BDP|11023427023562283244</stp>
        <tr r="D27" s="2"/>
      </tp>
      <tp t="s">
        <v>#N/A N/A</v>
        <stp/>
        <stp>BDP|15219270434046194568</stp>
        <tr r="E32" s="2"/>
      </tp>
      <tp t="s">
        <v>#N/A N/A</v>
        <stp/>
        <stp>BDP|13634102695689251574</stp>
        <tr r="C96" s="2"/>
      </tp>
      <tp t="s">
        <v>#N/A N/A</v>
        <stp/>
        <stp>BDP|12413588130786824529</stp>
        <tr r="C70" s="2"/>
      </tp>
      <tp t="s">
        <v>#N/A N/A</v>
        <stp/>
        <stp>BDP|14944781178906687665</stp>
        <tr r="E83" s="2"/>
      </tp>
      <tp t="s">
        <v>#N/A N/A</v>
        <stp/>
        <stp>BDP|10841352251781050370</stp>
        <tr r="B27" s="2"/>
      </tp>
      <tp t="s">
        <v>#N/A N/A</v>
        <stp/>
        <stp>BDP|13952028855361005340</stp>
        <tr r="D20" s="2"/>
      </tp>
      <tp t="s">
        <v>#N/A N/A</v>
        <stp/>
        <stp>BDP|10121091044431781146</stp>
        <tr r="E20" s="2"/>
      </tp>
      <tp t="s">
        <v>#N/A N/A</v>
        <stp/>
        <stp>BDP|11159781474187623245</stp>
        <tr r="D59" s="2"/>
      </tp>
      <tp t="s">
        <v>#N/A N/A</v>
        <stp/>
        <stp>BDP|15673075573497283106</stp>
        <tr r="D70" s="2"/>
      </tp>
      <tp t="s">
        <v>#N/A N/A</v>
        <stp/>
        <stp>BDP|14848850171069718688</stp>
        <tr r="C88" s="2"/>
      </tp>
      <tp t="s">
        <v>#N/A N/A</v>
        <stp/>
        <stp>BDP|15650290566943324686</stp>
        <tr r="E59" s="2"/>
      </tp>
      <tp t="s">
        <v>#N/A N/A</v>
        <stp/>
        <stp>BDP|12734832868451894960</stp>
        <tr r="E33" s="2"/>
      </tp>
      <tp t="s">
        <v>#N/A N/A</v>
        <stp/>
        <stp>BDP|10013851905939778539</stp>
        <tr r="E30" s="2"/>
      </tp>
      <tp t="s">
        <v>#N/A N/A</v>
        <stp/>
        <stp>BDP|15940738578728695927</stp>
        <tr r="C39" s="2"/>
      </tp>
      <tp t="s">
        <v>#N/A N/A</v>
        <stp/>
        <stp>BDP|12820082949881776272</stp>
        <tr r="B46" s="2"/>
      </tp>
      <tp t="s">
        <v>#N/A N/A</v>
        <stp/>
        <stp>BDP|13027515688609824280</stp>
        <tr r="E101" s="2"/>
      </tp>
      <tp t="s">
        <v>#N/A N/A</v>
        <stp/>
        <stp>BDP|15111746813034620290</stp>
        <tr r="B61" s="2"/>
      </tp>
      <tp t="s">
        <v>#N/A N/A</v>
        <stp/>
        <stp>BDP|10478454818311374105</stp>
        <tr r="B56" s="2"/>
      </tp>
      <tp t="s">
        <v>#N/A N/A</v>
        <stp/>
        <stp>BDP|11891787322085767486</stp>
        <tr r="C32" s="2"/>
      </tp>
      <tp t="s">
        <v>#N/A N/A</v>
        <stp/>
        <stp>BDP|10551091331492855480</stp>
        <tr r="E53" s="2"/>
      </tp>
      <tp t="s">
        <v>#N/A N/A</v>
        <stp/>
        <stp>BDP|12565244745958935922</stp>
        <tr r="D81" s="2"/>
      </tp>
      <tp t="s">
        <v>#N/A N/A</v>
        <stp/>
        <stp>BDP|17999945951356212817</stp>
        <tr r="B55" s="2"/>
      </tp>
      <tp t="s">
        <v>#N/A N/A</v>
        <stp/>
        <stp>BDP|15882219016236344535</stp>
        <tr r="B98" s="2"/>
      </tp>
      <tp t="s">
        <v>#N/A N/A</v>
        <stp/>
        <stp>BDP|13131212621242747486</stp>
        <tr r="E55" s="2"/>
      </tp>
      <tp t="s">
        <v>#N/A N/A</v>
        <stp/>
        <stp>BDP|15072606053413334019</stp>
        <tr r="B34" s="2"/>
      </tp>
      <tp t="s">
        <v>#N/A N/A</v>
        <stp/>
        <stp>BDP|17130672454834100536</stp>
        <tr r="E79" s="2"/>
      </tp>
      <tp t="s">
        <v>#N/A N/A</v>
        <stp/>
        <stp>BDP|10051536292760280906</stp>
        <tr r="B36" s="2"/>
      </tp>
      <tp t="s">
        <v>#N/A N/A</v>
        <stp/>
        <stp>BDP|11278395453474326688</stp>
        <tr r="B79" s="2"/>
      </tp>
      <tp t="s">
        <v>#N/A N/A</v>
        <stp/>
        <stp>BDP|15113825363009361716</stp>
        <tr r="C72" s="2"/>
      </tp>
      <tp t="s">
        <v>#N/A N/A</v>
        <stp/>
        <stp>BDP|17830204831725901676</stp>
        <tr r="E8" s="2"/>
      </tp>
      <tp t="s">
        <v>#N/A N/A</v>
        <stp/>
        <stp>BDP|12996369213056368390</stp>
        <tr r="E31" s="2"/>
      </tp>
    </main>
    <main first="bofaddin.rtdserver">
      <tp t="s">
        <v>#N/A N/A</v>
        <stp/>
        <stp>BDP|2514694024414287</stp>
        <tr r="C67" s="2"/>
      </tp>
      <tp t="s">
        <v>#N/A N/A</v>
        <stp/>
        <stp>BDP|9306399775197006651</stp>
        <tr r="E85" s="2"/>
      </tp>
      <tp t="s">
        <v>#N/A N/A</v>
        <stp/>
        <stp>BDP|3414698584558579977</stp>
        <tr r="E29" s="2"/>
      </tp>
      <tp t="s">
        <v>#N/A N/A</v>
        <stp/>
        <stp>BDP|2771098732144553910</stp>
        <tr r="B17" s="2"/>
      </tp>
      <tp t="s">
        <v>#N/A N/A</v>
        <stp/>
        <stp>BDP|7487210448375034858</stp>
        <tr r="E46" s="2"/>
      </tp>
      <tp t="s">
        <v>#N/A N/A</v>
        <stp/>
        <stp>BDP|8030935889373609659</stp>
        <tr r="B96" s="2"/>
      </tp>
      <tp t="s">
        <v>#N/A N/A</v>
        <stp/>
        <stp>BDP|4053761003407882847</stp>
        <tr r="D22" s="2"/>
      </tp>
      <tp t="s">
        <v>#N/A N/A</v>
        <stp/>
        <stp>BDP|9968569322154468651</stp>
        <tr r="E18" s="2"/>
      </tp>
      <tp t="s">
        <v>#N/A N/A</v>
        <stp/>
        <stp>BDP|1518200784676958146</stp>
        <tr r="E81" s="2"/>
      </tp>
      <tp t="s">
        <v>#N/A N/A</v>
        <stp/>
        <stp>BDP|9806216718434663246</stp>
        <tr r="B3" s="2"/>
      </tp>
      <tp t="s">
        <v>#N/A N/A</v>
        <stp/>
        <stp>BDP|8922869516408892523</stp>
        <tr r="B62" s="2"/>
      </tp>
      <tp t="s">
        <v>#N/A N/A</v>
        <stp/>
        <stp>BDP|4553985707193908236</stp>
        <tr r="E84" s="2"/>
      </tp>
      <tp t="s">
        <v>#N/A N/A</v>
        <stp/>
        <stp>BDP|8099324832863010718</stp>
        <tr r="C16" s="2"/>
      </tp>
      <tp t="s">
        <v>#N/A N/A</v>
        <stp/>
        <stp>BDP|1447450481883909289</stp>
        <tr r="E23" s="2"/>
      </tp>
      <tp t="s">
        <v>#N/A N/A</v>
        <stp/>
        <stp>BDP|3473219612934600871</stp>
        <tr r="B2" s="2"/>
      </tp>
      <tp t="s">
        <v>#N/A N/A</v>
        <stp/>
        <stp>BDP|1858186369939700398</stp>
        <tr r="E45" s="2"/>
      </tp>
      <tp t="s">
        <v>#N/A N/A</v>
        <stp/>
        <stp>BDP|5396253596546611418</stp>
        <tr r="D17" s="2"/>
      </tp>
      <tp t="s">
        <v>#N/A N/A</v>
        <stp/>
        <stp>BDP|5039144376899453622</stp>
        <tr r="C82" s="2"/>
      </tp>
      <tp t="s">
        <v>#N/A N/A</v>
        <stp/>
        <stp>BDP|5030664034455136881</stp>
        <tr r="D71" s="2"/>
      </tp>
      <tp t="s">
        <v>#N/A N/A</v>
        <stp/>
        <stp>BDP|2019409768325545822</stp>
        <tr r="D93" s="2"/>
      </tp>
      <tp t="s">
        <v>#N/A N/A</v>
        <stp/>
        <stp>BDP|4953551656798538100</stp>
        <tr r="D21" s="2"/>
      </tp>
      <tp t="s">
        <v>#N/A N/A</v>
        <stp/>
        <stp>BDP|1818519115161372936</stp>
        <tr r="E28" s="2"/>
      </tp>
      <tp t="s">
        <v>#N/A N/A</v>
        <stp/>
        <stp>BDP|1573229349538910259</stp>
        <tr r="C63" s="2"/>
      </tp>
      <tp t="s">
        <v>#N/A N/A</v>
        <stp/>
        <stp>BDP|3885397098514381097</stp>
        <tr r="C58" s="2"/>
      </tp>
      <tp t="s">
        <v>#N/A N/A</v>
        <stp/>
        <stp>BDP|1331395841908816093</stp>
        <tr r="D2" s="2"/>
      </tp>
      <tp t="s">
        <v>#N/A N/A</v>
        <stp/>
        <stp>BDP|2371436849854449872</stp>
        <tr r="C69" s="2"/>
      </tp>
      <tp t="s">
        <v>#N/A N/A</v>
        <stp/>
        <stp>BDP|3491322275149178088</stp>
        <tr r="C2" s="2"/>
      </tp>
      <tp t="s">
        <v>#N/A N/A</v>
        <stp/>
        <stp>BDP|3213493916399220118</stp>
        <tr r="B4" s="2"/>
      </tp>
      <tp t="s">
        <v>#N/A N/A</v>
        <stp/>
        <stp>BDP|1723120615417451898</stp>
        <tr r="C9" s="2"/>
      </tp>
      <tp t="s">
        <v>#N/A N/A</v>
        <stp/>
        <stp>BDP|7991908918189291812</stp>
        <tr r="B24" s="2"/>
      </tp>
      <tp t="s">
        <v>#N/A N/A</v>
        <stp/>
        <stp>BDP|5164208060578092738</stp>
        <tr r="E66" s="2"/>
      </tp>
      <tp t="s">
        <v>#N/A N/A</v>
        <stp/>
        <stp>BDP|9683214037506708060</stp>
        <tr r="C81" s="2"/>
      </tp>
      <tp t="s">
        <v>#N/A N/A</v>
        <stp/>
        <stp>BDP|3447615495986520446</stp>
        <tr r="C38" s="2"/>
      </tp>
      <tp t="s">
        <v>#N/A N/A</v>
        <stp/>
        <stp>BDP|8093432072053744670</stp>
        <tr r="E74" s="2"/>
      </tp>
      <tp t="s">
        <v>#N/A N/A</v>
        <stp/>
        <stp>BDP|8520601211953387204</stp>
        <tr r="B75" s="2"/>
      </tp>
      <tp t="s">
        <v>#N/A N/A</v>
        <stp/>
        <stp>BDP|5631351668898793682</stp>
        <tr r="E42" s="2"/>
      </tp>
      <tp t="s">
        <v>#N/A N/A</v>
        <stp/>
        <stp>BDP|2985469762948336743</stp>
        <tr r="C50" s="2"/>
      </tp>
      <tp t="s">
        <v>#N/A N/A</v>
        <stp/>
        <stp>BDP|6367195268006932828</stp>
        <tr r="D45" s="2"/>
      </tp>
      <tp t="s">
        <v>#N/A N/A</v>
        <stp/>
        <stp>BDP|9187324144078795999</stp>
        <tr r="C24" s="2"/>
      </tp>
      <tp t="s">
        <v>#N/A N/A</v>
        <stp/>
        <stp>BDP|3886524784175002407</stp>
        <tr r="C11" s="2"/>
      </tp>
      <tp t="s">
        <v>#N/A N/A</v>
        <stp/>
        <stp>BDP|8934060375676224669</stp>
        <tr r="C30" s="2"/>
      </tp>
      <tp t="s">
        <v>#N/A N/A</v>
        <stp/>
        <stp>BDP|5256484793453513421</stp>
        <tr r="B35" s="2"/>
      </tp>
      <tp t="s">
        <v>#N/A N/A</v>
        <stp/>
        <stp>BDP|5351902758882779435</stp>
        <tr r="D44" s="2"/>
      </tp>
      <tp t="s">
        <v>#N/A N/A</v>
        <stp/>
        <stp>BDP|3439789383890828380</stp>
        <tr r="D3" s="2"/>
      </tp>
      <tp t="s">
        <v>#N/A N/A</v>
        <stp/>
        <stp>BDP|6495682597271570728</stp>
        <tr r="B66" s="2"/>
      </tp>
      <tp t="s">
        <v>#N/A N/A</v>
        <stp/>
        <stp>BDP|1896866192119459654</stp>
        <tr r="D86" s="2"/>
      </tp>
      <tp t="s">
        <v>#N/A N/A</v>
        <stp/>
        <stp>BDP|8137240956862300238</stp>
        <tr r="E95" s="2"/>
      </tp>
      <tp t="s">
        <v>#N/A N/A</v>
        <stp/>
        <stp>BDP|5156393868208555764</stp>
        <tr r="B84" s="2"/>
      </tp>
      <tp t="s">
        <v>#N/A N/A</v>
        <stp/>
        <stp>BDP|2123261987301298629</stp>
        <tr r="C5" s="2"/>
      </tp>
      <tp t="s">
        <v>#N/A N/A</v>
        <stp/>
        <stp>BDP|5930921115037939563</stp>
        <tr r="C60" s="2"/>
      </tp>
      <tp t="s">
        <v>#N/A N/A</v>
        <stp/>
        <stp>BDP|3149232629568957433</stp>
        <tr r="D100" s="2"/>
      </tp>
      <tp t="s">
        <v>#N/A N/A</v>
        <stp/>
        <stp>BDP|5533627389617309411</stp>
        <tr r="B71" s="2"/>
      </tp>
      <tp t="s">
        <v>#N/A N/A</v>
        <stp/>
        <stp>BDP|8385962119508290023</stp>
        <tr r="D36" s="2"/>
      </tp>
      <tp t="s">
        <v>#N/A N/A</v>
        <stp/>
        <stp>BDP|6580134183793551420</stp>
        <tr r="E38" s="2"/>
      </tp>
      <tp t="s">
        <v>#N/A N/A</v>
        <stp/>
        <stp>BDP|4880788376664551831</stp>
        <tr r="E92" s="2"/>
      </tp>
      <tp t="s">
        <v>#N/A N/A</v>
        <stp/>
        <stp>BDP|8458360546143605476</stp>
        <tr r="C83" s="2"/>
      </tp>
      <tp t="s">
        <v>#N/A N/A</v>
        <stp/>
        <stp>BDP|1149590664402618908</stp>
        <tr r="D37" s="2"/>
      </tp>
      <tp t="s">
        <v>#N/A N/A</v>
        <stp/>
        <stp>BDP|2220965633917980653</stp>
        <tr r="C4" s="2"/>
      </tp>
      <tp t="s">
        <v>#N/A N/A</v>
        <stp/>
        <stp>BDP|6362741099115314446</stp>
        <tr r="C68" s="2"/>
      </tp>
      <tp t="s">
        <v>#N/A N/A</v>
        <stp/>
        <stp>BDP|3165575483832580590</stp>
        <tr r="E25" s="2"/>
      </tp>
      <tp t="s">
        <v>#N/A N/A</v>
        <stp/>
        <stp>BDP|5529635999577213446</stp>
        <tr r="B8" s="2"/>
      </tp>
      <tp t="s">
        <v>#N/A N/A</v>
        <stp/>
        <stp>BDP|9152343125186755784</stp>
        <tr r="E19" s="2"/>
      </tp>
      <tp t="s">
        <v>#N/A N/A</v>
        <stp/>
        <stp>BDP|5487115651520659834</stp>
        <tr r="B82" s="2"/>
      </tp>
      <tp t="s">
        <v>#N/A N/A</v>
        <stp/>
        <stp>BDP|8935892811411783975</stp>
        <tr r="D40" s="2"/>
      </tp>
      <tp t="s">
        <v>#N/A N/A</v>
        <stp/>
        <stp>BDP|6499939227343968781</stp>
        <tr r="D25" s="2"/>
      </tp>
      <tp t="s">
        <v>#N/A N/A</v>
        <stp/>
        <stp>BDP|1316204414758414327</stp>
        <tr r="D54" s="2"/>
      </tp>
      <tp t="s">
        <v>#N/A N/A</v>
        <stp/>
        <stp>BDP|6116837810621551713</stp>
        <tr r="C86" s="2"/>
      </tp>
      <tp t="s">
        <v>#N/A N/A</v>
        <stp/>
        <stp>BDP|1579804009310308080</stp>
        <tr r="D34" s="2"/>
      </tp>
      <tp t="s">
        <v>#N/A N/A</v>
        <stp/>
        <stp>BDP|5049948923210898780</stp>
        <tr r="B86" s="2"/>
      </tp>
      <tp t="s">
        <v>#N/A N/A</v>
        <stp/>
        <stp>BDP|8613160404933459345</stp>
        <tr r="B68" s="2"/>
      </tp>
      <tp t="s">
        <v>#N/A N/A</v>
        <stp/>
        <stp>BDP|7759662590169135843</stp>
        <tr r="B12" s="2"/>
      </tp>
      <tp t="s">
        <v>#N/A N/A</v>
        <stp/>
        <stp>BDP|8622399470384380263</stp>
        <tr r="B22" s="2"/>
      </tp>
      <tp t="s">
        <v>#N/A N/A</v>
        <stp/>
        <stp>BDP|9875170776595688043</stp>
        <tr r="C3" s="2"/>
      </tp>
      <tp t="s">
        <v>#N/A N/A</v>
        <stp/>
        <stp>BDP|8509091945642599443</stp>
        <tr r="E62" s="2"/>
      </tp>
      <tp t="s">
        <v>#N/A N/A</v>
        <stp/>
        <stp>BDP|4725707590535698595</stp>
        <tr r="C75" s="2"/>
      </tp>
      <tp t="s">
        <v>#N/A N/A</v>
        <stp/>
        <stp>BDP|3826561076149039216</stp>
        <tr r="E14" s="2"/>
      </tp>
      <tp t="s">
        <v>#N/A N/A</v>
        <stp/>
        <stp>BDP|3994403532346375868</stp>
        <tr r="B28" s="2"/>
      </tp>
      <tp t="s">
        <v>#N/A N/A</v>
        <stp/>
        <stp>BDP|7448330148352551865</stp>
        <tr r="B13" s="2"/>
      </tp>
      <tp t="s">
        <v>#N/A N/A</v>
        <stp/>
        <stp>BDP|6633089464118402235</stp>
        <tr r="D83" s="2"/>
      </tp>
      <tp t="s">
        <v>#N/A N/A</v>
        <stp/>
        <stp>BDP|4863314652111033999</stp>
        <tr r="E90" s="2"/>
      </tp>
      <tp t="s">
        <v>#N/A N/A</v>
        <stp/>
        <stp>BDP|6755081485895976104</stp>
        <tr r="E70" s="2"/>
      </tp>
      <tp t="s">
        <v>#N/A N/A</v>
        <stp/>
        <stp>BDP|7045679126878209124</stp>
        <tr r="B29" s="2"/>
      </tp>
      <tp t="s">
        <v>#N/A N/A</v>
        <stp/>
        <stp>BDP|2375737185641278609</stp>
        <tr r="E4" s="2"/>
      </tp>
      <tp t="s">
        <v>#N/A N/A</v>
        <stp/>
        <stp>BDP|4670631180652065222</stp>
        <tr r="E99" s="2"/>
      </tp>
      <tp t="s">
        <v>#N/A N/A</v>
        <stp/>
        <stp>BDP|7460459423782261979</stp>
        <tr r="D50" s="2"/>
      </tp>
      <tp t="s">
        <v>#N/A N/A</v>
        <stp/>
        <stp>BDP|4037859231686228320</stp>
        <tr r="C91" s="2"/>
      </tp>
      <tp t="s">
        <v>#N/A N/A</v>
        <stp/>
        <stp>BDP|4237843315215278247</stp>
        <tr r="D98" s="2"/>
      </tp>
      <tp t="s">
        <v>#N/A N/A</v>
        <stp/>
        <stp>BDP|5544305553908473086</stp>
        <tr r="E37" s="2"/>
      </tp>
      <tp t="s">
        <v>#N/A N/A</v>
        <stp/>
        <stp>BDP|4326034954139669380</stp>
        <tr r="D82" s="2"/>
      </tp>
      <tp t="s">
        <v>#N/A N/A</v>
        <stp/>
        <stp>BDP|2039246656946078891</stp>
        <tr r="B5" s="2"/>
      </tp>
      <tp t="s">
        <v>#N/A N/A</v>
        <stp/>
        <stp>BDP|2706215770045807959</stp>
        <tr r="D69" s="2"/>
      </tp>
      <tp t="s">
        <v>#N/A N/A</v>
        <stp/>
        <stp>BDP|1717586454253524959</stp>
        <tr r="C77" s="2"/>
      </tp>
      <tp t="s">
        <v>#N/A N/A</v>
        <stp/>
        <stp>BDP|3501491319189597487</stp>
        <tr r="D16" s="2"/>
      </tp>
      <tp t="s">
        <v>#N/A N/A</v>
        <stp/>
        <stp>BDP|6848910772412251147</stp>
        <tr r="B26" s="2"/>
      </tp>
      <tp t="s">
        <v>#N/A N/A</v>
        <stp/>
        <stp>BDP|2562521641028607028</stp>
        <tr r="D63" s="2"/>
      </tp>
      <tp t="s">
        <v>#N/A N/A</v>
        <stp/>
        <stp>BDP|8466914086506729478</stp>
        <tr r="B53" s="2"/>
      </tp>
      <tp t="s">
        <v>#N/A N/A</v>
        <stp/>
        <stp>BDP|4318435616383520935</stp>
        <tr r="E87" s="2"/>
      </tp>
      <tp t="s">
        <v>#N/A N/A</v>
        <stp/>
        <stp>BDP|9848568137892993610</stp>
        <tr r="E50" s="2"/>
      </tp>
      <tp t="s">
        <v>#N/A N/A</v>
        <stp/>
        <stp>BDP|3747870035195351608</stp>
        <tr r="B41" s="2"/>
      </tp>
      <tp t="s">
        <v>#N/A N/A</v>
        <stp/>
        <stp>BDP|1352685110365463769</stp>
        <tr r="D12" s="2"/>
      </tp>
      <tp t="s">
        <v>#N/A N/A</v>
        <stp/>
        <stp>BDP|8896154905399098417</stp>
        <tr r="E7" s="2"/>
      </tp>
      <tp t="s">
        <v>#N/A N/A</v>
        <stp/>
        <stp>BDP|5560756611555809201</stp>
        <tr r="D88" s="2"/>
      </tp>
      <tp t="s">
        <v>#N/A N/A</v>
        <stp/>
        <stp>BDP|7644942915852176992</stp>
        <tr r="D48" s="2"/>
      </tp>
      <tp t="s">
        <v>#N/A N/A</v>
        <stp/>
        <stp>BDP|5928071440723624655</stp>
        <tr r="B47" s="2"/>
      </tp>
      <tp t="s">
        <v>#N/A N/A</v>
        <stp/>
        <stp>BDP|8267555284812025311</stp>
        <tr r="D7" s="2"/>
      </tp>
      <tp t="s">
        <v>#N/A N/A</v>
        <stp/>
        <stp>BDP|6229075054087654056</stp>
        <tr r="B33" s="2"/>
      </tp>
      <tp t="s">
        <v>#N/A N/A</v>
        <stp/>
        <stp>BDP|4393283031579155882</stp>
        <tr r="E94" s="2"/>
      </tp>
      <tp t="s">
        <v>#N/A N/A</v>
        <stp/>
        <stp>BDP|8610599374926961835</stp>
        <tr r="E21" s="2"/>
      </tp>
      <tp t="s">
        <v>#N/A N/A</v>
        <stp/>
        <stp>BDP|6181608520720261640</stp>
        <tr r="C7" s="2"/>
      </tp>
      <tp t="s">
        <v>#N/A N/A</v>
        <stp/>
        <stp>BDP|7943666562383884017</stp>
        <tr r="E76" s="2"/>
      </tp>
      <tp t="s">
        <v>#N/A N/A</v>
        <stp/>
        <stp>BDP|6063818297127182599</stp>
        <tr r="B52" s="2"/>
      </tp>
      <tp t="s">
        <v>#N/A N/A</v>
        <stp/>
        <stp>BDP|9524922029812983595</stp>
        <tr r="D41" s="2"/>
      </tp>
      <tp t="s">
        <v>#N/A N/A</v>
        <stp/>
        <stp>BDP|9365853974305448684</stp>
        <tr r="E48" s="2"/>
      </tp>
      <tp t="s">
        <v>#N/A N/A</v>
        <stp/>
        <stp>BDP|5803159086568796111</stp>
        <tr r="D38" s="2"/>
      </tp>
      <tp t="s">
        <v>#N/A N/A</v>
        <stp/>
        <stp>BDP|9721369485126506123</stp>
        <tr r="B21" s="2"/>
      </tp>
      <tp t="s">
        <v>#N/A N/A</v>
        <stp/>
        <stp>BDP|5569100177923302529</stp>
        <tr r="B51" s="2"/>
      </tp>
      <tp t="s">
        <v>#N/A N/A</v>
        <stp/>
        <stp>BDP|8377931511684945187</stp>
        <tr r="C59" s="2"/>
      </tp>
      <tp t="s">
        <v>#N/A N/A</v>
        <stp/>
        <stp>BDP|3467552532878082829</stp>
        <tr r="D35" s="2"/>
      </tp>
      <tp t="s">
        <v>#N/A N/A</v>
        <stp/>
        <stp>BDP|2384257503425974366</stp>
        <tr r="C85" s="2"/>
      </tp>
      <tp t="s">
        <v>#N/A N/A</v>
        <stp/>
        <stp>BDP|1425551778316468307</stp>
        <tr r="C31" s="2"/>
      </tp>
      <tp t="s">
        <v>#N/A N/A</v>
        <stp/>
        <stp>BDP|2625470152906428373</stp>
        <tr r="C17" s="2"/>
      </tp>
      <tp t="s">
        <v>#N/A N/A</v>
        <stp/>
        <stp>BDP|7945435989468218513</stp>
        <tr r="E35" s="2"/>
      </tp>
      <tp t="s">
        <v>#N/A N/A</v>
        <stp/>
        <stp>BDP|5883911278388865586</stp>
        <tr r="D77" s="2"/>
      </tp>
      <tp t="s">
        <v>#N/A N/A</v>
        <stp/>
        <stp>BDP|8555033606408747634</stp>
        <tr r="D19" s="2"/>
      </tp>
      <tp t="s">
        <v>#N/A N/A</v>
        <stp/>
        <stp>BDP|7237114173624287374</stp>
        <tr r="B10" s="2"/>
      </tp>
      <tp t="s">
        <v>#N/A N/A</v>
        <stp/>
        <stp>BDP|3617211212480899761</stp>
        <tr r="E80" s="2"/>
      </tp>
      <tp t="s">
        <v>#N/A N/A</v>
        <stp/>
        <stp>BDP|9882828448812833021</stp>
        <tr r="C41" s="2"/>
      </tp>
      <tp t="s">
        <v>#N/A N/A</v>
        <stp/>
        <stp>BDP|7622397856984115213</stp>
        <tr r="C97" s="2"/>
      </tp>
      <tp t="s">
        <v>#N/A N/A</v>
        <stp/>
        <stp>BDP|6276387168597597392</stp>
        <tr r="B91" s="2"/>
      </tp>
      <tp t="s">
        <v>#N/A N/A</v>
        <stp/>
        <stp>BDP|6688201363186889319</stp>
        <tr r="B23" s="2"/>
      </tp>
      <tp t="s">
        <v>#N/A N/A</v>
        <stp/>
        <stp>BDP|4683632953090230087</stp>
        <tr r="B18" s="2"/>
      </tp>
      <tp t="s">
        <v>#N/A N/A</v>
        <stp/>
        <stp>BDP|2522883810569376520</stp>
        <tr r="C66" s="2"/>
      </tp>
      <tp t="s">
        <v>#N/A N/A</v>
        <stp/>
        <stp>BDP|6359781276996369730</stp>
        <tr r="C43" s="2"/>
      </tp>
      <tp t="s">
        <v>#N/A N/A</v>
        <stp/>
        <stp>BDP|3315874193252464709</stp>
        <tr r="C46" s="2"/>
      </tp>
      <tp t="s">
        <v>#N/A N/A</v>
        <stp/>
        <stp>BDP|4296460336565586176</stp>
        <tr r="E2" s="2"/>
      </tp>
      <tp t="s">
        <v>#N/A N/A</v>
        <stp/>
        <stp>BDP|5002366870254271258</stp>
        <tr r="C74" s="2"/>
      </tp>
      <tp t="s">
        <v>#N/A N/A</v>
        <stp/>
        <stp>BDP|2365047509816976316</stp>
        <tr r="E22" s="2"/>
      </tp>
      <tp t="s">
        <v>#N/A N/A</v>
        <stp/>
        <stp>BDP|5745078363902492617</stp>
        <tr r="C21" s="2"/>
      </tp>
      <tp t="s">
        <v>#N/A N/A</v>
        <stp/>
        <stp>BDP|6709459209907515291</stp>
        <tr r="B60" s="2"/>
      </tp>
      <tp t="s">
        <v>#N/A N/A</v>
        <stp/>
        <stp>BDP|5169726765257928483</stp>
        <tr r="B100" s="2"/>
      </tp>
      <tp t="s">
        <v>#N/A N/A</v>
        <stp/>
        <stp>BDP|1268749551324988742</stp>
        <tr r="C65" s="2"/>
      </tp>
      <tp t="s">
        <v>#N/A N/A</v>
        <stp/>
        <stp>BDP|5035618392298026284</stp>
        <tr r="D78" s="2"/>
      </tp>
      <tp t="s">
        <v>#N/A N/A</v>
        <stp/>
        <stp>BDP|3495682172814690663</stp>
        <tr r="D68" s="2"/>
      </tp>
      <tp t="s">
        <v>#N/A N/A</v>
        <stp/>
        <stp>BDP|1454384513541730265</stp>
        <tr r="C49" s="2"/>
      </tp>
      <tp t="s">
        <v>#N/A N/A</v>
        <stp/>
        <stp>BDP|6759630666934774293</stp>
        <tr r="D52" s="2"/>
      </tp>
      <tp t="s">
        <v>#N/A N/A</v>
        <stp/>
        <stp>BDP|6300696417514147502</stp>
        <tr r="E98" s="2"/>
      </tp>
      <tp t="s">
        <v>#N/A N/A</v>
        <stp/>
        <stp>BDP|6769797541072494765</stp>
        <tr r="E78" s="2"/>
      </tp>
      <tp t="s">
        <v>#N/A N/A</v>
        <stp/>
        <stp>BDP|1333420043942766382</stp>
        <tr r="D64" s="2"/>
      </tp>
      <tp t="s">
        <v>#N/A N/A</v>
        <stp/>
        <stp>BDP|3563718934456749142</stp>
        <tr r="D6" s="2"/>
      </tp>
      <tp t="s">
        <v>#N/A N/A</v>
        <stp/>
        <stp>BDP|1110983689751698160</stp>
        <tr r="C78" s="2"/>
      </tp>
      <tp t="s">
        <v>#N/A N/A</v>
        <stp/>
        <stp>BDP|7618641143625811092</stp>
        <tr r="B57" s="2"/>
      </tp>
      <tp t="s">
        <v>#N/A N/A</v>
        <stp/>
        <stp>BDP|1151258242836775174</stp>
        <tr r="B99" s="2"/>
      </tp>
      <tp t="s">
        <v>#N/A N/A</v>
        <stp/>
        <stp>BDP|6842786609010946170</stp>
        <tr r="E10" s="2"/>
      </tp>
      <tp t="s">
        <v>#N/A N/A</v>
        <stp/>
        <stp>BDP|9123037652795442904</stp>
        <tr r="B30" s="2"/>
      </tp>
      <tp t="s">
        <v>#N/A N/A</v>
        <stp/>
        <stp>BDP|2108932514173327908</stp>
        <tr r="B101" s="2"/>
      </tp>
      <tp t="s">
        <v>#N/A N/A</v>
        <stp/>
        <stp>BDP|2033339749033645743</stp>
        <tr r="C42" s="2"/>
      </tp>
      <tp t="s">
        <v>#N/A N/A</v>
        <stp/>
        <stp>BDP|5256195262720835391</stp>
        <tr r="B50" s="2"/>
      </tp>
      <tp t="s">
        <v>#N/A N/A</v>
        <stp/>
        <stp>BDP|6856491383828920320</stp>
        <tr r="D66" s="2"/>
      </tp>
      <tp t="s">
        <v>#N/A N/A</v>
        <stp/>
        <stp>BDP|2032500753315877629</stp>
        <tr r="C23" s="2"/>
      </tp>
      <tp t="s">
        <v>#N/A N/A</v>
        <stp/>
        <stp>BDP|2811937187751235305</stp>
        <tr r="D42" s="2"/>
      </tp>
      <tp t="s">
        <v>#N/A N/A</v>
        <stp/>
        <stp>BDP|7990577272557034332</stp>
        <tr r="B81" s="2"/>
      </tp>
      <tp t="s">
        <v>#N/A N/A</v>
        <stp/>
        <stp>BDP|9552758599086408021</stp>
        <tr r="B89" s="2"/>
      </tp>
      <tp t="s">
        <v>#N/A N/A</v>
        <stp/>
        <stp>BDP|6602892886562673530</stp>
        <tr r="E9" s="2"/>
      </tp>
      <tp t="s">
        <v>#N/A N/A</v>
        <stp/>
        <stp>BDP|6163557269482135613</stp>
        <tr r="B78" s="2"/>
      </tp>
      <tp t="s">
        <v>#N/A N/A</v>
        <stp/>
        <stp>BDP|6348286890049184587</stp>
        <tr r="D23" s="2"/>
      </tp>
      <tp t="s">
        <v>#N/A N/A</v>
        <stp/>
        <stp>BDP|3561024317574255732</stp>
        <tr r="C80" s="2"/>
      </tp>
      <tp t="s">
        <v>#N/A N/A</v>
        <stp/>
        <stp>BDP|4489131151616300737</stp>
        <tr r="C54" s="2"/>
      </tp>
      <tp t="s">
        <v>#N/A N/A</v>
        <stp/>
        <stp>BDP|5999268679091900097</stp>
        <tr r="E39" s="2"/>
      </tp>
      <tp t="s">
        <v>#N/A N/A</v>
        <stp/>
        <stp>BDP|3409906425593483983</stp>
        <tr r="C62" s="2"/>
      </tp>
      <tp t="s">
        <v>#N/A N/A</v>
        <stp/>
        <stp>BDP|9063966403413149193</stp>
        <tr r="E5" s="2"/>
      </tp>
      <tp t="s">
        <v>#N/A N/A</v>
        <stp/>
        <stp>BDP|8204839255161547637</stp>
        <tr r="C99" s="2"/>
      </tp>
      <tp t="s">
        <v>#N/A N/A</v>
        <stp/>
        <stp>BDP|7638727370307193272</stp>
        <tr r="B95" s="2"/>
      </tp>
      <tp t="s">
        <v>#N/A N/A</v>
        <stp/>
        <stp>BDP|1130994988451532351</stp>
        <tr r="C14" s="2"/>
      </tp>
      <tp t="s">
        <v>#N/A N/A</v>
        <stp/>
        <stp>BDP|5416107722300015403</stp>
        <tr r="D72" s="2"/>
      </tp>
      <tp t="s">
        <v>#N/A N/A</v>
        <stp/>
        <stp>BDP|9315912223493664301</stp>
        <tr r="C27" s="2"/>
      </tp>
      <tp t="s">
        <v>#N/A N/A</v>
        <stp/>
        <stp>BDP|6117294571485994449</stp>
        <tr r="C45" s="2"/>
      </tp>
      <tp t="s">
        <v>#N/A N/A</v>
        <stp/>
        <stp>BDP|6629517002218553885</stp>
        <tr r="D89" s="2"/>
      </tp>
      <tp t="s">
        <v>#N/A N/A</v>
        <stp/>
        <stp>BDP|3296293307490202274</stp>
        <tr r="B74" s="2"/>
      </tp>
      <tp t="s">
        <v>#N/A N/A</v>
        <stp/>
        <stp>BDP|1790600678140875392</stp>
        <tr r="B69" s="2"/>
      </tp>
      <tp t="s">
        <v>#N/A N/A</v>
        <stp/>
        <stp>BDP|6750668828838518928</stp>
        <tr r="E75" s="2"/>
      </tp>
      <tp t="s">
        <v>#N/A N/A</v>
        <stp/>
        <stp>BDP|5368286255485111416</stp>
        <tr r="E88" s="2"/>
      </tp>
      <tp t="s">
        <v>#N/A N/A</v>
        <stp/>
        <stp>BDP|3349807087505327587</stp>
        <tr r="D9" s="2"/>
      </tp>
      <tp t="s">
        <v>#N/A N/A</v>
        <stp/>
        <stp>BDP|8257498725889342402</stp>
        <tr r="C35" s="2"/>
      </tp>
      <tp t="s">
        <v>#N/A N/A</v>
        <stp/>
        <stp>BDP|1222923856966639829</stp>
        <tr r="C36" s="2"/>
      </tp>
      <tp t="s">
        <v>#N/A N/A</v>
        <stp/>
        <stp>BDP|9138580809659317611</stp>
        <tr r="C19" s="2"/>
      </tp>
      <tp t="s">
        <v>#N/A N/A</v>
        <stp/>
        <stp>BDP|3101676568934442491</stp>
        <tr r="D57" s="2"/>
      </tp>
      <tp t="s">
        <v>#N/A N/A</v>
        <stp/>
        <stp>BDP|4967941379471459837</stp>
        <tr r="D24" s="2"/>
      </tp>
      <tp t="s">
        <v>#N/A N/A</v>
        <stp/>
        <stp>BDP|3302488279437181459</stp>
        <tr r="D11" s="2"/>
      </tp>
      <tp t="s">
        <v>#N/A N/A</v>
        <stp/>
        <stp>BDP|9931041521230233881</stp>
        <tr r="B64" s="2"/>
      </tp>
      <tp t="s">
        <v>#N/A N/A</v>
        <stp/>
        <stp>BDP|1056170059230927612</stp>
        <tr r="C8" s="2"/>
      </tp>
      <tp t="s">
        <v>#N/A N/A</v>
        <stp/>
        <stp>BDP|9606154946757625865</stp>
        <tr r="E86" s="2"/>
      </tp>
      <tp t="s">
        <v>#N/A N/A</v>
        <stp/>
        <stp>BDP|33298463596087253</stp>
        <tr r="C13" s="2"/>
      </tp>
      <tp t="s">
        <v>#N/A N/A</v>
        <stp/>
        <stp>BDP|29368400183900365</stp>
        <tr r="C90" s="2"/>
      </tp>
      <tp t="s">
        <v>#N/A N/A</v>
        <stp/>
        <stp>BDP|863942045521084941</stp>
        <tr r="D101" s="2"/>
      </tp>
      <tp t="s">
        <v>#N/A N/A</v>
        <stp/>
        <stp>BDP|971538485279529176</stp>
        <tr r="C98" s="2"/>
      </tp>
      <tp t="s">
        <v>#N/A N/A</v>
        <stp/>
        <stp>BDP|311403314861188036</stp>
        <tr r="E61" s="2"/>
      </tp>
      <tp t="s">
        <v>#N/A N/A</v>
        <stp/>
        <stp>BDP|471599562602848722</stp>
        <tr r="C61" s="2"/>
      </tp>
      <tp t="s">
        <v>#N/A N/A</v>
        <stp/>
        <stp>BDP|218599077555825619</stp>
        <tr r="C76" s="2"/>
      </tp>
      <tp t="s">
        <v>#N/A N/A</v>
        <stp/>
        <stp>BDP|640737222053193603</stp>
        <tr r="D96" s="2"/>
      </tp>
      <tp t="s">
        <v>#N/A N/A</v>
        <stp/>
        <stp>BDP|176312044279299380</stp>
        <tr r="C12" s="2"/>
      </tp>
      <tp t="s">
        <v>#N/A N/A</v>
        <stp/>
        <stp>BDP|416410593155325483</stp>
        <tr r="B40" s="2"/>
      </tp>
      <tp t="s">
        <v>#N/A N/A</v>
        <stp/>
        <stp>BDP|116393048009701293</stp>
        <tr r="E47" s="2"/>
      </tp>
      <tp t="s">
        <v>#N/A N/A</v>
        <stp/>
        <stp>BDP|267585552805350937</stp>
        <tr r="B11" s="2"/>
      </tp>
      <tp t="s">
        <v>#N/A N/A</v>
        <stp/>
        <stp>BDP|113485735501001987</stp>
        <tr r="D99" s="2"/>
      </tp>
      <tp t="s">
        <v>#N/A N/A</v>
        <stp/>
        <stp>BDP|471334006545274824</stp>
        <tr r="E34" s="2"/>
      </tp>
      <tp t="s">
        <v>#N/A N/A</v>
        <stp/>
        <stp>BDP|899979807951004162</stp>
        <tr r="C71" s="2"/>
      </tp>
      <tp t="s">
        <v>#N/A N/A</v>
        <stp/>
        <stp>BDP|564070283165168495</stp>
        <tr r="B16" s="2"/>
      </tp>
      <tp t="s">
        <v>#N/A N/A</v>
        <stp/>
        <stp>BDP|701849005143576228</stp>
        <tr r="C92" s="2"/>
      </tp>
      <tp t="s">
        <v>#N/A N/A</v>
        <stp/>
        <stp>BDP|773258222991827981</stp>
        <tr r="B31" s="2"/>
      </tp>
      <tp t="s">
        <v>#N/A N/A</v>
        <stp/>
        <stp>BDP|317314338858341086</stp>
        <tr r="B54" s="2"/>
      </tp>
      <tp t="s">
        <v>#N/A N/A</v>
        <stp/>
        <stp>BDP|832585888465428349</stp>
        <tr r="B76" s="2"/>
      </tp>
      <tp t="s">
        <v>#N/A N/A</v>
        <stp/>
        <stp>BDP|389045449177300886</stp>
        <tr r="E6" s="2"/>
      </tp>
      <tp t="s">
        <v>#N/A N/A</v>
        <stp/>
        <stp>BDP|241280159838290547</stp>
        <tr r="E6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/>
  </sheetViews>
  <sheetFormatPr defaultRowHeight="15" x14ac:dyDescent="0.25"/>
  <cols>
    <col min="1" max="5" width="2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tr">
        <f>_xll.BDP("005930 KS Equity", "NAME")</f>
        <v>SAMSUNG ELECTRONICS CO LTD</v>
      </c>
      <c r="C2">
        <f>_xll.BDP("005930 KS Equity", "PX_LAST")</f>
        <v>81800</v>
      </c>
      <c r="D2">
        <f>_xll.BDP("005930 KS Equity", "CHG_PCT_1D")</f>
        <v>-1.2077290000000001</v>
      </c>
      <c r="E2">
        <f>_xll.BDP("005930 KS Equity", "EQY_TURNOVER")</f>
        <v>1128533000000</v>
      </c>
    </row>
    <row r="3" spans="1:5" x14ac:dyDescent="0.25">
      <c r="A3" t="s">
        <v>6</v>
      </c>
      <c r="B3" t="str">
        <f>_xll.BDP("000660 KS Equity", "NAME")</f>
        <v>SK HYNIX INC</v>
      </c>
      <c r="C3">
        <f>_xll.BDP("000660 KS Equity", "PX_LAST")</f>
        <v>136500</v>
      </c>
      <c r="D3">
        <f>_xll.BDP("000660 KS Equity", "CHG_PCT_1D")</f>
        <v>-2.5</v>
      </c>
      <c r="E3">
        <f>_xll.BDP("000660 KS Equity", "EQY_TURNOVER")</f>
        <v>594535600000</v>
      </c>
    </row>
    <row r="4" spans="1:5" x14ac:dyDescent="0.25">
      <c r="A4" t="s">
        <v>7</v>
      </c>
      <c r="B4" t="str">
        <f>_xll.BDP("068290 KS Equity", "NAME")</f>
        <v>SAMSUNG PUBLISHING CO LTD</v>
      </c>
      <c r="C4">
        <f>_xll.BDP("068290 KS Equity", "PX_LAST")</f>
        <v>45550</v>
      </c>
      <c r="D4">
        <f>_xll.BDP("068290 KS Equity", "CHG_PCT_1D")</f>
        <v>-0.97826089999999999</v>
      </c>
      <c r="E4">
        <f>_xll.BDP("068290 KS Equity", "EQY_TURNOVER")</f>
        <v>528508500000</v>
      </c>
    </row>
    <row r="5" spans="1:5" x14ac:dyDescent="0.25">
      <c r="A5" t="s">
        <v>8</v>
      </c>
      <c r="B5" t="str">
        <f>_xll.BDP("019550 KS Equity", "NAME")</f>
        <v>SBI INVESTMENT KOREA CO LTD</v>
      </c>
      <c r="C5">
        <f>_xll.BDP("019550 KS Equity", "PX_LAST")</f>
        <v>1890</v>
      </c>
      <c r="D5">
        <f>_xll.BDP("019550 KS Equity", "CHG_PCT_1D")</f>
        <v>22.330100000000002</v>
      </c>
      <c r="E5">
        <f>_xll.BDP("019550 KS Equity", "EQY_TURNOVER")</f>
        <v>451577200000</v>
      </c>
    </row>
    <row r="6" spans="1:5" x14ac:dyDescent="0.25">
      <c r="A6" t="s">
        <v>9</v>
      </c>
      <c r="B6" t="str">
        <f>_xll.BDP("000270 KS Equity", "NAME")</f>
        <v>KIA MOTORS CORP</v>
      </c>
      <c r="C6">
        <f>_xll.BDP("000270 KS Equity", "PX_LAST")</f>
        <v>85800</v>
      </c>
      <c r="D6">
        <f>_xll.BDP("000270 KS Equity", "CHG_PCT_1D")</f>
        <v>3.6231879999999999</v>
      </c>
      <c r="E6">
        <f>_xll.BDP("000270 KS Equity", "EQY_TURNOVER")</f>
        <v>449475900000</v>
      </c>
    </row>
    <row r="7" spans="1:5" x14ac:dyDescent="0.25">
      <c r="A7" t="s">
        <v>10</v>
      </c>
      <c r="B7" t="str">
        <f>_xll.BDP("064260 KS Equity", "NAME")</f>
        <v>DANAL CO LTD</v>
      </c>
      <c r="C7">
        <f>_xll.BDP("064260 KS Equity", "PX_LAST")</f>
        <v>8670</v>
      </c>
      <c r="D7">
        <f>_xll.BDP("064260 KS Equity", "CHG_PCT_1D")</f>
        <v>-3.6666669999999999</v>
      </c>
      <c r="E7">
        <f>_xll.BDP("064260 KS Equity", "EQY_TURNOVER")</f>
        <v>339272500000</v>
      </c>
    </row>
    <row r="8" spans="1:5" x14ac:dyDescent="0.25">
      <c r="A8" t="s">
        <v>11</v>
      </c>
      <c r="B8" t="str">
        <f>_xll.BDP("051910 KS Equity", "NAME")</f>
        <v>LG CHEM LTD</v>
      </c>
      <c r="C8">
        <f>_xll.BDP("051910 KS Equity", "PX_LAST")</f>
        <v>966000</v>
      </c>
      <c r="D8">
        <f>_xll.BDP("051910 KS Equity", "CHG_PCT_1D")</f>
        <v>2.330508</v>
      </c>
      <c r="E8">
        <f>_xll.BDP("051910 KS Equity", "EQY_TURNOVER")</f>
        <v>324571800000</v>
      </c>
    </row>
    <row r="9" spans="1:5" x14ac:dyDescent="0.25">
      <c r="A9" t="s">
        <v>12</v>
      </c>
      <c r="B9" t="str">
        <f>_xll.BDP("096770 KS Equity", "NAME")</f>
        <v>SK INNOVATION CO LTD</v>
      </c>
      <c r="C9">
        <f>_xll.BDP("096770 KS Equity", "PX_LAST")</f>
        <v>228500</v>
      </c>
      <c r="D9">
        <f>_xll.BDP("096770 KS Equity", "CHG_PCT_1D")</f>
        <v>-5.7731960000000004</v>
      </c>
      <c r="E9">
        <f>_xll.BDP("096770 KS Equity", "EQY_TURNOVER")</f>
        <v>304035100000</v>
      </c>
    </row>
    <row r="10" spans="1:5" x14ac:dyDescent="0.25">
      <c r="A10" t="s">
        <v>13</v>
      </c>
      <c r="B10" t="str">
        <f>_xll.BDP("189980 KS Equity", "NAME")</f>
        <v>HYUNGKUK F&amp;B CO LTD</v>
      </c>
      <c r="C10">
        <f>_xll.BDP("189980 KS Equity", "PX_LAST")</f>
        <v>5080</v>
      </c>
      <c r="D10">
        <f>_xll.BDP("189980 KS Equity", "CHG_PCT_1D")</f>
        <v>13.266439999999999</v>
      </c>
      <c r="E10">
        <f>_xll.BDP("189980 KS Equity", "EQY_TURNOVER")</f>
        <v>280011500000</v>
      </c>
    </row>
    <row r="11" spans="1:5" x14ac:dyDescent="0.25">
      <c r="A11" t="s">
        <v>14</v>
      </c>
      <c r="B11" t="str">
        <f>_xll.BDP("007460 KS Equity", "NAME")</f>
        <v>APROGEN KIC INC</v>
      </c>
      <c r="C11">
        <f>_xll.BDP("007460 KS Equity", "PX_LAST")</f>
        <v>2195</v>
      </c>
      <c r="D11">
        <f>_xll.BDP("007460 KS Equity", "CHG_PCT_1D")</f>
        <v>14.621409999999999</v>
      </c>
      <c r="E11">
        <f>_xll.BDP("007460 KS Equity", "EQY_TURNOVER")</f>
        <v>272917400000</v>
      </c>
    </row>
    <row r="12" spans="1:5" x14ac:dyDescent="0.25">
      <c r="A12" t="s">
        <v>15</v>
      </c>
      <c r="B12" t="str">
        <f>_xll.BDP("000910 KS Equity", "NAME")</f>
        <v>UNION CORP</v>
      </c>
      <c r="C12">
        <f>_xll.BDP("000910 KS Equity", "PX_LAST")</f>
        <v>9150</v>
      </c>
      <c r="D12">
        <f>_xll.BDP("000910 KS Equity", "CHG_PCT_1D")</f>
        <v>23.14939</v>
      </c>
      <c r="E12">
        <f>_xll.BDP("000910 KS Equity", "EQY_TURNOVER")</f>
        <v>265279800000</v>
      </c>
    </row>
    <row r="13" spans="1:5" x14ac:dyDescent="0.25">
      <c r="A13" t="s">
        <v>16</v>
      </c>
      <c r="B13" t="str">
        <f>_xll.BDP("100790 KS Equity", "NAME")</f>
        <v>MIRAE ASSET VENTURE INVESTME</v>
      </c>
      <c r="C13">
        <f>_xll.BDP("100790 KS Equity", "PX_LAST")</f>
        <v>8760</v>
      </c>
      <c r="D13">
        <f>_xll.BDP("100790 KS Equity", "CHG_PCT_1D")</f>
        <v>2.8169010000000001</v>
      </c>
      <c r="E13">
        <f>_xll.BDP("100790 KS Equity", "EQY_TURNOVER")</f>
        <v>252955800000</v>
      </c>
    </row>
    <row r="14" spans="1:5" x14ac:dyDescent="0.25">
      <c r="A14" t="s">
        <v>17</v>
      </c>
      <c r="B14" t="str">
        <f>_xll.BDP("035420 KS Equity", "NAME")</f>
        <v>NAVER CORP</v>
      </c>
      <c r="C14">
        <f>_xll.BDP("035420 KS Equity", "PX_LAST")</f>
        <v>383000</v>
      </c>
      <c r="D14">
        <f>_xll.BDP("035420 KS Equity", "CHG_PCT_1D")</f>
        <v>0.65703020000000001</v>
      </c>
      <c r="E14">
        <f>_xll.BDP("035420 KS Equity", "EQY_TURNOVER")</f>
        <v>232530400000</v>
      </c>
    </row>
    <row r="15" spans="1:5" x14ac:dyDescent="0.25">
      <c r="A15" t="s">
        <v>18</v>
      </c>
      <c r="B15" t="str">
        <f>_xll.BDP("048410 KS Equity", "NAME")</f>
        <v>HYUNDAI BIOSCIENCE CO LTD</v>
      </c>
      <c r="C15">
        <f>_xll.BDP("048410 KS Equity", "PX_LAST")</f>
        <v>53200</v>
      </c>
      <c r="D15">
        <f>_xll.BDP("048410 KS Equity", "CHG_PCT_1D")</f>
        <v>3.5019459999999998</v>
      </c>
      <c r="E15">
        <f>_xll.BDP("048410 KS Equity", "EQY_TURNOVER")</f>
        <v>226751900000</v>
      </c>
    </row>
    <row r="16" spans="1:5" x14ac:dyDescent="0.25">
      <c r="A16" t="s">
        <v>19</v>
      </c>
      <c r="B16" t="str">
        <f>_xll.BDP("006400 KS Equity", "NAME")</f>
        <v>SAMSUNG SDI CO LTD</v>
      </c>
      <c r="C16">
        <f>_xll.BDP("006400 KS Equity", "PX_LAST")</f>
        <v>686000</v>
      </c>
      <c r="D16">
        <f>_xll.BDP("006400 KS Equity", "CHG_PCT_1D")</f>
        <v>-0.43541360000000001</v>
      </c>
      <c r="E16">
        <f>_xll.BDP("006400 KS Equity", "EQY_TURNOVER")</f>
        <v>192492600000</v>
      </c>
    </row>
    <row r="17" spans="1:5" x14ac:dyDescent="0.25">
      <c r="A17" t="s">
        <v>20</v>
      </c>
      <c r="B17" t="str">
        <f>_xll.BDP("027360 KS Equity", "NAME")</f>
        <v>AJU IB INVESTMENT CO LTD</v>
      </c>
      <c r="C17">
        <f>_xll.BDP("027360 KS Equity", "PX_LAST")</f>
        <v>5680</v>
      </c>
      <c r="D17">
        <f>_xll.BDP("027360 KS Equity", "CHG_PCT_1D")</f>
        <v>29.977119999999999</v>
      </c>
      <c r="E17">
        <f>_xll.BDP("027360 KS Equity", "EQY_TURNOVER")</f>
        <v>188916800000</v>
      </c>
    </row>
    <row r="18" spans="1:5" x14ac:dyDescent="0.25">
      <c r="A18" t="s">
        <v>21</v>
      </c>
      <c r="B18" t="str">
        <f>_xll.BDP("005380 KS Equity", "NAME")</f>
        <v>HYUNDAI MOTOR CO</v>
      </c>
      <c r="C18">
        <f>_xll.BDP("005380 KS Equity", "PX_LAST")</f>
        <v>232000</v>
      </c>
      <c r="D18">
        <f>_xll.BDP("005380 KS Equity", "CHG_PCT_1D")</f>
        <v>-0.21505379999999999</v>
      </c>
      <c r="E18">
        <f>_xll.BDP("005380 KS Equity", "EQY_TURNOVER")</f>
        <v>179482800000</v>
      </c>
    </row>
    <row r="19" spans="1:5" x14ac:dyDescent="0.25">
      <c r="A19" t="s">
        <v>22</v>
      </c>
      <c r="B19" t="str">
        <f>_xll.BDP("027830 KS Equity", "NAME")</f>
        <v>DAESUNG PRIVATE EQUITY INC</v>
      </c>
      <c r="C19">
        <f>_xll.BDP("027830 KS Equity", "PX_LAST")</f>
        <v>3035</v>
      </c>
      <c r="D19">
        <f>_xll.BDP("027830 KS Equity", "CHG_PCT_1D")</f>
        <v>29.978590000000001</v>
      </c>
      <c r="E19">
        <f>_xll.BDP("027830 KS Equity", "EQY_TURNOVER")</f>
        <v>165929200000</v>
      </c>
    </row>
    <row r="20" spans="1:5" x14ac:dyDescent="0.25">
      <c r="A20" t="s">
        <v>23</v>
      </c>
      <c r="B20" t="str">
        <f>_xll.BDP("035720 KS Equity", "NAME")</f>
        <v>KAKAO CORP</v>
      </c>
      <c r="C20">
        <f>_xll.BDP("035720 KS Equity", "PX_LAST")</f>
        <v>479000</v>
      </c>
      <c r="D20">
        <f>_xll.BDP("035720 KS Equity", "CHG_PCT_1D")</f>
        <v>-0.41580040000000001</v>
      </c>
      <c r="E20">
        <f>_xll.BDP("035720 KS Equity", "EQY_TURNOVER")</f>
        <v>165165500000</v>
      </c>
    </row>
    <row r="21" spans="1:5" x14ac:dyDescent="0.25">
      <c r="A21" t="s">
        <v>24</v>
      </c>
      <c r="B21" t="str">
        <f>_xll.BDP("241520 KS Equity", "NAME")</f>
        <v>DSC INVESTMENT INC</v>
      </c>
      <c r="C21">
        <f>_xll.BDP("241520 KS Equity", "PX_LAST")</f>
        <v>6100</v>
      </c>
      <c r="D21">
        <f>_xll.BDP("241520 KS Equity", "CHG_PCT_1D")</f>
        <v>10.909090000000001</v>
      </c>
      <c r="E21">
        <f>_xll.BDP("241520 KS Equity", "EQY_TURNOVER")</f>
        <v>162097400000</v>
      </c>
    </row>
    <row r="22" spans="1:5" x14ac:dyDescent="0.25">
      <c r="A22" t="s">
        <v>25</v>
      </c>
      <c r="B22" t="str">
        <f>_xll.BDP("008770 KS Equity", "NAME")</f>
        <v>HOTEL SHILLA CO LTD</v>
      </c>
      <c r="C22">
        <f>_xll.BDP("008770 KS Equity", "PX_LAST")</f>
        <v>87200</v>
      </c>
      <c r="D22">
        <f>_xll.BDP("008770 KS Equity", "CHG_PCT_1D")</f>
        <v>4.0572790000000003</v>
      </c>
      <c r="E22">
        <f>_xll.BDP("008770 KS Equity", "EQY_TURNOVER")</f>
        <v>160736600000</v>
      </c>
    </row>
    <row r="23" spans="1:5" x14ac:dyDescent="0.25">
      <c r="A23" t="s">
        <v>26</v>
      </c>
      <c r="B23" t="str">
        <f>_xll.BDP("052460 KS Equity", "NAME")</f>
        <v>ICRAFT CO LTD</v>
      </c>
      <c r="C23">
        <f>_xll.BDP("052460 KS Equity", "PX_LAST")</f>
        <v>6480</v>
      </c>
      <c r="D23">
        <f>_xll.BDP("052460 KS Equity", "CHG_PCT_1D")</f>
        <v>18.681319999999999</v>
      </c>
      <c r="E23">
        <f>_xll.BDP("052460 KS Equity", "EQY_TURNOVER")</f>
        <v>159888800000</v>
      </c>
    </row>
    <row r="24" spans="1:5" x14ac:dyDescent="0.25">
      <c r="A24" t="s">
        <v>27</v>
      </c>
      <c r="B24" t="str">
        <f>_xll.BDP("003780 KS Equity", "NAME")</f>
        <v>CHIN YANG INDUSTRY CO LTD</v>
      </c>
      <c r="C24">
        <f>_xll.BDP("003780 KS Equity", "PX_LAST")</f>
        <v>6660</v>
      </c>
      <c r="D24">
        <f>_xll.BDP("003780 KS Equity", "CHG_PCT_1D")</f>
        <v>25.66038</v>
      </c>
      <c r="E24">
        <f>_xll.BDP("003780 KS Equity", "EQY_TURNOVER")</f>
        <v>159256500000</v>
      </c>
    </row>
    <row r="25" spans="1:5" x14ac:dyDescent="0.25">
      <c r="A25" t="s">
        <v>28</v>
      </c>
      <c r="B25" t="str">
        <f>_xll.BDP("323990 KS Equity", "NAME")</f>
        <v>VAXCELL-BIO THERAPEUTICS</v>
      </c>
      <c r="C25">
        <f>_xll.BDP("323990 KS Equity", "PX_LAST")</f>
        <v>110900</v>
      </c>
      <c r="D25">
        <f>_xll.BDP("323990 KS Equity", "CHG_PCT_1D")</f>
        <v>5.9216810000000004</v>
      </c>
      <c r="E25">
        <f>_xll.BDP("323990 KS Equity", "EQY_TURNOVER")</f>
        <v>158609600000</v>
      </c>
    </row>
    <row r="26" spans="1:5" x14ac:dyDescent="0.25">
      <c r="A26" t="s">
        <v>29</v>
      </c>
      <c r="B26" t="str">
        <f>_xll.BDP("378850 KS Equity", "NAME")</f>
        <v>HWASEUNG R&amp;A CO LTD</v>
      </c>
      <c r="C26">
        <f>_xll.BDP("378850 KS Equity", "PX_LAST")</f>
        <v>7800</v>
      </c>
      <c r="D26" t="str">
        <f>_xll.BDP("378850 KS Equity", "CHG_PCT_1D")</f>
        <v>#N/A N/A</v>
      </c>
      <c r="E26">
        <f>_xll.BDP("378850 KS Equity", "EQY_TURNOVER")</f>
        <v>155627900000</v>
      </c>
    </row>
    <row r="27" spans="1:5" x14ac:dyDescent="0.25">
      <c r="A27" t="s">
        <v>30</v>
      </c>
      <c r="B27" t="str">
        <f>_xll.BDP("075970 KS Equity", "NAME")</f>
        <v>DONGKUK REFRACTORIES &amp; STEEL</v>
      </c>
      <c r="C27">
        <f>_xll.BDP("075970 KS Equity", "PX_LAST")</f>
        <v>5510</v>
      </c>
      <c r="D27">
        <f>_xll.BDP("075970 KS Equity", "CHG_PCT_1D")</f>
        <v>29.799759999999999</v>
      </c>
      <c r="E27">
        <f>_xll.BDP("075970 KS Equity", "EQY_TURNOVER")</f>
        <v>149853500000</v>
      </c>
    </row>
    <row r="28" spans="1:5" x14ac:dyDescent="0.25">
      <c r="A28" t="s">
        <v>31</v>
      </c>
      <c r="B28" t="str">
        <f>_xll.BDP("121800 KS Equity", "NAME")</f>
        <v>VIDENTE CO LTD</v>
      </c>
      <c r="C28">
        <f>_xll.BDP("121800 KS Equity", "PX_LAST")</f>
        <v>12450</v>
      </c>
      <c r="D28">
        <f>_xll.BDP("121800 KS Equity", "CHG_PCT_1D")</f>
        <v>-10.1083</v>
      </c>
      <c r="E28">
        <f>_xll.BDP("121800 KS Equity", "EQY_TURNOVER")</f>
        <v>142978400000</v>
      </c>
    </row>
    <row r="29" spans="1:5" x14ac:dyDescent="0.25">
      <c r="A29" t="s">
        <v>32</v>
      </c>
      <c r="B29" t="str">
        <f>_xll.BDP("011780 KS Equity", "NAME")</f>
        <v>KUMHO PETROCHEMICAL CO LTD</v>
      </c>
      <c r="C29">
        <f>_xll.BDP("011780 KS Equity", "PX_LAST")</f>
        <v>214000</v>
      </c>
      <c r="D29">
        <f>_xll.BDP("011780 KS Equity", "CHG_PCT_1D")</f>
        <v>-7.3593070000000003</v>
      </c>
      <c r="E29">
        <f>_xll.BDP("011780 KS Equity", "EQY_TURNOVER")</f>
        <v>140694700000</v>
      </c>
    </row>
    <row r="30" spans="1:5" x14ac:dyDescent="0.25">
      <c r="A30" t="s">
        <v>33</v>
      </c>
      <c r="B30" t="str">
        <f>_xll.BDP("068270 KS Equity", "NAME")</f>
        <v>CELLTRION INC</v>
      </c>
      <c r="C30">
        <f>_xll.BDP("068270 KS Equity", "PX_LAST")</f>
        <v>289000</v>
      </c>
      <c r="D30">
        <f>_xll.BDP("068270 KS Equity", "CHG_PCT_1D")</f>
        <v>-2.693603</v>
      </c>
      <c r="E30">
        <f>_xll.BDP("068270 KS Equity", "EQY_TURNOVER")</f>
        <v>137952900000</v>
      </c>
    </row>
    <row r="31" spans="1:5" x14ac:dyDescent="0.25">
      <c r="A31" t="s">
        <v>34</v>
      </c>
      <c r="B31" t="str">
        <f>_xll.BDP("067010 KS Equity", "NAME")</f>
        <v>ECS TELECOM CO LTD</v>
      </c>
      <c r="C31">
        <f>_xll.BDP("067010 KS Equity", "PX_LAST")</f>
        <v>6850</v>
      </c>
      <c r="D31">
        <f>_xll.BDP("067010 KS Equity", "CHG_PCT_1D")</f>
        <v>4.2617960000000004</v>
      </c>
      <c r="E31">
        <f>_xll.BDP("067010 KS Equity", "EQY_TURNOVER")</f>
        <v>136576800000</v>
      </c>
    </row>
    <row r="32" spans="1:5" x14ac:dyDescent="0.25">
      <c r="A32" t="s">
        <v>35</v>
      </c>
      <c r="B32" t="str">
        <f>_xll.BDP("246690 KS Equity", "NAME")</f>
        <v>TS INVESTMENT CORP</v>
      </c>
      <c r="C32">
        <f>_xll.BDP("246690 KS Equity", "PX_LAST")</f>
        <v>4410</v>
      </c>
      <c r="D32">
        <f>_xll.BDP("246690 KS Equity", "CHG_PCT_1D")</f>
        <v>10.387980000000001</v>
      </c>
      <c r="E32">
        <f>_xll.BDP("246690 KS Equity", "EQY_TURNOVER")</f>
        <v>128959000000</v>
      </c>
    </row>
    <row r="33" spans="1:5" x14ac:dyDescent="0.25">
      <c r="A33" t="s">
        <v>36</v>
      </c>
      <c r="B33" t="str">
        <f>_xll.BDP("066570 KS Equity", "NAME")</f>
        <v>LG ELECTRONICS INC</v>
      </c>
      <c r="C33">
        <f>_xll.BDP("066570 KS Equity", "PX_LAST")</f>
        <v>151500</v>
      </c>
      <c r="D33">
        <f>_xll.BDP("066570 KS Equity", "CHG_PCT_1D")</f>
        <v>-0.65573769999999998</v>
      </c>
      <c r="E33">
        <f>_xll.BDP("066570 KS Equity", "EQY_TURNOVER")</f>
        <v>124627400000</v>
      </c>
    </row>
    <row r="34" spans="1:5" x14ac:dyDescent="0.25">
      <c r="A34" t="s">
        <v>37</v>
      </c>
      <c r="B34" t="str">
        <f>_xll.BDP("005490 KS Equity", "NAME")</f>
        <v>POSCO</v>
      </c>
      <c r="C34">
        <f>_xll.BDP("005490 KS Equity", "PX_LAST")</f>
        <v>308000</v>
      </c>
      <c r="D34">
        <f>_xll.BDP("005490 KS Equity", "CHG_PCT_1D")</f>
        <v>2.3255810000000001</v>
      </c>
      <c r="E34">
        <f>_xll.BDP("005490 KS Equity", "EQY_TURNOVER")</f>
        <v>122725200000</v>
      </c>
    </row>
    <row r="35" spans="1:5" x14ac:dyDescent="0.25">
      <c r="A35" t="s">
        <v>38</v>
      </c>
      <c r="B35" t="str">
        <f>_xll.BDP("012330 KS Equity", "NAME")</f>
        <v>HYUNDAI MOBIS CO LTD</v>
      </c>
      <c r="C35">
        <f>_xll.BDP("012330 KS Equity", "PX_LAST")</f>
        <v>302000</v>
      </c>
      <c r="D35">
        <f>_xll.BDP("012330 KS Equity", "CHG_PCT_1D")</f>
        <v>-0.4942339</v>
      </c>
      <c r="E35">
        <f>_xll.BDP("012330 KS Equity", "EQY_TURNOVER")</f>
        <v>118728500000</v>
      </c>
    </row>
    <row r="36" spans="1:5" x14ac:dyDescent="0.25">
      <c r="A36" t="s">
        <v>39</v>
      </c>
      <c r="B36" t="str">
        <f>_xll.BDP("054630 KS Equity", "NAME")</f>
        <v>ADVANCED DIGITAL CHIPS INC</v>
      </c>
      <c r="C36">
        <f>_xll.BDP("054630 KS Equity", "PX_LAST")</f>
        <v>1660</v>
      </c>
      <c r="D36">
        <f>_xll.BDP("054630 KS Equity", "CHG_PCT_1D")</f>
        <v>22.058820000000001</v>
      </c>
      <c r="E36">
        <f>_xll.BDP("054630 KS Equity", "EQY_TURNOVER")</f>
        <v>112535400000</v>
      </c>
    </row>
    <row r="37" spans="1:5" x14ac:dyDescent="0.25">
      <c r="A37" t="s">
        <v>40</v>
      </c>
      <c r="B37" t="str">
        <f>_xll.BDP("011200 KS Equity", "NAME")</f>
        <v>HMM CO LTD</v>
      </c>
      <c r="C37">
        <f>_xll.BDP("011200 KS Equity", "PX_LAST")</f>
        <v>21450</v>
      </c>
      <c r="D37">
        <f>_xll.BDP("011200 KS Equity", "CHG_PCT_1D")</f>
        <v>-0.69444439999999996</v>
      </c>
      <c r="E37">
        <f>_xll.BDP("011200 KS Equity", "EQY_TURNOVER")</f>
        <v>108857100000</v>
      </c>
    </row>
    <row r="38" spans="1:5" x14ac:dyDescent="0.25">
      <c r="A38" t="s">
        <v>41</v>
      </c>
      <c r="B38" t="str">
        <f>_xll.BDP("047400 KS Equity", "NAME")</f>
        <v>UNION MATERIALS CORP</v>
      </c>
      <c r="C38">
        <f>_xll.BDP("047400 KS Equity", "PX_LAST")</f>
        <v>4305</v>
      </c>
      <c r="D38">
        <f>_xll.BDP("047400 KS Equity", "CHG_PCT_1D")</f>
        <v>8.3018870000000007</v>
      </c>
      <c r="E38">
        <f>_xll.BDP("047400 KS Equity", "EQY_TURNOVER")</f>
        <v>108748200000</v>
      </c>
    </row>
    <row r="39" spans="1:5" x14ac:dyDescent="0.25">
      <c r="A39" t="s">
        <v>42</v>
      </c>
      <c r="B39" t="str">
        <f>_xll.BDP("036630 KS Equity", "NAME")</f>
        <v>SEJONG TELECOM INC</v>
      </c>
      <c r="C39">
        <f>_xll.BDP("036630 KS Equity", "PX_LAST")</f>
        <v>827</v>
      </c>
      <c r="D39">
        <f>_xll.BDP("036630 KS Equity", "CHG_PCT_1D")</f>
        <v>0.1210654</v>
      </c>
      <c r="E39">
        <f>_xll.BDP("036630 KS Equity", "EQY_TURNOVER")</f>
        <v>107598200000</v>
      </c>
    </row>
    <row r="40" spans="1:5" x14ac:dyDescent="0.25">
      <c r="A40" t="s">
        <v>43</v>
      </c>
      <c r="B40" t="str">
        <f>_xll.BDP("307930 KS Equity", "NAME")</f>
        <v>CO K PARTNERS LTD</v>
      </c>
      <c r="C40">
        <f>_xll.BDP("307930 KS Equity", "PX_LAST")</f>
        <v>9260</v>
      </c>
      <c r="D40">
        <f>_xll.BDP("307930 KS Equity", "CHG_PCT_1D")</f>
        <v>18.41432</v>
      </c>
      <c r="E40">
        <f>_xll.BDP("307930 KS Equity", "EQY_TURNOVER")</f>
        <v>106882300000</v>
      </c>
    </row>
    <row r="41" spans="1:5" x14ac:dyDescent="0.25">
      <c r="A41" t="s">
        <v>44</v>
      </c>
      <c r="B41" t="str">
        <f>_xll.BDP("103840 KS Equity", "NAME")</f>
        <v>WOOYANG CO LTD/KOREA</v>
      </c>
      <c r="C41">
        <f>_xll.BDP("103840 KS Equity", "PX_LAST")</f>
        <v>6330</v>
      </c>
      <c r="D41">
        <f>_xll.BDP("103840 KS Equity", "CHG_PCT_1D")</f>
        <v>4.2833610000000002</v>
      </c>
      <c r="E41">
        <f>_xll.BDP("103840 KS Equity", "EQY_TURNOVER")</f>
        <v>106587800000</v>
      </c>
    </row>
    <row r="42" spans="1:5" x14ac:dyDescent="0.25">
      <c r="A42" t="s">
        <v>45</v>
      </c>
      <c r="B42" t="str">
        <f>_xll.BDP("105560 KS Equity", "NAME")</f>
        <v>KB FINANCIAL GROUP INC</v>
      </c>
      <c r="C42">
        <f>_xll.BDP("105560 KS Equity", "PX_LAST")</f>
        <v>51200</v>
      </c>
      <c r="D42">
        <f>_xll.BDP("105560 KS Equity", "CHG_PCT_1D")</f>
        <v>1.587302</v>
      </c>
      <c r="E42">
        <f>_xll.BDP("105560 KS Equity", "EQY_TURNOVER")</f>
        <v>105237300000</v>
      </c>
    </row>
    <row r="43" spans="1:5" x14ac:dyDescent="0.25">
      <c r="A43" t="s">
        <v>46</v>
      </c>
      <c r="B43" t="str">
        <f>_xll.BDP("063440 KS Equity", "NAME")</f>
        <v>SM LIFE DESIGN GROUP CO LTD</v>
      </c>
      <c r="C43">
        <f>_xll.BDP("063440 KS Equity", "PX_LAST")</f>
        <v>3475</v>
      </c>
      <c r="D43">
        <f>_xll.BDP("063440 KS Equity", "CHG_PCT_1D")</f>
        <v>7.5851389999999999</v>
      </c>
      <c r="E43">
        <f>_xll.BDP("063440 KS Equity", "EQY_TURNOVER")</f>
        <v>103642600000</v>
      </c>
    </row>
    <row r="44" spans="1:5" x14ac:dyDescent="0.25">
      <c r="A44" t="s">
        <v>47</v>
      </c>
      <c r="B44" t="str">
        <f>_xll.BDP("298050 KS Equity", "NAME")</f>
        <v>HYOSUNG ADVANCED MATERIALS C</v>
      </c>
      <c r="C44">
        <f>_xll.BDP("298050 KS Equity", "PX_LAST")</f>
        <v>347500</v>
      </c>
      <c r="D44">
        <f>_xll.BDP("298050 KS Equity", "CHG_PCT_1D")</f>
        <v>10.492850000000001</v>
      </c>
      <c r="E44">
        <f>_xll.BDP("298050 KS Equity", "EQY_TURNOVER")</f>
        <v>102754500000</v>
      </c>
    </row>
    <row r="45" spans="1:5" x14ac:dyDescent="0.25">
      <c r="A45" t="s">
        <v>48</v>
      </c>
      <c r="B45" t="str">
        <f>_xll.BDP("009540 KS Equity", "NAME")</f>
        <v>KOREA SHIPBUILDING &amp; OFFSHOR</v>
      </c>
      <c r="C45">
        <f>_xll.BDP("009540 KS Equity", "PX_LAST")</f>
        <v>122000</v>
      </c>
      <c r="D45">
        <f>_xll.BDP("009540 KS Equity", "CHG_PCT_1D")</f>
        <v>3.8297870000000001</v>
      </c>
      <c r="E45">
        <f>_xll.BDP("009540 KS Equity", "EQY_TURNOVER")</f>
        <v>101684200000</v>
      </c>
    </row>
    <row r="46" spans="1:5" x14ac:dyDescent="0.25">
      <c r="A46" t="s">
        <v>49</v>
      </c>
      <c r="B46" t="str">
        <f>_xll.BDP("027710 KS Equity", "NAME")</f>
        <v>FARMSTORY CO LTD</v>
      </c>
      <c r="C46">
        <f>_xll.BDP("027710 KS Equity", "PX_LAST")</f>
        <v>2090</v>
      </c>
      <c r="D46">
        <f>_xll.BDP("027710 KS Equity", "CHG_PCT_1D")</f>
        <v>-3.2407409999999999</v>
      </c>
      <c r="E46">
        <f>_xll.BDP("027710 KS Equity", "EQY_TURNOVER")</f>
        <v>97389250000</v>
      </c>
    </row>
    <row r="47" spans="1:5" x14ac:dyDescent="0.25">
      <c r="A47" t="s">
        <v>50</v>
      </c>
      <c r="B47" t="str">
        <f>_xll.BDP("047040 KS Equity", "NAME")</f>
        <v>DAEWOO ENGINEERING &amp; CONSTR</v>
      </c>
      <c r="C47">
        <f>_xll.BDP("047040 KS Equity", "PX_LAST")</f>
        <v>6300</v>
      </c>
      <c r="D47">
        <f>_xll.BDP("047040 KS Equity", "CHG_PCT_1D")</f>
        <v>5.7046979999999996</v>
      </c>
      <c r="E47">
        <f>_xll.BDP("047040 KS Equity", "EQY_TURNOVER")</f>
        <v>96599470000</v>
      </c>
    </row>
    <row r="48" spans="1:5" x14ac:dyDescent="0.25">
      <c r="A48" t="s">
        <v>51</v>
      </c>
      <c r="B48" t="str">
        <f>_xll.BDP("004410 KS Equity", "NAME")</f>
        <v>SEOUL FOOD INDUSTRIAL CO LTD</v>
      </c>
      <c r="C48">
        <f>_xll.BDP("004410 KS Equity", "PX_LAST")</f>
        <v>469</v>
      </c>
      <c r="D48">
        <f>_xll.BDP("004410 KS Equity", "CHG_PCT_1D")</f>
        <v>-4.8681539999999996</v>
      </c>
      <c r="E48">
        <f>_xll.BDP("004410 KS Equity", "EQY_TURNOVER")</f>
        <v>93385890000</v>
      </c>
    </row>
    <row r="49" spans="1:5" x14ac:dyDescent="0.25">
      <c r="A49" t="s">
        <v>52</v>
      </c>
      <c r="B49" t="str">
        <f>_xll.BDP("026890 KS Equity", "NAME")</f>
        <v>DIGITAL POWER COMMUNICATIONS</v>
      </c>
      <c r="C49">
        <f>_xll.BDP("026890 KS Equity", "PX_LAST")</f>
        <v>12400</v>
      </c>
      <c r="D49">
        <f>_xll.BDP("026890 KS Equity", "CHG_PCT_1D")</f>
        <v>5.9829059999999998</v>
      </c>
      <c r="E49">
        <f>_xll.BDP("026890 KS Equity", "EQY_TURNOVER")</f>
        <v>92175700000</v>
      </c>
    </row>
    <row r="50" spans="1:5" x14ac:dyDescent="0.25">
      <c r="A50" t="s">
        <v>53</v>
      </c>
      <c r="B50" t="str">
        <f>_xll.BDP("013520 KS Equity", "NAME")</f>
        <v>HWASEUNG CORP CO LTD</v>
      </c>
      <c r="C50">
        <f>_xll.BDP("013520 KS Equity", "PX_LAST")</f>
        <v>2175</v>
      </c>
      <c r="D50">
        <f>_xll.BDP("013520 KS Equity", "CHG_PCT_1D")</f>
        <v>-2.6867839999999998</v>
      </c>
      <c r="E50">
        <f>_xll.BDP("013520 KS Equity", "EQY_TURNOVER")</f>
        <v>90027320000</v>
      </c>
    </row>
    <row r="51" spans="1:5" x14ac:dyDescent="0.25">
      <c r="A51" t="s">
        <v>54</v>
      </c>
      <c r="B51" t="str">
        <f>_xll.BDP("009520 KS Equity", "NAME")</f>
        <v>POSCO M-TECH CO LTD</v>
      </c>
      <c r="C51">
        <f>_xll.BDP("009520 KS Equity", "PX_LAST")</f>
        <v>9390</v>
      </c>
      <c r="D51">
        <f>_xll.BDP("009520 KS Equity", "CHG_PCT_1D")</f>
        <v>4.3333329999999997</v>
      </c>
      <c r="E51">
        <f>_xll.BDP("009520 KS Equity", "EQY_TURNOVER")</f>
        <v>89309540000</v>
      </c>
    </row>
    <row r="52" spans="1:5" x14ac:dyDescent="0.25">
      <c r="A52" t="s">
        <v>55</v>
      </c>
      <c r="B52" t="str">
        <f>_xll.BDP("004140 KS Equity", "NAME")</f>
        <v>DONGBANG TRANSPORT LOGISTICS</v>
      </c>
      <c r="C52">
        <f>_xll.BDP("004140 KS Equity", "PX_LAST")</f>
        <v>7810</v>
      </c>
      <c r="D52">
        <f>_xll.BDP("004140 KS Equity", "CHG_PCT_1D")</f>
        <v>-13.318530000000001</v>
      </c>
      <c r="E52">
        <f>_xll.BDP("004140 KS Equity", "EQY_TURNOVER")</f>
        <v>89125070000</v>
      </c>
    </row>
    <row r="53" spans="1:5" x14ac:dyDescent="0.25">
      <c r="A53" t="s">
        <v>56</v>
      </c>
      <c r="B53" t="str">
        <f>_xll.BDP("017000 KS Equity", "NAME")</f>
        <v>SHINWON CONSTRUCTION CO LTD</v>
      </c>
      <c r="C53">
        <f>_xll.BDP("017000 KS Equity", "PX_LAST")</f>
        <v>8780</v>
      </c>
      <c r="D53">
        <f>_xll.BDP("017000 KS Equity", "CHG_PCT_1D")</f>
        <v>12.998710000000001</v>
      </c>
      <c r="E53">
        <f>_xll.BDP("017000 KS Equity", "EQY_TURNOVER")</f>
        <v>85303550000</v>
      </c>
    </row>
    <row r="54" spans="1:5" x14ac:dyDescent="0.25">
      <c r="A54" t="s">
        <v>57</v>
      </c>
      <c r="B54" t="str">
        <f>_xll.BDP("009150 KS Equity", "NAME")</f>
        <v>SAMSUNG ELECTRO-MECHANICS CO</v>
      </c>
      <c r="C54">
        <f>_xll.BDP("009150 KS Equity", "PX_LAST")</f>
        <v>191000</v>
      </c>
      <c r="D54">
        <f>_xll.BDP("009150 KS Equity", "CHG_PCT_1D")</f>
        <v>-0.77922080000000005</v>
      </c>
      <c r="E54">
        <f>_xll.BDP("009150 KS Equity", "EQY_TURNOVER")</f>
        <v>84593780000</v>
      </c>
    </row>
    <row r="55" spans="1:5" x14ac:dyDescent="0.25">
      <c r="A55" t="s">
        <v>58</v>
      </c>
      <c r="B55" t="str">
        <f>_xll.BDP("009830 KS Equity", "NAME")</f>
        <v>HANWHA SOLUTIONS CORP</v>
      </c>
      <c r="C55">
        <f>_xll.BDP("009830 KS Equity", "PX_LAST")</f>
        <v>44250</v>
      </c>
      <c r="D55">
        <f>_xll.BDP("009830 KS Equity", "CHG_PCT_1D")</f>
        <v>0.3401361</v>
      </c>
      <c r="E55">
        <f>_xll.BDP("009830 KS Equity", "EQY_TURNOVER")</f>
        <v>82656150000</v>
      </c>
    </row>
    <row r="56" spans="1:5" x14ac:dyDescent="0.25">
      <c r="A56" t="s">
        <v>59</v>
      </c>
      <c r="B56" t="str">
        <f>_xll.BDP("019170 KS Equity", "NAME")</f>
        <v>SHIN POONG PHARMACEUTICAL CO</v>
      </c>
      <c r="C56">
        <f>_xll.BDP("019170 KS Equity", "PX_LAST")</f>
        <v>95000</v>
      </c>
      <c r="D56">
        <f>_xll.BDP("019170 KS Equity", "CHG_PCT_1D")</f>
        <v>3.8251369999999998</v>
      </c>
      <c r="E56">
        <f>_xll.BDP("019170 KS Equity", "EQY_TURNOVER")</f>
        <v>82458450000</v>
      </c>
    </row>
    <row r="57" spans="1:5" x14ac:dyDescent="0.25">
      <c r="A57" t="s">
        <v>60</v>
      </c>
      <c r="B57" t="str">
        <f>_xll.BDP("006360 KS Equity", "NAME")</f>
        <v>GS ENGINEERING &amp; CONSTRUCT</v>
      </c>
      <c r="C57">
        <f>_xll.BDP("006360 KS Equity", "PX_LAST")</f>
        <v>40350</v>
      </c>
      <c r="D57">
        <f>_xll.BDP("006360 KS Equity", "CHG_PCT_1D")</f>
        <v>3.3290649999999999</v>
      </c>
      <c r="E57">
        <f>_xll.BDP("006360 KS Equity", "EQY_TURNOVER")</f>
        <v>81051300000</v>
      </c>
    </row>
    <row r="58" spans="1:5" x14ac:dyDescent="0.25">
      <c r="A58" t="s">
        <v>61</v>
      </c>
      <c r="B58" t="str">
        <f>_xll.BDP("096040 KS Equity", "NAME")</f>
        <v>E-TRON CO LTD</v>
      </c>
      <c r="C58">
        <f>_xll.BDP("096040 KS Equity", "PX_LAST")</f>
        <v>721</v>
      </c>
      <c r="D58">
        <f>_xll.BDP("096040 KS Equity", "CHG_PCT_1D")</f>
        <v>-3.8666670000000001</v>
      </c>
      <c r="E58">
        <f>_xll.BDP("096040 KS Equity", "EQY_TURNOVER")</f>
        <v>77741440000</v>
      </c>
    </row>
    <row r="59" spans="1:5" x14ac:dyDescent="0.25">
      <c r="A59" t="s">
        <v>62</v>
      </c>
      <c r="B59" t="str">
        <f>_xll.BDP("041190 KS Equity", "NAME")</f>
        <v>WOORI TECHNOLOGY INV CO LTD</v>
      </c>
      <c r="C59">
        <f>_xll.BDP("041190 KS Equity", "PX_LAST")</f>
        <v>5140</v>
      </c>
      <c r="D59">
        <f>_xll.BDP("041190 KS Equity", "CHG_PCT_1D")</f>
        <v>0.390625</v>
      </c>
      <c r="E59">
        <f>_xll.BDP("041190 KS Equity", "EQY_TURNOVER")</f>
        <v>77662010000</v>
      </c>
    </row>
    <row r="60" spans="1:5" x14ac:dyDescent="0.25">
      <c r="A60" t="s">
        <v>63</v>
      </c>
      <c r="B60" t="str">
        <f>_xll.BDP("352820 KS Equity", "NAME")</f>
        <v>BIG HIT ENTERTAINMENT CO LTD</v>
      </c>
      <c r="C60">
        <f>_xll.BDP("352820 KS Equity", "PX_LAST")</f>
        <v>218000</v>
      </c>
      <c r="D60">
        <f>_xll.BDP("352820 KS Equity", "CHG_PCT_1D")</f>
        <v>-4.3859649999999997</v>
      </c>
      <c r="E60">
        <f>_xll.BDP("352820 KS Equity", "EQY_TURNOVER")</f>
        <v>77966450000</v>
      </c>
    </row>
    <row r="61" spans="1:5" x14ac:dyDescent="0.25">
      <c r="A61" t="s">
        <v>64</v>
      </c>
      <c r="B61" t="str">
        <f>_xll.BDP("053030 KS Equity", "NAME")</f>
        <v>BINEX CO LTD</v>
      </c>
      <c r="C61">
        <f>_xll.BDP("053030 KS Equity", "PX_LAST")</f>
        <v>16150</v>
      </c>
      <c r="D61">
        <f>_xll.BDP("053030 KS Equity", "CHG_PCT_1D")</f>
        <v>8.0267560000000007</v>
      </c>
      <c r="E61">
        <f>_xll.BDP("053030 KS Equity", "EQY_TURNOVER")</f>
        <v>76044830000</v>
      </c>
    </row>
    <row r="62" spans="1:5" x14ac:dyDescent="0.25">
      <c r="A62" t="s">
        <v>65</v>
      </c>
      <c r="B62" t="str">
        <f>_xll.BDP("042510 KS Equity", "NAME")</f>
        <v>RAONSECURE CO LTD</v>
      </c>
      <c r="C62">
        <f>_xll.BDP("042510 KS Equity", "PX_LAST")</f>
        <v>3950</v>
      </c>
      <c r="D62">
        <f>_xll.BDP("042510 KS Equity", "CHG_PCT_1D")</f>
        <v>1.935484</v>
      </c>
      <c r="E62">
        <f>_xll.BDP("042510 KS Equity", "EQY_TURNOVER")</f>
        <v>74989170000</v>
      </c>
    </row>
    <row r="63" spans="1:5" x14ac:dyDescent="0.25">
      <c r="A63" t="s">
        <v>66</v>
      </c>
      <c r="B63" t="str">
        <f>_xll.BDP("011500 KS Equity", "NAME")</f>
        <v>HANNONG CHEMICALS INC</v>
      </c>
      <c r="C63">
        <f>_xll.BDP("011500 KS Equity", "PX_LAST")</f>
        <v>17350</v>
      </c>
      <c r="D63">
        <f>_xll.BDP("011500 KS Equity", "CHG_PCT_1D")</f>
        <v>7.4303410000000003</v>
      </c>
      <c r="E63">
        <f>_xll.BDP("011500 KS Equity", "EQY_TURNOVER")</f>
        <v>74414850000</v>
      </c>
    </row>
    <row r="64" spans="1:5" x14ac:dyDescent="0.25">
      <c r="A64" t="s">
        <v>67</v>
      </c>
      <c r="B64" t="str">
        <f>_xll.BDP("334970 KS Equity", "NAME")</f>
        <v>PRESTIGE BIOLOGICS CO LTD</v>
      </c>
      <c r="C64">
        <f>_xll.BDP("334970 KS Equity", "PX_LAST")</f>
        <v>12550</v>
      </c>
      <c r="D64">
        <f>_xll.BDP("334970 KS Equity", "CHG_PCT_1D")</f>
        <v>-2.7131780000000001</v>
      </c>
      <c r="E64">
        <f>_xll.BDP("334970 KS Equity", "EQY_TURNOVER")</f>
        <v>73283890000</v>
      </c>
    </row>
    <row r="65" spans="1:5" x14ac:dyDescent="0.25">
      <c r="A65" t="s">
        <v>68</v>
      </c>
      <c r="B65" t="str">
        <f>_xll.BDP("081150 KS Equity", "NAME")</f>
        <v>TPLEX CO LTD</v>
      </c>
      <c r="C65">
        <f>_xll.BDP("081150 KS Equity", "PX_LAST")</f>
        <v>4150</v>
      </c>
      <c r="D65">
        <f>_xll.BDP("081150 KS Equity", "CHG_PCT_1D")</f>
        <v>7.2351419999999997</v>
      </c>
      <c r="E65">
        <f>_xll.BDP("081150 KS Equity", "EQY_TURNOVER")</f>
        <v>71313380000</v>
      </c>
    </row>
    <row r="66" spans="1:5" x14ac:dyDescent="0.25">
      <c r="A66" t="s">
        <v>69</v>
      </c>
      <c r="B66" t="str">
        <f>_xll.BDP("285130 KS Equity", "NAME")</f>
        <v>SK CHEMICALS CO LTD/NEW</v>
      </c>
      <c r="C66">
        <f>_xll.BDP("285130 KS Equity", "PX_LAST")</f>
        <v>299500</v>
      </c>
      <c r="D66">
        <f>_xll.BDP("285130 KS Equity", "CHG_PCT_1D")</f>
        <v>-1.317957</v>
      </c>
      <c r="E66">
        <f>_xll.BDP("285130 KS Equity", "EQY_TURNOVER")</f>
        <v>71074310000</v>
      </c>
    </row>
    <row r="67" spans="1:5" x14ac:dyDescent="0.25">
      <c r="A67" t="s">
        <v>70</v>
      </c>
      <c r="B67" t="str">
        <f>_xll.BDP("375500 KS Equity", "NAME")</f>
        <v>DL E&amp;C CO LTD</v>
      </c>
      <c r="C67">
        <f>_xll.BDP("375500 KS Equity", "PX_LAST")</f>
        <v>121000</v>
      </c>
      <c r="D67">
        <f>_xll.BDP("375500 KS Equity", "CHG_PCT_1D")</f>
        <v>2.1097049999999999</v>
      </c>
      <c r="E67">
        <f>_xll.BDP("375500 KS Equity", "EQY_TURNOVER")</f>
        <v>70294940000</v>
      </c>
    </row>
    <row r="68" spans="1:5" x14ac:dyDescent="0.25">
      <c r="A68" t="s">
        <v>71</v>
      </c>
      <c r="B68" t="str">
        <f>_xll.BDP("091990 KS Equity", "NAME")</f>
        <v>CELLTRION HEALTHCARE CO LTD</v>
      </c>
      <c r="C68">
        <f>_xll.BDP("091990 KS Equity", "PX_LAST")</f>
        <v>123500</v>
      </c>
      <c r="D68">
        <f>_xll.BDP("091990 KS Equity", "CHG_PCT_1D")</f>
        <v>-2.8324150000000001</v>
      </c>
      <c r="E68">
        <f>_xll.BDP("091990 KS Equity", "EQY_TURNOVER")</f>
        <v>70423630000</v>
      </c>
    </row>
    <row r="69" spans="1:5" x14ac:dyDescent="0.25">
      <c r="A69" t="s">
        <v>72</v>
      </c>
      <c r="B69" t="str">
        <f>_xll.BDP("055550 KS Equity", "NAME")</f>
        <v>SHINHAN FINANCIAL GROUP LTD</v>
      </c>
      <c r="C69">
        <f>_xll.BDP("055550 KS Equity", "PX_LAST")</f>
        <v>35150</v>
      </c>
      <c r="D69">
        <f>_xll.BDP("055550 KS Equity", "CHG_PCT_1D")</f>
        <v>0.57224609999999998</v>
      </c>
      <c r="E69">
        <f>_xll.BDP("055550 KS Equity", "EQY_TURNOVER")</f>
        <v>69877200000</v>
      </c>
    </row>
    <row r="70" spans="1:5" x14ac:dyDescent="0.25">
      <c r="A70" t="s">
        <v>73</v>
      </c>
      <c r="B70" t="str">
        <f>_xll.BDP("109960 KS Equity", "NAME")</f>
        <v>APROGEN HEALTHCARE &amp; GAMES</v>
      </c>
      <c r="C70">
        <f>_xll.BDP("109960 KS Equity", "PX_LAST")</f>
        <v>787</v>
      </c>
      <c r="D70">
        <f>_xll.BDP("109960 KS Equity", "CHG_PCT_1D")</f>
        <v>21.63833</v>
      </c>
      <c r="E70">
        <f>_xll.BDP("109960 KS Equity", "EQY_TURNOVER")</f>
        <v>68296110000</v>
      </c>
    </row>
    <row r="71" spans="1:5" x14ac:dyDescent="0.25">
      <c r="A71" t="s">
        <v>74</v>
      </c>
      <c r="B71" t="str">
        <f>_xll.BDP("053800 KS Equity", "NAME")</f>
        <v>AHNLAB INC</v>
      </c>
      <c r="C71">
        <f>_xll.BDP("053800 KS Equity", "PX_LAST")</f>
        <v>73500</v>
      </c>
      <c r="D71">
        <f>_xll.BDP("053800 KS Equity", "CHG_PCT_1D")</f>
        <v>-9.9264709999999994</v>
      </c>
      <c r="E71">
        <f>_xll.BDP("053800 KS Equity", "EQY_TURNOVER")</f>
        <v>64432490000</v>
      </c>
    </row>
    <row r="72" spans="1:5" x14ac:dyDescent="0.25">
      <c r="A72" t="s">
        <v>75</v>
      </c>
      <c r="B72" t="str">
        <f>_xll.BDP("078130 KS Equity", "NAME")</f>
        <v>KUK-IL PAPER MFG CO LTD</v>
      </c>
      <c r="C72">
        <f>_xll.BDP("078130 KS Equity", "PX_LAST")</f>
        <v>5580</v>
      </c>
      <c r="D72">
        <f>_xll.BDP("078130 KS Equity", "CHG_PCT_1D")</f>
        <v>2.1978019999999998</v>
      </c>
      <c r="E72">
        <f>_xll.BDP("078130 KS Equity", "EQY_TURNOVER")</f>
        <v>63520330000</v>
      </c>
    </row>
    <row r="73" spans="1:5" x14ac:dyDescent="0.25">
      <c r="A73" t="s">
        <v>76</v>
      </c>
      <c r="B73" t="str">
        <f>_xll.BDP("025880 KS Equity", "NAME")</f>
        <v>KC FEED CO LTD</v>
      </c>
      <c r="C73">
        <f>_xll.BDP("025880 KS Equity", "PX_LAST")</f>
        <v>4140</v>
      </c>
      <c r="D73">
        <f>_xll.BDP("025880 KS Equity", "CHG_PCT_1D")</f>
        <v>29.984300000000001</v>
      </c>
      <c r="E73">
        <f>_xll.BDP("025880 KS Equity", "EQY_TURNOVER")</f>
        <v>62934260000</v>
      </c>
    </row>
    <row r="74" spans="1:5" x14ac:dyDescent="0.25">
      <c r="A74" t="s">
        <v>77</v>
      </c>
      <c r="B74" t="str">
        <f>_xll.BDP("298020 KS Equity", "NAME")</f>
        <v>HYOSUNG TNC CORP</v>
      </c>
      <c r="C74">
        <f>_xll.BDP("298020 KS Equity", "PX_LAST")</f>
        <v>514000</v>
      </c>
      <c r="D74">
        <f>_xll.BDP("298020 KS Equity", "CHG_PCT_1D")</f>
        <v>6.4182189999999997</v>
      </c>
      <c r="E74">
        <f>_xll.BDP("298020 KS Equity", "EQY_TURNOVER")</f>
        <v>62002600000</v>
      </c>
    </row>
    <row r="75" spans="1:5" x14ac:dyDescent="0.25">
      <c r="A75" t="s">
        <v>78</v>
      </c>
      <c r="B75" t="str">
        <f>_xll.BDP("006200 KS Equity", "NAME")</f>
        <v>KEC HOLDINGS CO LTD</v>
      </c>
      <c r="C75">
        <f>_xll.BDP("006200 KS Equity", "PX_LAST")</f>
        <v>1570</v>
      </c>
      <c r="D75">
        <f>_xll.BDP("006200 KS Equity", "CHG_PCT_1D")</f>
        <v>-9.5100859999999994</v>
      </c>
      <c r="E75">
        <f>_xll.BDP("006200 KS Equity", "EQY_TURNOVER")</f>
        <v>61052780000</v>
      </c>
    </row>
    <row r="76" spans="1:5" x14ac:dyDescent="0.25">
      <c r="A76" t="s">
        <v>79</v>
      </c>
      <c r="B76" t="str">
        <f>_xll.BDP("003060 KS Equity", "NAME")</f>
        <v>APROGEN PHARMACEUTICALS INC</v>
      </c>
      <c r="C76">
        <f>_xll.BDP("003060 KS Equity", "PX_LAST")</f>
        <v>1160</v>
      </c>
      <c r="D76">
        <f>_xll.BDP("003060 KS Equity", "CHG_PCT_1D")</f>
        <v>10.476190000000001</v>
      </c>
      <c r="E76">
        <f>_xll.BDP("003060 KS Equity", "EQY_TURNOVER")</f>
        <v>60256340000</v>
      </c>
    </row>
    <row r="77" spans="1:5" x14ac:dyDescent="0.25">
      <c r="A77" t="s">
        <v>80</v>
      </c>
      <c r="B77" t="str">
        <f>_xll.BDP("028300 KS Equity", "NAME")</f>
        <v>HLB INC</v>
      </c>
      <c r="C77">
        <f>_xll.BDP("028300 KS Equity", "PX_LAST")</f>
        <v>39800</v>
      </c>
      <c r="D77">
        <f>_xll.BDP("028300 KS Equity", "CHG_PCT_1D")</f>
        <v>2.313625</v>
      </c>
      <c r="E77">
        <f>_xll.BDP("028300 KS Equity", "EQY_TURNOVER")</f>
        <v>60185970000</v>
      </c>
    </row>
    <row r="78" spans="1:5" x14ac:dyDescent="0.25">
      <c r="A78" t="s">
        <v>81</v>
      </c>
      <c r="B78" t="str">
        <f>_xll.BDP("094360 KS Equity", "NAME")</f>
        <v>CHIPS&amp;MEDIA INC</v>
      </c>
      <c r="C78">
        <f>_xll.BDP("094360 KS Equity", "PX_LAST")</f>
        <v>17600</v>
      </c>
      <c r="D78">
        <f>_xll.BDP("094360 KS Equity", "CHG_PCT_1D")</f>
        <v>1.7341040000000001</v>
      </c>
      <c r="E78">
        <f>_xll.BDP("094360 KS Equity", "EQY_TURNOVER")</f>
        <v>59823310000</v>
      </c>
    </row>
    <row r="79" spans="1:5" x14ac:dyDescent="0.25">
      <c r="A79" t="s">
        <v>82</v>
      </c>
      <c r="B79" t="str">
        <f>_xll.BDP("010620 KS Equity", "NAME")</f>
        <v>HYUNDAI MIPO DOCKYARD</v>
      </c>
      <c r="C79">
        <f>_xll.BDP("010620 KS Equity", "PX_LAST")</f>
        <v>61300</v>
      </c>
      <c r="D79">
        <f>_xll.BDP("010620 KS Equity", "CHG_PCT_1D")</f>
        <v>4.7863249999999997</v>
      </c>
      <c r="E79">
        <f>_xll.BDP("010620 KS Equity", "EQY_TURNOVER")</f>
        <v>58379220000</v>
      </c>
    </row>
    <row r="80" spans="1:5" x14ac:dyDescent="0.25">
      <c r="A80" t="s">
        <v>83</v>
      </c>
      <c r="B80" t="str">
        <f>_xll.BDP("035080 KS Equity", "NAME")</f>
        <v>INTERPARK CORP</v>
      </c>
      <c r="C80">
        <f>_xll.BDP("035080 KS Equity", "PX_LAST")</f>
        <v>4920</v>
      </c>
      <c r="D80">
        <f>_xll.BDP("035080 KS Equity", "CHG_PCT_1D")</f>
        <v>-3.90625</v>
      </c>
      <c r="E80">
        <f>_xll.BDP("035080 KS Equity", "EQY_TURNOVER")</f>
        <v>56911530000</v>
      </c>
    </row>
    <row r="81" spans="1:5" x14ac:dyDescent="0.25">
      <c r="A81" t="s">
        <v>84</v>
      </c>
      <c r="B81" t="str">
        <f>_xll.BDP("034730 KS Equity", "NAME")</f>
        <v>SK HOLDINGS CO LTD</v>
      </c>
      <c r="C81">
        <f>_xll.BDP("034730 KS Equity", "PX_LAST")</f>
        <v>251000</v>
      </c>
      <c r="D81">
        <f>_xll.BDP("034730 KS Equity", "CHG_PCT_1D")</f>
        <v>-2.5242719999999998</v>
      </c>
      <c r="E81">
        <f>_xll.BDP("034730 KS Equity", "EQY_TURNOVER")</f>
        <v>56999030000</v>
      </c>
    </row>
    <row r="82" spans="1:5" x14ac:dyDescent="0.25">
      <c r="A82" t="s">
        <v>85</v>
      </c>
      <c r="B82" t="str">
        <f>_xll.BDP("000720 KS Equity", "NAME")</f>
        <v>HYUNDAI ENGINEERING &amp; CONST</v>
      </c>
      <c r="C82">
        <f>_xll.BDP("000720 KS Equity", "PX_LAST")</f>
        <v>42750</v>
      </c>
      <c r="D82">
        <f>_xll.BDP("000720 KS Equity", "CHG_PCT_1D")</f>
        <v>2.2727270000000002</v>
      </c>
      <c r="E82">
        <f>_xll.BDP("000720 KS Equity", "EQY_TURNOVER")</f>
        <v>56594570000</v>
      </c>
    </row>
    <row r="83" spans="1:5" x14ac:dyDescent="0.25">
      <c r="A83" t="s">
        <v>86</v>
      </c>
      <c r="B83" t="str">
        <f>_xll.BDP("028670 KS Equity", "NAME")</f>
        <v>PAN OCEAN CO LTD</v>
      </c>
      <c r="C83">
        <f>_xll.BDP("028670 KS Equity", "PX_LAST")</f>
        <v>6240</v>
      </c>
      <c r="D83">
        <f>_xll.BDP("028670 KS Equity", "CHG_PCT_1D")</f>
        <v>-2.3474179999999998</v>
      </c>
      <c r="E83">
        <f>_xll.BDP("028670 KS Equity", "EQY_TURNOVER")</f>
        <v>56312770000</v>
      </c>
    </row>
    <row r="84" spans="1:5" x14ac:dyDescent="0.25">
      <c r="A84" t="s">
        <v>87</v>
      </c>
      <c r="B84" t="str">
        <f>_xll.BDP("007390 KS Equity", "NAME")</f>
        <v>NATURECELL CO LTD</v>
      </c>
      <c r="C84">
        <f>_xll.BDP("007390 KS Equity", "PX_LAST")</f>
        <v>9800</v>
      </c>
      <c r="D84">
        <f>_xll.BDP("007390 KS Equity", "CHG_PCT_1D")</f>
        <v>10.112360000000001</v>
      </c>
      <c r="E84">
        <f>_xll.BDP("007390 KS Equity", "EQY_TURNOVER")</f>
        <v>55709000000</v>
      </c>
    </row>
    <row r="85" spans="1:5" x14ac:dyDescent="0.25">
      <c r="A85" t="s">
        <v>88</v>
      </c>
      <c r="B85" t="str">
        <f>_xll.BDP("036570 KS Equity", "NAME")</f>
        <v>NCSOFT CORP</v>
      </c>
      <c r="C85">
        <f>_xll.BDP("036570 KS Equity", "PX_LAST")</f>
        <v>930000</v>
      </c>
      <c r="D85">
        <f>_xll.BDP("036570 KS Equity", "CHG_PCT_1D")</f>
        <v>-0.5347594</v>
      </c>
      <c r="E85">
        <f>_xll.BDP("036570 KS Equity", "EQY_TURNOVER")</f>
        <v>54790520000</v>
      </c>
    </row>
    <row r="86" spans="1:5" x14ac:dyDescent="0.25">
      <c r="A86" t="s">
        <v>89</v>
      </c>
      <c r="B86" t="str">
        <f>_xll.BDP("217270 KS Equity", "NAME")</f>
        <v>NEPTUNE CO</v>
      </c>
      <c r="C86">
        <f>_xll.BDP("217270 KS Equity", "PX_LAST")</f>
        <v>26800</v>
      </c>
      <c r="D86">
        <f>_xll.BDP("217270 KS Equity", "CHG_PCT_1D")</f>
        <v>10.97308</v>
      </c>
      <c r="E86">
        <f>_xll.BDP("217270 KS Equity", "EQY_TURNOVER")</f>
        <v>53791710000</v>
      </c>
    </row>
    <row r="87" spans="1:5" x14ac:dyDescent="0.25">
      <c r="A87" t="s">
        <v>90</v>
      </c>
      <c r="B87" t="str">
        <f>_xll.BDP("010140 KS Equity", "NAME")</f>
        <v>SAMSUNG HEAVY INDUSTRIES</v>
      </c>
      <c r="C87">
        <f>_xll.BDP("010140 KS Equity", "PX_LAST")</f>
        <v>6660</v>
      </c>
      <c r="D87">
        <f>_xll.BDP("010140 KS Equity", "CHG_PCT_1D")</f>
        <v>3.4161489999999999</v>
      </c>
      <c r="E87">
        <f>_xll.BDP("010140 KS Equity", "EQY_TURNOVER")</f>
        <v>52730760000</v>
      </c>
    </row>
    <row r="88" spans="1:5" x14ac:dyDescent="0.25">
      <c r="A88" t="s">
        <v>91</v>
      </c>
      <c r="B88" t="str">
        <f>_xll.BDP("011170 KS Equity", "NAME")</f>
        <v>LOTTE CHEMICAL CORP</v>
      </c>
      <c r="C88">
        <f>_xll.BDP("011170 KS Equity", "PX_LAST")</f>
        <v>300500</v>
      </c>
      <c r="D88">
        <f>_xll.BDP("011170 KS Equity", "CHG_PCT_1D")</f>
        <v>-0.98846789999999995</v>
      </c>
      <c r="E88">
        <f>_xll.BDP("011170 KS Equity", "EQY_TURNOVER")</f>
        <v>51236340000</v>
      </c>
    </row>
    <row r="89" spans="1:5" x14ac:dyDescent="0.25">
      <c r="A89" t="s">
        <v>92</v>
      </c>
      <c r="B89" t="str">
        <f>_xll.BDP("298000 KS Equity", "NAME")</f>
        <v>HYOSUNG CHEMICAL CORP</v>
      </c>
      <c r="C89">
        <f>_xll.BDP("298000 KS Equity", "PX_LAST")</f>
        <v>260000</v>
      </c>
      <c r="D89">
        <f>_xll.BDP("298000 KS Equity", "CHG_PCT_1D")</f>
        <v>10.16949</v>
      </c>
      <c r="E89">
        <f>_xll.BDP("298000 KS Equity", "EQY_TURNOVER")</f>
        <v>51125430000</v>
      </c>
    </row>
    <row r="90" spans="1:5" x14ac:dyDescent="0.25">
      <c r="A90" t="s">
        <v>93</v>
      </c>
      <c r="B90" t="str">
        <f>_xll.BDP("215480 KS Equity", "NAME")</f>
        <v>TOEBOX KOREA LTD</v>
      </c>
      <c r="C90">
        <f>_xll.BDP("215480 KS Equity", "PX_LAST")</f>
        <v>1405</v>
      </c>
      <c r="D90">
        <f>_xll.BDP("215480 KS Equity", "CHG_PCT_1D")</f>
        <v>-9.3548390000000001</v>
      </c>
      <c r="E90">
        <f>_xll.BDP("215480 KS Equity", "EQY_TURNOVER")</f>
        <v>50129720000</v>
      </c>
    </row>
    <row r="91" spans="1:5" x14ac:dyDescent="0.25">
      <c r="A91" t="s">
        <v>94</v>
      </c>
      <c r="B91" t="str">
        <f>_xll.BDP("083640 KS Equity", "NAME")</f>
        <v>INCON CO LTD</v>
      </c>
      <c r="C91">
        <f>_xll.BDP("083640 KS Equity", "PX_LAST")</f>
        <v>2495</v>
      </c>
      <c r="D91">
        <f>_xll.BDP("083640 KS Equity", "CHG_PCT_1D")</f>
        <v>11.88341</v>
      </c>
      <c r="E91">
        <f>_xll.BDP("083640 KS Equity", "EQY_TURNOVER")</f>
        <v>48910240000</v>
      </c>
    </row>
    <row r="92" spans="1:5" x14ac:dyDescent="0.25">
      <c r="A92" t="s">
        <v>95</v>
      </c>
      <c r="B92" t="str">
        <f>_xll.BDP("004020 KS Equity", "NAME")</f>
        <v>HYUNDAI STEEL CO</v>
      </c>
      <c r="C92">
        <f>_xll.BDP("004020 KS Equity", "PX_LAST")</f>
        <v>43900</v>
      </c>
      <c r="D92">
        <f>_xll.BDP("004020 KS Equity", "CHG_PCT_1D")</f>
        <v>2.6900580000000001</v>
      </c>
      <c r="E92">
        <f>_xll.BDP("004020 KS Equity", "EQY_TURNOVER")</f>
        <v>48625770000</v>
      </c>
    </row>
    <row r="93" spans="1:5" x14ac:dyDescent="0.25">
      <c r="A93" t="s">
        <v>96</v>
      </c>
      <c r="B93" t="str">
        <f>_xll.BDP("356890 KS Equity", "NAME")</f>
        <v>CYBERONE CO LTD</v>
      </c>
      <c r="C93">
        <f>_xll.BDP("356890 KS Equity", "PX_LAST")</f>
        <v>20000</v>
      </c>
      <c r="D93">
        <f>_xll.BDP("356890 KS Equity", "CHG_PCT_1D")</f>
        <v>-9.502262</v>
      </c>
      <c r="E93">
        <f>_xll.BDP("356890 KS Equity", "EQY_TURNOVER")</f>
        <v>48470100000</v>
      </c>
    </row>
    <row r="94" spans="1:5" x14ac:dyDescent="0.25">
      <c r="A94" t="s">
        <v>97</v>
      </c>
      <c r="B94" t="str">
        <f>_xll.BDP("005440 KS Equity", "NAME")</f>
        <v>HYUNDAI GREENFOOD CO LTD</v>
      </c>
      <c r="C94">
        <f>_xll.BDP("005440 KS Equity", "PX_LAST")</f>
        <v>10600</v>
      </c>
      <c r="D94">
        <f>_xll.BDP("005440 KS Equity", "CHG_PCT_1D")</f>
        <v>8.6065570000000005</v>
      </c>
      <c r="E94">
        <f>_xll.BDP("005440 KS Equity", "EQY_TURNOVER")</f>
        <v>48204280000</v>
      </c>
    </row>
    <row r="95" spans="1:5" x14ac:dyDescent="0.25">
      <c r="A95" t="s">
        <v>98</v>
      </c>
      <c r="B95" t="str">
        <f>_xll.BDP("033830 KS Equity", "NAME")</f>
        <v>TAEGU BROADCASTING CORP</v>
      </c>
      <c r="C95">
        <f>_xll.BDP("033830 KS Equity", "PX_LAST")</f>
        <v>1460</v>
      </c>
      <c r="D95">
        <f>_xll.BDP("033830 KS Equity", "CHG_PCT_1D")</f>
        <v>2.45614</v>
      </c>
      <c r="E95">
        <f>_xll.BDP("033830 KS Equity", "EQY_TURNOVER")</f>
        <v>48152300000</v>
      </c>
    </row>
    <row r="96" spans="1:5" x14ac:dyDescent="0.25">
      <c r="A96" t="s">
        <v>99</v>
      </c>
      <c r="B96" t="str">
        <f>_xll.BDP("005670 KS Equity", "NAME")</f>
        <v>FOODWELL CORP</v>
      </c>
      <c r="C96">
        <f>_xll.BDP("005670 KS Equity", "PX_LAST")</f>
        <v>7860</v>
      </c>
      <c r="D96">
        <f>_xll.BDP("005670 KS Equity", "CHG_PCT_1D")</f>
        <v>8.8642660000000006</v>
      </c>
      <c r="E96">
        <f>_xll.BDP("005670 KS Equity", "EQY_TURNOVER")</f>
        <v>47344420000</v>
      </c>
    </row>
    <row r="97" spans="1:5" x14ac:dyDescent="0.25">
      <c r="A97" t="s">
        <v>100</v>
      </c>
      <c r="B97" t="str">
        <f>_xll.BDP("112610 KS Equity", "NAME")</f>
        <v>CS WIND CORP</v>
      </c>
      <c r="C97">
        <f>_xll.BDP("112610 KS Equity", "PX_LAST")</f>
        <v>69300</v>
      </c>
      <c r="D97">
        <f>_xll.BDP("112610 KS Equity", "CHG_PCT_1D")</f>
        <v>-2.3943660000000002</v>
      </c>
      <c r="E97">
        <f>_xll.BDP("112610 KS Equity", "EQY_TURNOVER")</f>
        <v>47050450000</v>
      </c>
    </row>
    <row r="98" spans="1:5" x14ac:dyDescent="0.25">
      <c r="A98" t="s">
        <v>101</v>
      </c>
      <c r="B98" t="str">
        <f>_xll.BDP("086790 KS Equity", "NAME")</f>
        <v>HANA FINANCIAL GROUP</v>
      </c>
      <c r="C98">
        <f>_xll.BDP("086790 KS Equity", "PX_LAST")</f>
        <v>41500</v>
      </c>
      <c r="D98">
        <f>_xll.BDP("086790 KS Equity", "CHG_PCT_1D")</f>
        <v>-0.2403846</v>
      </c>
      <c r="E98">
        <f>_xll.BDP("086790 KS Equity", "EQY_TURNOVER")</f>
        <v>45380470000</v>
      </c>
    </row>
    <row r="99" spans="1:5" x14ac:dyDescent="0.25">
      <c r="A99" t="s">
        <v>102</v>
      </c>
      <c r="B99" t="str">
        <f>_xll.BDP("326030 KS Equity", "NAME")</f>
        <v>SK BIOPHARMACEUTICALS CO LTD</v>
      </c>
      <c r="C99">
        <f>_xll.BDP("326030 KS Equity", "PX_LAST")</f>
        <v>109000</v>
      </c>
      <c r="D99">
        <f>_xll.BDP("326030 KS Equity", "CHG_PCT_1D")</f>
        <v>0.4608295</v>
      </c>
      <c r="E99">
        <f>_xll.BDP("326030 KS Equity", "EQY_TURNOVER")</f>
        <v>44743730000</v>
      </c>
    </row>
    <row r="100" spans="1:5" x14ac:dyDescent="0.25">
      <c r="A100" t="s">
        <v>103</v>
      </c>
      <c r="B100" t="str">
        <f>_xll.BDP("017670 KS Equity", "NAME")</f>
        <v>SK TELECOM</v>
      </c>
      <c r="C100">
        <f>_xll.BDP("017670 KS Equity", "PX_LAST")</f>
        <v>257000</v>
      </c>
      <c r="D100">
        <f>_xll.BDP("017670 KS Equity", "CHG_PCT_1D")</f>
        <v>0.7843137</v>
      </c>
      <c r="E100">
        <f>_xll.BDP("017670 KS Equity", "EQY_TURNOVER")</f>
        <v>45569640000</v>
      </c>
    </row>
    <row r="101" spans="1:5" x14ac:dyDescent="0.25">
      <c r="A101" t="s">
        <v>104</v>
      </c>
      <c r="B101" t="str">
        <f>_xll.BDP("263700 KS Equity", "NAME")</f>
        <v>CARELABS CO LTD</v>
      </c>
      <c r="C101">
        <f>_xll.BDP("263700 KS Equity", "PX_LAST")</f>
        <v>11700</v>
      </c>
      <c r="D101">
        <f>_xll.BDP("263700 KS Equity", "CHG_PCT_1D")</f>
        <v>5.405405</v>
      </c>
      <c r="E101">
        <f>_xll.BDP("263700 KS Equity", "EQY_TURNOVER")</f>
        <v>44144390000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ASUS</cp:lastModifiedBy>
  <dcterms:created xsi:type="dcterms:W3CDTF">2013-04-03T15:49:21Z</dcterms:created>
  <dcterms:modified xsi:type="dcterms:W3CDTF">2021-03-15T13:36:51Z</dcterms:modified>
</cp:coreProperties>
</file>