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F8C9266C-03F8-4CEB-9F23-09B5ACFA7642}" xr6:coauthVersionLast="46" xr6:coauthVersionMax="46" xr10:uidLastSave="{00000000-0000-0000-0000-000000000000}"/>
  <bookViews>
    <workbookView xWindow="5415" yWindow="5415" windowWidth="17550" windowHeight="1543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2" l="1"/>
  <c r="C78" i="2"/>
  <c r="E78" i="2"/>
  <c r="B7" i="2"/>
  <c r="B14" i="2"/>
  <c r="C6" i="2"/>
  <c r="E68" i="2"/>
  <c r="C42" i="2"/>
  <c r="E14" i="2"/>
  <c r="E7" i="2"/>
  <c r="B56" i="2"/>
  <c r="C81" i="2"/>
  <c r="E42" i="2"/>
  <c r="D42" i="2"/>
  <c r="E82" i="2"/>
  <c r="B6" i="2"/>
  <c r="D6" i="2"/>
  <c r="E56" i="2"/>
  <c r="D82" i="2"/>
  <c r="D78" i="2"/>
  <c r="D14" i="2"/>
  <c r="B81" i="2"/>
  <c r="C7" i="2"/>
  <c r="E81" i="2"/>
  <c r="B68" i="2"/>
  <c r="D56" i="2"/>
  <c r="E65" i="2"/>
  <c r="C68" i="2"/>
  <c r="C65" i="2"/>
  <c r="E6" i="2"/>
  <c r="C56" i="2"/>
  <c r="D7" i="2"/>
  <c r="B82" i="2"/>
  <c r="B78" i="2"/>
  <c r="C14" i="2"/>
  <c r="D65" i="2"/>
  <c r="C82" i="2"/>
  <c r="D68" i="2"/>
  <c r="B42" i="2"/>
  <c r="D81" i="2"/>
  <c r="B30" i="2"/>
  <c r="C74" i="2"/>
  <c r="C80" i="2"/>
  <c r="D30" i="2"/>
  <c r="C10" i="2"/>
  <c r="B10" i="2"/>
  <c r="D29" i="2"/>
  <c r="D74" i="2"/>
  <c r="C95" i="2"/>
  <c r="C59" i="2"/>
  <c r="E37" i="2"/>
  <c r="D80" i="2"/>
  <c r="D64" i="2"/>
  <c r="B95" i="2"/>
  <c r="B59" i="2"/>
  <c r="D10" i="2"/>
  <c r="C64" i="2"/>
  <c r="E74" i="2"/>
  <c r="E59" i="2"/>
  <c r="E17" i="2"/>
  <c r="B37" i="2"/>
  <c r="D37" i="2"/>
  <c r="B17" i="2"/>
  <c r="B29" i="2"/>
  <c r="C30" i="2"/>
  <c r="B80" i="2"/>
  <c r="D17" i="2"/>
  <c r="C29" i="2"/>
  <c r="D95" i="2"/>
  <c r="E30" i="2"/>
  <c r="E29" i="2"/>
  <c r="C17" i="2"/>
  <c r="B64" i="2"/>
  <c r="E64" i="2"/>
  <c r="E95" i="2"/>
  <c r="D59" i="2"/>
  <c r="C37" i="2"/>
  <c r="B74" i="2"/>
  <c r="E10" i="2"/>
  <c r="E80" i="2"/>
  <c r="E31" i="2"/>
  <c r="C63" i="2"/>
  <c r="D97" i="2"/>
  <c r="D87" i="2"/>
  <c r="B97" i="2"/>
  <c r="E79" i="2"/>
  <c r="E63" i="2"/>
  <c r="B60" i="2"/>
  <c r="C75" i="2"/>
  <c r="B23" i="2"/>
  <c r="B31" i="2"/>
  <c r="D32" i="2"/>
  <c r="D23" i="2"/>
  <c r="C50" i="2"/>
  <c r="E50" i="2"/>
  <c r="C97" i="2"/>
  <c r="B87" i="2"/>
  <c r="C87" i="2"/>
  <c r="B63" i="2"/>
  <c r="E60" i="2"/>
  <c r="C32" i="2"/>
  <c r="D31" i="2"/>
  <c r="B75" i="2"/>
  <c r="D60" i="2"/>
  <c r="E32" i="2"/>
  <c r="C79" i="2"/>
  <c r="E23" i="2"/>
  <c r="E75" i="2"/>
  <c r="D50" i="2"/>
  <c r="B79" i="2"/>
  <c r="B50" i="2"/>
  <c r="E97" i="2"/>
  <c r="D75" i="2"/>
  <c r="B32" i="2"/>
  <c r="E87" i="2"/>
  <c r="C31" i="2"/>
  <c r="C23" i="2"/>
  <c r="D63" i="2"/>
  <c r="C60" i="2"/>
  <c r="D79" i="2"/>
  <c r="C22" i="2"/>
  <c r="E76" i="2"/>
  <c r="E58" i="2"/>
  <c r="C76" i="2"/>
  <c r="E88" i="2"/>
  <c r="C72" i="2"/>
  <c r="D22" i="2"/>
  <c r="D38" i="2"/>
  <c r="B38" i="2"/>
  <c r="B48" i="2"/>
  <c r="B72" i="2"/>
  <c r="B13" i="2"/>
  <c r="E72" i="2"/>
  <c r="E48" i="2"/>
  <c r="D9" i="2"/>
  <c r="B9" i="2"/>
  <c r="B76" i="2"/>
  <c r="C58" i="2"/>
  <c r="B88" i="2"/>
  <c r="E49" i="2"/>
  <c r="D49" i="2"/>
  <c r="D58" i="2"/>
  <c r="D48" i="2"/>
  <c r="C88" i="2"/>
  <c r="C13" i="2"/>
  <c r="D76" i="2"/>
  <c r="D72" i="2"/>
  <c r="B58" i="2"/>
  <c r="E38" i="2"/>
  <c r="D13" i="2"/>
  <c r="E9" i="2"/>
  <c r="C49" i="2"/>
  <c r="C38" i="2"/>
  <c r="B49" i="2"/>
  <c r="E13" i="2"/>
  <c r="D88" i="2"/>
  <c r="B22" i="2"/>
  <c r="C48" i="2"/>
  <c r="C9" i="2"/>
  <c r="E22" i="2"/>
  <c r="C44" i="2"/>
  <c r="D71" i="2"/>
  <c r="D55" i="2"/>
  <c r="E71" i="2"/>
  <c r="D27" i="2"/>
  <c r="B27" i="2"/>
  <c r="E44" i="2"/>
  <c r="D19" i="2"/>
  <c r="C52" i="2"/>
  <c r="D44" i="2"/>
  <c r="E70" i="2"/>
  <c r="D52" i="2"/>
  <c r="E21" i="2"/>
  <c r="C61" i="2"/>
  <c r="D77" i="2"/>
  <c r="C55" i="2"/>
  <c r="D70" i="2"/>
  <c r="C19" i="2"/>
  <c r="D61" i="2"/>
  <c r="B19" i="2"/>
  <c r="E52" i="2"/>
  <c r="C77" i="2"/>
  <c r="B21" i="2"/>
  <c r="C21" i="2"/>
  <c r="B61" i="2"/>
  <c r="C70" i="2"/>
  <c r="B71" i="2"/>
  <c r="C27" i="2"/>
  <c r="E77" i="2"/>
  <c r="C71" i="2"/>
  <c r="E27" i="2"/>
  <c r="E19" i="2"/>
  <c r="B52" i="2"/>
  <c r="B70" i="2"/>
  <c r="D21" i="2"/>
  <c r="E55" i="2"/>
  <c r="B77" i="2"/>
  <c r="E61" i="2"/>
  <c r="B44" i="2"/>
  <c r="B55" i="2"/>
  <c r="B69" i="2"/>
  <c r="D18" i="2"/>
  <c r="C8" i="2"/>
  <c r="E73" i="2"/>
  <c r="D84" i="2"/>
  <c r="C66" i="2"/>
  <c r="E8" i="2"/>
  <c r="D51" i="2"/>
  <c r="C84" i="2"/>
  <c r="C18" i="2"/>
  <c r="D94" i="2"/>
  <c r="B94" i="2"/>
  <c r="C96" i="2"/>
  <c r="C43" i="2"/>
  <c r="D8" i="2"/>
  <c r="E43" i="2"/>
  <c r="B96" i="2"/>
  <c r="B43" i="2"/>
  <c r="C73" i="2"/>
  <c r="E69" i="2"/>
  <c r="B73" i="2"/>
  <c r="E51" i="2"/>
  <c r="B51" i="2"/>
  <c r="E96" i="2"/>
  <c r="B66" i="2"/>
  <c r="B18" i="2"/>
  <c r="D69" i="2"/>
  <c r="B84" i="2"/>
  <c r="D66" i="2"/>
  <c r="E94" i="2"/>
  <c r="D96" i="2"/>
  <c r="C51" i="2"/>
  <c r="E66" i="2"/>
  <c r="E84" i="2"/>
  <c r="C69" i="2"/>
  <c r="C94" i="2"/>
  <c r="B8" i="2"/>
  <c r="D43" i="2"/>
  <c r="E18" i="2"/>
  <c r="D73" i="2"/>
  <c r="E54" i="2"/>
  <c r="E25" i="2"/>
  <c r="B16" i="2"/>
  <c r="C92" i="2"/>
  <c r="D54" i="2"/>
  <c r="C57" i="2"/>
  <c r="D57" i="2"/>
  <c r="C54" i="2"/>
  <c r="D46" i="2"/>
  <c r="B54" i="2"/>
  <c r="C15" i="2"/>
  <c r="C47" i="2"/>
  <c r="B46" i="2"/>
  <c r="E83" i="2"/>
  <c r="E46" i="2"/>
  <c r="C16" i="2"/>
  <c r="D92" i="2"/>
  <c r="E57" i="2"/>
  <c r="B47" i="2"/>
  <c r="B57" i="2"/>
  <c r="E33" i="2"/>
  <c r="E47" i="2"/>
  <c r="C33" i="2"/>
  <c r="D25" i="2"/>
  <c r="E16" i="2"/>
  <c r="D83" i="2"/>
  <c r="C46" i="2"/>
  <c r="B83" i="2"/>
  <c r="B92" i="2"/>
  <c r="B25" i="2"/>
  <c r="D47" i="2"/>
  <c r="B15" i="2"/>
  <c r="D16" i="2"/>
  <c r="D15" i="2"/>
  <c r="C25" i="2"/>
  <c r="B33" i="2"/>
  <c r="E15" i="2"/>
  <c r="D33" i="2"/>
  <c r="E92" i="2"/>
  <c r="C83" i="2"/>
  <c r="E67" i="2"/>
  <c r="C24" i="2"/>
  <c r="D24" i="2"/>
  <c r="D2" i="2"/>
  <c r="E2" i="2"/>
  <c r="B93" i="2"/>
  <c r="E5" i="2"/>
  <c r="B34" i="2"/>
  <c r="D93" i="2"/>
  <c r="C99" i="2"/>
  <c r="E39" i="2"/>
  <c r="E26" i="2"/>
  <c r="B99" i="2"/>
  <c r="E34" i="2"/>
  <c r="B67" i="2"/>
  <c r="E99" i="2"/>
  <c r="C34" i="2"/>
  <c r="D26" i="2"/>
  <c r="B26" i="2"/>
  <c r="E91" i="2"/>
  <c r="B2" i="2"/>
  <c r="C93" i="2"/>
  <c r="D34" i="2"/>
  <c r="D99" i="2"/>
  <c r="E93" i="2"/>
  <c r="D5" i="2"/>
  <c r="B24" i="2"/>
  <c r="E24" i="2"/>
  <c r="C39" i="2"/>
  <c r="C26" i="2"/>
  <c r="D91" i="2"/>
  <c r="C91" i="2"/>
  <c r="C67" i="2"/>
  <c r="C5" i="2"/>
  <c r="C2" i="2"/>
  <c r="D39" i="2"/>
  <c r="B91" i="2"/>
  <c r="B39" i="2"/>
  <c r="D67" i="2"/>
  <c r="B5" i="2"/>
  <c r="C98" i="2"/>
  <c r="C12" i="2"/>
  <c r="C4" i="2"/>
  <c r="D89" i="2"/>
  <c r="E98" i="2"/>
  <c r="D11" i="2"/>
  <c r="D12" i="2"/>
  <c r="D3" i="2"/>
  <c r="E86" i="2"/>
  <c r="C28" i="2"/>
  <c r="C90" i="2"/>
  <c r="C36" i="2"/>
  <c r="D98" i="2"/>
  <c r="E4" i="2"/>
  <c r="B90" i="2"/>
  <c r="D90" i="2"/>
  <c r="D36" i="2"/>
  <c r="E12" i="2"/>
  <c r="B4" i="2"/>
  <c r="E28" i="2"/>
  <c r="C86" i="2"/>
  <c r="C89" i="2"/>
  <c r="E36" i="2"/>
  <c r="C3" i="2"/>
  <c r="E3" i="2"/>
  <c r="E89" i="2"/>
  <c r="B86" i="2"/>
  <c r="B28" i="2"/>
  <c r="E11" i="2"/>
  <c r="D28" i="2"/>
  <c r="B89" i="2"/>
  <c r="B98" i="2"/>
  <c r="D86" i="2"/>
  <c r="B3" i="2"/>
  <c r="B12" i="2"/>
  <c r="D4" i="2"/>
  <c r="B11" i="2"/>
  <c r="E90" i="2"/>
  <c r="B36" i="2"/>
  <c r="C11" i="2"/>
  <c r="D41" i="2"/>
  <c r="B53" i="2"/>
  <c r="E101" i="2"/>
  <c r="D62" i="2"/>
  <c r="E20" i="2"/>
  <c r="B45" i="2"/>
  <c r="C53" i="2"/>
  <c r="E45" i="2"/>
  <c r="C62" i="2"/>
  <c r="D53" i="2"/>
  <c r="B41" i="2"/>
  <c r="E62" i="2"/>
  <c r="C100" i="2"/>
  <c r="D101" i="2"/>
  <c r="D40" i="2"/>
  <c r="D20" i="2"/>
  <c r="E100" i="2"/>
  <c r="B101" i="2"/>
  <c r="E35" i="2"/>
  <c r="B40" i="2"/>
  <c r="C35" i="2"/>
  <c r="B35" i="2"/>
  <c r="B85" i="2"/>
  <c r="D45" i="2"/>
  <c r="C85" i="2"/>
  <c r="D100" i="2"/>
  <c r="B20" i="2"/>
  <c r="E85" i="2"/>
  <c r="C41" i="2"/>
  <c r="E40" i="2"/>
  <c r="C20" i="2"/>
  <c r="C40" i="2"/>
  <c r="D85" i="2"/>
  <c r="D35" i="2"/>
  <c r="B100" i="2"/>
  <c r="E53" i="2"/>
  <c r="C45" i="2"/>
  <c r="C101" i="2"/>
  <c r="B62" i="2"/>
  <c r="E41" i="2"/>
</calcChain>
</file>

<file path=xl/sharedStrings.xml><?xml version="1.0" encoding="utf-8"?>
<sst xmlns="http://schemas.openxmlformats.org/spreadsheetml/2006/main" count="105" uniqueCount="105">
  <si>
    <t>F US Equity</t>
  </si>
  <si>
    <t>Ticker</t>
  </si>
  <si>
    <t>Name</t>
  </si>
  <si>
    <t>Last Price</t>
  </si>
  <si>
    <t>Price Change 1 Day Percent</t>
  </si>
  <si>
    <t>Equity Turnover / Traded Value</t>
  </si>
  <si>
    <t>TSLA US Equity</t>
  </si>
  <si>
    <t>AAPL US Equity</t>
  </si>
  <si>
    <t>AMZN US Equity</t>
  </si>
  <si>
    <t>GME US Equity</t>
  </si>
  <si>
    <t>MSFT US Equity</t>
  </si>
  <si>
    <t>NVDA US Equity</t>
  </si>
  <si>
    <t>DIS US Equity</t>
  </si>
  <si>
    <t>FB US Equity</t>
  </si>
  <si>
    <t>AMD US Equity</t>
  </si>
  <si>
    <t>GOOGL US Equity</t>
  </si>
  <si>
    <t>GOOG US Equity</t>
  </si>
  <si>
    <t>V US Equity</t>
  </si>
  <si>
    <t>BA US Equity</t>
  </si>
  <si>
    <t>PYPL US Equity</t>
  </si>
  <si>
    <t>SQ US Equity</t>
  </si>
  <si>
    <t>MA US Equity</t>
  </si>
  <si>
    <t>JPM US Equity</t>
  </si>
  <si>
    <t>BAC US Equity</t>
  </si>
  <si>
    <t>XOM US Equity</t>
  </si>
  <si>
    <t>ZM US Equity</t>
  </si>
  <si>
    <t>PLTR US Equity</t>
  </si>
  <si>
    <t>GE US Equity</t>
  </si>
  <si>
    <t>CRM US Equity</t>
  </si>
  <si>
    <t>INTC US Equity</t>
  </si>
  <si>
    <t>NFLX US Equity</t>
  </si>
  <si>
    <t>CVX US Equity</t>
  </si>
  <si>
    <t>MU US Equity</t>
  </si>
  <si>
    <t>C US Equity</t>
  </si>
  <si>
    <t>AVGO US Equity</t>
  </si>
  <si>
    <t>QCOM US Equity</t>
  </si>
  <si>
    <t>SNOW US Equity</t>
  </si>
  <si>
    <t>BRK/B US Equity</t>
  </si>
  <si>
    <t>ROKU US Equity</t>
  </si>
  <si>
    <t>WMT US Equity</t>
  </si>
  <si>
    <t>VIAC US Equity</t>
  </si>
  <si>
    <t>TTD US Equity</t>
  </si>
  <si>
    <t>T US Equity</t>
  </si>
  <si>
    <t>ORCL US Equity</t>
  </si>
  <si>
    <t>ADBE US Equity</t>
  </si>
  <si>
    <t>CSCO US Equity</t>
  </si>
  <si>
    <t>COST US Equity</t>
  </si>
  <si>
    <t>WFC US Equity</t>
  </si>
  <si>
    <t>SNAP US Equity</t>
  </si>
  <si>
    <t>PTON US Equity</t>
  </si>
  <si>
    <t>TWTR US Equity</t>
  </si>
  <si>
    <t>CMCSA US Equity</t>
  </si>
  <si>
    <t>GM US Equity</t>
  </si>
  <si>
    <t>VZ US Equity</t>
  </si>
  <si>
    <t>BKNG US Equity</t>
  </si>
  <si>
    <t>AMAT US Equity</t>
  </si>
  <si>
    <t>HD US Equity</t>
  </si>
  <si>
    <t>KO US Equity</t>
  </si>
  <si>
    <t>CCL US Equity</t>
  </si>
  <si>
    <t>NCLH US Equity</t>
  </si>
  <si>
    <t>MELI US Equity</t>
  </si>
  <si>
    <t>UNH US Equity</t>
  </si>
  <si>
    <t>PG US Equity</t>
  </si>
  <si>
    <t>BRK/A US Equity</t>
  </si>
  <si>
    <t>PEP US Equity</t>
  </si>
  <si>
    <t>MRK US Equity</t>
  </si>
  <si>
    <t>UBER US Equity</t>
  </si>
  <si>
    <t>PLUG US Equity</t>
  </si>
  <si>
    <t>JNJ US Equity</t>
  </si>
  <si>
    <t>GS US Equity</t>
  </si>
  <si>
    <t>TXN US Equity</t>
  </si>
  <si>
    <t>LRCX US Equity</t>
  </si>
  <si>
    <t>PINS US Equity</t>
  </si>
  <si>
    <t>CRWD US Equity</t>
  </si>
  <si>
    <t>TWLO US Equity</t>
  </si>
  <si>
    <t>DASH US Equity</t>
  </si>
  <si>
    <t>TMUS US Equity</t>
  </si>
  <si>
    <t>NOW US Equity</t>
  </si>
  <si>
    <t>UAL US Equity</t>
  </si>
  <si>
    <t>DKNG US Equity</t>
  </si>
  <si>
    <t>IBM US Equity</t>
  </si>
  <si>
    <t>ABNB US Equity</t>
  </si>
  <si>
    <t>LUV US Equity</t>
  </si>
  <si>
    <t>NEE US Equity</t>
  </si>
  <si>
    <t>TJX US Equity</t>
  </si>
  <si>
    <t>MRNA US Equity</t>
  </si>
  <si>
    <t>FCX US Equity</t>
  </si>
  <si>
    <t>AAL US Equity</t>
  </si>
  <si>
    <t>W US Equity</t>
  </si>
  <si>
    <t>PFE US Equity</t>
  </si>
  <si>
    <t>DISCK US Equity</t>
  </si>
  <si>
    <t>MS US Equity</t>
  </si>
  <si>
    <t>DAL US Equity</t>
  </si>
  <si>
    <t>TDOC US Equity</t>
  </si>
  <si>
    <t>AI US Equity</t>
  </si>
  <si>
    <t>TGT US Equity</t>
  </si>
  <si>
    <t>D US Equity</t>
  </si>
  <si>
    <t>FIS US Equity</t>
  </si>
  <si>
    <t>DOCU US Equity</t>
  </si>
  <si>
    <t>ETSY US Equity</t>
  </si>
  <si>
    <t>MO US Equity</t>
  </si>
  <si>
    <t>LOW US Equity</t>
  </si>
  <si>
    <t>NVAX US Equity</t>
  </si>
  <si>
    <t>EL US Equity</t>
  </si>
  <si>
    <t>RKT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</si>
</sst>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BDP|15816709595468600916</stp>
        <tr r="D30" s="2"/>
      </tp>
      <tp t="s">
        <v>#N/A N/A</v>
        <stp/>
        <stp>BDP|16913191886387363296</stp>
        <tr r="E73" s="2"/>
      </tp>
      <tp t="s">
        <v>#N/A N/A</v>
        <stp/>
        <stp>BDP|14399843926551828575</stp>
        <tr r="E45" s="2"/>
      </tp>
      <tp t="s">
        <v>#N/A N/A</v>
        <stp/>
        <stp>BDP|14699163374240824822</stp>
        <tr r="D52" s="2"/>
      </tp>
      <tp t="s">
        <v>#N/A N/A</v>
        <stp/>
        <stp>BDP|11061507963451678964</stp>
        <tr r="E52" s="2"/>
      </tp>
      <tp t="s">
        <v>#N/A N/A</v>
        <stp/>
        <stp>BDP|10152244281454418474</stp>
        <tr r="E42" s="2"/>
      </tp>
      <tp t="s">
        <v>#N/A N/A</v>
        <stp/>
        <stp>BDP|14683018618929389763</stp>
        <tr r="E83" s="2"/>
      </tp>
      <tp t="s">
        <v>#N/A N/A</v>
        <stp/>
        <stp>BDP|15788492338588218181</stp>
        <tr r="B34" s="2"/>
      </tp>
      <tp t="s">
        <v>#N/A N/A</v>
        <stp/>
        <stp>BDP|13620734669750867959</stp>
        <tr r="B31" s="2"/>
      </tp>
      <tp t="s">
        <v>#N/A N/A</v>
        <stp/>
        <stp>BDP|17481716082291084269</stp>
        <tr r="D87" s="2"/>
      </tp>
      <tp t="s">
        <v>#N/A N/A</v>
        <stp/>
        <stp>BDP|13350632931478652573</stp>
        <tr r="E72" s="2"/>
      </tp>
      <tp t="s">
        <v>#N/A N/A</v>
        <stp/>
        <stp>BDP|16690507694290457146</stp>
        <tr r="C54" s="2"/>
      </tp>
      <tp t="s">
        <v>#N/A N/A</v>
        <stp/>
        <stp>BDP|12797860566061859686</stp>
        <tr r="E33" s="2"/>
      </tp>
      <tp t="s">
        <v>#N/A N/A</v>
        <stp/>
        <stp>BDP|13586107072397559958</stp>
        <tr r="B14" s="2"/>
      </tp>
      <tp t="s">
        <v>#N/A N/A</v>
        <stp/>
        <stp>BDP|13811562288811465440</stp>
        <tr r="E57" s="2"/>
      </tp>
      <tp t="s">
        <v>#N/A N/A</v>
        <stp/>
        <stp>BDP|15753311317308993710</stp>
        <tr r="C72" s="2"/>
      </tp>
      <tp t="s">
        <v>#N/A N/A</v>
        <stp/>
        <stp>BDP|15997593380395982557</stp>
        <tr r="E63" s="2"/>
      </tp>
      <tp t="s">
        <v>#N/A N/A</v>
        <stp/>
        <stp>BDP|10756979120992206103</stp>
        <tr r="B83" s="2"/>
      </tp>
      <tp t="s">
        <v>#N/A N/A</v>
        <stp/>
        <stp>BDP|15230718795624191739</stp>
        <tr r="B10" s="2"/>
      </tp>
      <tp t="s">
        <v>#N/A N/A</v>
        <stp/>
        <stp>BDP|17003660499597037782</stp>
        <tr r="B53" s="2"/>
      </tp>
      <tp t="s">
        <v>#N/A N/A</v>
        <stp/>
        <stp>BDP|16905730488924608529</stp>
        <tr r="D84" s="2"/>
      </tp>
      <tp t="s">
        <v>#N/A N/A</v>
        <stp/>
        <stp>BDP|16992252269669402294</stp>
        <tr r="C80" s="2"/>
      </tp>
      <tp t="s">
        <v>#N/A N/A</v>
        <stp/>
        <stp>BDP|11697226194951097281</stp>
        <tr r="B9" s="2"/>
      </tp>
      <tp t="s">
        <v>#N/A N/A</v>
        <stp/>
        <stp>BDP|15817334163551148821</stp>
        <tr r="E44" s="2"/>
      </tp>
      <tp t="s">
        <v>#N/A N/A</v>
        <stp/>
        <stp>BDP|15400637964159123583</stp>
        <tr r="C10" s="2"/>
      </tp>
      <tp t="s">
        <v>#N/A N/A</v>
        <stp/>
        <stp>BDP|17862218098087878249</stp>
        <tr r="D97" s="2"/>
      </tp>
      <tp t="s">
        <v>#N/A N/A</v>
        <stp/>
        <stp>BDP|13564544780217768093</stp>
        <tr r="C6" s="2"/>
      </tp>
      <tp t="s">
        <v>#N/A N/A</v>
        <stp/>
        <stp>BDP|12707946214423537034</stp>
        <tr r="C28" s="2"/>
      </tp>
      <tp t="s">
        <v>#N/A N/A</v>
        <stp/>
        <stp>BDP|12550242645598297566</stp>
        <tr r="D70" s="2"/>
      </tp>
      <tp t="s">
        <v>#N/A N/A</v>
        <stp/>
        <stp>BDP|18055828646299545430</stp>
        <tr r="E67" s="2"/>
      </tp>
      <tp t="s">
        <v>#N/A N/A</v>
        <stp/>
        <stp>BDP|14643762954929546644</stp>
        <tr r="E21" s="2"/>
      </tp>
      <tp t="s">
        <v>#N/A N/A</v>
        <stp/>
        <stp>BDP|17078523105922316934</stp>
        <tr r="C78" s="2"/>
      </tp>
      <tp t="s">
        <v>#N/A N/A</v>
        <stp/>
        <stp>BDP|12128701870199262257</stp>
        <tr r="D61" s="2"/>
      </tp>
      <tp t="s">
        <v>#N/A N/A</v>
        <stp/>
        <stp>BDP|11370318489715347115</stp>
        <tr r="E43" s="2"/>
      </tp>
      <tp t="s">
        <v>#N/A N/A</v>
        <stp/>
        <stp>BDP|16670756432339999556</stp>
        <tr r="E88" s="2"/>
      </tp>
      <tp t="s">
        <v>#N/A N/A</v>
        <stp/>
        <stp>BDP|11555466390225581788</stp>
        <tr r="D80" s="2"/>
      </tp>
      <tp t="s">
        <v>#N/A N/A</v>
        <stp/>
        <stp>BDP|13758741328011165947</stp>
        <tr r="C95" s="2"/>
      </tp>
      <tp t="s">
        <v>#N/A N/A</v>
        <stp/>
        <stp>BDP|18396474177344399116</stp>
        <tr r="C22" s="2"/>
      </tp>
      <tp t="s">
        <v>#N/A N/A</v>
        <stp/>
        <stp>BDP|14184556334478244470</stp>
        <tr r="D74" s="2"/>
      </tp>
      <tp t="s">
        <v>#N/A N/A</v>
        <stp/>
        <stp>BDP|10856598824228480151</stp>
        <tr r="B96" s="2"/>
      </tp>
      <tp t="s">
        <v>#N/A N/A</v>
        <stp/>
        <stp>BDP|14575477643392612837</stp>
        <tr r="E46" s="2"/>
      </tp>
      <tp t="s">
        <v>#N/A N/A</v>
        <stp/>
        <stp>BDP|12143516371597231951</stp>
        <tr r="E14" s="2"/>
      </tp>
      <tp t="s">
        <v>#N/A N/A</v>
        <stp/>
        <stp>BDP|17239726476939783187</stp>
        <tr r="B69" s="2"/>
      </tp>
      <tp t="s">
        <v>#N/A N/A</v>
        <stp/>
        <stp>BDP|17759506348051626847</stp>
        <tr r="E58" s="2"/>
      </tp>
      <tp t="s">
        <v>#N/A N/A</v>
        <stp/>
        <stp>BDP|17047164895751689196</stp>
        <tr r="C74" s="2"/>
      </tp>
      <tp t="s">
        <v>#N/A N/A</v>
        <stp/>
        <stp>BDP|13801980154108476818</stp>
        <tr r="B13" s="2"/>
      </tp>
      <tp t="s">
        <v>#N/A N/A</v>
        <stp/>
        <stp>BDP|17328883103468835817</stp>
        <tr r="B97" s="2"/>
      </tp>
      <tp t="s">
        <v>#N/A N/A</v>
        <stp/>
        <stp>BDP|12061930320111378717</stp>
        <tr r="E16" s="2"/>
      </tp>
      <tp t="s">
        <v>#N/A N/A</v>
        <stp/>
        <stp>BDP|10642935075928770945</stp>
        <tr r="C34" s="2"/>
      </tp>
      <tp t="s">
        <v>#N/A N/A</v>
        <stp/>
        <stp>BDP|12738944625746997086</stp>
        <tr r="E47" s="2"/>
      </tp>
      <tp t="s">
        <v>#N/A N/A</v>
        <stp/>
        <stp>BDP|13216553528359748127</stp>
        <tr r="B57" s="2"/>
      </tp>
      <tp t="s">
        <v>#N/A N/A</v>
        <stp/>
        <stp>BDP|16895561387752798547</stp>
        <tr r="E101" s="2"/>
      </tp>
      <tp t="s">
        <v>#N/A N/A</v>
        <stp/>
        <stp>BDP|14673707825378039594</stp>
        <tr r="B48" s="2"/>
      </tp>
      <tp t="s">
        <v>#N/A N/A</v>
        <stp/>
        <stp>BDP|14636732975211864956</stp>
        <tr r="C84" s="2"/>
      </tp>
      <tp t="s">
        <v>#N/A N/A</v>
        <stp/>
        <stp>BDP|16871806905802305014</stp>
        <tr r="C76" s="2"/>
      </tp>
      <tp t="s">
        <v>#N/A N/A</v>
        <stp/>
        <stp>BDP|10394988158067439761</stp>
        <tr r="E60" s="2"/>
      </tp>
      <tp t="s">
        <v>#N/A N/A</v>
        <stp/>
        <stp>BDP|11420934690339068476</stp>
        <tr r="B56" s="2"/>
      </tp>
      <tp t="s">
        <v>#N/A N/A</v>
        <stp/>
        <stp>BDP|13347691998879222950</stp>
        <tr r="D23" s="2"/>
      </tp>
      <tp t="s">
        <v>#N/A N/A</v>
        <stp/>
        <stp>BDP|13404837522502111710</stp>
        <tr r="C59" s="2"/>
      </tp>
      <tp t="s">
        <v>#N/A N/A</v>
        <stp/>
        <stp>BDP|17071928772397042273</stp>
        <tr r="E2" s="2"/>
      </tp>
      <tp t="s">
        <v>#N/A N/A</v>
        <stp/>
        <stp>BDP|12162989891159860769</stp>
        <tr r="B87" s="2"/>
      </tp>
      <tp t="s">
        <v>#N/A N/A</v>
        <stp/>
        <stp>BDP|13609172496070127679</stp>
        <tr r="B94" s="2"/>
      </tp>
      <tp t="s">
        <v>#N/A N/A</v>
        <stp/>
        <stp>BDP|14108124575617564829</stp>
        <tr r="D77" s="2"/>
      </tp>
      <tp t="s">
        <v>#N/A N/A</v>
        <stp/>
        <stp>BDP|15316625867000382850</stp>
        <tr r="D38" s="2"/>
      </tp>
      <tp t="s">
        <v>#N/A N/A</v>
        <stp/>
        <stp>BDP|17567349751335596969</stp>
        <tr r="B16" s="2"/>
      </tp>
      <tp t="s">
        <v>#N/A N/A</v>
        <stp/>
        <stp>BDP|16309831130338633849</stp>
        <tr r="D89" s="2"/>
      </tp>
      <tp t="s">
        <v>#N/A N/A</v>
        <stp/>
        <stp>BDP|12627490559509897870</stp>
        <tr r="D25" s="2"/>
      </tp>
      <tp t="s">
        <v>#N/A N/A</v>
        <stp/>
        <stp>BDP|12973115901004813584</stp>
        <tr r="C55" s="2"/>
      </tp>
      <tp t="s">
        <v>#N/A N/A</v>
        <stp/>
        <stp>BDP|10327115059726604070</stp>
        <tr r="B25" s="2"/>
      </tp>
      <tp t="s">
        <v>#N/A N/A</v>
        <stp/>
        <stp>BDP|13890052065551395611</stp>
        <tr r="E39" s="2"/>
      </tp>
      <tp t="s">
        <v>#N/A N/A</v>
        <stp/>
        <stp>BDP|13998761548842965039</stp>
        <tr r="C16" s="2"/>
      </tp>
      <tp t="s">
        <v>#N/A N/A</v>
        <stp/>
        <stp>BDP|15362403558993729513</stp>
        <tr r="B45" s="2"/>
      </tp>
      <tp t="s">
        <v>#N/A N/A</v>
        <stp/>
        <stp>BDP|13650038752806822224</stp>
        <tr r="D53" s="2"/>
      </tp>
      <tp t="s">
        <v>#N/A N/A</v>
        <stp/>
        <stp>BDP|17384012629771736627</stp>
        <tr r="D54" s="2"/>
      </tp>
      <tp t="s">
        <v>#N/A N/A</v>
        <stp/>
        <stp>BDP|11179567362102271294</stp>
        <tr r="B95" s="2"/>
      </tp>
      <tp t="s">
        <v>#N/A N/A</v>
        <stp/>
        <stp>BDP|15565960387741227771</stp>
        <tr r="C47" s="2"/>
      </tp>
      <tp t="s">
        <v>#N/A N/A</v>
        <stp/>
        <stp>BDP|15266089379407597773</stp>
        <tr r="B46" s="2"/>
      </tp>
      <tp t="s">
        <v>#N/A N/A</v>
        <stp/>
        <stp>BDP|12070812795757110670</stp>
        <tr r="E48" s="2"/>
      </tp>
      <tp t="s">
        <v>#N/A N/A</v>
        <stp/>
        <stp>BDP|18380103367344326920</stp>
        <tr r="B30" s="2"/>
      </tp>
      <tp t="s">
        <v>#N/A N/A</v>
        <stp/>
        <stp>BDP|16629156716360294432</stp>
        <tr r="D62" s="2"/>
      </tp>
      <tp t="s">
        <v>#N/A N/A</v>
        <stp/>
        <stp>BDP|11005679210831071536</stp>
        <tr r="C46" s="2"/>
      </tp>
      <tp t="s">
        <v>#N/A N/A</v>
        <stp/>
        <stp>BDP|14752632053167685264</stp>
        <tr r="D93" s="2"/>
      </tp>
      <tp t="s">
        <v>#N/A N/A</v>
        <stp/>
        <stp>BDP|13013155756713535613</stp>
        <tr r="C96" s="2"/>
      </tp>
      <tp t="s">
        <v>#N/A N/A</v>
        <stp/>
        <stp>BDP|15401045323940384566</stp>
        <tr r="D22" s="2"/>
      </tp>
      <tp t="s">
        <v>#N/A N/A</v>
        <stp/>
        <stp>BDP|10145582014752718529</stp>
        <tr r="D40" s="2"/>
      </tp>
      <tp t="s">
        <v>#N/A N/A</v>
        <stp/>
        <stp>BDP|12704878037709813335</stp>
        <tr r="C97" s="2"/>
      </tp>
      <tp t="s">
        <v>#N/A N/A</v>
        <stp/>
        <stp>BDP|14730673028530170355</stp>
        <tr r="C99" s="2"/>
      </tp>
      <tp t="s">
        <v>#N/A N/A</v>
        <stp/>
        <stp>BDP|13841015992249246072</stp>
        <tr r="D92" s="2"/>
      </tp>
      <tp t="s">
        <v>#N/A N/A</v>
        <stp/>
        <stp>BDP|12509009411975359573</stp>
        <tr r="E62" s="2"/>
      </tp>
      <tp t="s">
        <v>#N/A N/A</v>
        <stp/>
        <stp>BDP|18070298874196788884</stp>
        <tr r="E31" s="2"/>
      </tp>
      <tp t="s">
        <v>#N/A N/A</v>
        <stp/>
        <stp>BDP|14213473930062556250</stp>
        <tr r="B23" s="2"/>
      </tp>
      <tp t="s">
        <v>#N/A N/A</v>
        <stp/>
        <stp>BDP|14557104926030431437</stp>
        <tr r="C53" s="2"/>
      </tp>
      <tp t="s">
        <v>#N/A N/A</v>
        <stp/>
        <stp>BDP|17631658303413513127</stp>
        <tr r="E71" s="2"/>
      </tp>
      <tp t="s">
        <v>#N/A N/A</v>
        <stp/>
        <stp>BDP|15901415809293636107</stp>
        <tr r="E98" s="2"/>
      </tp>
      <tp t="s">
        <v>#N/A N/A</v>
        <stp/>
        <stp>BDP|16070358110976375110</stp>
        <tr r="E79" s="2"/>
      </tp>
      <tp t="s">
        <v>#N/A N/A</v>
        <stp/>
        <stp>BDP|15694820110417728853</stp>
        <tr r="B60" s="2"/>
      </tp>
      <tp t="s">
        <v>#N/A N/A</v>
        <stp/>
        <stp>BDP|18195083522698078221</stp>
        <tr r="C98" s="2"/>
      </tp>
      <tp t="s">
        <v>#N/A N/A</v>
        <stp/>
        <stp>BDP|11737736282646727887</stp>
        <tr r="D83" s="2"/>
      </tp>
      <tp t="s">
        <v>#N/A N/A</v>
        <stp/>
        <stp>BDP|17890768537785740669</stp>
        <tr r="D55" s="2"/>
      </tp>
      <tp t="s">
        <v>#N/A N/A</v>
        <stp/>
        <stp>BDP|12046417227395725191</stp>
        <tr r="D9" s="2"/>
      </tp>
      <tp t="s">
        <v>#N/A N/A</v>
        <stp/>
        <stp>BDP|12355652856801995057</stp>
        <tr r="C43" s="2"/>
      </tp>
      <tp t="s">
        <v>#N/A N/A</v>
        <stp/>
        <stp>BDP|10550592262664011721</stp>
        <tr r="D101" s="2"/>
      </tp>
      <tp t="s">
        <v>#N/A N/A</v>
        <stp/>
        <stp>BDP|15049453493349826113</stp>
        <tr r="D51" s="2"/>
      </tp>
      <tp t="s">
        <v>#N/A N/A</v>
        <stp/>
        <stp>BDP|17558233160987363400</stp>
        <tr r="C92" s="2"/>
      </tp>
      <tp t="s">
        <v>#N/A N/A</v>
        <stp/>
        <stp>BDP|10891156855855927166</stp>
        <tr r="C36" s="2"/>
      </tp>
      <tp t="s">
        <v>#N/A N/A</v>
        <stp/>
        <stp>BDP|14423561044516698296</stp>
        <tr r="D3" s="2"/>
      </tp>
      <tp t="s">
        <v>#N/A N/A</v>
        <stp/>
        <stp>BDP|15719278286208769682</stp>
        <tr r="E78" s="2"/>
      </tp>
      <tp t="s">
        <v>#N/A N/A</v>
        <stp/>
        <stp>BDP|13864026624154366444</stp>
        <tr r="D94" s="2"/>
      </tp>
      <tp t="s">
        <v>#N/A N/A</v>
        <stp/>
        <stp>BDP|10577466012553844714</stp>
        <tr r="B92" s="2"/>
      </tp>
      <tp t="s">
        <v>#N/A N/A</v>
        <stp/>
        <stp>BDP|17892116640735411601</stp>
        <tr r="C63" s="2"/>
      </tp>
      <tp t="s">
        <v>#N/A N/A</v>
        <stp/>
        <stp>BDP|17115388509437720286</stp>
        <tr r="C8" s="2"/>
      </tp>
      <tp t="s">
        <v>#N/A N/A</v>
        <stp/>
        <stp>BDP|10581751377356248754</stp>
        <tr r="B63" s="2"/>
      </tp>
      <tp t="s">
        <v>#N/A N/A</v>
        <stp/>
        <stp>BDP|12319316472195688253</stp>
        <tr r="C19" s="2"/>
      </tp>
      <tp t="s">
        <v>#N/A N/A</v>
        <stp/>
        <stp>BDP|15370067346424627463</stp>
        <tr r="C52" s="2"/>
      </tp>
      <tp t="s">
        <v>#N/A N/A</v>
        <stp/>
        <stp>BDP|15848672547396378092</stp>
        <tr r="B27" s="2"/>
      </tp>
      <tp t="s">
        <v>#N/A N/A</v>
        <stp/>
        <stp>BDP|11559301440716312144</stp>
        <tr r="C87" s="2"/>
      </tp>
      <tp t="s">
        <v>#N/A N/A</v>
        <stp/>
        <stp>BDP|15136670834984605513</stp>
        <tr r="D11" s="2"/>
      </tp>
      <tp t="s">
        <v>#N/A N/A</v>
        <stp/>
        <stp>BDP|11449208732683235204</stp>
        <tr r="B19" s="2"/>
      </tp>
      <tp t="s">
        <v>#N/A N/A</v>
        <stp/>
        <stp>BDP|17202004962641130163</stp>
        <tr r="D18" s="2"/>
      </tp>
      <tp t="s">
        <v>#N/A N/A</v>
        <stp/>
        <stp>BDP|13030443221793155727</stp>
        <tr r="E26" s="2"/>
      </tp>
      <tp t="s">
        <v>#N/A N/A</v>
        <stp/>
        <stp>BDP|12435677401535523017</stp>
        <tr r="C100" s="2"/>
      </tp>
      <tp t="s">
        <v>#N/A N/A</v>
        <stp/>
        <stp>BDP|11481069299266097835</stp>
        <tr r="D64" s="2"/>
      </tp>
      <tp t="s">
        <v>#N/A N/A</v>
        <stp/>
        <stp>BDP|14382746862066512581</stp>
        <tr r="C75" s="2"/>
      </tp>
      <tp t="s">
        <v>#N/A N/A</v>
        <stp/>
        <stp>BDP|11625728028822469001</stp>
        <tr r="E37" s="2"/>
      </tp>
      <tp t="s">
        <v>#N/A N/A</v>
        <stp/>
        <stp>BDP|10350209449135093518</stp>
        <tr r="C81" s="2"/>
      </tp>
      <tp t="s">
        <v>#N/A N/A</v>
        <stp/>
        <stp>BDP|15529323610200903149</stp>
        <tr r="D44" s="2"/>
      </tp>
      <tp t="s">
        <v>#N/A N/A</v>
        <stp/>
        <stp>BDP|16581398292449107357</stp>
        <tr r="D46" s="2"/>
      </tp>
      <tp t="s">
        <v>#N/A N/A</v>
        <stp/>
        <stp>BDP|12120832836648815715</stp>
        <tr r="D8" s="2"/>
      </tp>
      <tp t="s">
        <v>#N/A N/A</v>
        <stp/>
        <stp>BDP|16640273001904969668</stp>
        <tr r="C66" s="2"/>
      </tp>
      <tp t="s">
        <v>#N/A N/A</v>
        <stp/>
        <stp>BDP|17465424275950751257</stp>
        <tr r="C12" s="2"/>
      </tp>
      <tp t="s">
        <v>#N/A N/A</v>
        <stp/>
        <stp>BDP|16937238469576570260</stp>
        <tr r="D27" s="2"/>
      </tp>
      <tp t="s">
        <v>#N/A N/A</v>
        <stp/>
        <stp>BDP|15542540795038547715</stp>
        <tr r="D19" s="2"/>
      </tp>
      <tp t="s">
        <v>#N/A N/A</v>
        <stp/>
        <stp>BDP|14645255615687609622</stp>
        <tr r="E70" s="2"/>
      </tp>
      <tp t="s">
        <v>#N/A N/A</v>
        <stp/>
        <stp>BDP|17843120713852866283</stp>
        <tr r="D41" s="2"/>
      </tp>
      <tp t="s">
        <v>#N/A N/A</v>
        <stp/>
        <stp>BDP|14733283745475171009</stp>
        <tr r="D29" s="2"/>
      </tp>
      <tp t="s">
        <v>#N/A N/A</v>
        <stp/>
        <stp>BDP|15086057800777630590</stp>
        <tr r="B38" s="2"/>
      </tp>
      <tp t="s">
        <v>#N/A N/A</v>
        <stp/>
        <stp>BDP|11498978896204938264</stp>
        <tr r="E7" s="2"/>
      </tp>
      <tp t="s">
        <v>#N/A N/A</v>
        <stp/>
        <stp>BDP|17915361056233531506</stp>
        <tr r="D71" s="2"/>
      </tp>
      <tp t="s">
        <v>#N/A N/A</v>
        <stp/>
        <stp>BDP|17881733935650495450</stp>
        <tr r="C24" s="2"/>
      </tp>
      <tp t="s">
        <v>#N/A N/A</v>
        <stp/>
        <stp>BDP|14097343358324713151</stp>
        <tr r="C18" s="2"/>
      </tp>
      <tp t="s">
        <v>#N/A N/A</v>
        <stp/>
        <stp>BDP|10667234471636298488</stp>
        <tr r="B43" s="2"/>
      </tp>
      <tp t="s">
        <v>#N/A N/A</v>
        <stp/>
        <stp>BDP|17740643471313108227</stp>
        <tr r="E25" s="2"/>
      </tp>
      <tp t="s">
        <v>#N/A N/A</v>
        <stp/>
        <stp>BDP|13709779365414195156</stp>
        <tr r="E86" s="2"/>
      </tp>
      <tp t="s">
        <v>#N/A N/A</v>
        <stp/>
        <stp>BDP|15791729436554043263</stp>
        <tr r="B54" s="2"/>
      </tp>
      <tp t="s">
        <v>#N/A N/A</v>
        <stp/>
        <stp>BDP|14323291546823337561</stp>
        <tr r="C62" s="2"/>
      </tp>
      <tp t="s">
        <v>#N/A N/A</v>
        <stp/>
        <stp>BDP|11161346725066946209</stp>
        <tr r="E99" s="2"/>
      </tp>
      <tp t="s">
        <v>#N/A N/A</v>
        <stp/>
        <stp>BDP|15736386664287176319</stp>
        <tr r="C15" s="2"/>
      </tp>
      <tp t="s">
        <v>#N/A N/A</v>
        <stp/>
        <stp>BDP|17127769372464770791</stp>
        <tr r="C4" s="2"/>
      </tp>
      <tp t="s">
        <v>#N/A N/A</v>
        <stp/>
        <stp>BDP|14589181192120013841</stp>
        <tr r="B72" s="2"/>
      </tp>
      <tp t="s">
        <v>#N/A N/A</v>
        <stp/>
        <stp>BDP|17835723211345252026</stp>
        <tr r="D24" s="2"/>
      </tp>
      <tp t="s">
        <v>#N/A N/A</v>
        <stp/>
        <stp>BDP|12670260151173990224</stp>
        <tr r="C33" s="2"/>
      </tp>
      <tp t="s">
        <v>#N/A N/A</v>
        <stp/>
        <stp>BDP|12136591355384769209</stp>
        <tr r="C90" s="2"/>
      </tp>
      <tp t="s">
        <v>#N/A N/A</v>
        <stp/>
        <stp>BDP|13612416184623876812</stp>
        <tr r="D32" s="2"/>
      </tp>
      <tp t="s">
        <v>#N/A N/A</v>
        <stp/>
        <stp>BDP|12126758442564175196</stp>
        <tr r="B99" s="2"/>
      </tp>
      <tp t="s">
        <v>#N/A N/A</v>
        <stp/>
        <stp>BDP|17940510169887494758</stp>
        <tr r="E76" s="2"/>
      </tp>
      <tp t="s">
        <v>#N/A N/A</v>
        <stp/>
        <stp>BDP|17725620279742469083</stp>
        <tr r="B65" s="2"/>
      </tp>
      <tp t="s">
        <v>#N/A N/A</v>
        <stp/>
        <stp>BDP|17503587698326265972</stp>
        <tr r="D2" s="2"/>
      </tp>
      <tp t="s">
        <v>#N/A N/A</v>
        <stp/>
        <stp>BDP|17945012311657387586</stp>
        <tr r="E54" s="2"/>
      </tp>
      <tp t="s">
        <v>#N/A N/A</v>
        <stp/>
        <stp>BDP|16484167739606938608</stp>
        <tr r="E20" s="2"/>
      </tp>
      <tp t="s">
        <v>#N/A N/A</v>
        <stp/>
        <stp>BDP|13531449996462782820</stp>
        <tr r="B47" s="2"/>
      </tp>
      <tp t="s">
        <v>#N/A N/A</v>
        <stp/>
        <stp>BDP|17281730357791179027</stp>
        <tr r="C57" s="2"/>
      </tp>
      <tp t="s">
        <v>#N/A N/A</v>
        <stp/>
        <stp>BDP|16571390919219373932</stp>
        <tr r="E8" s="2"/>
      </tp>
      <tp t="s">
        <v>#N/A N/A</v>
        <stp/>
        <stp>BDP|16879156116770998265</stp>
        <tr r="D57" s="2"/>
      </tp>
      <tp t="s">
        <v>#N/A N/A</v>
        <stp/>
        <stp>BDP|13012795094741196884</stp>
        <tr r="E50" s="2"/>
      </tp>
      <tp t="s">
        <v>#N/A N/A</v>
        <stp/>
        <stp>BDP|16760323644401130443</stp>
        <tr r="B93" s="2"/>
      </tp>
      <tp t="s">
        <v>#N/A N/A</v>
        <stp/>
        <stp>BDP|12560544985043182824</stp>
        <tr r="B41" s="2"/>
      </tp>
      <tp t="s">
        <v>#N/A N/A</v>
        <stp/>
        <stp>BDP|14545448091589553434</stp>
        <tr r="D12" s="2"/>
      </tp>
      <tp t="s">
        <v>#N/A N/A</v>
        <stp/>
        <stp>BDP|18417192599472512671</stp>
        <tr r="C44" s="2"/>
      </tp>
      <tp t="s">
        <v>#N/A N/A</v>
        <stp/>
        <stp>BDP|12456081170409525931</stp>
        <tr r="C42" s="2"/>
      </tp>
      <tp t="s">
        <v>#N/A N/A</v>
        <stp/>
        <stp>BDP|16757055979467185367</stp>
        <tr r="E5" s="2"/>
      </tp>
      <tp t="s">
        <v>#N/A N/A</v>
        <stp/>
        <stp>BDP|13251770874612651488</stp>
        <tr r="C50" s="2"/>
      </tp>
      <tp t="s">
        <v>#N/A N/A</v>
        <stp/>
        <stp>BDP|14389387091783472812</stp>
        <tr r="C61" s="2"/>
      </tp>
      <tp t="s">
        <v>#N/A N/A</v>
        <stp/>
        <stp>BDP|11812265271713136217</stp>
        <tr r="E34" s="2"/>
      </tp>
      <tp t="s">
        <v>#N/A N/A</v>
        <stp/>
        <stp>BDP|14672332335199571845</stp>
        <tr r="B7" s="2"/>
      </tp>
      <tp t="s">
        <v>#N/A N/A</v>
        <stp/>
        <stp>BDP|11180810141349239119</stp>
        <tr r="B67" s="2"/>
      </tp>
    </main>
    <main first="bofaddin.rtdserver">
      <tp t="s">
        <v>#N/A N/A</v>
        <stp/>
        <stp>BDP|1722959641446867619</stp>
        <tr r="B82" s="2"/>
      </tp>
      <tp t="s">
        <v>#N/A N/A</v>
        <stp/>
        <stp>BDP|9109736174406829347</stp>
        <tr r="B26" s="2"/>
      </tp>
      <tp t="s">
        <v>#N/A N/A</v>
        <stp/>
        <stp>BDP|9778091511941479505</stp>
        <tr r="B15" s="2"/>
      </tp>
      <tp t="s">
        <v>#N/A N/A</v>
        <stp/>
        <stp>BDP|8359299799506921926</stp>
        <tr r="D34" s="2"/>
      </tp>
      <tp t="s">
        <v>#N/A N/A</v>
        <stp/>
        <stp>BDP|9390702738715745449</stp>
        <tr r="E82" s="2"/>
      </tp>
      <tp t="s">
        <v>#N/A N/A</v>
        <stp/>
        <stp>BDP|3332010869240038925</stp>
        <tr r="B55" s="2"/>
      </tp>
      <tp t="s">
        <v>#N/A N/A</v>
        <stp/>
        <stp>BDP|7828732707375760953</stp>
        <tr r="D5" s="2"/>
      </tp>
      <tp t="s">
        <v>#N/A N/A</v>
        <stp/>
        <stp>BDP|5192940258865439063</stp>
        <tr r="C13" s="2"/>
      </tp>
      <tp t="s">
        <v>#N/A N/A</v>
        <stp/>
        <stp>BDP|3580736661836984818</stp>
        <tr r="C85" s="2"/>
      </tp>
      <tp t="s">
        <v>#N/A N/A</v>
        <stp/>
        <stp>BDP|6359655715035986881</stp>
        <tr r="E77" s="2"/>
      </tp>
      <tp t="s">
        <v>#N/A N/A</v>
        <stp/>
        <stp>BDP|6728568697484645201</stp>
        <tr r="C91" s="2"/>
      </tp>
      <tp t="s">
        <v>#N/A N/A</v>
        <stp/>
        <stp>BDP|7976890945066038154</stp>
        <tr r="E74" s="2"/>
      </tp>
      <tp t="s">
        <v>#N/A N/A</v>
        <stp/>
        <stp>BDP|9208987235776938902</stp>
        <tr r="D26" s="2"/>
      </tp>
      <tp t="s">
        <v>#N/A N/A</v>
        <stp/>
        <stp>BDP|5127514461408575224</stp>
        <tr r="B58" s="2"/>
      </tp>
      <tp t="s">
        <v>#N/A N/A</v>
        <stp/>
        <stp>BDP|1410828576381698318</stp>
        <tr r="B28" s="2"/>
      </tp>
      <tp t="s">
        <v>#N/A N/A</v>
        <stp/>
        <stp>BDP|2044751694875237545</stp>
        <tr r="D59" s="2"/>
      </tp>
      <tp t="s">
        <v>#N/A N/A</v>
        <stp/>
        <stp>BDP|6244934121427564607</stp>
        <tr r="B81" s="2"/>
      </tp>
      <tp t="s">
        <v>#N/A N/A</v>
        <stp/>
        <stp>BDP|1034628875005508896</stp>
        <tr r="D50" s="2"/>
      </tp>
      <tp t="s">
        <v>#N/A N/A</v>
        <stp/>
        <stp>BDP|1737699540668139660</stp>
        <tr r="C56" s="2"/>
      </tp>
      <tp t="s">
        <v>#N/A N/A</v>
        <stp/>
        <stp>BDP|4156402496440904416</stp>
        <tr r="B70" s="2"/>
      </tp>
      <tp t="s">
        <v>#N/A N/A</v>
        <stp/>
        <stp>BDP|8680710951485241296</stp>
        <tr r="E92" s="2"/>
      </tp>
      <tp t="s">
        <v>#N/A N/A</v>
        <stp/>
        <stp>BDP|8048514215710718116</stp>
        <tr r="E93" s="2"/>
      </tp>
      <tp t="s">
        <v>#N/A N/A</v>
        <stp/>
        <stp>BDP|7457290830419959228</stp>
        <tr r="C70" s="2"/>
      </tp>
      <tp t="s">
        <v>#N/A N/A</v>
        <stp/>
        <stp>BDP|1771200754748222369</stp>
        <tr r="E3" s="2"/>
      </tp>
      <tp t="s">
        <v>#N/A N/A</v>
        <stp/>
        <stp>BDP|2076404984410565364</stp>
        <tr r="C65" s="2"/>
      </tp>
      <tp t="s">
        <v>#N/A N/A</v>
        <stp/>
        <stp>BDP|4793266746877352834</stp>
        <tr r="C79" s="2"/>
      </tp>
      <tp t="s">
        <v>#N/A N/A</v>
        <stp/>
        <stp>BDP|6174324827783691969</stp>
        <tr r="C2" s="2"/>
      </tp>
      <tp t="s">
        <v>#N/A N/A</v>
        <stp/>
        <stp>BDP|4757892015728985870</stp>
        <tr r="E13" s="2"/>
      </tp>
      <tp t="s">
        <v>#N/A N/A</v>
        <stp/>
        <stp>BDP|2885113647961387878</stp>
        <tr r="C30" s="2"/>
      </tp>
      <tp t="s">
        <v>#N/A N/A</v>
        <stp/>
        <stp>BDP|9559353706985533199</stp>
        <tr r="C32" s="2"/>
      </tp>
      <tp t="s">
        <v>#N/A N/A</v>
        <stp/>
        <stp>BDP|6902877403357753704</stp>
        <tr r="B101" s="2"/>
      </tp>
      <tp t="s">
        <v>#N/A N/A</v>
        <stp/>
        <stp>BDP|5966107373078486567</stp>
        <tr r="E81" s="2"/>
      </tp>
      <tp t="s">
        <v>#N/A N/A</v>
        <stp/>
        <stp>BDP|9226491321378204915</stp>
        <tr r="D15" s="2"/>
      </tp>
      <tp t="s">
        <v>#N/A N/A</v>
        <stp/>
        <stp>BDP|4564029618679421292</stp>
        <tr r="C86" s="2"/>
      </tp>
      <tp t="s">
        <v>#N/A N/A</v>
        <stp/>
        <stp>BDP|9530295924517289084</stp>
        <tr r="D20" s="2"/>
      </tp>
      <tp t="s">
        <v>#N/A N/A</v>
        <stp/>
        <stp>BDP|1321798046135931976</stp>
        <tr r="D35" s="2"/>
      </tp>
      <tp t="s">
        <v>#N/A N/A</v>
        <stp/>
        <stp>BDP|6098391931851819923</stp>
        <tr r="E35" s="2"/>
      </tp>
      <tp t="s">
        <v>#N/A N/A</v>
        <stp/>
        <stp>BDP|9923637398021535949</stp>
        <tr r="B76" s="2"/>
      </tp>
      <tp t="s">
        <v>#N/A N/A</v>
        <stp/>
        <stp>BDP|3673942186988585426</stp>
        <tr r="B52" s="2"/>
      </tp>
      <tp t="s">
        <v>#N/A N/A</v>
        <stp/>
        <stp>BDP|8157379377145276738</stp>
        <tr r="E51" s="2"/>
      </tp>
      <tp t="s">
        <v>#N/A N/A</v>
        <stp/>
        <stp>BDP|7155695098362705475</stp>
        <tr r="C39" s="2"/>
      </tp>
      <tp t="s">
        <v>#N/A N/A</v>
        <stp/>
        <stp>BDP|2580320666420286951</stp>
        <tr r="D17" s="2"/>
      </tp>
      <tp t="s">
        <v>#N/A N/A</v>
        <stp/>
        <stp>BDP|1036915713336283157</stp>
        <tr r="C101" s="2"/>
      </tp>
      <tp t="s">
        <v>#N/A N/A</v>
        <stp/>
        <stp>BDP|8068263364211088286</stp>
        <tr r="B51" s="2"/>
      </tp>
      <tp t="s">
        <v>#N/A N/A</v>
        <stp/>
        <stp>BDP|4334238798947730753</stp>
        <tr r="B71" s="2"/>
      </tp>
      <tp t="s">
        <v>#N/A N/A</v>
        <stp/>
        <stp>BDP|9859810496532441504</stp>
        <tr r="D47" s="2"/>
      </tp>
      <tp t="s">
        <v>#N/A N/A</v>
        <stp/>
        <stp>BDP|4354100918488583368</stp>
        <tr r="E27" s="2"/>
      </tp>
      <tp t="s">
        <v>#N/A N/A</v>
        <stp/>
        <stp>BDP|1722919507127052082</stp>
        <tr r="B78" s="2"/>
      </tp>
      <tp t="s">
        <v>#N/A N/A</v>
        <stp/>
        <stp>BDP|4865069711859145309</stp>
        <tr r="C38" s="2"/>
      </tp>
      <tp t="s">
        <v>#N/A N/A</v>
        <stp/>
        <stp>BDP|6563773186240057680</stp>
        <tr r="B84" s="2"/>
      </tp>
      <tp t="s">
        <v>#N/A N/A</v>
        <stp/>
        <stp>BDP|2731097811559502563</stp>
        <tr r="B8" s="2"/>
      </tp>
      <tp t="s">
        <v>#N/A N/A</v>
        <stp/>
        <stp>BDP|8170101972161177010</stp>
        <tr r="E56" s="2"/>
      </tp>
      <tp t="s">
        <v>#N/A N/A</v>
        <stp/>
        <stp>BDP|2709378483297307106</stp>
        <tr r="D43" s="2"/>
      </tp>
      <tp t="s">
        <v>#N/A N/A</v>
        <stp/>
        <stp>BDP|8157124198676234980</stp>
        <tr r="D90" s="2"/>
      </tp>
      <tp t="s">
        <v>#N/A N/A</v>
        <stp/>
        <stp>BDP|3182471394674274566</stp>
        <tr r="C51" s="2"/>
      </tp>
      <tp t="s">
        <v>#N/A N/A</v>
        <stp/>
        <stp>BDP|5045814384178816287</stp>
        <tr r="D13" s="2"/>
      </tp>
      <tp t="s">
        <v>#N/A N/A</v>
        <stp/>
        <stp>BDP|1887157285761505157</stp>
        <tr r="E80" s="2"/>
      </tp>
      <tp t="s">
        <v>#N/A N/A</v>
        <stp/>
        <stp>BDP|4060550781614540594</stp>
        <tr r="E65" s="2"/>
      </tp>
      <tp t="s">
        <v>#N/A N/A</v>
        <stp/>
        <stp>BDP|2985119159948897612</stp>
        <tr r="C94" s="2"/>
      </tp>
      <tp t="s">
        <v>#N/A N/A</v>
        <stp/>
        <stp>BDP|3263158526910886807</stp>
        <tr r="D96" s="2"/>
      </tp>
      <tp t="s">
        <v>#N/A N/A</v>
        <stp/>
        <stp>BDP|3072023987460454385</stp>
        <tr r="E66" s="2"/>
      </tp>
      <tp t="s">
        <v>#N/A N/A</v>
        <stp/>
        <stp>BDP|2332600584280112481</stp>
        <tr r="C17" s="2"/>
      </tp>
      <tp t="s">
        <v>#N/A N/A</v>
        <stp/>
        <stp>BDP|5156526942658420493</stp>
        <tr r="D72" s="2"/>
      </tp>
      <tp t="s">
        <v>#N/A N/A</v>
        <stp/>
        <stp>BDP|8754515421666231174</stp>
        <tr r="C93" s="2"/>
      </tp>
      <tp t="s">
        <v>#N/A N/A</v>
        <stp/>
        <stp>BDP|1660161990346126730</stp>
        <tr r="D65" s="2"/>
      </tp>
      <tp t="s">
        <v>#N/A N/A</v>
        <stp/>
        <stp>BDP|2101396476699968763</stp>
        <tr r="E64" s="2"/>
      </tp>
      <tp t="s">
        <v>#N/A N/A</v>
        <stp/>
        <stp>BDP|2523800827426775619</stp>
        <tr r="D95" s="2"/>
      </tp>
      <tp t="s">
        <v>#N/A N/A</v>
        <stp/>
        <stp>BDP|5475425165339203652</stp>
        <tr r="E17" s="2"/>
      </tp>
      <tp t="s">
        <v>#N/A N/A</v>
        <stp/>
        <stp>BDP|9097280287079075375</stp>
        <tr r="B33" s="2"/>
      </tp>
      <tp t="s">
        <v>#N/A N/A</v>
        <stp/>
        <stp>BDP|2561315542629766594</stp>
        <tr r="D73" s="2"/>
      </tp>
      <tp t="s">
        <v>#N/A N/A</v>
        <stp/>
        <stp>BDP|1989181092356822626</stp>
        <tr r="C37" s="2"/>
      </tp>
      <tp t="s">
        <v>#N/A N/A</v>
        <stp/>
        <stp>BDP|1464821248674509050</stp>
        <tr r="C41" s="2"/>
      </tp>
      <tp t="s">
        <v>#N/A N/A</v>
        <stp/>
        <stp>BDP|1484761690764350203</stp>
        <tr r="B42" s="2"/>
      </tp>
      <tp t="s">
        <v>#N/A N/A</v>
        <stp/>
        <stp>BDP|3847137759548622627</stp>
        <tr r="E55" s="2"/>
      </tp>
      <tp t="s">
        <v>#N/A N/A</v>
        <stp/>
        <stp>BDP|1415540890226126269</stp>
        <tr r="C20" s="2"/>
      </tp>
      <tp t="s">
        <v>#N/A N/A</v>
        <stp/>
        <stp>BDP|8891413879586197442</stp>
        <tr r="B59" s="2"/>
      </tp>
      <tp t="s">
        <v>#N/A N/A</v>
        <stp/>
        <stp>BDP|6969394728479392417</stp>
        <tr r="B61" s="2"/>
      </tp>
      <tp t="s">
        <v>#N/A N/A</v>
        <stp/>
        <stp>BDP|4996656614709042005</stp>
        <tr r="C49" s="2"/>
      </tp>
      <tp t="s">
        <v>#N/A N/A</v>
        <stp/>
        <stp>BDP|3549797014179729661</stp>
        <tr r="E61" s="2"/>
      </tp>
      <tp t="s">
        <v>#N/A N/A</v>
        <stp/>
        <stp>BDP|9267419838357315379</stp>
        <tr r="B90" s="2"/>
      </tp>
      <tp t="s">
        <v>#N/A N/A</v>
        <stp/>
        <stp>BDP|2380969328994562779</stp>
        <tr r="B20" s="2"/>
      </tp>
      <tp t="s">
        <v>#N/A N/A</v>
        <stp/>
        <stp>BDP|8164560937274368019</stp>
        <tr r="D99" s="2"/>
      </tp>
      <tp t="s">
        <v>#N/A N/A</v>
        <stp/>
        <stp>BDP|3219691003307659889</stp>
        <tr r="C68" s="2"/>
      </tp>
      <tp t="s">
        <v>#N/A N/A</v>
        <stp/>
        <stp>BDP|6043422799658905945</stp>
        <tr r="D39" s="2"/>
      </tp>
      <tp t="s">
        <v>#N/A N/A</v>
        <stp/>
        <stp>BDP|5035815876803020339</stp>
        <tr r="B37" s="2"/>
      </tp>
      <tp t="s">
        <v>#N/A N/A</v>
        <stp/>
        <stp>BDP|1306248353995956989</stp>
        <tr r="B100" s="2"/>
      </tp>
      <tp t="s">
        <v>#N/A N/A</v>
        <stp/>
        <stp>BDP|9639177528511512079</stp>
        <tr r="C73" s="2"/>
      </tp>
      <tp t="s">
        <v>#N/A N/A</v>
        <stp/>
        <stp>BDP|4750448214922571899</stp>
        <tr r="D88" s="2"/>
      </tp>
      <tp t="s">
        <v>#N/A N/A</v>
        <stp/>
        <stp>BDP|6941247110918424628</stp>
        <tr r="D69" s="2"/>
      </tp>
      <tp t="s">
        <v>#N/A N/A</v>
        <stp/>
        <stp>BDP|1493302119081209975</stp>
        <tr r="E89" s="2"/>
      </tp>
      <tp t="s">
        <v>#N/A N/A</v>
        <stp/>
        <stp>BDP|7661707289506071573</stp>
        <tr r="D82" s="2"/>
      </tp>
      <tp t="s">
        <v>#N/A N/A</v>
        <stp/>
        <stp>BDP|8907259121086597502</stp>
        <tr r="B75" s="2"/>
      </tp>
      <tp t="s">
        <v>#N/A N/A</v>
        <stp/>
        <stp>BDP|1158582770381467949</stp>
        <tr r="C40" s="2"/>
      </tp>
      <tp t="s">
        <v>#N/A N/A</v>
        <stp/>
        <stp>BDP|4444831249293359043</stp>
        <tr r="B22" s="2"/>
      </tp>
      <tp t="s">
        <v>#N/A N/A</v>
        <stp/>
        <stp>BDP|7990124645511573842</stp>
        <tr r="E49" s="2"/>
      </tp>
      <tp t="s">
        <v>#N/A N/A</v>
        <stp/>
        <stp>BDP|7080359031085437921</stp>
        <tr r="E100" s="2"/>
      </tp>
      <tp t="s">
        <v>#N/A N/A</v>
        <stp/>
        <stp>BDP|1145610405998612407</stp>
        <tr r="C45" s="2"/>
      </tp>
      <tp t="s">
        <v>#N/A N/A</v>
        <stp/>
        <stp>BDP|9583089122826847660</stp>
        <tr r="D98" s="2"/>
      </tp>
      <tp t="s">
        <v>#N/A N/A</v>
        <stp/>
        <stp>BDP|7695853955510044175</stp>
        <tr r="B66" s="2"/>
      </tp>
      <tp t="s">
        <v>#N/A N/A</v>
        <stp/>
        <stp>BDP|7601539401079344033</stp>
        <tr r="D36" s="2"/>
      </tp>
      <tp t="s">
        <v>#N/A N/A</v>
        <stp/>
        <stp>BDP|7550843015396024301</stp>
        <tr r="D49" s="2"/>
      </tp>
      <tp t="s">
        <v>#N/A N/A</v>
        <stp/>
        <stp>BDP|1674193182724286841</stp>
        <tr r="C14" s="2"/>
      </tp>
      <tp t="s">
        <v>#N/A N/A</v>
        <stp/>
        <stp>BDP|2386577535356237682</stp>
        <tr r="E29" s="2"/>
      </tp>
      <tp t="s">
        <v>#N/A N/A</v>
        <stp/>
        <stp>BDP|4281020505096818649</stp>
        <tr r="B17" s="2"/>
      </tp>
      <tp t="s">
        <v>#N/A N/A</v>
        <stp/>
        <stp>BDP|1146737363304910078</stp>
        <tr r="E53" s="2"/>
      </tp>
      <tp t="s">
        <v>#N/A N/A</v>
        <stp/>
        <stp>BDP|4276704372997802775</stp>
        <tr r="E68" s="2"/>
      </tp>
      <tp t="s">
        <v>#N/A N/A</v>
        <stp/>
        <stp>BDP|1470015485828228505</stp>
        <tr r="D68" s="2"/>
      </tp>
      <tp t="s">
        <v>#N/A N/A</v>
        <stp/>
        <stp>BDP|3628294270511578399</stp>
        <tr r="B77" s="2"/>
      </tp>
      <tp t="s">
        <v>#N/A N/A</v>
        <stp/>
        <stp>BDP|6436342215833647301</stp>
        <tr r="C27" s="2"/>
      </tp>
      <tp t="s">
        <v>#N/A N/A</v>
        <stp/>
        <stp>BDP|7416751060313929188</stp>
        <tr r="B24" s="2"/>
      </tp>
      <tp t="s">
        <v>#N/A N/A</v>
        <stp/>
        <stp>BDP|5653537251766055755</stp>
        <tr r="C35" s="2"/>
      </tp>
      <tp t="s">
        <v>#N/A N/A</v>
        <stp/>
        <stp>BDP|2534466908100831220</stp>
        <tr r="E23" s="2"/>
      </tp>
      <tp t="s">
        <v>#N/A N/A</v>
        <stp/>
        <stp>BDP|2303348536466358048</stp>
        <tr r="B64" s="2"/>
      </tp>
      <tp t="s">
        <v>#N/A N/A</v>
        <stp/>
        <stp>BDP|8031643539899350095</stp>
        <tr r="E96" s="2"/>
      </tp>
      <tp t="s">
        <v>#N/A N/A</v>
        <stp/>
        <stp>BDP|4870609411322981571</stp>
        <tr r="E28" s="2"/>
      </tp>
      <tp t="s">
        <v>#N/A N/A</v>
        <stp/>
        <stp>BDP|8054847520164355239</stp>
        <tr r="C21" s="2"/>
      </tp>
      <tp t="s">
        <v>#N/A N/A</v>
        <stp/>
        <stp>BDP|2728020682787378905</stp>
        <tr r="E18" s="2"/>
      </tp>
      <tp t="s">
        <v>#N/A N/A</v>
        <stp/>
        <stp>BDP|8694187248348032132</stp>
        <tr r="D6" s="2"/>
      </tp>
      <tp t="s">
        <v>#N/A N/A</v>
        <stp/>
        <stp>BDP|1468471833636521402</stp>
        <tr r="D81" s="2"/>
      </tp>
      <tp t="s">
        <v>#N/A N/A</v>
        <stp/>
        <stp>BDP|4412563725400541776</stp>
        <tr r="C48" s="2"/>
      </tp>
      <tp t="s">
        <v>#N/A N/A</v>
        <stp/>
        <stp>BDP|1967221867036061641</stp>
        <tr r="B74" s="2"/>
      </tp>
      <tp t="s">
        <v>#N/A N/A</v>
        <stp/>
        <stp>BDP|4820163230924445736</stp>
        <tr r="B49" s="2"/>
      </tp>
      <tp t="s">
        <v>#N/A N/A</v>
        <stp/>
        <stp>BDP|8395492457598414403</stp>
        <tr r="B88" s="2"/>
      </tp>
      <tp t="s">
        <v>#N/A N/A</v>
        <stp/>
        <stp>BDP|8864632847819652666</stp>
        <tr r="E91" s="2"/>
      </tp>
      <tp t="s">
        <v>#N/A N/A</v>
        <stp/>
        <stp>BDP|3615467767163282785</stp>
        <tr r="D45" s="2"/>
      </tp>
      <tp t="s">
        <v>#N/A N/A</v>
        <stp/>
        <stp>BDP|4391386555936951171</stp>
        <tr r="E22" s="2"/>
      </tp>
      <tp t="s">
        <v>#N/A N/A</v>
        <stp/>
        <stp>BDP|7120327147961037456</stp>
        <tr r="D58" s="2"/>
      </tp>
      <tp t="s">
        <v>#N/A N/A</v>
        <stp/>
        <stp>BDP|1019274753503796024</stp>
        <tr r="E41" s="2"/>
      </tp>
      <tp t="s">
        <v>#N/A N/A</v>
        <stp/>
        <stp>BDP|1510355501196773106</stp>
        <tr r="C82" s="2"/>
      </tp>
      <tp t="s">
        <v>#N/A N/A</v>
        <stp/>
        <stp>BDP|4497836096227289491</stp>
        <tr r="C89" s="2"/>
      </tp>
      <tp t="s">
        <v>#N/A N/A</v>
        <stp/>
        <stp>BDP|5188407006434952357</stp>
        <tr r="B5" s="2"/>
      </tp>
      <tp t="s">
        <v>#N/A N/A</v>
        <stp/>
        <stp>BDP|3432495117572768244</stp>
        <tr r="D100" s="2"/>
      </tp>
      <tp t="s">
        <v>#N/A N/A</v>
        <stp/>
        <stp>BDP|9590807019841257710</stp>
        <tr r="E4" s="2"/>
      </tp>
      <tp t="s">
        <v>#N/A N/A</v>
        <stp/>
        <stp>BDP|5225233377182311495</stp>
        <tr r="C71" s="2"/>
      </tp>
      <tp t="s">
        <v>#N/A N/A</v>
        <stp/>
        <stp>BDP|5104159866324924098</stp>
        <tr r="E38" s="2"/>
      </tp>
      <tp t="s">
        <v>#N/A N/A</v>
        <stp/>
        <stp>BDP|9239650388500538036</stp>
        <tr r="D16" s="2"/>
      </tp>
      <tp t="s">
        <v>#N/A N/A</v>
        <stp/>
        <stp>BDP|4406573748567728536</stp>
        <tr r="C9" s="2"/>
      </tp>
      <tp t="s">
        <v>#N/A N/A</v>
        <stp/>
        <stp>BDP|4960804791576427432</stp>
        <tr r="D37" s="2"/>
      </tp>
      <tp t="s">
        <v>#N/A N/A</v>
        <stp/>
        <stp>BDP|9096890482769019777</stp>
        <tr r="D31" s="2"/>
      </tp>
      <tp t="s">
        <v>#N/A N/A</v>
        <stp/>
        <stp>BDP|2049786874550997590</stp>
        <tr r="C3" s="2"/>
      </tp>
      <tp t="s">
        <v>#N/A N/A</v>
        <stp/>
        <stp>BDP|1470956287633257497</stp>
        <tr r="B86" s="2"/>
      </tp>
      <tp t="s">
        <v>#N/A N/A</v>
        <stp/>
        <stp>BDP|5313303275950362677</stp>
        <tr r="D66" s="2"/>
      </tp>
      <tp t="s">
        <v>#N/A N/A</v>
        <stp/>
        <stp>BDP|8797444571778214421</stp>
        <tr r="B2" s="2"/>
      </tp>
      <tp t="s">
        <v>#N/A N/A</v>
        <stp/>
        <stp>BDP|6015177406258127833</stp>
        <tr r="C7" s="2"/>
      </tp>
      <tp t="s">
        <v>#N/A N/A</v>
        <stp/>
        <stp>BDP|8860634909349579040</stp>
        <tr r="E15" s="2"/>
      </tp>
      <tp t="s">
        <v>#N/A N/A</v>
        <stp/>
        <stp>BDP|5778220604457675773</stp>
        <tr r="E12" s="2"/>
      </tp>
      <tp t="s">
        <v>#N/A N/A</v>
        <stp/>
        <stp>BDP|3004239674023605204</stp>
        <tr r="C69" s="2"/>
      </tp>
      <tp t="s">
        <v>#N/A N/A</v>
        <stp/>
        <stp>BDP|1344301248179217885</stp>
        <tr r="D85" s="2"/>
      </tp>
      <tp t="s">
        <v>#N/A N/A</v>
        <stp/>
        <stp>BDP|7363709099180477943</stp>
        <tr r="D78" s="2"/>
      </tp>
      <tp t="s">
        <v>#N/A N/A</v>
        <stp/>
        <stp>BDP|3120694944977399617</stp>
        <tr r="E36" s="2"/>
      </tp>
      <tp t="s">
        <v>#N/A N/A</v>
        <stp/>
        <stp>BDP|9186215344588815730</stp>
        <tr r="E69" s="2"/>
      </tp>
      <tp t="s">
        <v>#N/A N/A</v>
        <stp/>
        <stp>BDP|8646599989120109583</stp>
        <tr r="B73" s="2"/>
      </tp>
      <tp t="s">
        <v>#N/A N/A</v>
        <stp/>
        <stp>BDP|3989732730991732624</stp>
        <tr r="D21" s="2"/>
      </tp>
      <tp t="s">
        <v>#N/A N/A</v>
        <stp/>
        <stp>BDP|5759291931313269719</stp>
        <tr r="B40" s="2"/>
      </tp>
      <tp t="s">
        <v>#N/A N/A</v>
        <stp/>
        <stp>BDP|8440443903425902966</stp>
        <tr r="C77" s="2"/>
      </tp>
      <tp t="s">
        <v>#N/A N/A</v>
        <stp/>
        <stp>BDP|1850864293623777377</stp>
        <tr r="E6" s="2"/>
      </tp>
      <tp t="s">
        <v>#N/A N/A</v>
        <stp/>
        <stp>BDP|8793914943952178757</stp>
        <tr r="D10" s="2"/>
      </tp>
      <tp t="s">
        <v>#N/A N/A</v>
        <stp/>
        <stp>BDP|8244834449905918173</stp>
        <tr r="C64" s="2"/>
      </tp>
      <tp t="s">
        <v>#N/A N/A</v>
        <stp/>
        <stp>BDP|9836895223656392560</stp>
        <tr r="D42" s="2"/>
      </tp>
      <tp t="s">
        <v>#N/A N/A</v>
        <stp/>
        <stp>BDP|8840519938469124777</stp>
        <tr r="D33" s="2"/>
      </tp>
      <tp t="s">
        <v>#N/A N/A</v>
        <stp/>
        <stp>BDP|1459979073568256760</stp>
        <tr r="E40" s="2"/>
      </tp>
      <tp t="s">
        <v>#N/A N/A</v>
        <stp/>
        <stp>BDP|6027507247403437597</stp>
        <tr r="B91" s="2"/>
      </tp>
      <tp t="s">
        <v>#N/A N/A</v>
        <stp/>
        <stp>BDP|8513995661491709722</stp>
        <tr r="C83" s="2"/>
      </tp>
      <tp t="s">
        <v>#N/A N/A</v>
        <stp/>
        <stp>BDP|5630277816942808511</stp>
        <tr r="B39" s="2"/>
      </tp>
      <tp t="s">
        <v>#N/A N/A</v>
        <stp/>
        <stp>BDP|5052445040511966534</stp>
        <tr r="B35" s="2"/>
      </tp>
      <tp t="s">
        <v>#N/A N/A</v>
        <stp/>
        <stp>BDP|7442099695539007642</stp>
        <tr r="B18" s="2"/>
      </tp>
      <tp t="s">
        <v>#N/A N/A</v>
        <stp/>
        <stp>BDP|3009787844022620376</stp>
        <tr r="E84" s="2"/>
      </tp>
      <tp t="s">
        <v>#N/A N/A</v>
        <stp/>
        <stp>BDP|7224843798372448573</stp>
        <tr r="E24" s="2"/>
      </tp>
      <tp t="s">
        <v>#N/A N/A</v>
        <stp/>
        <stp>BDP|6462758095498373150</stp>
        <tr r="C5" s="2"/>
      </tp>
      <tp t="s">
        <v>#N/A N/A</v>
        <stp/>
        <stp>BDP|6577074463674778554</stp>
        <tr r="C67" s="2"/>
      </tp>
      <tp t="s">
        <v>#N/A N/A</v>
        <stp/>
        <stp>BDP|2880086097628403232</stp>
        <tr r="B80" s="2"/>
      </tp>
      <tp t="s">
        <v>#N/A N/A</v>
        <stp/>
        <stp>BDP|5022279553792432108</stp>
        <tr r="E9" s="2"/>
      </tp>
      <tp t="s">
        <v>#N/A N/A</v>
        <stp/>
        <stp>BDP|4800492540087538256</stp>
        <tr r="E32" s="2"/>
      </tp>
      <tp t="s">
        <v>#N/A N/A</v>
        <stp/>
        <stp>BDP|5378018664922345028</stp>
        <tr r="B4" s="2"/>
      </tp>
      <tp t="s">
        <v>#N/A N/A</v>
        <stp/>
        <stp>BDP|3575070043034644205</stp>
        <tr r="E94" s="2"/>
      </tp>
      <tp t="s">
        <v>#N/A N/A</v>
        <stp/>
        <stp>BDP|2359263417148663808</stp>
        <tr r="E75" s="2"/>
      </tp>
      <tp t="s">
        <v>#N/A N/A</v>
        <stp/>
        <stp>BDP|6593166943007741523</stp>
        <tr r="D48" s="2"/>
      </tp>
      <tp t="s">
        <v>#N/A N/A</v>
        <stp/>
        <stp>BDP|4200836881955266077</stp>
        <tr r="D56" s="2"/>
      </tp>
      <tp t="s">
        <v>#N/A N/A</v>
        <stp/>
        <stp>BDP|9116873442921690684</stp>
        <tr r="C25" s="2"/>
      </tp>
      <tp t="s">
        <v>#N/A N/A</v>
        <stp/>
        <stp>BDP|7431638848363390477</stp>
        <tr r="E59" s="2"/>
      </tp>
      <tp t="s">
        <v>#N/A N/A</v>
        <stp/>
        <stp>BDP|6396436889671436950</stp>
        <tr r="C88" s="2"/>
      </tp>
      <tp t="s">
        <v>#N/A N/A</v>
        <stp/>
        <stp>BDP|4252493037583269272</stp>
        <tr r="E19" s="2"/>
      </tp>
      <tp t="s">
        <v>#N/A N/A</v>
        <stp/>
        <stp>BDP|8543936428507974698</stp>
        <tr r="B21" s="2"/>
      </tp>
      <tp t="s">
        <v>#N/A N/A</v>
        <stp/>
        <stp>BDP|1732955987817856528</stp>
        <tr r="D7" s="2"/>
      </tp>
      <tp t="s">
        <v>#N/A N/A</v>
        <stp/>
        <stp>BDP|5545357769793679131</stp>
        <tr r="D67" s="2"/>
      </tp>
      <tp t="s">
        <v>#N/A N/A</v>
        <stp/>
        <stp>BDP|6773204812710515726</stp>
        <tr r="C26" s="2"/>
      </tp>
      <tp t="s">
        <v>#N/A N/A</v>
        <stp/>
        <stp>BDP|6509706503693011043</stp>
        <tr r="D14" s="2"/>
      </tp>
      <tp t="s">
        <v>#N/A N/A</v>
        <stp/>
        <stp>BDP|2470915624792143923</stp>
        <tr r="E30" s="2"/>
      </tp>
      <tp t="s">
        <v>#N/A N/A</v>
        <stp/>
        <stp>BDP|9384726261238196266</stp>
        <tr r="C58" s="2"/>
      </tp>
      <tp t="s">
        <v>#N/A N/A</v>
        <stp/>
        <stp>BDP|1915890679308755566</stp>
        <tr r="E10" s="2"/>
      </tp>
      <tp t="s">
        <v>#N/A N/A</v>
        <stp/>
        <stp>BDP|6730524794748883109</stp>
        <tr r="D60" s="2"/>
      </tp>
      <tp t="s">
        <v>#N/A N/A</v>
        <stp/>
        <stp>BDP|6750226377781496196</stp>
        <tr r="D91" s="2"/>
      </tp>
      <tp t="s">
        <v>#N/A N/A</v>
        <stp/>
        <stp>BDP|1538820948439130713</stp>
        <tr r="E85" s="2"/>
      </tp>
      <tp t="s">
        <v>#N/A N/A</v>
        <stp/>
        <stp>BDP|2067094116686707646</stp>
        <tr r="E95" s="2"/>
      </tp>
      <tp t="s">
        <v>#N/A N/A</v>
        <stp/>
        <stp>BDP|3430087310579937871</stp>
        <tr r="B29" s="2"/>
      </tp>
      <tp t="s">
        <v>#N/A N/A</v>
        <stp/>
        <stp>BDP|5176707977096177050</stp>
        <tr r="D76" s="2"/>
      </tp>
      <tp t="s">
        <v>#N/A N/A</v>
        <stp/>
        <stp>BDP|2563912280455789530</stp>
        <tr r="C29" s="2"/>
      </tp>
      <tp t="s">
        <v>#N/A N/A</v>
        <stp/>
        <stp>BDP|4189641557980414472</stp>
        <tr r="B85" s="2"/>
      </tp>
      <tp t="s">
        <v>#N/A N/A</v>
        <stp/>
        <stp>BDP|8798667935789424776</stp>
        <tr r="B6" s="2"/>
      </tp>
      <tp t="s">
        <v>#N/A N/A</v>
        <stp/>
        <stp>BDP|5323875828755038993</stp>
        <tr r="B68" s="2"/>
      </tp>
      <tp t="s">
        <v>#N/A N/A</v>
        <stp/>
        <stp>BDP|3375360673074659051</stp>
        <tr r="B44" s="2"/>
      </tp>
      <tp t="s">
        <v>#N/A N/A</v>
        <stp/>
        <stp>BDP|35659998527108215</stp>
        <tr r="C60" s="2"/>
      </tp>
      <tp t="s">
        <v>#N/A N/A</v>
        <stp/>
        <stp>BDP|64338722978164562</stp>
        <tr r="D79" s="2"/>
      </tp>
      <tp t="s">
        <v>#N/A N/A</v>
        <stp/>
        <stp>BDP|84534522277857184</stp>
        <tr r="D63" s="2"/>
      </tp>
      <tp t="s">
        <v>#N/A N/A</v>
        <stp/>
        <stp>BDP|808221266822312360</stp>
        <tr r="B89" s="2"/>
      </tp>
      <tp t="s">
        <v>#N/A N/A</v>
        <stp/>
        <stp>BDP|343050198705543896</stp>
        <tr r="E87" s="2"/>
      </tp>
      <tp t="s">
        <v>#N/A N/A</v>
        <stp/>
        <stp>BDP|565074763883847264</stp>
        <tr r="D4" s="2"/>
      </tp>
      <tp t="s">
        <v>#N/A N/A</v>
        <stp/>
        <stp>BDP|772324714024083013</stp>
        <tr r="D86" s="2"/>
      </tp>
      <tp t="s">
        <v>#N/A N/A</v>
        <stp/>
        <stp>BDP|459512398274041957</stp>
        <tr r="B79" s="2"/>
      </tp>
      <tp t="s">
        <v>#N/A N/A</v>
        <stp/>
        <stp>BDP|319951892589857851</stp>
        <tr r="C31" s="2"/>
      </tp>
      <tp t="s">
        <v>#N/A N/A</v>
        <stp/>
        <stp>BDP|629901994737851637</stp>
        <tr r="B12" s="2"/>
      </tp>
      <tp t="s">
        <v>#N/A N/A</v>
        <stp/>
        <stp>BDP|418241817527521560</stp>
        <tr r="C11" s="2"/>
      </tp>
      <tp t="s">
        <v>#N/A N/A</v>
        <stp/>
        <stp>BDP|965717134993865631</stp>
        <tr r="E11" s="2"/>
      </tp>
      <tp t="s">
        <v>#N/A N/A</v>
        <stp/>
        <stp>BDP|404156556763548473</stp>
        <tr r="B50" s="2"/>
      </tp>
      <tp t="s">
        <v>#N/A N/A</v>
        <stp/>
        <stp>BDP|391200526890801219</stp>
        <tr r="E97" s="2"/>
      </tp>
      <tp t="s">
        <v>#N/A N/A</v>
        <stp/>
        <stp>BDP|103943518759086353</stp>
        <tr r="C23" s="2"/>
      </tp>
      <tp t="s">
        <v>#N/A N/A</v>
        <stp/>
        <stp>BDP|367447183410151008</stp>
        <tr r="D75" s="2"/>
      </tp>
      <tp t="s">
        <v>#N/A N/A</v>
        <stp/>
        <stp>BDP|452797469306196887</stp>
        <tr r="B36" s="2"/>
      </tp>
      <tp t="s">
        <v>#N/A N/A</v>
        <stp/>
        <stp>BDP|454079388406448128</stp>
        <tr r="E90" s="2"/>
      </tp>
      <tp t="s">
        <v>#N/A N/A</v>
        <stp/>
        <stp>BDP|819675318859262057</stp>
        <tr r="D28" s="2"/>
      </tp>
      <tp t="s">
        <v>#N/A N/A</v>
        <stp/>
        <stp>BDP|354045800968757621</stp>
        <tr r="B32" s="2"/>
      </tp>
      <tp t="s">
        <v>#N/A N/A</v>
        <stp/>
        <stp>BDP|928568665833092924</stp>
        <tr r="B62" s="2"/>
      </tp>
      <tp t="s">
        <v>#N/A N/A</v>
        <stp/>
        <stp>BDP|722408630037416887</stp>
        <tr r="B3" s="2"/>
      </tp>
      <tp t="s">
        <v>#N/A N/A</v>
        <stp/>
        <stp>BDP|795834531642152109</stp>
        <tr r="B98" s="2"/>
      </tp>
      <tp t="s">
        <v>#N/A N/A</v>
        <stp/>
        <stp>BDP|457871624171042199</stp>
        <tr r="B11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 x14ac:dyDescent="0.25"/>
  <cols>
    <col min="1" max="5" width="28.57031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6</v>
      </c>
      <c r="B2" t="str">
        <f>_xll.BDP("TSLA US Equity", "NAME")</f>
        <v>TESLA INC</v>
      </c>
      <c r="C2">
        <f>_xll.BDP("TSLA US Equity", "PX_LAST")</f>
        <v>563</v>
      </c>
      <c r="D2">
        <f>_xll.BDP("TSLA US Equity", "CHG_PCT_1D")</f>
        <v>-5.84497</v>
      </c>
      <c r="E2">
        <f>_xll.BDP("TSLA US Equity", "EQY_TURNOVER")</f>
        <v>30408100000</v>
      </c>
    </row>
    <row r="3" spans="1:5" x14ac:dyDescent="0.25">
      <c r="A3" t="s">
        <v>7</v>
      </c>
      <c r="B3" t="str">
        <f>_xll.BDP("AAPL US Equity", "NAME")</f>
        <v>APPLE INC</v>
      </c>
      <c r="C3">
        <f>_xll.BDP("AAPL US Equity", "PX_LAST")</f>
        <v>116.36</v>
      </c>
      <c r="D3">
        <f>_xll.BDP("AAPL US Equity", "CHG_PCT_1D")</f>
        <v>-4.1673530000000003</v>
      </c>
      <c r="E3">
        <f>_xll.BDP("AAPL US Equity", "EQY_TURNOVER")</f>
        <v>18119400000</v>
      </c>
    </row>
    <row r="4" spans="1:5" x14ac:dyDescent="0.25">
      <c r="A4" t="s">
        <v>8</v>
      </c>
      <c r="B4" t="str">
        <f>_xll.BDP("AMZN US Equity", "NAME")</f>
        <v>AMAZON.COM INC</v>
      </c>
      <c r="C4">
        <f>_xll.BDP("AMZN US Equity", "PX_LAST")</f>
        <v>2951.95</v>
      </c>
      <c r="D4">
        <f>_xll.BDP("AMZN US Equity", "CHG_PCT_1D")</f>
        <v>-1.616752</v>
      </c>
      <c r="E4">
        <f>_xll.BDP("AMZN US Equity", "EQY_TURNOVER")</f>
        <v>12562360000</v>
      </c>
    </row>
    <row r="5" spans="1:5" x14ac:dyDescent="0.25">
      <c r="A5" t="s">
        <v>9</v>
      </c>
      <c r="B5" t="str">
        <f>_xll.BDP("GME US Equity", "NAME")</f>
        <v>GAMESTOP CORP-CLASS A</v>
      </c>
      <c r="C5">
        <f>_xll.BDP("GME US Equity", "PX_LAST")</f>
        <v>194.5</v>
      </c>
      <c r="D5">
        <f>_xll.BDP("GME US Equity", "CHG_PCT_1D")</f>
        <v>41.208069999999999</v>
      </c>
      <c r="E5">
        <f>_xll.BDP("GME US Equity", "EQY_TURNOVER")</f>
        <v>11438050000</v>
      </c>
    </row>
    <row r="6" spans="1:5" x14ac:dyDescent="0.25">
      <c r="A6" t="s">
        <v>10</v>
      </c>
      <c r="B6" t="str">
        <f>_xll.BDP("MSFT US Equity", "NAME")</f>
        <v>MICROSOFT CORP</v>
      </c>
      <c r="C6">
        <f>_xll.BDP("MSFT US Equity", "PX_LAST")</f>
        <v>227.39</v>
      </c>
      <c r="D6">
        <f>_xll.BDP("MSFT US Equity", "CHG_PCT_1D")</f>
        <v>-1.8177890000000001</v>
      </c>
      <c r="E6">
        <f>_xll.BDP("MSFT US Equity", "EQY_TURNOVER")</f>
        <v>8105403000</v>
      </c>
    </row>
    <row r="7" spans="1:5" x14ac:dyDescent="0.25">
      <c r="A7" t="s">
        <v>11</v>
      </c>
      <c r="B7" t="str">
        <f>_xll.BDP("NVDA US Equity", "NAME")</f>
        <v>NVIDIA CORP</v>
      </c>
      <c r="C7">
        <f>_xll.BDP("NVDA US Equity", "PX_LAST")</f>
        <v>463.73</v>
      </c>
      <c r="D7">
        <f>_xll.BDP("NVDA US Equity", "CHG_PCT_1D")</f>
        <v>-6.96746</v>
      </c>
      <c r="E7">
        <f>_xll.BDP("NVDA US Equity", "EQY_TURNOVER")</f>
        <v>6473050000</v>
      </c>
    </row>
    <row r="8" spans="1:5" x14ac:dyDescent="0.25">
      <c r="A8" t="s">
        <v>12</v>
      </c>
      <c r="B8" t="str">
        <f>_xll.BDP("DIS US Equity", "NAME")</f>
        <v>WALT DISNEY CO/THE</v>
      </c>
      <c r="C8">
        <f>_xll.BDP("DIS US Equity", "PX_LAST")</f>
        <v>201.91</v>
      </c>
      <c r="D8">
        <f>_xll.BDP("DIS US Equity", "CHG_PCT_1D")</f>
        <v>6.2740140000000002</v>
      </c>
      <c r="E8">
        <f>_xll.BDP("DIS US Equity", "EQY_TURNOVER")</f>
        <v>5002386000</v>
      </c>
    </row>
    <row r="9" spans="1:5" x14ac:dyDescent="0.25">
      <c r="A9" t="s">
        <v>13</v>
      </c>
      <c r="B9" t="str">
        <f>_xll.BDP("FB US Equity", "NAME")</f>
        <v>FACEBOOK INC-CLASS A</v>
      </c>
      <c r="C9">
        <f>_xll.BDP("FB US Equity", "PX_LAST")</f>
        <v>255.31</v>
      </c>
      <c r="D9">
        <f>_xll.BDP("FB US Equity", "CHG_PCT_1D")</f>
        <v>-3.3941270000000001</v>
      </c>
      <c r="E9">
        <f>_xll.BDP("FB US Equity", "EQY_TURNOVER")</f>
        <v>4780742000</v>
      </c>
    </row>
    <row r="10" spans="1:5" x14ac:dyDescent="0.25">
      <c r="A10" t="s">
        <v>14</v>
      </c>
      <c r="B10" t="str">
        <f>_xll.BDP("AMD US Equity", "NAME")</f>
        <v>ADVANCED MICRO DEVICES</v>
      </c>
      <c r="C10">
        <f>_xll.BDP("AMD US Equity", "PX_LAST")</f>
        <v>73.959999999999994</v>
      </c>
      <c r="D10">
        <f>_xll.BDP("AMD US Equity", "CHG_PCT_1D")</f>
        <v>-5.8074380000000003</v>
      </c>
      <c r="E10">
        <f>_xll.BDP("AMD US Equity", "EQY_TURNOVER")</f>
        <v>4151948000</v>
      </c>
    </row>
    <row r="11" spans="1:5" x14ac:dyDescent="0.25">
      <c r="A11" t="s">
        <v>15</v>
      </c>
      <c r="B11" t="str">
        <f>_xll.BDP("GOOGL US Equity", "NAME")</f>
        <v>ALPHABET INC-CL A</v>
      </c>
      <c r="C11">
        <f>_xll.BDP("GOOGL US Equity", "PX_LAST")</f>
        <v>2007.5</v>
      </c>
      <c r="D11">
        <f>_xll.BDP("GOOGL US Equity", "CHG_PCT_1D")</f>
        <v>-4.2711969999999999</v>
      </c>
      <c r="E11">
        <f>_xll.BDP("GOOGL US Equity", "EQY_TURNOVER")</f>
        <v>3787077000</v>
      </c>
    </row>
    <row r="12" spans="1:5" x14ac:dyDescent="0.25">
      <c r="A12" t="s">
        <v>16</v>
      </c>
      <c r="B12" t="str">
        <f>_xll.BDP("GOOG US Equity", "NAME")</f>
        <v>ALPHABET INC-CL C</v>
      </c>
      <c r="C12">
        <f>_xll.BDP("GOOG US Equity", "PX_LAST")</f>
        <v>2024.17</v>
      </c>
      <c r="D12">
        <f>_xll.BDP("GOOG US Equity", "CHG_PCT_1D")</f>
        <v>-4.001347</v>
      </c>
      <c r="E12">
        <f>_xll.BDP("GOOG US Equity", "EQY_TURNOVER")</f>
        <v>3411743000</v>
      </c>
    </row>
    <row r="13" spans="1:5" x14ac:dyDescent="0.25">
      <c r="A13" t="s">
        <v>17</v>
      </c>
      <c r="B13" t="str">
        <f>_xll.BDP("V US Equity", "NAME")</f>
        <v>VISA INC-CLASS A SHARES</v>
      </c>
      <c r="C13">
        <f>_xll.BDP("V US Equity", "PX_LAST")</f>
        <v>220.27</v>
      </c>
      <c r="D13">
        <f>_xll.BDP("V US Equity", "CHG_PCT_1D")</f>
        <v>2.2561629999999999</v>
      </c>
      <c r="E13">
        <f>_xll.BDP("V US Equity", "EQY_TURNOVER")</f>
        <v>3264680000</v>
      </c>
    </row>
    <row r="14" spans="1:5" x14ac:dyDescent="0.25">
      <c r="A14" t="s">
        <v>18</v>
      </c>
      <c r="B14" t="str">
        <f>_xll.BDP("BA US Equity", "NAME")</f>
        <v>BOEING CO/THE</v>
      </c>
      <c r="C14">
        <f>_xll.BDP("BA US Equity", "PX_LAST")</f>
        <v>224.03</v>
      </c>
      <c r="D14">
        <f>_xll.BDP("BA US Equity", "CHG_PCT_1D")</f>
        <v>0.36287069999999999</v>
      </c>
      <c r="E14">
        <f>_xll.BDP("BA US Equity", "EQY_TURNOVER")</f>
        <v>3141744000</v>
      </c>
    </row>
    <row r="15" spans="1:5" x14ac:dyDescent="0.25">
      <c r="A15" t="s">
        <v>19</v>
      </c>
      <c r="B15" t="str">
        <f>_xll.BDP("PYPL US Equity", "NAME")</f>
        <v>PAYPAL HOLDINGS INC</v>
      </c>
      <c r="C15">
        <f>_xll.BDP("PYPL US Equity", "PX_LAST")</f>
        <v>226.09</v>
      </c>
      <c r="D15">
        <f>_xll.BDP("PYPL US Equity", "CHG_PCT_1D")</f>
        <v>-5.4214599999999997</v>
      </c>
      <c r="E15">
        <f>_xll.BDP("PYPL US Equity", "EQY_TURNOVER")</f>
        <v>3105113000</v>
      </c>
    </row>
    <row r="16" spans="1:5" x14ac:dyDescent="0.25">
      <c r="A16" t="s">
        <v>20</v>
      </c>
      <c r="B16" t="str">
        <f>_xll.BDP("SQ US Equity", "NAME")</f>
        <v>SQUARE INC - A</v>
      </c>
      <c r="C16">
        <f>_xll.BDP("SQ US Equity", "PX_LAST")</f>
        <v>201.87</v>
      </c>
      <c r="D16">
        <f>_xll.BDP("SQ US Equity", "CHG_PCT_1D")</f>
        <v>-6.7316580000000004</v>
      </c>
      <c r="E16">
        <f>_xll.BDP("SQ US Equity", "EQY_TURNOVER")</f>
        <v>2830200000</v>
      </c>
    </row>
    <row r="17" spans="1:5" x14ac:dyDescent="0.25">
      <c r="A17" t="s">
        <v>21</v>
      </c>
      <c r="B17" t="str">
        <f>_xll.BDP("MA US Equity", "NAME")</f>
        <v>MASTERCARD INC - A</v>
      </c>
      <c r="C17">
        <f>_xll.BDP("MA US Equity", "PX_LAST")</f>
        <v>371.33</v>
      </c>
      <c r="D17">
        <f>_xll.BDP("MA US Equity", "CHG_PCT_1D")</f>
        <v>2.895699</v>
      </c>
      <c r="E17">
        <f>_xll.BDP("MA US Equity", "EQY_TURNOVER")</f>
        <v>2684631000</v>
      </c>
    </row>
    <row r="18" spans="1:5" x14ac:dyDescent="0.25">
      <c r="A18" t="s">
        <v>22</v>
      </c>
      <c r="B18" t="str">
        <f>_xll.BDP("JPM US Equity", "NAME")</f>
        <v>JPMORGAN CHASE &amp; CO</v>
      </c>
      <c r="C18">
        <f>_xll.BDP("JPM US Equity", "PX_LAST")</f>
        <v>152.91</v>
      </c>
      <c r="D18">
        <f>_xll.BDP("JPM US Equity", "CHG_PCT_1D")</f>
        <v>1.3252930000000001</v>
      </c>
      <c r="E18">
        <f>_xll.BDP("JPM US Equity", "EQY_TURNOVER")</f>
        <v>2623757000</v>
      </c>
    </row>
    <row r="19" spans="1:5" x14ac:dyDescent="0.25">
      <c r="A19" t="s">
        <v>23</v>
      </c>
      <c r="B19" t="str">
        <f>_xll.BDP("BAC US Equity", "NAME")</f>
        <v>BANK OF AMERICA CORP</v>
      </c>
      <c r="C19">
        <f>_xll.BDP("BAC US Equity", "PX_LAST")</f>
        <v>37.130000000000003</v>
      </c>
      <c r="D19">
        <f>_xll.BDP("BAC US Equity", "CHG_PCT_1D")</f>
        <v>0.54156510000000002</v>
      </c>
      <c r="E19">
        <f>_xll.BDP("BAC US Equity", "EQY_TURNOVER")</f>
        <v>2435165000</v>
      </c>
    </row>
    <row r="20" spans="1:5" x14ac:dyDescent="0.25">
      <c r="A20" t="s">
        <v>24</v>
      </c>
      <c r="B20" t="str">
        <f>_xll.BDP("XOM US Equity", "NAME")</f>
        <v>EXXON MOBIL CORP</v>
      </c>
      <c r="C20">
        <f>_xll.BDP("XOM US Equity", "PX_LAST")</f>
        <v>60.87</v>
      </c>
      <c r="D20">
        <f>_xll.BDP("XOM US Equity", "CHG_PCT_1D")</f>
        <v>-9.8473660000000005E-2</v>
      </c>
      <c r="E20">
        <f>_xll.BDP("XOM US Equity", "EQY_TURNOVER")</f>
        <v>2322536000</v>
      </c>
    </row>
    <row r="21" spans="1:5" x14ac:dyDescent="0.25">
      <c r="A21" t="s">
        <v>25</v>
      </c>
      <c r="B21" t="str">
        <f>_xll.BDP("ZM US Equity", "NAME")</f>
        <v>ZOOM VIDEO COMMUNICATIONS-A</v>
      </c>
      <c r="C21">
        <f>_xll.BDP("ZM US Equity", "PX_LAST")</f>
        <v>310.93</v>
      </c>
      <c r="D21">
        <f>_xll.BDP("ZM US Equity", "CHG_PCT_1D")</f>
        <v>-7.8534810000000004</v>
      </c>
      <c r="E21">
        <f>_xll.BDP("ZM US Equity", "EQY_TURNOVER")</f>
        <v>2214915000</v>
      </c>
    </row>
    <row r="22" spans="1:5" x14ac:dyDescent="0.25">
      <c r="A22" t="s">
        <v>26</v>
      </c>
      <c r="B22" t="str">
        <f>_xll.BDP("PLTR US Equity", "NAME")</f>
        <v>PALANTIR TECHNOLOGIES INC-A</v>
      </c>
      <c r="C22">
        <f>_xll.BDP("PLTR US Equity", "PX_LAST")</f>
        <v>22.52</v>
      </c>
      <c r="D22">
        <f>_xll.BDP("PLTR US Equity", "CHG_PCT_1D")</f>
        <v>-5.9707720000000002</v>
      </c>
      <c r="E22">
        <f>_xll.BDP("PLTR US Equity", "EQY_TURNOVER")</f>
        <v>2213619000</v>
      </c>
    </row>
    <row r="23" spans="1:5" x14ac:dyDescent="0.25">
      <c r="A23" t="s">
        <v>27</v>
      </c>
      <c r="B23" t="str">
        <f>_xll.BDP("GE US Equity", "NAME")</f>
        <v>GENERAL ELECTRIC CO</v>
      </c>
      <c r="C23">
        <f>_xll.BDP("GE US Equity", "PX_LAST")</f>
        <v>14.17</v>
      </c>
      <c r="D23">
        <f>_xll.BDP("GE US Equity", "CHG_PCT_1D")</f>
        <v>4.1911759999999996</v>
      </c>
      <c r="E23">
        <f>_xll.BDP("GE US Equity", "EQY_TURNOVER")</f>
        <v>2031334000</v>
      </c>
    </row>
    <row r="24" spans="1:5" x14ac:dyDescent="0.25">
      <c r="A24" t="s">
        <v>28</v>
      </c>
      <c r="B24" t="str">
        <f>_xll.BDP("CRM US Equity", "NAME")</f>
        <v>SALESFORCE.COM INC</v>
      </c>
      <c r="C24">
        <f>_xll.BDP("CRM US Equity", "PX_LAST")</f>
        <v>207.72</v>
      </c>
      <c r="D24">
        <f>_xll.BDP("CRM US Equity", "CHG_PCT_1D")</f>
        <v>-1.442399</v>
      </c>
      <c r="E24">
        <f>_xll.BDP("CRM US Equity", "EQY_TURNOVER")</f>
        <v>2016884000</v>
      </c>
    </row>
    <row r="25" spans="1:5" x14ac:dyDescent="0.25">
      <c r="A25" t="s">
        <v>29</v>
      </c>
      <c r="B25" t="str">
        <f>_xll.BDP("INTC US Equity", "NAME")</f>
        <v>INTEL CORP</v>
      </c>
      <c r="C25">
        <f>_xll.BDP("INTC US Equity", "PX_LAST")</f>
        <v>59.85</v>
      </c>
      <c r="D25">
        <f>_xll.BDP("INTC US Equity", "CHG_PCT_1D")</f>
        <v>-1.4652620000000001</v>
      </c>
      <c r="E25">
        <f>_xll.BDP("INTC US Equity", "EQY_TURNOVER")</f>
        <v>2004201000</v>
      </c>
    </row>
    <row r="26" spans="1:5" x14ac:dyDescent="0.25">
      <c r="A26" t="s">
        <v>30</v>
      </c>
      <c r="B26" t="str">
        <f>_xll.BDP("NFLX US Equity", "NAME")</f>
        <v>NETFLIX INC</v>
      </c>
      <c r="C26">
        <f>_xll.BDP("NFLX US Equity", "PX_LAST")</f>
        <v>493.33</v>
      </c>
      <c r="D26">
        <f>_xll.BDP("NFLX US Equity", "CHG_PCT_1D")</f>
        <v>-4.4656169999999999</v>
      </c>
      <c r="E26">
        <f>_xll.BDP("NFLX US Equity", "EQY_TURNOVER")</f>
        <v>2002510000</v>
      </c>
    </row>
    <row r="27" spans="1:5" x14ac:dyDescent="0.25">
      <c r="A27" t="s">
        <v>31</v>
      </c>
      <c r="B27" t="str">
        <f>_xll.BDP("CVX US Equity", "NAME")</f>
        <v>CHEVRON CORP</v>
      </c>
      <c r="C27">
        <f>_xll.BDP("CVX US Equity", "PX_LAST")</f>
        <v>109.75</v>
      </c>
      <c r="D27">
        <f>_xll.BDP("CVX US Equity", "CHG_PCT_1D")</f>
        <v>0.68807339999999995</v>
      </c>
      <c r="E27">
        <f>_xll.BDP("CVX US Equity", "EQY_TURNOVER")</f>
        <v>1978566000</v>
      </c>
    </row>
    <row r="28" spans="1:5" x14ac:dyDescent="0.25">
      <c r="A28" t="s">
        <v>32</v>
      </c>
      <c r="B28" t="str">
        <f>_xll.BDP("MU US Equity", "NAME")</f>
        <v>MICRON TECHNOLOGY INC</v>
      </c>
      <c r="C28">
        <f>_xll.BDP("MU US Equity", "PX_LAST")</f>
        <v>85.05</v>
      </c>
      <c r="D28">
        <f>_xll.BDP("MU US Equity", "CHG_PCT_1D")</f>
        <v>-4.3629819999999997</v>
      </c>
      <c r="E28">
        <f>_xll.BDP("MU US Equity", "EQY_TURNOVER")</f>
        <v>1973599000</v>
      </c>
    </row>
    <row r="29" spans="1:5" x14ac:dyDescent="0.25">
      <c r="A29" t="s">
        <v>33</v>
      </c>
      <c r="B29" t="str">
        <f>_xll.BDP("C US Equity", "NAME")</f>
        <v>CITIGROUP INC</v>
      </c>
      <c r="C29">
        <f>_xll.BDP("C US Equity", "PX_LAST")</f>
        <v>72.22</v>
      </c>
      <c r="D29">
        <f>_xll.BDP("C US Equity", "CHG_PCT_1D")</f>
        <v>2.8335469999999998</v>
      </c>
      <c r="E29">
        <f>_xll.BDP("C US Equity", "EQY_TURNOVER")</f>
        <v>1969006000</v>
      </c>
    </row>
    <row r="30" spans="1:5" x14ac:dyDescent="0.25">
      <c r="A30" t="s">
        <v>34</v>
      </c>
      <c r="B30" t="str">
        <f>_xll.BDP("AVGO US Equity", "NAME")</f>
        <v>BROADCOM INC</v>
      </c>
      <c r="C30">
        <f>_xll.BDP("AVGO US Equity", "PX_LAST")</f>
        <v>421.25</v>
      </c>
      <c r="D30">
        <f>_xll.BDP("AVGO US Equity", "CHG_PCT_1D")</f>
        <v>-6.4180029999999997</v>
      </c>
      <c r="E30">
        <f>_xll.BDP("AVGO US Equity", "EQY_TURNOVER")</f>
        <v>1954157000</v>
      </c>
    </row>
    <row r="31" spans="1:5" x14ac:dyDescent="0.25">
      <c r="A31" t="s">
        <v>35</v>
      </c>
      <c r="B31" t="str">
        <f>_xll.BDP("QCOM US Equity", "NAME")</f>
        <v>QUALCOMM INC</v>
      </c>
      <c r="C31">
        <f>_xll.BDP("QCOM US Equity", "PX_LAST")</f>
        <v>123.2</v>
      </c>
      <c r="D31">
        <f>_xll.BDP("QCOM US Equity", "CHG_PCT_1D")</f>
        <v>-5.0481699999999998</v>
      </c>
      <c r="E31">
        <f>_xll.BDP("QCOM US Equity", "EQY_TURNOVER")</f>
        <v>1913417000</v>
      </c>
    </row>
    <row r="32" spans="1:5" x14ac:dyDescent="0.25">
      <c r="A32" t="s">
        <v>36</v>
      </c>
      <c r="B32" t="str">
        <f>_xll.BDP("SNOW US Equity", "NAME")</f>
        <v>SNOWFLAKE INC-CLASS A</v>
      </c>
      <c r="C32">
        <f>_xll.BDP("SNOW US Equity", "PX_LAST")</f>
        <v>213.99</v>
      </c>
      <c r="D32">
        <f>_xll.BDP("SNOW US Equity", "CHG_PCT_1D")</f>
        <v>-10.737080000000001</v>
      </c>
      <c r="E32">
        <f>_xll.BDP("SNOW US Equity", "EQY_TURNOVER")</f>
        <v>1867426000</v>
      </c>
    </row>
    <row r="33" spans="1:5" x14ac:dyDescent="0.25">
      <c r="A33" t="s">
        <v>37</v>
      </c>
      <c r="B33" t="str">
        <f>_xll.BDP("BRK/B US Equity", "NAME")</f>
        <v>BERKSHIRE HATHAWAY INC-CL B</v>
      </c>
      <c r="C33">
        <f>_xll.BDP("BRK/B US Equity", "PX_LAST")</f>
        <v>257.61</v>
      </c>
      <c r="D33">
        <f>_xll.BDP("BRK/B US Equity", "CHG_PCT_1D")</f>
        <v>1.761801</v>
      </c>
      <c r="E33">
        <f>_xll.BDP("BRK/B US Equity", "EQY_TURNOVER")</f>
        <v>1838718000</v>
      </c>
    </row>
    <row r="34" spans="1:5" x14ac:dyDescent="0.25">
      <c r="A34" t="s">
        <v>38</v>
      </c>
      <c r="B34" t="str">
        <f>_xll.BDP("ROKU US Equity", "NAME")</f>
        <v>ROKU INC</v>
      </c>
      <c r="C34">
        <f>_xll.BDP("ROKU US Equity", "PX_LAST")</f>
        <v>327.19</v>
      </c>
      <c r="D34">
        <f>_xll.BDP("ROKU US Equity", "CHG_PCT_1D")</f>
        <v>-7.4531879999999999</v>
      </c>
      <c r="E34">
        <f>_xll.BDP("ROKU US Equity", "EQY_TURNOVER")</f>
        <v>1810822000</v>
      </c>
    </row>
    <row r="35" spans="1:5" x14ac:dyDescent="0.25">
      <c r="A35" t="s">
        <v>39</v>
      </c>
      <c r="B35" t="str">
        <f>_xll.BDP("WMT US Equity", "NAME")</f>
        <v>WALMART INC</v>
      </c>
      <c r="C35">
        <f>_xll.BDP("WMT US Equity", "PX_LAST")</f>
        <v>127.88</v>
      </c>
      <c r="D35">
        <f>_xll.BDP("WMT US Equity", "CHG_PCT_1D")</f>
        <v>-0.96034699999999995</v>
      </c>
      <c r="E35">
        <f>_xll.BDP("WMT US Equity", "EQY_TURNOVER")</f>
        <v>1757625000</v>
      </c>
    </row>
    <row r="36" spans="1:5" x14ac:dyDescent="0.25">
      <c r="A36" t="s">
        <v>40</v>
      </c>
      <c r="B36" t="str">
        <f>_xll.BDP("VIAC US Equity", "NAME")</f>
        <v>VIACOMCBS INC - CLASS B</v>
      </c>
      <c r="C36">
        <f>_xll.BDP("VIAC US Equity", "PX_LAST")</f>
        <v>83.66</v>
      </c>
      <c r="D36">
        <f>_xll.BDP("VIAC US Equity", "CHG_PCT_1D")</f>
        <v>12.68858</v>
      </c>
      <c r="E36">
        <f>_xll.BDP("VIAC US Equity", "EQY_TURNOVER")</f>
        <v>1729760000</v>
      </c>
    </row>
    <row r="37" spans="1:5" x14ac:dyDescent="0.25">
      <c r="A37" t="s">
        <v>41</v>
      </c>
      <c r="B37" t="str">
        <f>_xll.BDP("TTD US Equity", "NAME")</f>
        <v>TRADE DESK INC/THE -CLASS A</v>
      </c>
      <c r="C37">
        <f>_xll.BDP("TTD US Equity", "PX_LAST")</f>
        <v>678.94</v>
      </c>
      <c r="D37">
        <f>_xll.BDP("TTD US Equity", "CHG_PCT_1D")</f>
        <v>3.7864779999999998</v>
      </c>
      <c r="E37">
        <f>_xll.BDP("TTD US Equity", "EQY_TURNOVER")</f>
        <v>1708198000</v>
      </c>
    </row>
    <row r="38" spans="1:5" x14ac:dyDescent="0.25">
      <c r="A38" t="s">
        <v>42</v>
      </c>
      <c r="B38" t="str">
        <f>_xll.BDP("T US Equity", "NAME")</f>
        <v>AT&amp;T INC</v>
      </c>
      <c r="C38">
        <f>_xll.BDP("T US Equity", "PX_LAST")</f>
        <v>29.99</v>
      </c>
      <c r="D38">
        <f>_xll.BDP("T US Equity", "CHG_PCT_1D")</f>
        <v>1.2491559999999999</v>
      </c>
      <c r="E38">
        <f>_xll.BDP("T US Equity", "EQY_TURNOVER")</f>
        <v>1681821000</v>
      </c>
    </row>
    <row r="39" spans="1:5" x14ac:dyDescent="0.25">
      <c r="A39" t="s">
        <v>43</v>
      </c>
      <c r="B39" t="str">
        <f>_xll.BDP("ORCL US Equity", "NAME")</f>
        <v>ORACLE CORP</v>
      </c>
      <c r="C39">
        <f>_xll.BDP("ORCL US Equity", "PX_LAST")</f>
        <v>72.16</v>
      </c>
      <c r="D39">
        <f>_xll.BDP("ORCL US Equity", "CHG_PCT_1D")</f>
        <v>3.1299130000000002</v>
      </c>
      <c r="E39">
        <f>_xll.BDP("ORCL US Equity", "EQY_TURNOVER")</f>
        <v>1676025000</v>
      </c>
    </row>
    <row r="40" spans="1:5" x14ac:dyDescent="0.25">
      <c r="A40" t="s">
        <v>44</v>
      </c>
      <c r="B40" t="str">
        <f>_xll.BDP("ADBE US Equity", "NAME")</f>
        <v>ADOBE INC</v>
      </c>
      <c r="C40">
        <f>_xll.BDP("ADBE US Equity", "PX_LAST")</f>
        <v>421.2</v>
      </c>
      <c r="D40">
        <f>_xll.BDP("ADBE US Equity", "CHG_PCT_1D")</f>
        <v>-4.4529639999999997</v>
      </c>
      <c r="E40">
        <f>_xll.BDP("ADBE US Equity", "EQY_TURNOVER")</f>
        <v>1671278000</v>
      </c>
    </row>
    <row r="41" spans="1:5" x14ac:dyDescent="0.25">
      <c r="A41" t="s">
        <v>45</v>
      </c>
      <c r="B41" t="str">
        <f>_xll.BDP("CSCO US Equity", "NAME")</f>
        <v>CISCO SYSTEMS INC</v>
      </c>
      <c r="C41">
        <f>_xll.BDP("CSCO US Equity", "PX_LAST")</f>
        <v>47.51</v>
      </c>
      <c r="D41">
        <f>_xll.BDP("CSCO US Equity", "CHG_PCT_1D")</f>
        <v>2.7243240000000002</v>
      </c>
      <c r="E41">
        <f>_xll.BDP("CSCO US Equity", "EQY_TURNOVER")</f>
        <v>1659402000</v>
      </c>
    </row>
    <row r="42" spans="1:5" x14ac:dyDescent="0.25">
      <c r="A42" t="s">
        <v>46</v>
      </c>
      <c r="B42" t="str">
        <f>_xll.BDP("COST US Equity", "NAME")</f>
        <v>COSTCO WHOLESALE CORP</v>
      </c>
      <c r="C42">
        <f>_xll.BDP("COST US Equity", "PX_LAST")</f>
        <v>311.42</v>
      </c>
      <c r="D42">
        <f>_xll.BDP("COST US Equity", "CHG_PCT_1D")</f>
        <v>-1.8593219999999999</v>
      </c>
      <c r="E42">
        <f>_xll.BDP("COST US Equity", "EQY_TURNOVER")</f>
        <v>1541775000</v>
      </c>
    </row>
    <row r="43" spans="1:5" x14ac:dyDescent="0.25">
      <c r="A43" t="s">
        <v>47</v>
      </c>
      <c r="B43" t="str">
        <f>_xll.BDP("WFC US Equity", "NAME")</f>
        <v>WELLS FARGO &amp; CO</v>
      </c>
      <c r="C43">
        <f>_xll.BDP("WFC US Equity", "PX_LAST")</f>
        <v>38.67</v>
      </c>
      <c r="D43">
        <f>_xll.BDP("WFC US Equity", "CHG_PCT_1D")</f>
        <v>3.3128510000000002</v>
      </c>
      <c r="E43">
        <f>_xll.BDP("WFC US Equity", "EQY_TURNOVER")</f>
        <v>1470922000</v>
      </c>
    </row>
    <row r="44" spans="1:5" x14ac:dyDescent="0.25">
      <c r="A44" t="s">
        <v>48</v>
      </c>
      <c r="B44" t="str">
        <f>_xll.BDP("SNAP US Equity", "NAME")</f>
        <v>SNAP INC - A</v>
      </c>
      <c r="C44">
        <f>_xll.BDP("SNAP US Equity", "PX_LAST")</f>
        <v>52.89</v>
      </c>
      <c r="D44">
        <f>_xll.BDP("SNAP US Equity", "CHG_PCT_1D")</f>
        <v>-7.9052759999999997</v>
      </c>
      <c r="E44">
        <f>_xll.BDP("SNAP US Equity", "EQY_TURNOVER")</f>
        <v>1453341000</v>
      </c>
    </row>
    <row r="45" spans="1:5" x14ac:dyDescent="0.25">
      <c r="A45" t="s">
        <v>49</v>
      </c>
      <c r="B45" t="str">
        <f>_xll.BDP("PTON US Equity", "NAME")</f>
        <v>PELOTON INTERACTIVE INC-A</v>
      </c>
      <c r="C45">
        <f>_xll.BDP("PTON US Equity", "PX_LAST")</f>
        <v>101.35</v>
      </c>
      <c r="D45">
        <f>_xll.BDP("PTON US Equity", "CHG_PCT_1D")</f>
        <v>-3.595548</v>
      </c>
      <c r="E45">
        <f>_xll.BDP("PTON US Equity", "EQY_TURNOVER")</f>
        <v>1443547000</v>
      </c>
    </row>
    <row r="46" spans="1:5" x14ac:dyDescent="0.25">
      <c r="A46" t="s">
        <v>50</v>
      </c>
      <c r="B46" t="str">
        <f>_xll.BDP("TWTR US Equity", "NAME")</f>
        <v>TWITTER INC</v>
      </c>
      <c r="C46">
        <f>_xll.BDP("TWTR US Equity", "PX_LAST")</f>
        <v>63.48</v>
      </c>
      <c r="D46">
        <f>_xll.BDP("TWTR US Equity", "CHG_PCT_1D")</f>
        <v>-5.1829720000000004</v>
      </c>
      <c r="E46">
        <f>_xll.BDP("TWTR US Equity", "EQY_TURNOVER")</f>
        <v>1423978000</v>
      </c>
    </row>
    <row r="47" spans="1:5" x14ac:dyDescent="0.25">
      <c r="A47" t="s">
        <v>51</v>
      </c>
      <c r="B47" t="str">
        <f>_xll.BDP("CMCSA US Equity", "NAME")</f>
        <v>COMCAST CORP-CLASS A</v>
      </c>
      <c r="C47">
        <f>_xll.BDP("CMCSA US Equity", "PX_LAST")</f>
        <v>55.475000000000001</v>
      </c>
      <c r="D47">
        <f>_xll.BDP("CMCSA US Equity", "CHG_PCT_1D")</f>
        <v>0.69885640000000004</v>
      </c>
      <c r="E47">
        <f>_xll.BDP("CMCSA US Equity", "EQY_TURNOVER")</f>
        <v>1399917000</v>
      </c>
    </row>
    <row r="48" spans="1:5" x14ac:dyDescent="0.25">
      <c r="A48" t="s">
        <v>52</v>
      </c>
      <c r="B48" t="str">
        <f>_xll.BDP("GM US Equity", "NAME")</f>
        <v>GENERAL MOTORS CO</v>
      </c>
      <c r="C48">
        <f>_xll.BDP("GM US Equity", "PX_LAST")</f>
        <v>54.98</v>
      </c>
      <c r="D48">
        <f>_xll.BDP("GM US Equity", "CHG_PCT_1D")</f>
        <v>2.2883719999999999</v>
      </c>
      <c r="E48">
        <f>_xll.BDP("GM US Equity", "EQY_TURNOVER")</f>
        <v>1349523000</v>
      </c>
    </row>
    <row r="49" spans="1:5" x14ac:dyDescent="0.25">
      <c r="A49" t="s">
        <v>53</v>
      </c>
      <c r="B49" t="str">
        <f>_xll.BDP("VZ US Equity", "NAME")</f>
        <v>VERIZON COMMUNICATIONS INC</v>
      </c>
      <c r="C49">
        <f>_xll.BDP("VZ US Equity", "PX_LAST")</f>
        <v>56.79</v>
      </c>
      <c r="D49">
        <f>_xll.BDP("VZ US Equity", "CHG_PCT_1D")</f>
        <v>1.410714</v>
      </c>
      <c r="E49">
        <f>_xll.BDP("VZ US Equity", "EQY_TURNOVER")</f>
        <v>1341783000</v>
      </c>
    </row>
    <row r="50" spans="1:5" x14ac:dyDescent="0.25">
      <c r="A50" t="s">
        <v>54</v>
      </c>
      <c r="B50" t="str">
        <f>_xll.BDP("BKNG US Equity", "NAME")</f>
        <v>BOOKING HOLDINGS INC</v>
      </c>
      <c r="C50">
        <f>_xll.BDP("BKNG US Equity", "PX_LAST")</f>
        <v>2368.7399999999998</v>
      </c>
      <c r="D50">
        <f>_xll.BDP("BKNG US Equity", "CHG_PCT_1D")</f>
        <v>2.6717520000000001</v>
      </c>
      <c r="E50">
        <f>_xll.BDP("BKNG US Equity", "EQY_TURNOVER")</f>
        <v>1334408000</v>
      </c>
    </row>
    <row r="51" spans="1:5" x14ac:dyDescent="0.25">
      <c r="A51" t="s">
        <v>55</v>
      </c>
      <c r="B51" t="str">
        <f>_xll.BDP("AMAT US Equity", "NAME")</f>
        <v>APPLIED MATERIALS INC</v>
      </c>
      <c r="C51">
        <f>_xll.BDP("AMAT US Equity", "PX_LAST")</f>
        <v>105.68</v>
      </c>
      <c r="D51">
        <f>_xll.BDP("AMAT US Equity", "CHG_PCT_1D")</f>
        <v>-6.8488319999999998</v>
      </c>
      <c r="E51">
        <f>_xll.BDP("AMAT US Equity", "EQY_TURNOVER")</f>
        <v>1312371000</v>
      </c>
    </row>
    <row r="52" spans="1:5" x14ac:dyDescent="0.25">
      <c r="A52" t="s">
        <v>56</v>
      </c>
      <c r="B52" t="str">
        <f>_xll.BDP("HD US Equity", "NAME")</f>
        <v>HOME DEPOT INC</v>
      </c>
      <c r="C52">
        <f>_xll.BDP("HD US Equity", "PX_LAST")</f>
        <v>259.02999999999997</v>
      </c>
      <c r="D52">
        <f>_xll.BDP("HD US Equity", "CHG_PCT_1D")</f>
        <v>2.1733989999999999</v>
      </c>
      <c r="E52">
        <f>_xll.BDP("HD US Equity", "EQY_TURNOVER")</f>
        <v>1306582000</v>
      </c>
    </row>
    <row r="53" spans="1:5" x14ac:dyDescent="0.25">
      <c r="A53" t="s">
        <v>57</v>
      </c>
      <c r="B53" t="str">
        <f>_xll.BDP("KO US Equity", "NAME")</f>
        <v>COCA-COLA CO/THE</v>
      </c>
      <c r="C53">
        <f>_xll.BDP("KO US Equity", "PX_LAST")</f>
        <v>51.64</v>
      </c>
      <c r="D53">
        <f>_xll.BDP("KO US Equity", "CHG_PCT_1D")</f>
        <v>1.6735580000000001</v>
      </c>
      <c r="E53">
        <f>_xll.BDP("KO US Equity", "EQY_TURNOVER")</f>
        <v>1301485000</v>
      </c>
    </row>
    <row r="54" spans="1:5" x14ac:dyDescent="0.25">
      <c r="A54" t="s">
        <v>58</v>
      </c>
      <c r="B54" t="str">
        <f>_xll.BDP("CCL US Equity", "NAME")</f>
        <v>CARNIVAL CORP</v>
      </c>
      <c r="C54">
        <f>_xll.BDP("CCL US Equity", "PX_LAST")</f>
        <v>26.69</v>
      </c>
      <c r="D54">
        <f>_xll.BDP("CCL US Equity", "CHG_PCT_1D")</f>
        <v>2.2997320000000001</v>
      </c>
      <c r="E54">
        <f>_xll.BDP("CCL US Equity", "EQY_TURNOVER")</f>
        <v>1276982000</v>
      </c>
    </row>
    <row r="55" spans="1:5" x14ac:dyDescent="0.25">
      <c r="A55" t="s">
        <v>59</v>
      </c>
      <c r="B55" t="str">
        <f>_xll.BDP("NCLH US Equity", "NAME")</f>
        <v>NORWEGIAN CRUISE LINE HOLDIN</v>
      </c>
      <c r="C55">
        <f>_xll.BDP("NCLH US Equity", "PX_LAST")</f>
        <v>29.31</v>
      </c>
      <c r="D55">
        <f>_xll.BDP("NCLH US Equity", "CHG_PCT_1D")</f>
        <v>1.594454</v>
      </c>
      <c r="E55">
        <f>_xll.BDP("NCLH US Equity", "EQY_TURNOVER")</f>
        <v>1256816000</v>
      </c>
    </row>
    <row r="56" spans="1:5" x14ac:dyDescent="0.25">
      <c r="A56" t="s">
        <v>60</v>
      </c>
      <c r="B56" t="str">
        <f>_xll.BDP("MELI US Equity", "NAME")</f>
        <v>MERCADOLIBRE INC</v>
      </c>
      <c r="C56">
        <f>_xll.BDP("MELI US Equity", "PX_LAST")</f>
        <v>1369.54</v>
      </c>
      <c r="D56">
        <f>_xll.BDP("MELI US Equity", "CHG_PCT_1D")</f>
        <v>-6.8492220000000001</v>
      </c>
      <c r="E56">
        <f>_xll.BDP("MELI US Equity", "EQY_TURNOVER")</f>
        <v>1237706000</v>
      </c>
    </row>
    <row r="57" spans="1:5" x14ac:dyDescent="0.25">
      <c r="A57" t="s">
        <v>61</v>
      </c>
      <c r="B57" t="str">
        <f>_xll.BDP("UNH US Equity", "NAME")</f>
        <v>UNITEDHEALTH GROUP INC</v>
      </c>
      <c r="C57">
        <f>_xll.BDP("UNH US Equity", "PX_LAST")</f>
        <v>350.17</v>
      </c>
      <c r="D57">
        <f>_xll.BDP("UNH US Equity", "CHG_PCT_1D")</f>
        <v>0.88447129999999996</v>
      </c>
      <c r="E57">
        <f>_xll.BDP("UNH US Equity", "EQY_TURNOVER")</f>
        <v>1200292000</v>
      </c>
    </row>
    <row r="58" spans="1:5" x14ac:dyDescent="0.25">
      <c r="A58" t="s">
        <v>62</v>
      </c>
      <c r="B58" t="str">
        <f>_xll.BDP("PG US Equity", "NAME")</f>
        <v>PROCTER &amp; GAMBLE CO/THE</v>
      </c>
      <c r="C58">
        <f>_xll.BDP("PG US Equity", "PX_LAST")</f>
        <v>127.31</v>
      </c>
      <c r="D58">
        <f>_xll.BDP("PG US Equity", "CHG_PCT_1D")</f>
        <v>1.055723</v>
      </c>
      <c r="E58">
        <f>_xll.BDP("PG US Equity", "EQY_TURNOVER")</f>
        <v>1175782000</v>
      </c>
    </row>
    <row r="59" spans="1:5" x14ac:dyDescent="0.25">
      <c r="A59" t="s">
        <v>63</v>
      </c>
      <c r="B59" t="str">
        <f>_xll.BDP("BRK/A US Equity", "NAME")</f>
        <v>BERKSHIRE HATHAWAY INC-CL A</v>
      </c>
      <c r="C59">
        <f>_xll.BDP("BRK/A US Equity", "PX_LAST")</f>
        <v>388560</v>
      </c>
      <c r="D59">
        <f>_xll.BDP("BRK/A US Equity", "CHG_PCT_1D")</f>
        <v>1.8238989999999999</v>
      </c>
      <c r="E59">
        <f>_xll.BDP("BRK/A US Equity", "EQY_TURNOVER")</f>
        <v>1159610000</v>
      </c>
    </row>
    <row r="60" spans="1:5" x14ac:dyDescent="0.25">
      <c r="A60" t="s">
        <v>64</v>
      </c>
      <c r="B60" t="str">
        <f>_xll.BDP("PEP US Equity", "NAME")</f>
        <v>PEPSICO INC</v>
      </c>
      <c r="C60">
        <f>_xll.BDP("PEP US Equity", "PX_LAST")</f>
        <v>132.13</v>
      </c>
      <c r="D60">
        <f>_xll.BDP("PEP US Equity", "CHG_PCT_1D")</f>
        <v>-0.67653909999999995</v>
      </c>
      <c r="E60">
        <f>_xll.BDP("PEP US Equity", "EQY_TURNOVER")</f>
        <v>1148134000</v>
      </c>
    </row>
    <row r="61" spans="1:5" x14ac:dyDescent="0.25">
      <c r="A61" t="s">
        <v>65</v>
      </c>
      <c r="B61" t="str">
        <f>_xll.BDP("MRK US Equity", "NAME")</f>
        <v>MERCK &amp; CO. INC.</v>
      </c>
      <c r="C61">
        <f>_xll.BDP("MRK US Equity", "PX_LAST")</f>
        <v>74.17</v>
      </c>
      <c r="D61">
        <f>_xll.BDP("MRK US Equity", "CHG_PCT_1D")</f>
        <v>1.4221250000000001</v>
      </c>
      <c r="E61">
        <f>_xll.BDP("MRK US Equity", "EQY_TURNOVER")</f>
        <v>1096677000</v>
      </c>
    </row>
    <row r="62" spans="1:5" x14ac:dyDescent="0.25">
      <c r="A62" t="s">
        <v>0</v>
      </c>
      <c r="B62" t="str">
        <f>_xll.BDP("F US Equity", "NAME")</f>
        <v>FORD MOTOR CO</v>
      </c>
      <c r="C62">
        <f>_xll.BDP("F US Equity", "PX_LAST")</f>
        <v>12.65</v>
      </c>
      <c r="D62">
        <f>_xll.BDP("F US Equity", "CHG_PCT_1D")</f>
        <v>3.0969850000000001</v>
      </c>
      <c r="E62">
        <f>_xll.BDP("F US Equity", "EQY_TURNOVER")</f>
        <v>1090969000</v>
      </c>
    </row>
    <row r="63" spans="1:5" x14ac:dyDescent="0.25">
      <c r="A63" t="s">
        <v>66</v>
      </c>
      <c r="B63" t="str">
        <f>_xll.BDP("UBER US Equity", "NAME")</f>
        <v>UBER TECHNOLOGIES INC</v>
      </c>
      <c r="C63">
        <f>_xll.BDP("UBER US Equity", "PX_LAST")</f>
        <v>53.2</v>
      </c>
      <c r="D63">
        <f>_xll.BDP("UBER US Equity", "CHG_PCT_1D")</f>
        <v>-4.2131800000000004</v>
      </c>
      <c r="E63">
        <f>_xll.BDP("UBER US Equity", "EQY_TURNOVER")</f>
        <v>1079634000</v>
      </c>
    </row>
    <row r="64" spans="1:5" x14ac:dyDescent="0.25">
      <c r="A64" t="s">
        <v>67</v>
      </c>
      <c r="B64" t="str">
        <f>_xll.BDP("PLUG US Equity", "NAME")</f>
        <v>PLUG POWER INC</v>
      </c>
      <c r="C64">
        <f>_xll.BDP("PLUG US Equity", "PX_LAST")</f>
        <v>38.11</v>
      </c>
      <c r="D64">
        <f>_xll.BDP("PLUG US Equity", "CHG_PCT_1D")</f>
        <v>-3.02799</v>
      </c>
      <c r="E64">
        <f>_xll.BDP("PLUG US Equity", "EQY_TURNOVER")</f>
        <v>1034153000</v>
      </c>
    </row>
    <row r="65" spans="1:5" x14ac:dyDescent="0.25">
      <c r="A65" t="s">
        <v>68</v>
      </c>
      <c r="B65" t="str">
        <f>_xll.BDP("JNJ US Equity", "NAME")</f>
        <v>JOHNSON &amp; JOHNSON</v>
      </c>
      <c r="C65">
        <f>_xll.BDP("JNJ US Equity", "PX_LAST")</f>
        <v>157.4</v>
      </c>
      <c r="D65">
        <f>_xll.BDP("JNJ US Equity", "CHG_PCT_1D")</f>
        <v>0.83279950000000003</v>
      </c>
      <c r="E65">
        <f>_xll.BDP("JNJ US Equity", "EQY_TURNOVER")</f>
        <v>1033026000</v>
      </c>
    </row>
    <row r="66" spans="1:5" x14ac:dyDescent="0.25">
      <c r="A66" t="s">
        <v>69</v>
      </c>
      <c r="B66" t="str">
        <f>_xll.BDP("GS US Equity", "NAME")</f>
        <v>GOLDMAN SACHS GROUP INC</v>
      </c>
      <c r="C66">
        <f>_xll.BDP("GS US Equity", "PX_LAST")</f>
        <v>334.19</v>
      </c>
      <c r="D66">
        <f>_xll.BDP("GS US Equity", "CHG_PCT_1D")</f>
        <v>2.0832700000000002</v>
      </c>
      <c r="E66">
        <f>_xll.BDP("GS US Equity", "EQY_TURNOVER")</f>
        <v>1002782000</v>
      </c>
    </row>
    <row r="67" spans="1:5" x14ac:dyDescent="0.25">
      <c r="A67" t="s">
        <v>70</v>
      </c>
      <c r="B67" t="str">
        <f>_xll.BDP("TXN US Equity", "NAME")</f>
        <v>TEXAS INSTRUMENTS INC</v>
      </c>
      <c r="C67">
        <f>_xll.BDP("TXN US Equity", "PX_LAST")</f>
        <v>162.11000000000001</v>
      </c>
      <c r="D67">
        <f>_xll.BDP("TXN US Equity", "CHG_PCT_1D")</f>
        <v>-3.4714779999999998</v>
      </c>
      <c r="E67">
        <f>_xll.BDP("TXN US Equity", "EQY_TURNOVER")</f>
        <v>995502300</v>
      </c>
    </row>
    <row r="68" spans="1:5" x14ac:dyDescent="0.25">
      <c r="A68" t="s">
        <v>71</v>
      </c>
      <c r="B68" t="str">
        <f>_xll.BDP("LRCX US Equity", "NAME")</f>
        <v>LAM RESEARCH CORP</v>
      </c>
      <c r="C68">
        <f>_xll.BDP("LRCX US Equity", "PX_LAST")</f>
        <v>502.61</v>
      </c>
      <c r="D68">
        <f>_xll.BDP("LRCX US Equity", "CHG_PCT_1D")</f>
        <v>-8.2326090000000001</v>
      </c>
      <c r="E68">
        <f>_xll.BDP("LRCX US Equity", "EQY_TURNOVER")</f>
        <v>991758500</v>
      </c>
    </row>
    <row r="69" spans="1:5" x14ac:dyDescent="0.25">
      <c r="A69" t="s">
        <v>72</v>
      </c>
      <c r="B69" t="str">
        <f>_xll.BDP("PINS US Equity", "NAME")</f>
        <v>PINTEREST INC- CLASS A</v>
      </c>
      <c r="C69">
        <f>_xll.BDP("PINS US Equity", "PX_LAST")</f>
        <v>62.49</v>
      </c>
      <c r="D69">
        <f>_xll.BDP("PINS US Equity", "CHG_PCT_1D")</f>
        <v>-8.2917520000000007</v>
      </c>
      <c r="E69">
        <f>_xll.BDP("PINS US Equity", "EQY_TURNOVER")</f>
        <v>986541800</v>
      </c>
    </row>
    <row r="70" spans="1:5" x14ac:dyDescent="0.25">
      <c r="A70" t="s">
        <v>73</v>
      </c>
      <c r="B70" t="str">
        <f>_xll.BDP("CRWD US Equity", "NAME")</f>
        <v>CROWDSTRIKE HOLDINGS INC - A</v>
      </c>
      <c r="C70">
        <f>_xll.BDP("CRWD US Equity", "PX_LAST")</f>
        <v>179.75</v>
      </c>
      <c r="D70">
        <f>_xll.BDP("CRWD US Equity", "CHG_PCT_1D")</f>
        <v>-1.8403229999999999</v>
      </c>
      <c r="E70">
        <f>_xll.BDP("CRWD US Equity", "EQY_TURNOVER")</f>
        <v>978388700</v>
      </c>
    </row>
    <row r="71" spans="1:5" x14ac:dyDescent="0.25">
      <c r="A71" t="s">
        <v>74</v>
      </c>
      <c r="B71" t="str">
        <f>_xll.BDP("TWLO US Equity", "NAME")</f>
        <v>TWILIO INC - A</v>
      </c>
      <c r="C71">
        <f>_xll.BDP("TWLO US Equity", "PX_LAST")</f>
        <v>320.58999999999997</v>
      </c>
      <c r="D71">
        <f>_xll.BDP("TWLO US Equity", "CHG_PCT_1D")</f>
        <v>-4.9484110000000001</v>
      </c>
      <c r="E71">
        <f>_xll.BDP("TWLO US Equity", "EQY_TURNOVER")</f>
        <v>963922400</v>
      </c>
    </row>
    <row r="72" spans="1:5" x14ac:dyDescent="0.25">
      <c r="A72" t="s">
        <v>75</v>
      </c>
      <c r="B72" t="str">
        <f>_xll.BDP("DASH US Equity", "NAME")</f>
        <v>DOORDASH INC - A</v>
      </c>
      <c r="C72">
        <f>_xll.BDP("DASH US Equity", "PX_LAST")</f>
        <v>133.41</v>
      </c>
      <c r="D72">
        <f>_xll.BDP("DASH US Equity", "CHG_PCT_1D")</f>
        <v>-11.92897</v>
      </c>
      <c r="E72">
        <f>_xll.BDP("DASH US Equity", "EQY_TURNOVER")</f>
        <v>959455600</v>
      </c>
    </row>
    <row r="73" spans="1:5" x14ac:dyDescent="0.25">
      <c r="A73" t="s">
        <v>76</v>
      </c>
      <c r="B73" t="str">
        <f>_xll.BDP("TMUS US Equity", "NAME")</f>
        <v>T-MOBILE US INC</v>
      </c>
      <c r="C73">
        <f>_xll.BDP("TMUS US Equity", "PX_LAST")</f>
        <v>127.06</v>
      </c>
      <c r="D73">
        <f>_xll.BDP("TMUS US Equity", "CHG_PCT_1D")</f>
        <v>1.908887</v>
      </c>
      <c r="E73">
        <f>_xll.BDP("TMUS US Equity", "EQY_TURNOVER")</f>
        <v>941952300</v>
      </c>
    </row>
    <row r="74" spans="1:5" x14ac:dyDescent="0.25">
      <c r="A74" t="s">
        <v>77</v>
      </c>
      <c r="B74" t="str">
        <f>_xll.BDP("NOW US Equity", "NAME")</f>
        <v>SERVICENOW INC</v>
      </c>
      <c r="C74">
        <f>_xll.BDP("NOW US Equity", "PX_LAST")</f>
        <v>464.05</v>
      </c>
      <c r="D74">
        <f>_xll.BDP("NOW US Equity", "CHG_PCT_1D")</f>
        <v>-4.7046989999999997</v>
      </c>
      <c r="E74">
        <f>_xll.BDP("NOW US Equity", "EQY_TURNOVER")</f>
        <v>937397600</v>
      </c>
    </row>
    <row r="75" spans="1:5" x14ac:dyDescent="0.25">
      <c r="A75" t="s">
        <v>78</v>
      </c>
      <c r="B75" t="str">
        <f>_xll.BDP("UAL US Equity", "NAME")</f>
        <v>UNITED AIRLINES HOLDINGS INC</v>
      </c>
      <c r="C75">
        <f>_xll.BDP("UAL US Equity", "PX_LAST")</f>
        <v>54.06</v>
      </c>
      <c r="D75">
        <f>_xll.BDP("UAL US Equity", "CHG_PCT_1D")</f>
        <v>7.0071260000000004</v>
      </c>
      <c r="E75">
        <f>_xll.BDP("UAL US Equity", "EQY_TURNOVER")</f>
        <v>937386900</v>
      </c>
    </row>
    <row r="76" spans="1:5" x14ac:dyDescent="0.25">
      <c r="A76" t="s">
        <v>79</v>
      </c>
      <c r="B76" t="str">
        <f>_xll.BDP("DKNG US Equity", "NAME")</f>
        <v>DRAFTKINGS INC - CL A</v>
      </c>
      <c r="C76">
        <f>_xll.BDP("DKNG US Equity", "PX_LAST")</f>
        <v>60.5</v>
      </c>
      <c r="D76">
        <f>_xll.BDP("DKNG US Equity", "CHG_PCT_1D")</f>
        <v>1.6465050000000001</v>
      </c>
      <c r="E76">
        <f>_xll.BDP("DKNG US Equity", "EQY_TURNOVER")</f>
        <v>908500500</v>
      </c>
    </row>
    <row r="77" spans="1:5" x14ac:dyDescent="0.25">
      <c r="A77" t="s">
        <v>80</v>
      </c>
      <c r="B77" t="str">
        <f>_xll.BDP("IBM US Equity", "NAME")</f>
        <v>INTL BUSINESS MACHINES CORP</v>
      </c>
      <c r="C77">
        <f>_xll.BDP("IBM US Equity", "PX_LAST")</f>
        <v>124.81</v>
      </c>
      <c r="D77">
        <f>_xll.BDP("IBM US Equity", "CHG_PCT_1D")</f>
        <v>1.6119840000000001</v>
      </c>
      <c r="E77">
        <f>_xll.BDP("IBM US Equity", "EQY_TURNOVER")</f>
        <v>906796100</v>
      </c>
    </row>
    <row r="78" spans="1:5" x14ac:dyDescent="0.25">
      <c r="A78" t="s">
        <v>81</v>
      </c>
      <c r="B78" t="str">
        <f>_xll.BDP("ABNB US Equity", "NAME")</f>
        <v>AIRBNB INC-CLASS A</v>
      </c>
      <c r="C78">
        <f>_xll.BDP("ABNB US Equity", "PX_LAST")</f>
        <v>180.81</v>
      </c>
      <c r="D78">
        <f>_xll.BDP("ABNB US Equity", "CHG_PCT_1D")</f>
        <v>0.55614260000000004</v>
      </c>
      <c r="E78">
        <f>_xll.BDP("ABNB US Equity", "EQY_TURNOVER")</f>
        <v>904633500</v>
      </c>
    </row>
    <row r="79" spans="1:5" x14ac:dyDescent="0.25">
      <c r="A79" t="s">
        <v>82</v>
      </c>
      <c r="B79" t="str">
        <f>_xll.BDP("LUV US Equity", "NAME")</f>
        <v>SOUTHWEST AIRLINES CO</v>
      </c>
      <c r="C79">
        <f>_xll.BDP("LUV US Equity", "PX_LAST")</f>
        <v>60.55</v>
      </c>
      <c r="D79">
        <f>_xll.BDP("LUV US Equity", "CHG_PCT_1D")</f>
        <v>6.3773720000000003</v>
      </c>
      <c r="E79">
        <f>_xll.BDP("LUV US Equity", "EQY_TURNOVER")</f>
        <v>904040900</v>
      </c>
    </row>
    <row r="80" spans="1:5" x14ac:dyDescent="0.25">
      <c r="A80" t="s">
        <v>83</v>
      </c>
      <c r="B80" t="str">
        <f>_xll.BDP("NEE US Equity", "NAME")</f>
        <v>NEXTERA ENERGY INC</v>
      </c>
      <c r="C80">
        <f>_xll.BDP("NEE US Equity", "PX_LAST")</f>
        <v>70.86</v>
      </c>
      <c r="D80">
        <f>_xll.BDP("NEE US Equity", "CHG_PCT_1D")</f>
        <v>0.22630829999999999</v>
      </c>
      <c r="E80">
        <f>_xll.BDP("NEE US Equity", "EQY_TURNOVER")</f>
        <v>891243800</v>
      </c>
    </row>
    <row r="81" spans="1:5" x14ac:dyDescent="0.25">
      <c r="A81" t="s">
        <v>84</v>
      </c>
      <c r="B81" t="str">
        <f>_xll.BDP("TJX US Equity", "NAME")</f>
        <v>TJX COMPANIES INC</v>
      </c>
      <c r="C81">
        <f>_xll.BDP("TJX US Equity", "PX_LAST")</f>
        <v>65.180000000000007</v>
      </c>
      <c r="D81">
        <f>_xll.BDP("TJX US Equity", "CHG_PCT_1D")</f>
        <v>3.9221940000000002</v>
      </c>
      <c r="E81">
        <f>_xll.BDP("TJX US Equity", "EQY_TURNOVER")</f>
        <v>883987500</v>
      </c>
    </row>
    <row r="82" spans="1:5" x14ac:dyDescent="0.25">
      <c r="A82" t="s">
        <v>85</v>
      </c>
      <c r="B82" t="str">
        <f>_xll.BDP("MRNA US Equity", "NAME")</f>
        <v>MODERNA INC</v>
      </c>
      <c r="C82">
        <f>_xll.BDP("MRNA US Equity", "PX_LAST")</f>
        <v>123.47</v>
      </c>
      <c r="D82">
        <f>_xll.BDP("MRNA US Equity", "CHG_PCT_1D")</f>
        <v>-6.5965660000000002</v>
      </c>
      <c r="E82">
        <f>_xll.BDP("MRNA US Equity", "EQY_TURNOVER")</f>
        <v>870649000</v>
      </c>
    </row>
    <row r="83" spans="1:5" x14ac:dyDescent="0.25">
      <c r="A83" t="s">
        <v>86</v>
      </c>
      <c r="B83" t="str">
        <f>_xll.BDP("FCX US Equity", "NAME")</f>
        <v>FREEPORT-MCMORAN INC</v>
      </c>
      <c r="C83">
        <f>_xll.BDP("FCX US Equity", "PX_LAST")</f>
        <v>34.43</v>
      </c>
      <c r="D83">
        <f>_xll.BDP("FCX US Equity", "CHG_PCT_1D")</f>
        <v>-1.684752</v>
      </c>
      <c r="E83">
        <f>_xll.BDP("FCX US Equity", "EQY_TURNOVER")</f>
        <v>867185900</v>
      </c>
    </row>
    <row r="84" spans="1:5" x14ac:dyDescent="0.25">
      <c r="A84" t="s">
        <v>87</v>
      </c>
      <c r="B84" t="str">
        <f>_xll.BDP("AAL US Equity", "NAME")</f>
        <v>AMERICAN AIRLINES GROUP INC</v>
      </c>
      <c r="C84">
        <f>_xll.BDP("AAL US Equity", "PX_LAST")</f>
        <v>21.47</v>
      </c>
      <c r="D84">
        <f>_xll.BDP("AAL US Equity", "CHG_PCT_1D")</f>
        <v>4.9877750000000001</v>
      </c>
      <c r="E84">
        <f>_xll.BDP("AAL US Equity", "EQY_TURNOVER")</f>
        <v>847369500</v>
      </c>
    </row>
    <row r="85" spans="1:5" x14ac:dyDescent="0.25">
      <c r="A85" t="s">
        <v>88</v>
      </c>
      <c r="B85" t="str">
        <f>_xll.BDP("W US Equity", "NAME")</f>
        <v>WAYFAIR INC- CLASS A</v>
      </c>
      <c r="C85">
        <f>_xll.BDP("W US Equity", "PX_LAST")</f>
        <v>306.56</v>
      </c>
      <c r="D85">
        <f>_xll.BDP("W US Equity", "CHG_PCT_1D")</f>
        <v>3.6866669999999999</v>
      </c>
      <c r="E85">
        <f>_xll.BDP("W US Equity", "EQY_TURNOVER")</f>
        <v>846630800</v>
      </c>
    </row>
    <row r="86" spans="1:5" x14ac:dyDescent="0.25">
      <c r="A86" t="s">
        <v>89</v>
      </c>
      <c r="B86" t="str">
        <f>_xll.BDP("PFE US Equity", "NAME")</f>
        <v>PFIZER INC</v>
      </c>
      <c r="C86">
        <f>_xll.BDP("PFE US Equity", "PX_LAST")</f>
        <v>34.35</v>
      </c>
      <c r="D86">
        <f>_xll.BDP("PFE US Equity", "CHG_PCT_1D")</f>
        <v>-0.1163129</v>
      </c>
      <c r="E86">
        <f>_xll.BDP("PFE US Equity", "EQY_TURNOVER")</f>
        <v>842443100</v>
      </c>
    </row>
    <row r="87" spans="1:5" x14ac:dyDescent="0.25">
      <c r="A87" t="s">
        <v>90</v>
      </c>
      <c r="B87" t="str">
        <f>_xll.BDP("DISCK US Equity", "NAME")</f>
        <v>DISCOVERY INC-C</v>
      </c>
      <c r="C87">
        <f>_xll.BDP("DISCK US Equity", "PX_LAST")</f>
        <v>55</v>
      </c>
      <c r="D87">
        <f>_xll.BDP("DISCK US Equity", "CHG_PCT_1D")</f>
        <v>3.7735850000000002</v>
      </c>
      <c r="E87">
        <f>_xll.BDP("DISCK US Equity", "EQY_TURNOVER")</f>
        <v>842336000</v>
      </c>
    </row>
    <row r="88" spans="1:5" x14ac:dyDescent="0.25">
      <c r="A88" t="s">
        <v>91</v>
      </c>
      <c r="B88" t="str">
        <f>_xll.BDP("MS US Equity", "NAME")</f>
        <v>MORGAN STANLEY</v>
      </c>
      <c r="C88">
        <f>_xll.BDP("MS US Equity", "PX_LAST")</f>
        <v>81.099999999999994</v>
      </c>
      <c r="D88">
        <f>_xll.BDP("MS US Equity", "CHG_PCT_1D")</f>
        <v>0.28440710000000002</v>
      </c>
      <c r="E88">
        <f>_xll.BDP("MS US Equity", "EQY_TURNOVER")</f>
        <v>830877100</v>
      </c>
    </row>
    <row r="89" spans="1:5" x14ac:dyDescent="0.25">
      <c r="A89" t="s">
        <v>92</v>
      </c>
      <c r="B89" t="str">
        <f>_xll.BDP("DAL US Equity", "NAME")</f>
        <v>DELTA AIR LINES INC</v>
      </c>
      <c r="C89">
        <f>_xll.BDP("DAL US Equity", "PX_LAST")</f>
        <v>47.88</v>
      </c>
      <c r="D89">
        <f>_xll.BDP("DAL US Equity", "CHG_PCT_1D")</f>
        <v>3.6139359999999998</v>
      </c>
      <c r="E89">
        <f>_xll.BDP("DAL US Equity", "EQY_TURNOVER")</f>
        <v>823412000</v>
      </c>
    </row>
    <row r="90" spans="1:5" x14ac:dyDescent="0.25">
      <c r="A90" t="s">
        <v>93</v>
      </c>
      <c r="B90" t="str">
        <f>_xll.BDP("TDOC US Equity", "NAME")</f>
        <v>TELADOC HEALTH INC</v>
      </c>
      <c r="C90">
        <f>_xll.BDP("TDOC US Equity", "PX_LAST")</f>
        <v>176.65</v>
      </c>
      <c r="D90">
        <f>_xll.BDP("TDOC US Equity", "CHG_PCT_1D")</f>
        <v>-6.8743740000000004</v>
      </c>
      <c r="E90">
        <f>_xll.BDP("TDOC US Equity", "EQY_TURNOVER")</f>
        <v>812401900</v>
      </c>
    </row>
    <row r="91" spans="1:5" x14ac:dyDescent="0.25">
      <c r="A91" t="s">
        <v>94</v>
      </c>
      <c r="B91" t="str">
        <f>_xll.BDP("AI US Equity", "NAME")</f>
        <v>C3.AI INC-A</v>
      </c>
      <c r="C91">
        <f>_xll.BDP("AI US Equity", "PX_LAST")</f>
        <v>83.61</v>
      </c>
      <c r="D91">
        <f>_xll.BDP("AI US Equity", "CHG_PCT_1D")</f>
        <v>-12.128220000000001</v>
      </c>
      <c r="E91">
        <f>_xll.BDP("AI US Equity", "EQY_TURNOVER")</f>
        <v>807461200</v>
      </c>
    </row>
    <row r="92" spans="1:5" x14ac:dyDescent="0.25">
      <c r="A92" t="s">
        <v>95</v>
      </c>
      <c r="B92" t="str">
        <f>_xll.BDP("TGT US Equity", "NAME")</f>
        <v>TARGET CORP</v>
      </c>
      <c r="C92">
        <f>_xll.BDP("TGT US Equity", "PX_LAST")</f>
        <v>176.87</v>
      </c>
      <c r="D92">
        <f>_xll.BDP("TGT US Equity", "CHG_PCT_1D")</f>
        <v>2.467991</v>
      </c>
      <c r="E92">
        <f>_xll.BDP("TGT US Equity", "EQY_TURNOVER")</f>
        <v>806123800</v>
      </c>
    </row>
    <row r="93" spans="1:5" x14ac:dyDescent="0.25">
      <c r="A93" t="s">
        <v>96</v>
      </c>
      <c r="B93" t="str">
        <f>_xll.BDP("D US Equity", "NAME")</f>
        <v>DOMINION ENERGY INC</v>
      </c>
      <c r="C93">
        <f>_xll.BDP("D US Equity", "PX_LAST")</f>
        <v>72</v>
      </c>
      <c r="D93">
        <f>_xll.BDP("D US Equity", "CHG_PCT_1D")</f>
        <v>3.063269</v>
      </c>
      <c r="E93">
        <f>_xll.BDP("D US Equity", "EQY_TURNOVER")</f>
        <v>799657000</v>
      </c>
    </row>
    <row r="94" spans="1:5" x14ac:dyDescent="0.25">
      <c r="A94" t="s">
        <v>97</v>
      </c>
      <c r="B94" t="str">
        <f>_xll.BDP("FIS US Equity", "NAME")</f>
        <v>FIDELITY NATIONAL INFO SERV</v>
      </c>
      <c r="C94">
        <f>_xll.BDP("FIS US Equity", "PX_LAST")</f>
        <v>144.52000000000001</v>
      </c>
      <c r="D94">
        <f>_xll.BDP("FIS US Equity", "CHG_PCT_1D")</f>
        <v>2.3947850000000002</v>
      </c>
      <c r="E94">
        <f>_xll.BDP("FIS US Equity", "EQY_TURNOVER")</f>
        <v>796370400</v>
      </c>
    </row>
    <row r="95" spans="1:5" x14ac:dyDescent="0.25">
      <c r="A95" t="s">
        <v>98</v>
      </c>
      <c r="B95" t="str">
        <f>_xll.BDP("DOCU US Equity", "NAME")</f>
        <v>DOCUSIGN INC</v>
      </c>
      <c r="C95">
        <f>_xll.BDP("DOCU US Equity", "PX_LAST")</f>
        <v>192.84</v>
      </c>
      <c r="D95">
        <f>_xll.BDP("DOCU US Equity", "CHG_PCT_1D")</f>
        <v>-5.6140179999999997</v>
      </c>
      <c r="E95">
        <f>_xll.BDP("DOCU US Equity", "EQY_TURNOVER")</f>
        <v>781876700</v>
      </c>
    </row>
    <row r="96" spans="1:5" x14ac:dyDescent="0.25">
      <c r="A96" t="s">
        <v>99</v>
      </c>
      <c r="B96" t="str">
        <f>_xll.BDP("ETSY US Equity", "NAME")</f>
        <v>ETSY INC</v>
      </c>
      <c r="C96">
        <f>_xll.BDP("ETSY US Equity", "PX_LAST")</f>
        <v>190.26</v>
      </c>
      <c r="D96">
        <f>_xll.BDP("ETSY US Equity", "CHG_PCT_1D")</f>
        <v>-5.0124810000000002</v>
      </c>
      <c r="E96">
        <f>_xll.BDP("ETSY US Equity", "EQY_TURNOVER")</f>
        <v>780354400</v>
      </c>
    </row>
    <row r="97" spans="1:5" x14ac:dyDescent="0.25">
      <c r="A97" t="s">
        <v>100</v>
      </c>
      <c r="B97" t="str">
        <f>_xll.BDP("MO US Equity", "NAME")</f>
        <v>ALTRIA GROUP INC</v>
      </c>
      <c r="C97">
        <f>_xll.BDP("MO US Equity", "PX_LAST")</f>
        <v>46.9</v>
      </c>
      <c r="D97">
        <f>_xll.BDP("MO US Equity", "CHG_PCT_1D")</f>
        <v>3.9450349999999998</v>
      </c>
      <c r="E97">
        <f>_xll.BDP("MO US Equity", "EQY_TURNOVER")</f>
        <v>758298700</v>
      </c>
    </row>
    <row r="98" spans="1:5" x14ac:dyDescent="0.25">
      <c r="A98" t="s">
        <v>101</v>
      </c>
      <c r="B98" t="str">
        <f>_xll.BDP("LOW US Equity", "NAME")</f>
        <v>LOWE'S COS INC</v>
      </c>
      <c r="C98">
        <f>_xll.BDP("LOW US Equity", "PX_LAST")</f>
        <v>162.91999999999999</v>
      </c>
      <c r="D98">
        <f>_xll.BDP("LOW US Equity", "CHG_PCT_1D")</f>
        <v>2.7367889999999999</v>
      </c>
      <c r="E98">
        <f>_xll.BDP("LOW US Equity", "EQY_TURNOVER")</f>
        <v>753231200</v>
      </c>
    </row>
    <row r="99" spans="1:5" x14ac:dyDescent="0.25">
      <c r="A99" t="s">
        <v>102</v>
      </c>
      <c r="B99" t="str">
        <f>_xll.BDP("NVAX US Equity", "NAME")</f>
        <v>NOVAVAX INC</v>
      </c>
      <c r="C99">
        <f>_xll.BDP("NVAX US Equity", "PX_LAST")</f>
        <v>157.87</v>
      </c>
      <c r="D99">
        <f>_xll.BDP("NVAX US Equity", "CHG_PCT_1D")</f>
        <v>-9.7060169999999992</v>
      </c>
      <c r="E99">
        <f>_xll.BDP("NVAX US Equity", "EQY_TURNOVER")</f>
        <v>750286100</v>
      </c>
    </row>
    <row r="100" spans="1:5" x14ac:dyDescent="0.25">
      <c r="A100" t="s">
        <v>103</v>
      </c>
      <c r="B100" t="str">
        <f>_xll.BDP("EL US Equity", "NAME")</f>
        <v>ESTEE LAUDER COMPANIES-CL A</v>
      </c>
      <c r="C100">
        <f>_xll.BDP("EL US Equity", "PX_LAST")</f>
        <v>280.07</v>
      </c>
      <c r="D100">
        <f>_xll.BDP("EL US Equity", "CHG_PCT_1D")</f>
        <v>-4.3770699999999998</v>
      </c>
      <c r="E100">
        <f>_xll.BDP("EL US Equity", "EQY_TURNOVER")</f>
        <v>742994100</v>
      </c>
    </row>
    <row r="101" spans="1:5" x14ac:dyDescent="0.25">
      <c r="A101" t="s">
        <v>104</v>
      </c>
      <c r="B101" t="str">
        <f>_xll.BDP("RKT US Equity", "NAME")</f>
        <v>ROCKET COS INC-CLASS A</v>
      </c>
      <c r="C101">
        <f>_xll.BDP("RKT US Equity", "PX_LAST")</f>
        <v>24.71</v>
      </c>
      <c r="D101">
        <f>_xll.BDP("RKT US Equity", "CHG_PCT_1D")</f>
        <v>3.0012509999999999</v>
      </c>
      <c r="E101">
        <f>_xll.BDP("RKT US Equity", "EQY_TURNOVER")</f>
        <v>741972600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ASUS</cp:lastModifiedBy>
  <dcterms:created xsi:type="dcterms:W3CDTF">2013-04-03T15:49:21Z</dcterms:created>
  <dcterms:modified xsi:type="dcterms:W3CDTF">2021-03-09T10:55:06Z</dcterms:modified>
</cp:coreProperties>
</file>