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<sst xmlns="http://schemas.openxmlformats.org/spreadsheetml/2006/main" count="1255" uniqueCount="1253">
  <si>
    <t>Symbol</t>
  </si>
  <si>
    <t>Name</t>
  </si>
  <si>
    <t>Price</t>
  </si>
  <si>
    <t>Change</t>
  </si>
  <si>
    <t>P/E</t>
  </si>
  <si>
    <t>EPS</t>
  </si>
  <si>
    <t>High</t>
  </si>
  <si>
    <t>Low</t>
  </si>
  <si>
    <t xml:space="preserve"> Last 30 Days</t>
  </si>
  <si>
    <t>(constant)</t>
  </si>
  <si>
    <t>name</t>
  </si>
  <si>
    <t>price</t>
  </si>
  <si>
    <t>change</t>
  </si>
  <si>
    <t>pe</t>
  </si>
  <si>
    <t>eps</t>
  </si>
  <si>
    <t>high</t>
  </si>
  <si>
    <t>low</t>
  </si>
  <si>
    <t>A1AP34</t>
  </si>
  <si>
    <t>Advance Auto Parts Inc Bdr</t>
  </si>
  <si>
    <t>A1KA34</t>
  </si>
  <si>
    <t>Akamai Technologies Inc Bdr</t>
  </si>
  <si>
    <t>A1LX34</t>
  </si>
  <si>
    <t>Alexion Pharmaceuticals Inc Brazilian Depositary Receipt</t>
  </si>
  <si>
    <t>AALL34</t>
  </si>
  <si>
    <t>American Airlines Group Inc BDR</t>
  </si>
  <si>
    <t>AALR3</t>
  </si>
  <si>
    <t>Centro de Imagem Diagnosticos SA</t>
  </si>
  <si>
    <t>AAPL34</t>
  </si>
  <si>
    <t>Apple BDR</t>
  </si>
  <si>
    <t>ABBV34</t>
  </si>
  <si>
    <t>Abbvie Inc BDR</t>
  </si>
  <si>
    <t>ABCB4</t>
  </si>
  <si>
    <t>Banco ABC Brasil SA</t>
  </si>
  <si>
    <t>ABEV3</t>
  </si>
  <si>
    <t>Ambev SA</t>
  </si>
  <si>
    <t>ABTT34</t>
  </si>
  <si>
    <t>Abbott Laboratories BDR</t>
  </si>
  <si>
    <t>ACNB34</t>
  </si>
  <si>
    <t>Accenture Plc Bdr</t>
  </si>
  <si>
    <t>ADBE34</t>
  </si>
  <si>
    <t>Adobe Inc Bdr</t>
  </si>
  <si>
    <t>ADPR34</t>
  </si>
  <si>
    <t>Automatic Data Processing Inc Bdr</t>
  </si>
  <si>
    <t>AERI3</t>
  </si>
  <si>
    <t>Aeris Industria e Cm de Es pr Gr de ErSA</t>
  </si>
  <si>
    <t>AFLT3</t>
  </si>
  <si>
    <t>Afluente Transmissao de Energia Eltrc SA</t>
  </si>
  <si>
    <t>AGRO3</t>
  </si>
  <si>
    <t>Brasilagro Companhia Braslr Propds Agrcl</t>
  </si>
  <si>
    <t>AHEB3</t>
  </si>
  <si>
    <t>Sao Paulo Turismo SA</t>
  </si>
  <si>
    <t>AHEB5</t>
  </si>
  <si>
    <t>Sao Paulo Turismo SA Preference Shares Class A</t>
  </si>
  <si>
    <t>AHEB6</t>
  </si>
  <si>
    <t>Sao Paulo Turismo SA Preference Shares Class B</t>
  </si>
  <si>
    <t>AIGB34</t>
  </si>
  <si>
    <t>American International Group BDR</t>
  </si>
  <si>
    <t>ALPA3</t>
  </si>
  <si>
    <t>Alpargatas SA</t>
  </si>
  <si>
    <t>ALPA4</t>
  </si>
  <si>
    <t>Alpargatas SA Preference Shares</t>
  </si>
  <si>
    <t>ALPK3</t>
  </si>
  <si>
    <t>Allpark Empreendimentos Prtcpcs Srvcs SA</t>
  </si>
  <si>
    <t>ALSO3</t>
  </si>
  <si>
    <t>Aliansce Sonae Shopping Centers SA</t>
  </si>
  <si>
    <t>ALUP11</t>
  </si>
  <si>
    <t>Alupar Investimento SA Brazilian Units</t>
  </si>
  <si>
    <t>ALUP3</t>
  </si>
  <si>
    <t>Alupar Investimento SA</t>
  </si>
  <si>
    <t>ALUP4</t>
  </si>
  <si>
    <t>Alupar Investimento SA Preference Shares</t>
  </si>
  <si>
    <t>AMAR3</t>
  </si>
  <si>
    <t>Marisa Lojas SA</t>
  </si>
  <si>
    <t>AMBP3</t>
  </si>
  <si>
    <t>Ambipar Participacoes e Empreendmnts SA</t>
  </si>
  <si>
    <t>AMGN34</t>
  </si>
  <si>
    <t>Amgen Inc. BDR</t>
  </si>
  <si>
    <t>AMZO34</t>
  </si>
  <si>
    <t>Amazon BDR</t>
  </si>
  <si>
    <t>ANIM3</t>
  </si>
  <si>
    <t>Anima Holding SA</t>
  </si>
  <si>
    <t>APER3</t>
  </si>
  <si>
    <t>Alper Consultoria e Corretora deSegursSA</t>
  </si>
  <si>
    <t>APTV34</t>
  </si>
  <si>
    <t>Aptiv Plc Bdr</t>
  </si>
  <si>
    <t>ARNC34</t>
  </si>
  <si>
    <t>Howmet Aerospace Bdr</t>
  </si>
  <si>
    <t>ARZZ3</t>
  </si>
  <si>
    <t>Arezzo Industria E Comercio SA</t>
  </si>
  <si>
    <t>ATMP3</t>
  </si>
  <si>
    <t>ATMA Participacoes SA</t>
  </si>
  <si>
    <t>ATOM3</t>
  </si>
  <si>
    <t>ATOM Empreendimentos e Participacoes SA</t>
  </si>
  <si>
    <t>ATTB34</t>
  </si>
  <si>
    <t>At&amp;T Inc BDR</t>
  </si>
  <si>
    <t>ATVI34</t>
  </si>
  <si>
    <t>Activision Blizzard Inc Bdr</t>
  </si>
  <si>
    <t>AURA33</t>
  </si>
  <si>
    <t>Aura Minerals Bdr</t>
  </si>
  <si>
    <t>AVGO34</t>
  </si>
  <si>
    <t>Broadcom Inc Bdr</t>
  </si>
  <si>
    <t>AVLL3</t>
  </si>
  <si>
    <t>Alphaville SA</t>
  </si>
  <si>
    <t>AXPB34</t>
  </si>
  <si>
    <t>American Express Company BDR</t>
  </si>
  <si>
    <t>AZEV3</t>
  </si>
  <si>
    <t>Azevedo &amp; Travassos SA</t>
  </si>
  <si>
    <t>AZEV4</t>
  </si>
  <si>
    <t>Azevedo &amp; Travassos SA Preference Shares</t>
  </si>
  <si>
    <t>AZOI34</t>
  </si>
  <si>
    <t>Autozone Inc Bdr</t>
  </si>
  <si>
    <t>AZUL4</t>
  </si>
  <si>
    <t>Azul SA</t>
  </si>
  <si>
    <t>B3SA3</t>
  </si>
  <si>
    <t>B3 SA Brasil Bolsa Balcao</t>
  </si>
  <si>
    <t>BABA34</t>
  </si>
  <si>
    <t>Alibaba Group Holding Ltd Bdr</t>
  </si>
  <si>
    <t>BAHI3</t>
  </si>
  <si>
    <t>Bahema Educacao SA</t>
  </si>
  <si>
    <t>BALM3</t>
  </si>
  <si>
    <t>Baumer SA</t>
  </si>
  <si>
    <t>BALM4</t>
  </si>
  <si>
    <t>Baumer SA Preference Shares</t>
  </si>
  <si>
    <t>BAUH4</t>
  </si>
  <si>
    <t>Excelsior Alimentos SA Preference Shares</t>
  </si>
  <si>
    <t>BAZA3</t>
  </si>
  <si>
    <t>Banco da Amazonia SA</t>
  </si>
  <si>
    <t>BBAS3</t>
  </si>
  <si>
    <t>Banco do Brasil SA</t>
  </si>
  <si>
    <t>BBDC3</t>
  </si>
  <si>
    <t>Banco Bradesco SA</t>
  </si>
  <si>
    <t>BBDC4</t>
  </si>
  <si>
    <t>Banco Bradesco SA Preference Shares</t>
  </si>
  <si>
    <t>BBRK3</t>
  </si>
  <si>
    <t>Brasil Brokers Participacoes SA</t>
  </si>
  <si>
    <t>BBSE3</t>
  </si>
  <si>
    <t>BB Seguridade Participacoes SA</t>
  </si>
  <si>
    <t>BBYY34</t>
  </si>
  <si>
    <t>Best Buy Co Inc BDR</t>
  </si>
  <si>
    <t>BDLL4</t>
  </si>
  <si>
    <t>Bardella SA Industrias Mecanicas Preference Shares</t>
  </si>
  <si>
    <t>BEEF3</t>
  </si>
  <si>
    <t>Minerva SA</t>
  </si>
  <si>
    <t>BEES3</t>
  </si>
  <si>
    <t>Banestes SA Banco do Estado Esprt Santo</t>
  </si>
  <si>
    <t>BEES4</t>
  </si>
  <si>
    <t>Banestes SA Banco do Estado Esprt Santo Preference Shares</t>
  </si>
  <si>
    <t>BERK34</t>
  </si>
  <si>
    <t>Berkshire Hathaway BDR</t>
  </si>
  <si>
    <t>BGIP4</t>
  </si>
  <si>
    <t>Banco do Estado de Sergipe SA Preference Shares</t>
  </si>
  <si>
    <t>BHPG34</t>
  </si>
  <si>
    <t>Bhp Group Ltd Bdr</t>
  </si>
  <si>
    <t>BIDI3</t>
  </si>
  <si>
    <t>Banco Inter SA Ord Shs</t>
  </si>
  <si>
    <t>BIDI4</t>
  </si>
  <si>
    <t>Banco Inter SA Preference Shares</t>
  </si>
  <si>
    <t>BIDU34</t>
  </si>
  <si>
    <t>Baidu Inc Bdr</t>
  </si>
  <si>
    <t>BIIB34</t>
  </si>
  <si>
    <t>Biogen Inc BDR</t>
  </si>
  <si>
    <t>BILB34</t>
  </si>
  <si>
    <t>Banco Bilbao Vizcaya Argentaria Bdr</t>
  </si>
  <si>
    <t>BIOM3</t>
  </si>
  <si>
    <t>Biomm SA</t>
  </si>
  <si>
    <t>BKBR3</t>
  </si>
  <si>
    <t>BK Brasil Operacao e Assessr  Rstrnts SA</t>
  </si>
  <si>
    <t>BKNG34</t>
  </si>
  <si>
    <t>Booking Holdings Inc Bdr</t>
  </si>
  <si>
    <t>BLAK34</t>
  </si>
  <si>
    <t>Blackrock Inc BDR</t>
  </si>
  <si>
    <t>BMEB3</t>
  </si>
  <si>
    <t>Banco Mercantil do Brasil SA</t>
  </si>
  <si>
    <t>BMEB4</t>
  </si>
  <si>
    <t>Banco Mercantil do Brasil SA Preference Shares</t>
  </si>
  <si>
    <t>BMGB4</t>
  </si>
  <si>
    <t>Banco BMG Sa</t>
  </si>
  <si>
    <t>BMIN3</t>
  </si>
  <si>
    <t>Banco Mercantil de Investimentos SA</t>
  </si>
  <si>
    <t>BMIN4</t>
  </si>
  <si>
    <t>Banco Mercantil de Investimentos SA Preference Shares</t>
  </si>
  <si>
    <t>BMKS3</t>
  </si>
  <si>
    <t>Bicicletas Monark SA</t>
  </si>
  <si>
    <t>BMYB34</t>
  </si>
  <si>
    <t>Bristol-Myers Squibb Company BDR</t>
  </si>
  <si>
    <t>BNBR3</t>
  </si>
  <si>
    <t>Banco do Nordeste do Brasil S.A.</t>
  </si>
  <si>
    <t>BOAC34</t>
  </si>
  <si>
    <t>Bank Of America BDR</t>
  </si>
  <si>
    <t>BOAS3</t>
  </si>
  <si>
    <t>Boa Vista Servicos SA</t>
  </si>
  <si>
    <t>BOBR4</t>
  </si>
  <si>
    <t>Bombril SA Preference Shares</t>
  </si>
  <si>
    <t>BONY34</t>
  </si>
  <si>
    <t>The Bank of New York Mellon Corporation Bdr</t>
  </si>
  <si>
    <t>BOXP34</t>
  </si>
  <si>
    <t>Boston Properties Inc Bdr</t>
  </si>
  <si>
    <t>BPAC11</t>
  </si>
  <si>
    <t>Banco BTG Pactual SA Brazilian Units</t>
  </si>
  <si>
    <t>BPAC3</t>
  </si>
  <si>
    <t>Banco BTG Pactual SA</t>
  </si>
  <si>
    <t>BPAC5</t>
  </si>
  <si>
    <t>Banco BTG Pactual SA Preference Shares Class A</t>
  </si>
  <si>
    <t>BPAN4</t>
  </si>
  <si>
    <t>Banco Pan SA</t>
  </si>
  <si>
    <t>BRAP3</t>
  </si>
  <si>
    <t>Bradespar SA</t>
  </si>
  <si>
    <t>BRAP4</t>
  </si>
  <si>
    <t>Bradespar SA Preference Shares</t>
  </si>
  <si>
    <t>BRDT3</t>
  </si>
  <si>
    <t>Petrobras Distribuidora SA</t>
  </si>
  <si>
    <t>BRFS3</t>
  </si>
  <si>
    <t>BRF SA</t>
  </si>
  <si>
    <t>BRGE11</t>
  </si>
  <si>
    <t>Consorcio Alfa de Administracao SA Preference Shares Series E</t>
  </si>
  <si>
    <t>BRGE3</t>
  </si>
  <si>
    <t>Consorcio Alfa de Administracao SA</t>
  </si>
  <si>
    <t>BRGE5</t>
  </si>
  <si>
    <t>Consorcio Alfa de Administracao SA Preference Shares Series A</t>
  </si>
  <si>
    <t>BRGE6</t>
  </si>
  <si>
    <t>Consorcio Alfa De Administracao Series B Pref Shs</t>
  </si>
  <si>
    <t>BRGE8</t>
  </si>
  <si>
    <t>Consorcio Alfa De Administracao Series D Pref Shs</t>
  </si>
  <si>
    <t>BRIV3</t>
  </si>
  <si>
    <t>Banco Alfa de Investimento SA</t>
  </si>
  <si>
    <t>BRIV4</t>
  </si>
  <si>
    <t>Banco Alfa de Investimento SA Preference Shares</t>
  </si>
  <si>
    <t>BRKM3</t>
  </si>
  <si>
    <t>Braskem SA</t>
  </si>
  <si>
    <t>BRKM5</t>
  </si>
  <si>
    <t>Braskem SA Preference Shares Series A</t>
  </si>
  <si>
    <t>BRKM6</t>
  </si>
  <si>
    <t>Braskem SA Preference Shares Series B</t>
  </si>
  <si>
    <t>BRML3</t>
  </si>
  <si>
    <t>BR Malls Participacoes SA</t>
  </si>
  <si>
    <t>BRPR3</t>
  </si>
  <si>
    <t>BR Properties SA</t>
  </si>
  <si>
    <t>BRSR3</t>
  </si>
  <si>
    <t>Banco do Estado do Rio Grande do Sul SA</t>
  </si>
  <si>
    <t>BRSR5</t>
  </si>
  <si>
    <t>Banco do Estado do Rio Grande do Sul A Pref Shs</t>
  </si>
  <si>
    <t>BRSR6</t>
  </si>
  <si>
    <t>Banco do Estado do Rio Grande do Sul B Pref Shs</t>
  </si>
  <si>
    <t>BSEV3</t>
  </si>
  <si>
    <t>Biosev SA</t>
  </si>
  <si>
    <t>BSLI3</t>
  </si>
  <si>
    <t>BRB Banco de Brasilia SA</t>
  </si>
  <si>
    <t>BSLI4</t>
  </si>
  <si>
    <t>BRB Banco de Brasilia SA Preference Shares</t>
  </si>
  <si>
    <t>BTOW3</t>
  </si>
  <si>
    <t>B2W Companhia Digital</t>
  </si>
  <si>
    <t>BTTL3</t>
  </si>
  <si>
    <t>Battistella Administracao E Prtcpcs SA</t>
  </si>
  <si>
    <t>C1HR34</t>
  </si>
  <si>
    <t>Ch Robinson Worldwide Inc Bdr</t>
  </si>
  <si>
    <t>CAJI34</t>
  </si>
  <si>
    <t>Canon Inc Bdr</t>
  </si>
  <si>
    <t>CAMB3</t>
  </si>
  <si>
    <t>Cambuci Ord Shs</t>
  </si>
  <si>
    <t>CAML3</t>
  </si>
  <si>
    <t>Camil Alimentos SA</t>
  </si>
  <si>
    <t>CAON34</t>
  </si>
  <si>
    <t>Capital One Financial Corp BDR</t>
  </si>
  <si>
    <t>CAPH34</t>
  </si>
  <si>
    <t>Capri Holdings Ltd BDR</t>
  </si>
  <si>
    <t>CARD3</t>
  </si>
  <si>
    <t>CSU Cardsystem SA</t>
  </si>
  <si>
    <t>CBEE3</t>
  </si>
  <si>
    <t>Ampla Energia e Servicos SA</t>
  </si>
  <si>
    <t>CCPR3</t>
  </si>
  <si>
    <t>Cyrela Commercial Propertes SA Emp Partp</t>
  </si>
  <si>
    <t>CCRO3</t>
  </si>
  <si>
    <t>CCR SA</t>
  </si>
  <si>
    <t>CEAB3</t>
  </si>
  <si>
    <t>C&amp;A Modas SA</t>
  </si>
  <si>
    <t>CEBR3</t>
  </si>
  <si>
    <t>Companhia Energetica de Brasilia CEB</t>
  </si>
  <si>
    <t>CEBR5</t>
  </si>
  <si>
    <t>Companhia Energetica de Brasilia CEB Preference Shares Series A</t>
  </si>
  <si>
    <t>CEBR6</t>
  </si>
  <si>
    <t>Companhia Energetica de Brasilia CEB Preference Shares Series B</t>
  </si>
  <si>
    <t>CEDO3</t>
  </si>
  <si>
    <t>Cia De Fiacao E Tecidos Cedro Cachoeira</t>
  </si>
  <si>
    <t>CEDO4</t>
  </si>
  <si>
    <t>Cia De Fiacao E Tecidos Cedro Cachoeira Preference Shares</t>
  </si>
  <si>
    <t>CEEB3</t>
  </si>
  <si>
    <t>Companhia de Eletricidade do Estad da BC</t>
  </si>
  <si>
    <t>CEGR3</t>
  </si>
  <si>
    <t>Companhia Distribuidora d Gs d RdJnr CEG</t>
  </si>
  <si>
    <t>CEPE5</t>
  </si>
  <si>
    <t>Companhia Energetica de Pernambuco A Pref Shs</t>
  </si>
  <si>
    <t>CEPE6</t>
  </si>
  <si>
    <t>Companhia Energetica De Pernambuco B Pref Shs</t>
  </si>
  <si>
    <t>CESP3</t>
  </si>
  <si>
    <t>CESP Companhia Energetica de Sao Paulo</t>
  </si>
  <si>
    <t>CESP5</t>
  </si>
  <si>
    <t>Companhia Energetica de Sao Paulo A Pref Shs</t>
  </si>
  <si>
    <t>CESP6</t>
  </si>
  <si>
    <t>Companhia Energetica de Sao Paulo B Pref Shs</t>
  </si>
  <si>
    <t>CGAS3</t>
  </si>
  <si>
    <t>Companhia de Gas de Sao Paulo - COMGAS</t>
  </si>
  <si>
    <t>CGAS5</t>
  </si>
  <si>
    <t>Companhia de Gas de Sao Paulo - COMGAS Preference Shares</t>
  </si>
  <si>
    <t>CGRA3</t>
  </si>
  <si>
    <t>Grazziotin SA</t>
  </si>
  <si>
    <t>CGRA4</t>
  </si>
  <si>
    <t>Grazziotin SA Preference Shares</t>
  </si>
  <si>
    <t>CHCM34</t>
  </si>
  <si>
    <t>Charter Communications Inc BDR</t>
  </si>
  <si>
    <t>CHDC34</t>
  </si>
  <si>
    <t>Church &amp; Dwight Co Inc BDR</t>
  </si>
  <si>
    <t>CHME34</t>
  </si>
  <si>
    <t>Cme Group Inc BDR</t>
  </si>
  <si>
    <t>CHVX34</t>
  </si>
  <si>
    <t>Chevron BDR</t>
  </si>
  <si>
    <t>CIEL3</t>
  </si>
  <si>
    <t>Cielo SA</t>
  </si>
  <si>
    <t>CINF34</t>
  </si>
  <si>
    <t>Cincinnati Financial Corp BDR</t>
  </si>
  <si>
    <t>CLSC3</t>
  </si>
  <si>
    <t>Centrais Eletricas de Santa Catarina SA</t>
  </si>
  <si>
    <t>CLSC4</t>
  </si>
  <si>
    <t>Centrais Eletricas de Santa Catarina SA Preference Shares</t>
  </si>
  <si>
    <t>CLXC34</t>
  </si>
  <si>
    <t>Clorox Company BDR</t>
  </si>
  <si>
    <t>CMCS34</t>
  </si>
  <si>
    <t>Comcast Corporation BDR</t>
  </si>
  <si>
    <t>CMIG3</t>
  </si>
  <si>
    <t>Companhia Energetica de Minas Gers CEMIG</t>
  </si>
  <si>
    <t>CMIG4</t>
  </si>
  <si>
    <t>Companhia Energetica de Minas Gers CEMIG Preference Shares</t>
  </si>
  <si>
    <t>CNIC34</t>
  </si>
  <si>
    <t>Canadian National Railway Co BDR</t>
  </si>
  <si>
    <t>CNTO3</t>
  </si>
  <si>
    <t>Grupo SBF SA</t>
  </si>
  <si>
    <t>COCA34</t>
  </si>
  <si>
    <t>Coca Cola BDR</t>
  </si>
  <si>
    <t>COCE3</t>
  </si>
  <si>
    <t>Companhia Energetica do Ceara - COELCE</t>
  </si>
  <si>
    <t>COCE5</t>
  </si>
  <si>
    <t>Companhia Energetica do Ceara - COELCE Preference Shares Series A</t>
  </si>
  <si>
    <t>COGN3</t>
  </si>
  <si>
    <t>Cogna Educacao SA</t>
  </si>
  <si>
    <t>COLG34</t>
  </si>
  <si>
    <t>Colgate BDR</t>
  </si>
  <si>
    <t>COPH34</t>
  </si>
  <si>
    <t>Conocophillips BDR</t>
  </si>
  <si>
    <t>COTY34</t>
  </si>
  <si>
    <t>Coty Inc Bdr</t>
  </si>
  <si>
    <t>COWC34</t>
  </si>
  <si>
    <t>Costco Wholesale Corporation BDR</t>
  </si>
  <si>
    <t>CPFE3</t>
  </si>
  <si>
    <t>CPFL Energia S.A.</t>
  </si>
  <si>
    <t>CPLE3</t>
  </si>
  <si>
    <t>Companhia Paranaense de Energia</t>
  </si>
  <si>
    <t>CPLE6</t>
  </si>
  <si>
    <t>Cia Paranaense De Energia Copel Pref Shs</t>
  </si>
  <si>
    <t>CPRL34</t>
  </si>
  <si>
    <t>Canadian Pacific Railway Ltd BDR</t>
  </si>
  <si>
    <t>CRDE3</t>
  </si>
  <si>
    <t>CR2 Empreendimentos Imobiliarios SA</t>
  </si>
  <si>
    <t>CRFB3</t>
  </si>
  <si>
    <t>Atacadao SA</t>
  </si>
  <si>
    <t>CRHP34</t>
  </si>
  <si>
    <t>Crh Plc Bdr</t>
  </si>
  <si>
    <t>CRIP34</t>
  </si>
  <si>
    <t>Ctrip Com International Ltd Bdr</t>
  </si>
  <si>
    <t>CRIV3</t>
  </si>
  <si>
    <t>Financeira Alfa SA Credt Fincmnt Invmtos</t>
  </si>
  <si>
    <t>CRIV4</t>
  </si>
  <si>
    <t>Financeira Alfa SA Credt Fincmnt Invmtos Preference Shares</t>
  </si>
  <si>
    <t>CRPG3</t>
  </si>
  <si>
    <t>Tronox Pigmentos do Brasil SA</t>
  </si>
  <si>
    <t>CRPG5</t>
  </si>
  <si>
    <t>Tronox Pigmentos do Brasil SA Preference Shares Series A</t>
  </si>
  <si>
    <t>CRPG6</t>
  </si>
  <si>
    <t>Tronox Pigmentos do Brasil SA Preference Shares Series B</t>
  </si>
  <si>
    <t>CSAB3</t>
  </si>
  <si>
    <t>Companhia de Seguros Alianca da Bahia</t>
  </si>
  <si>
    <t>CSAB4</t>
  </si>
  <si>
    <t>Companhia de Seguros Alianca da Bahia Preference Shares</t>
  </si>
  <si>
    <t>CSAN3</t>
  </si>
  <si>
    <t>Cosan SA</t>
  </si>
  <si>
    <t>CSCO34</t>
  </si>
  <si>
    <t>Cisco BDR</t>
  </si>
  <si>
    <t>CSMG3</t>
  </si>
  <si>
    <t>Companhia de Saneamento de Minas Gerais</t>
  </si>
  <si>
    <t>CSNA3</t>
  </si>
  <si>
    <t>Companhia Siderurgica Nacional</t>
  </si>
  <si>
    <t>CSRN3</t>
  </si>
  <si>
    <t>Companhia Enrgtca do Ro Grnd do Nrt Csrn</t>
  </si>
  <si>
    <t>CSRN5</t>
  </si>
  <si>
    <t>Companhia Enrgtca do Ro Grnd do Nrt Csrn Preference Shares Series A</t>
  </si>
  <si>
    <t>CSRN6</t>
  </si>
  <si>
    <t>Companhia Enrgtca do Ro Grnd do Nrt Csrn Preference Shares Series B</t>
  </si>
  <si>
    <t>CSXC34</t>
  </si>
  <si>
    <t>Csx Corp BDR</t>
  </si>
  <si>
    <t>CTGP34</t>
  </si>
  <si>
    <t>Citigroup BDR</t>
  </si>
  <si>
    <t>CTKA3</t>
  </si>
  <si>
    <t>Karsten SA</t>
  </si>
  <si>
    <t>CTKA4</t>
  </si>
  <si>
    <t>Karsten SA Preference Shares</t>
  </si>
  <si>
    <t>CTNM3</t>
  </si>
  <si>
    <t>Companhia de Tecidos Nrt d Mns COTEMINAS</t>
  </si>
  <si>
    <t>CTNM4</t>
  </si>
  <si>
    <t>Companhia de Tecidos Nrt d Mns COTEMINAS Preference Shares</t>
  </si>
  <si>
    <t>CTSA3</t>
  </si>
  <si>
    <t>Companhia Tecidos Santanense</t>
  </si>
  <si>
    <t>CTSA4</t>
  </si>
  <si>
    <t>Companhia Tecidos Santanense Preference Shares</t>
  </si>
  <si>
    <t>CTSH34</t>
  </si>
  <si>
    <t>Cognizant Technology Solutions BDR</t>
  </si>
  <si>
    <t>CURY3</t>
  </si>
  <si>
    <t>Cury Construtora E Incorporadora SA</t>
  </si>
  <si>
    <t>CVCB3</t>
  </si>
  <si>
    <t>CVC Brasil Operadora e Agencia d Vgns SA</t>
  </si>
  <si>
    <t>CVSH34</t>
  </si>
  <si>
    <t>Cvs Health Corporation BDR</t>
  </si>
  <si>
    <t>CYRE3</t>
  </si>
  <si>
    <t>Cyrela Brazil Realty SA Emprdts e Prtpcs</t>
  </si>
  <si>
    <t>DASA3</t>
  </si>
  <si>
    <t>Diagnosticos da America SA</t>
  </si>
  <si>
    <t>DBAG34</t>
  </si>
  <si>
    <t>Deutsche Bank Aktiengesellschaft BDR</t>
  </si>
  <si>
    <t>DCVY34</t>
  </si>
  <si>
    <t>Discovery In BDR</t>
  </si>
  <si>
    <t>DDNB34</t>
  </si>
  <si>
    <t>Dupont De Nemours Inc BDR</t>
  </si>
  <si>
    <t>DEAI34</t>
  </si>
  <si>
    <t>Delta Air Lines Inc BDR</t>
  </si>
  <si>
    <t>DEEC34</t>
  </si>
  <si>
    <t>Deere &amp; Co BDR</t>
  </si>
  <si>
    <t>DEOP34</t>
  </si>
  <si>
    <t>Diageo Plc Bdr</t>
  </si>
  <si>
    <t>DGCO34</t>
  </si>
  <si>
    <t>Dollar General Corp BDR</t>
  </si>
  <si>
    <t>DHER34</t>
  </si>
  <si>
    <t>Danaher Corporation Bdr</t>
  </si>
  <si>
    <t>DIRR3</t>
  </si>
  <si>
    <t>Direcional Engenharia SA</t>
  </si>
  <si>
    <t>DISB34</t>
  </si>
  <si>
    <t>The Walt Disney Company BDR</t>
  </si>
  <si>
    <t>DLTR34</t>
  </si>
  <si>
    <t>Dollar Tree Inc BDR</t>
  </si>
  <si>
    <t>DMMO3</t>
  </si>
  <si>
    <t>Dommo Energia SA</t>
  </si>
  <si>
    <t>DMVF3</t>
  </si>
  <si>
    <t>D1000 Varejo Farma Participacoes SA</t>
  </si>
  <si>
    <t>DOHL3</t>
  </si>
  <si>
    <t>Dohler S.A.</t>
  </si>
  <si>
    <t>DOHL4</t>
  </si>
  <si>
    <t>Dohler S.A. Preference Shares</t>
  </si>
  <si>
    <t>DTCY3</t>
  </si>
  <si>
    <t>Dtcom Direct to Company SA</t>
  </si>
  <si>
    <t>DTEX3</t>
  </si>
  <si>
    <t>Duratex SA</t>
  </si>
  <si>
    <t>DUKB34</t>
  </si>
  <si>
    <t>Duke Energy Corporation BDR</t>
  </si>
  <si>
    <t>DVAI34</t>
  </si>
  <si>
    <t>Davita Inc BDR</t>
  </si>
  <si>
    <t>E1CL34</t>
  </si>
  <si>
    <t>Ecolab Inc Bdr</t>
  </si>
  <si>
    <t>EAIN34</t>
  </si>
  <si>
    <t>Electronic Arts Inc BDR</t>
  </si>
  <si>
    <t>EALT3</t>
  </si>
  <si>
    <t>Electro Aco Altona SA</t>
  </si>
  <si>
    <t>EALT4</t>
  </si>
  <si>
    <t>Electro Aco Altona SA Preference Shares</t>
  </si>
  <si>
    <t>EBAY34</t>
  </si>
  <si>
    <t>Ebay INC. BDR</t>
  </si>
  <si>
    <t>ECOR3</t>
  </si>
  <si>
    <t>Ecorodovias Infraestrutura e Logistic SA</t>
  </si>
  <si>
    <t>EGIE3</t>
  </si>
  <si>
    <t>Engie Brasil Energia SA</t>
  </si>
  <si>
    <t>EKTR3</t>
  </si>
  <si>
    <t>Elektro Redes SA</t>
  </si>
  <si>
    <t>EKTR4</t>
  </si>
  <si>
    <t>Elektro Redes SA Preference Shares</t>
  </si>
  <si>
    <t>ELCI34</t>
  </si>
  <si>
    <t>Estee Lauder Companies Inc BDR</t>
  </si>
  <si>
    <t>ELET3</t>
  </si>
  <si>
    <t>Centrais Eletricas Brasileiras SA</t>
  </si>
  <si>
    <t>ELET5</t>
  </si>
  <si>
    <t>Centrais Eletricas Brasileiras SA Preference Shares Series A</t>
  </si>
  <si>
    <t>ELET6</t>
  </si>
  <si>
    <t>Centrais Eletricas Brasileiras SA Preference Shares Series B</t>
  </si>
  <si>
    <t>EMAE4</t>
  </si>
  <si>
    <t>EMAE Empresa Mtrpltna de Ags e Enrga SA Preference Shares</t>
  </si>
  <si>
    <t>EMBR3</t>
  </si>
  <si>
    <t>Embraer SA</t>
  </si>
  <si>
    <t>ENAT3</t>
  </si>
  <si>
    <t>Enauta Participacoes SA</t>
  </si>
  <si>
    <t>ENBR3</t>
  </si>
  <si>
    <t>EDP Energias do Brasil SA</t>
  </si>
  <si>
    <t>ENEV3</t>
  </si>
  <si>
    <t>Eneva SA</t>
  </si>
  <si>
    <t>ENGI11</t>
  </si>
  <si>
    <t>Energisa SA Brazilian Units</t>
  </si>
  <si>
    <t>ENGI3</t>
  </si>
  <si>
    <t>Energisa SA</t>
  </si>
  <si>
    <t>ENGI4</t>
  </si>
  <si>
    <t>Energisa SA Preference Shares</t>
  </si>
  <si>
    <t>ENJU3</t>
  </si>
  <si>
    <t>Enjoei.com.br Atividades de Internet SA</t>
  </si>
  <si>
    <t>ENMT3</t>
  </si>
  <si>
    <t>Energisa Mato Gross Distribudr d Enrg SA</t>
  </si>
  <si>
    <t>ENMT4</t>
  </si>
  <si>
    <t>Energisa Mato Gross Distribudr d Enrg SA Preference Shares</t>
  </si>
  <si>
    <t>EQIX34</t>
  </si>
  <si>
    <t>Equinix Inc BDR</t>
  </si>
  <si>
    <t>EQPA3</t>
  </si>
  <si>
    <t>Equatorial Para Dist De Energia Ord Shs</t>
  </si>
  <si>
    <t>EQPA5</t>
  </si>
  <si>
    <t>Equatorial Para Distribuidra de Enrga SA</t>
  </si>
  <si>
    <t>EQPA7</t>
  </si>
  <si>
    <t>Equatorial Para Dist Energia Prf Shs C</t>
  </si>
  <si>
    <t>EQTL3</t>
  </si>
  <si>
    <t>Equatorial Energia SA</t>
  </si>
  <si>
    <t>ESTR4</t>
  </si>
  <si>
    <t>Manufatura de Brinquedos Estrela SA Preference Shares</t>
  </si>
  <si>
    <t>ETER3</t>
  </si>
  <si>
    <t>Eternit SA</t>
  </si>
  <si>
    <t>EUCA3</t>
  </si>
  <si>
    <t>Eucatex SA Industria e Comercio</t>
  </si>
  <si>
    <t>EUCA4</t>
  </si>
  <si>
    <t>Eucatex SA Industria e Comercio Preference Shares</t>
  </si>
  <si>
    <t>EVEN3</t>
  </si>
  <si>
    <t>EVEN Construtora e Incorporadora SA</t>
  </si>
  <si>
    <t>EXGR34</t>
  </si>
  <si>
    <t>Expedia Group Inc BDR</t>
  </si>
  <si>
    <t>EZTC3</t>
  </si>
  <si>
    <t>EZTEC Empreendimentos e Participacoes SA</t>
  </si>
  <si>
    <t>F1NI34</t>
  </si>
  <si>
    <t>Fidelity National Information Services Inc Brazilian Depositary Receipt</t>
  </si>
  <si>
    <t>FASL34</t>
  </si>
  <si>
    <t>Fastenal Co BDR</t>
  </si>
  <si>
    <t>FBOK34</t>
  </si>
  <si>
    <t>Facebook Inc BDR</t>
  </si>
  <si>
    <t>FCXO34</t>
  </si>
  <si>
    <t>Freeport Mcmoran Copper Gold Inc BDR</t>
  </si>
  <si>
    <t>FDMO34</t>
  </si>
  <si>
    <t>Ford Motors BDR</t>
  </si>
  <si>
    <t>FDXB34</t>
  </si>
  <si>
    <t>Fedex Corporation BDR</t>
  </si>
  <si>
    <t>FESA3</t>
  </si>
  <si>
    <t>Companhia de Ferro Ligas da Bah Frbs</t>
  </si>
  <si>
    <t>FESA4</t>
  </si>
  <si>
    <t>Companhia de Ferro Ligas da Bah Frbs Preference Shares</t>
  </si>
  <si>
    <t>FFTD34</t>
  </si>
  <si>
    <t>Fifth Third Bancorp BDR</t>
  </si>
  <si>
    <t>FHER3</t>
  </si>
  <si>
    <t>Fertilizantes Heringer SA</t>
  </si>
  <si>
    <t>FLRY3</t>
  </si>
  <si>
    <t>Fleury SA</t>
  </si>
  <si>
    <t>FLTC34</t>
  </si>
  <si>
    <t>Fleetcor Technologies Inc BDR</t>
  </si>
  <si>
    <t>FMSC34</t>
  </si>
  <si>
    <t>Fresenius Med Care Ag &amp; Co Kgaa Bdr</t>
  </si>
  <si>
    <t>FMXB34</t>
  </si>
  <si>
    <t>Fomento Economico Mexicano SAB de CV Bdr</t>
  </si>
  <si>
    <t>FOXC34</t>
  </si>
  <si>
    <t>FOX CORP - CLASS A BDR</t>
  </si>
  <si>
    <t>FRAS3</t>
  </si>
  <si>
    <t>Fras-le SA</t>
  </si>
  <si>
    <t>FRIO3</t>
  </si>
  <si>
    <t>Metalfrio Solutions SA</t>
  </si>
  <si>
    <t>FRTA3</t>
  </si>
  <si>
    <t>Pomifrutas SA</t>
  </si>
  <si>
    <t>G1WW34</t>
  </si>
  <si>
    <t>Ww Grainger Inc Bdr</t>
  </si>
  <si>
    <t>GDBR34</t>
  </si>
  <si>
    <t>General Dynamics Corporation Bdr</t>
  </si>
  <si>
    <t>GEPA3</t>
  </si>
  <si>
    <t>Rio Paranapanema Energia SA</t>
  </si>
  <si>
    <t>GEPA4</t>
  </si>
  <si>
    <t>Rio Paranapanema Energia SA Preference Shares</t>
  </si>
  <si>
    <t>GFSA3</t>
  </si>
  <si>
    <t>Gafisa SA</t>
  </si>
  <si>
    <t>GGBR3</t>
  </si>
  <si>
    <t>Gerdau SA</t>
  </si>
  <si>
    <t>GGBR4</t>
  </si>
  <si>
    <t>Gerdau SA Preference Shares</t>
  </si>
  <si>
    <t>GILD34</t>
  </si>
  <si>
    <t>Gilead Sciences Inc BDR</t>
  </si>
  <si>
    <t>GMAT3</t>
  </si>
  <si>
    <t>Grupo Mateus SA</t>
  </si>
  <si>
    <t>GMCO34</t>
  </si>
  <si>
    <t>General Motors Company BDR</t>
  </si>
  <si>
    <t>GNDI3</t>
  </si>
  <si>
    <t>Notre Dame Intermedica Participacoes SA</t>
  </si>
  <si>
    <t>GOAU3</t>
  </si>
  <si>
    <t>Metalurgica Gerdau S.A.</t>
  </si>
  <si>
    <t>GOAU4</t>
  </si>
  <si>
    <t>Metalurgica Gerdau S.A. Preference Shares</t>
  </si>
  <si>
    <t>GOGL34</t>
  </si>
  <si>
    <t>Alphabet BDR</t>
  </si>
  <si>
    <t>GOGL35</t>
  </si>
  <si>
    <t>GOLL4</t>
  </si>
  <si>
    <t>Gol Linhas Aereas Inteligentes SA</t>
  </si>
  <si>
    <t>GPAR3</t>
  </si>
  <si>
    <t>Companhia Celg de Participacoes Celgpar</t>
  </si>
  <si>
    <t>GPCP3</t>
  </si>
  <si>
    <t>GPC Participacoes SA em Recuperacao Jdcl</t>
  </si>
  <si>
    <t>GPCP4</t>
  </si>
  <si>
    <t>GPC Participacoes SA em Recuperacao Jdcl Preference Shares</t>
  </si>
  <si>
    <t>GPIV33</t>
  </si>
  <si>
    <t>GP Investments Limited</t>
  </si>
  <si>
    <t>GPSI34</t>
  </si>
  <si>
    <t>The Gap Inc BDR</t>
  </si>
  <si>
    <t>GRND3</t>
  </si>
  <si>
    <t>Grendene SA</t>
  </si>
  <si>
    <t>GSGI34</t>
  </si>
  <si>
    <t>Goldman Sachs Group BDR</t>
  </si>
  <si>
    <t>GSHP3</t>
  </si>
  <si>
    <t>General Shopping e Outlets do Brasil SA</t>
  </si>
  <si>
    <t>GUAR3</t>
  </si>
  <si>
    <t>Guararapes Confeccoes SA</t>
  </si>
  <si>
    <t>HAGA3</t>
  </si>
  <si>
    <t>Haga S/A Industria E Comercio</t>
  </si>
  <si>
    <t>HAGA4</t>
  </si>
  <si>
    <t>Haga S/A Industria E Comercio Preference Shares</t>
  </si>
  <si>
    <t>HALI34</t>
  </si>
  <si>
    <t>Halliburton Company BDR</t>
  </si>
  <si>
    <t>HAPV3</t>
  </si>
  <si>
    <t>Hapvida Participacoes e Investimentos SA</t>
  </si>
  <si>
    <t>HBOR3</t>
  </si>
  <si>
    <t>Helbor Empreendimentos SA</t>
  </si>
  <si>
    <t>HBSA3</t>
  </si>
  <si>
    <t>Hidrovias do Brasil SA</t>
  </si>
  <si>
    <t>HBTS5</t>
  </si>
  <si>
    <t>Companhia Habitasul de Participacoes Preference Shares</t>
  </si>
  <si>
    <t>HETA4</t>
  </si>
  <si>
    <t>Hercules SA - Fabrica de Talheres Preference Shares</t>
  </si>
  <si>
    <t>HGTX3</t>
  </si>
  <si>
    <t>Cia Hering</t>
  </si>
  <si>
    <t>HOME34</t>
  </si>
  <si>
    <t>The Home Depot BDR</t>
  </si>
  <si>
    <t>HONB34</t>
  </si>
  <si>
    <t>Honeywell International INC. BDR</t>
  </si>
  <si>
    <t>HOND34</t>
  </si>
  <si>
    <t>Honda Motor Co Ltd Bdr</t>
  </si>
  <si>
    <t>HOOT4</t>
  </si>
  <si>
    <t>Hoteis Othon SA Preference Shares</t>
  </si>
  <si>
    <t>HPQB34</t>
  </si>
  <si>
    <t>Hewlett Packard Company BDR</t>
  </si>
  <si>
    <t>HSHY34</t>
  </si>
  <si>
    <t>The Hershey Company Bdr</t>
  </si>
  <si>
    <t>HYPE3</t>
  </si>
  <si>
    <t>Hypera SA</t>
  </si>
  <si>
    <t>I1NF34</t>
  </si>
  <si>
    <t>Ihs Markit Ltd Bdr</t>
  </si>
  <si>
    <t>IBMB34</t>
  </si>
  <si>
    <t>International Business Machines Corporation BDR</t>
  </si>
  <si>
    <t>IGBR3</t>
  </si>
  <si>
    <t>Igb Eletronica SA</t>
  </si>
  <si>
    <t>IGTA3</t>
  </si>
  <si>
    <t>Iguatemi Empresa de Shopping Centers SA</t>
  </si>
  <si>
    <t>INEP3</t>
  </si>
  <si>
    <t>Inepar SA Industria e Construcoes</t>
  </si>
  <si>
    <t>INEP4</t>
  </si>
  <si>
    <t>Inepar SA Industria e Construcoes Preference Shares</t>
  </si>
  <si>
    <t>INTU34</t>
  </si>
  <si>
    <t>Intuit Inc BDR</t>
  </si>
  <si>
    <t>IRBR3</t>
  </si>
  <si>
    <t>IRB Brasil Resseguros SA</t>
  </si>
  <si>
    <t>ITLC34</t>
  </si>
  <si>
    <t>Intel BDR</t>
  </si>
  <si>
    <t>ITSA3</t>
  </si>
  <si>
    <t>Itausa SA</t>
  </si>
  <si>
    <t>ITSA4</t>
  </si>
  <si>
    <t>Itausa SA Preference Shares</t>
  </si>
  <si>
    <t>ITUB3</t>
  </si>
  <si>
    <t>Itau Unibanco Holding SA</t>
  </si>
  <si>
    <t>ITUB4</t>
  </si>
  <si>
    <t>Itau Unibanco Holding SA Preference Shares</t>
  </si>
  <si>
    <t>JBDU3</t>
  </si>
  <si>
    <t>Industrias JB Duarte SA</t>
  </si>
  <si>
    <t>JBDU4</t>
  </si>
  <si>
    <t>Industrias JB Duarte SA Preference Shares</t>
  </si>
  <si>
    <t>JBSS3</t>
  </si>
  <si>
    <t>JBS SA</t>
  </si>
  <si>
    <t>JDCO34</t>
  </si>
  <si>
    <t>Jd.Com Inc Bdr</t>
  </si>
  <si>
    <t>JHSF3</t>
  </si>
  <si>
    <t>JHSF Participacoes SA</t>
  </si>
  <si>
    <t>JNJB34</t>
  </si>
  <si>
    <t>Johnson &amp; Johnson BDR</t>
  </si>
  <si>
    <t>JOPA3</t>
  </si>
  <si>
    <t>Josapar Joaquim Oliveira SA Prtcpcs</t>
  </si>
  <si>
    <t>JPMC34</t>
  </si>
  <si>
    <t>JPMorgan Chase &amp; CO. BDR</t>
  </si>
  <si>
    <t>JPSA3</t>
  </si>
  <si>
    <t>Jereissati Participacoes SA</t>
  </si>
  <si>
    <t>JSLG3</t>
  </si>
  <si>
    <t>JSL SA</t>
  </si>
  <si>
    <t>KEPL3</t>
  </si>
  <si>
    <t>Kepler Weber SA</t>
  </si>
  <si>
    <t>KHCB34</t>
  </si>
  <si>
    <t>Kraft Heinz Bdr</t>
  </si>
  <si>
    <t>KLBN3</t>
  </si>
  <si>
    <t>Klabin SA</t>
  </si>
  <si>
    <t>KLBN4</t>
  </si>
  <si>
    <t>Klabin SA Preference Shares</t>
  </si>
  <si>
    <t>KMBB34</t>
  </si>
  <si>
    <t>Kimberly-Clark Corporation Bdr</t>
  </si>
  <si>
    <t>KMIC34</t>
  </si>
  <si>
    <t>Kinder Morgan Inc BDR</t>
  </si>
  <si>
    <t>LAME3</t>
  </si>
  <si>
    <t>Lojas Americanas SA</t>
  </si>
  <si>
    <t>LAME4</t>
  </si>
  <si>
    <t>Lojas Americanas SA Preference Shares</t>
  </si>
  <si>
    <t>LAVV3</t>
  </si>
  <si>
    <t>Lavvi Empreendimentos Imobiliarios Ltda</t>
  </si>
  <si>
    <t>LBRD34</t>
  </si>
  <si>
    <t>Liberty Broadband Corp BDR</t>
  </si>
  <si>
    <t>LCAM3</t>
  </si>
  <si>
    <t>Companhia de Locacao das Americas</t>
  </si>
  <si>
    <t>LEVE3</t>
  </si>
  <si>
    <t>Mahle Metal Leve SA</t>
  </si>
  <si>
    <t>LIGT3</t>
  </si>
  <si>
    <t>Light SA</t>
  </si>
  <si>
    <t>LILY34</t>
  </si>
  <si>
    <t>Eli Lilly And Company BDR</t>
  </si>
  <si>
    <t>LINX3</t>
  </si>
  <si>
    <t>Linx SA</t>
  </si>
  <si>
    <t>LJQQ3</t>
  </si>
  <si>
    <t>Lojas Quero-Quero SA</t>
  </si>
  <si>
    <t>LLIS3</t>
  </si>
  <si>
    <t>Restoque Comercio e Confecos de Roups SA</t>
  </si>
  <si>
    <t>LMTB34</t>
  </si>
  <si>
    <t>Lockheed Martin Corporation BDR</t>
  </si>
  <si>
    <t>LOGG3</t>
  </si>
  <si>
    <t>Log Commercial Properties E Participacoe</t>
  </si>
  <si>
    <t>LOGN3</t>
  </si>
  <si>
    <t>Log-in Logistica Intermodal SA</t>
  </si>
  <si>
    <t>LOWC34</t>
  </si>
  <si>
    <t>Lowes Companies Inc BDR</t>
  </si>
  <si>
    <t>LPSB3</t>
  </si>
  <si>
    <t>LPS Brasil - Consultoria de Imoveis SA</t>
  </si>
  <si>
    <t>LREN3</t>
  </si>
  <si>
    <t>Lojas Renner SA</t>
  </si>
  <si>
    <t>LSXM34</t>
  </si>
  <si>
    <t>Liberty Media Corp BDR</t>
  </si>
  <si>
    <t>LUPA3</t>
  </si>
  <si>
    <t>Lupatech SA</t>
  </si>
  <si>
    <t>LUXM4</t>
  </si>
  <si>
    <t>Trevisa Investimentos SA Preference Shares</t>
  </si>
  <si>
    <t>LWSA3</t>
  </si>
  <si>
    <t>LocaWeb Servicos de Internet SA</t>
  </si>
  <si>
    <t>M1NS34</t>
  </si>
  <si>
    <t>Monster Beverage Corp Bdr</t>
  </si>
  <si>
    <t>MAPT4</t>
  </si>
  <si>
    <t>Cemepe Investimentos SA Preference Shares</t>
  </si>
  <si>
    <t>MCDC34</t>
  </si>
  <si>
    <t>Mcdonalds'S Corp BDR</t>
  </si>
  <si>
    <t>MCOR34</t>
  </si>
  <si>
    <t>Moodys Corp BDR</t>
  </si>
  <si>
    <t>MDIA3</t>
  </si>
  <si>
    <t>M. Dias Branco SA Ind Com de Alimentos</t>
  </si>
  <si>
    <t>MDLZ34</t>
  </si>
  <si>
    <t>Mondelez International Bdr</t>
  </si>
  <si>
    <t>MDNE3</t>
  </si>
  <si>
    <t>Moura Dubeux Engenharia S.A.</t>
  </si>
  <si>
    <t>MDTC34</t>
  </si>
  <si>
    <t>Medtronic Public Limited Company BDR</t>
  </si>
  <si>
    <t>MEAL3</t>
  </si>
  <si>
    <t>International Meal Company Alimentcao SA</t>
  </si>
  <si>
    <t>MELI34</t>
  </si>
  <si>
    <t>Mercadolibre Inc BDR</t>
  </si>
  <si>
    <t>MELK3</t>
  </si>
  <si>
    <t>Melnick Even Desenvolvimento Imobilir SA</t>
  </si>
  <si>
    <t>MERC3</t>
  </si>
  <si>
    <t>Mercantil do Brasil Financeira SA CFI</t>
  </si>
  <si>
    <t>MERC4</t>
  </si>
  <si>
    <t>Mercantil do Brasil Financeira SA CFI Preference Shares</t>
  </si>
  <si>
    <t>METB34</t>
  </si>
  <si>
    <t>Metlife Inc Bdr</t>
  </si>
  <si>
    <t>MGEL4</t>
  </si>
  <si>
    <t>Mangels Industrial SA Preference Shares</t>
  </si>
  <si>
    <t>MGLU3</t>
  </si>
  <si>
    <t>Magazine Luiza SA</t>
  </si>
  <si>
    <t>MILS3</t>
  </si>
  <si>
    <t>Mills Estruturas e Servicos de Engnhr SA</t>
  </si>
  <si>
    <t>MKLC34</t>
  </si>
  <si>
    <t>Markel Corp BDR</t>
  </si>
  <si>
    <t>MMMC34</t>
  </si>
  <si>
    <t>3M Company BDR</t>
  </si>
  <si>
    <t>MMXM11</t>
  </si>
  <si>
    <t>Mmx Mineracao e Metalicos Closed Fund</t>
  </si>
  <si>
    <t>MMXM3</t>
  </si>
  <si>
    <t>MMX Mineracao e Mtlcs SA Em Rcco Judcl</t>
  </si>
  <si>
    <t>MNDL3</t>
  </si>
  <si>
    <t>Mundial SA Produtos de Consumo</t>
  </si>
  <si>
    <t>MNPR3</t>
  </si>
  <si>
    <t>Minupar Participacoes SA</t>
  </si>
  <si>
    <t>MOAR3</t>
  </si>
  <si>
    <t>Monteiro Aranha SA</t>
  </si>
  <si>
    <t>MOOO34</t>
  </si>
  <si>
    <t>Altria Group Inc BDR</t>
  </si>
  <si>
    <t>MOSC34</t>
  </si>
  <si>
    <t>The Mosaic Company Bdr</t>
  </si>
  <si>
    <t>MOVI3</t>
  </si>
  <si>
    <t>Movida Participacoes SA</t>
  </si>
  <si>
    <t>MRCK34</t>
  </si>
  <si>
    <t>Merck BDR</t>
  </si>
  <si>
    <t>MRFG3</t>
  </si>
  <si>
    <t>Marfrig Global Foods SA</t>
  </si>
  <si>
    <t>MRVE3</t>
  </si>
  <si>
    <t>MRV Engenharia e Participacoes SA</t>
  </si>
  <si>
    <t>MSBR34</t>
  </si>
  <si>
    <t>Morgan Stanley BDR</t>
  </si>
  <si>
    <t>MSCD34</t>
  </si>
  <si>
    <t>Mastercard BDR</t>
  </si>
  <si>
    <t>MSFT34</t>
  </si>
  <si>
    <t>Microsoft BDR</t>
  </si>
  <si>
    <t>MTIG4</t>
  </si>
  <si>
    <t>Metalgrafica Iguacu SA Preference Shares</t>
  </si>
  <si>
    <t>MTRE3</t>
  </si>
  <si>
    <t>Mitre Realty Emprndmnts e Prtcpcs SA</t>
  </si>
  <si>
    <t>MTSA4</t>
  </si>
  <si>
    <t>Metisa Metalurgica Timboense SA Preference Shares</t>
  </si>
  <si>
    <t>MULT3</t>
  </si>
  <si>
    <t>Multiplan Empreendiment. Imobiliarios SA</t>
  </si>
  <si>
    <t>MUTC34</t>
  </si>
  <si>
    <t>Micron Technology Inc BDR</t>
  </si>
  <si>
    <t>MWET3</t>
  </si>
  <si>
    <t>Wetzel SA</t>
  </si>
  <si>
    <t>MWET4</t>
  </si>
  <si>
    <t>Wetzel SA Preference Shares</t>
  </si>
  <si>
    <t>MYPK3</t>
  </si>
  <si>
    <t>Iochpe Maxion SA</t>
  </si>
  <si>
    <t>NEOE3</t>
  </si>
  <si>
    <t>Neoenergia SA</t>
  </si>
  <si>
    <t>NETE34</t>
  </si>
  <si>
    <t>Netease Inc Bdr</t>
  </si>
  <si>
    <t>NEXT34</t>
  </si>
  <si>
    <t>Nextera Energy Inc BDR</t>
  </si>
  <si>
    <t>NFLX34</t>
  </si>
  <si>
    <t>Netflix Inc. BDR</t>
  </si>
  <si>
    <t>NGRD3</t>
  </si>
  <si>
    <t>Neogrid Participacoes SA</t>
  </si>
  <si>
    <t>NIKE34</t>
  </si>
  <si>
    <t>Nike BDR</t>
  </si>
  <si>
    <t>NMRH34</t>
  </si>
  <si>
    <t>Nomura Holdings Inc Bdr</t>
  </si>
  <si>
    <t>NOCG34</t>
  </si>
  <si>
    <t>Northrop Grumman Corp BDR</t>
  </si>
  <si>
    <t>NORD3</t>
  </si>
  <si>
    <t>Nordon Industrias Metalurgicas SA</t>
  </si>
  <si>
    <t>NTCO3</t>
  </si>
  <si>
    <t>Natura &amp; Co Holding SA</t>
  </si>
  <si>
    <t>NVDC34</t>
  </si>
  <si>
    <t>Nvidia Corp BDR</t>
  </si>
  <si>
    <t>ODPV3</t>
  </si>
  <si>
    <t>Odontoprev SA</t>
  </si>
  <si>
    <t>OFSA3</t>
  </si>
  <si>
    <t>Ouro Fino Saude Animal Participacoes SA</t>
  </si>
  <si>
    <t>OIBR3</t>
  </si>
  <si>
    <t>Oi SA em Recuperacao Judicial</t>
  </si>
  <si>
    <t>OIBR4</t>
  </si>
  <si>
    <t>Oi SA em Recuperacao Judicial Preference Shares</t>
  </si>
  <si>
    <t>OMGE3</t>
  </si>
  <si>
    <t>Omega Geracao SA</t>
  </si>
  <si>
    <t>ORCL34</t>
  </si>
  <si>
    <t>Oracle BDR</t>
  </si>
  <si>
    <t>ORLY34</t>
  </si>
  <si>
    <t>Oreilly Automotive Inc BDR</t>
  </si>
  <si>
    <t>OSXB3</t>
  </si>
  <si>
    <t>OSX BRASIL SA</t>
  </si>
  <si>
    <t>OXYP34</t>
  </si>
  <si>
    <t>Occidental Petroleum Corp BDR</t>
  </si>
  <si>
    <t>PARD3</t>
  </si>
  <si>
    <t>Instituto Hermes Pardini SA</t>
  </si>
  <si>
    <t>PATI3</t>
  </si>
  <si>
    <t>Panatlantica SA</t>
  </si>
  <si>
    <t>PATI4</t>
  </si>
  <si>
    <t>Panatlantica SA Preference Shares</t>
  </si>
  <si>
    <t>PCAR3</t>
  </si>
  <si>
    <t>Companhia Brasileira de Distribuicao</t>
  </si>
  <si>
    <t>PDGR3</t>
  </si>
  <si>
    <t>PDG Realty SA Empreend e Participacoes</t>
  </si>
  <si>
    <t>PDTC3</t>
  </si>
  <si>
    <t>Padtec Holding SA</t>
  </si>
  <si>
    <t>PEAB3</t>
  </si>
  <si>
    <t>Companhia de Participacoes Alianca Bahia</t>
  </si>
  <si>
    <t>PEAB4</t>
  </si>
  <si>
    <t>Companhia de Participacoes Alianca Bahia Preference Shares</t>
  </si>
  <si>
    <t>PEPB34</t>
  </si>
  <si>
    <t>Pepsico Inc. BDR</t>
  </si>
  <si>
    <t>PETR3</t>
  </si>
  <si>
    <t>Petroleo Brasileiro SA Petrobras</t>
  </si>
  <si>
    <t>PETR4</t>
  </si>
  <si>
    <t>Petroleo Brasileiro SA Petrobras Preference Shares</t>
  </si>
  <si>
    <t>PETZ3</t>
  </si>
  <si>
    <t>Pet Center Comercio e Participacoes SA</t>
  </si>
  <si>
    <t>PFIZ34</t>
  </si>
  <si>
    <t>Pfizer BDR</t>
  </si>
  <si>
    <t>PFRM3</t>
  </si>
  <si>
    <t>Profarma Distribuidora de Produts Frm SA</t>
  </si>
  <si>
    <t>PGCO34</t>
  </si>
  <si>
    <t>Procter &amp; Gamble BDR</t>
  </si>
  <si>
    <t>PGMN3</t>
  </si>
  <si>
    <t>Empreendimentos Pague Menos SA</t>
  </si>
  <si>
    <t>PINE4</t>
  </si>
  <si>
    <t>Banco Pine SA Preference Shares</t>
  </si>
  <si>
    <t>PLAS3</t>
  </si>
  <si>
    <t>Plascar Participacoes Industriais SA</t>
  </si>
  <si>
    <t>PLPL3</t>
  </si>
  <si>
    <t>Plano &amp; Plano Desenvolvimento Imblr SA</t>
  </si>
  <si>
    <t>PMAM3</t>
  </si>
  <si>
    <t>Paranapanema SA</t>
  </si>
  <si>
    <t>PNCS34</t>
  </si>
  <si>
    <t>Pnc Financial Services Group Inc BDR</t>
  </si>
  <si>
    <t>PNVL3</t>
  </si>
  <si>
    <t>Dimed SA Distribuidora de Medicamentos</t>
  </si>
  <si>
    <t>PNVL4</t>
  </si>
  <si>
    <t>Dimed SA Distribuidora de Medicamentos Preference Shares</t>
  </si>
  <si>
    <t>POMO3</t>
  </si>
  <si>
    <t>Marcopolo SA</t>
  </si>
  <si>
    <t>POMO4</t>
  </si>
  <si>
    <t>Marcopolo SA Preference Shares</t>
  </si>
  <si>
    <t>POSI3</t>
  </si>
  <si>
    <t>Positivo Tecnologia SA</t>
  </si>
  <si>
    <t>PRIO3</t>
  </si>
  <si>
    <t>Petro Rio SA</t>
  </si>
  <si>
    <t>PRNR3</t>
  </si>
  <si>
    <t>Priner Servicos Industriais SA</t>
  </si>
  <si>
    <t>PSSA3</t>
  </si>
  <si>
    <t>Porto Seguro SA</t>
  </si>
  <si>
    <t>PTBL3</t>
  </si>
  <si>
    <t>PBG SA</t>
  </si>
  <si>
    <t>PTCH34</t>
  </si>
  <si>
    <t>Petrochina Co Ltd Bdr</t>
  </si>
  <si>
    <t>PTNT3</t>
  </si>
  <si>
    <t>Pettenati SA Industria Textil</t>
  </si>
  <si>
    <t>PTNT4</t>
  </si>
  <si>
    <t>Pettenati SA Industria Textil Preference Shares</t>
  </si>
  <si>
    <t>PYPL34</t>
  </si>
  <si>
    <t>Paypal Holdings Inc BDR</t>
  </si>
  <si>
    <t>QCOM34</t>
  </si>
  <si>
    <t>Qualcomm Inc. BDR</t>
  </si>
  <si>
    <t>QUAL3</t>
  </si>
  <si>
    <t>Qualicorp Consultoria e Cra de Ses SA</t>
  </si>
  <si>
    <t>RADL3</t>
  </si>
  <si>
    <t>Raia Drogasil SA</t>
  </si>
  <si>
    <t>RAIL3</t>
  </si>
  <si>
    <t>Rumo SA</t>
  </si>
  <si>
    <t>RANI3</t>
  </si>
  <si>
    <t>Irani Papel e Embalagem SA</t>
  </si>
  <si>
    <t>RAPT3</t>
  </si>
  <si>
    <t>Randon SA Implementos e Participacoes</t>
  </si>
  <si>
    <t>RAPT4</t>
  </si>
  <si>
    <t>Randon SA Implementos e Participacoes Preference Shares</t>
  </si>
  <si>
    <t>RCSL3</t>
  </si>
  <si>
    <t>Recrusul SA</t>
  </si>
  <si>
    <t>RCSL4</t>
  </si>
  <si>
    <t>Recrusul SA Preference Shares</t>
  </si>
  <si>
    <t>RDNI3</t>
  </si>
  <si>
    <t>RNI Negocios Imobiliarios SA</t>
  </si>
  <si>
    <t>RDOR3</t>
  </si>
  <si>
    <t>Rede D'Or Sao Luiz SA</t>
  </si>
  <si>
    <t>RDSA34</t>
  </si>
  <si>
    <t>Royal Dutch Shell Plc Bdr</t>
  </si>
  <si>
    <t>REDE3</t>
  </si>
  <si>
    <t>Rede Energia Participacoes SA</t>
  </si>
  <si>
    <t>REGN34</t>
  </si>
  <si>
    <t>Regeneron Pharmaceuticals Inc BDR</t>
  </si>
  <si>
    <t>RENT3</t>
  </si>
  <si>
    <t>Localiza Rent a Car SA</t>
  </si>
  <si>
    <t>RIOT34</t>
  </si>
  <si>
    <t>Rio Tinto Plc Bdr</t>
  </si>
  <si>
    <t>RLOG3</t>
  </si>
  <si>
    <t>Cosan Logistica SA</t>
  </si>
  <si>
    <t>RNEW11</t>
  </si>
  <si>
    <t>Renova Energia SA Brazilian Units</t>
  </si>
  <si>
    <t>RNEW3</t>
  </si>
  <si>
    <t>Renova Energia SA</t>
  </si>
  <si>
    <t>RNEW4</t>
  </si>
  <si>
    <t>Renova Energia SA Preference Shares</t>
  </si>
  <si>
    <t>ROMI3</t>
  </si>
  <si>
    <t>Industrias Romi SA</t>
  </si>
  <si>
    <t>ROST34</t>
  </si>
  <si>
    <t>Ross Stores BDR</t>
  </si>
  <si>
    <t>RPAD3</t>
  </si>
  <si>
    <t>Alfa Holdings SA</t>
  </si>
  <si>
    <t>RPAD5</t>
  </si>
  <si>
    <t>Alfa Holdings SA Preference Shares Series A</t>
  </si>
  <si>
    <t>RPAD6</t>
  </si>
  <si>
    <t>Alfa Holdings SA Preference Shares Series B</t>
  </si>
  <si>
    <t>RPMG3</t>
  </si>
  <si>
    <t>Refinaria de Petroleos d Mng S em Rcp Jd</t>
  </si>
  <si>
    <t>RSID3</t>
  </si>
  <si>
    <t>Rossi Residencial SA</t>
  </si>
  <si>
    <t>RYTT34</t>
  </si>
  <si>
    <t>Raytheon Technologies Corp Bdr</t>
  </si>
  <si>
    <t>SANB11</t>
  </si>
  <si>
    <t>Banco Santander Brasil SA Brazilian Units</t>
  </si>
  <si>
    <t>SANB3</t>
  </si>
  <si>
    <t>Banco Santander Brasil SA</t>
  </si>
  <si>
    <t>SANB4</t>
  </si>
  <si>
    <t>Banco Santander Brasil SA Preference Shares</t>
  </si>
  <si>
    <t>SAPP34</t>
  </si>
  <si>
    <t>Sap Se Bdr</t>
  </si>
  <si>
    <t>SAPR11</t>
  </si>
  <si>
    <t>Companhia de Saneamento Parana SANEPAR Brazilian Units</t>
  </si>
  <si>
    <t>SAPR3</t>
  </si>
  <si>
    <t>Companhia de Saneamento Parana SANEPAR</t>
  </si>
  <si>
    <t>SAPR4</t>
  </si>
  <si>
    <t>Companhia de Saneamento Parana SANEPAR Preference Shares</t>
  </si>
  <si>
    <t>SBNY34</t>
  </si>
  <si>
    <t>Signature Bank Corp BDR</t>
  </si>
  <si>
    <t>SBSP3</t>
  </si>
  <si>
    <t>Companhia de Saneamento Bsc DEDSP Sbsp</t>
  </si>
  <si>
    <t>SBUB34</t>
  </si>
  <si>
    <t>Starbucks Corporation BDR</t>
  </si>
  <si>
    <t>SCAR3</t>
  </si>
  <si>
    <t>Sao Carlos Empreendimentos e Part. SA</t>
  </si>
  <si>
    <t>SCHW34</t>
  </si>
  <si>
    <t>The Charles Schwab Corporation BDR</t>
  </si>
  <si>
    <t>SEER3</t>
  </si>
  <si>
    <t>Ser Educacional SA</t>
  </si>
  <si>
    <t>SEQL3</t>
  </si>
  <si>
    <t>Sequoia Logistica e Transportes SA</t>
  </si>
  <si>
    <t>SGPS3</t>
  </si>
  <si>
    <t>Springs Global Participacoes SA</t>
  </si>
  <si>
    <t>SHOW3</t>
  </si>
  <si>
    <t>T4f Entretenimento SA</t>
  </si>
  <si>
    <t>SHUL4</t>
  </si>
  <si>
    <t>Schulz SA Preference Shares</t>
  </si>
  <si>
    <t>SIMH3</t>
  </si>
  <si>
    <t>Simpar SA</t>
  </si>
  <si>
    <t>SIMN34</t>
  </si>
  <si>
    <t>Simon Property Group Inc BDR</t>
  </si>
  <si>
    <t>SLCE3</t>
  </si>
  <si>
    <t>SLC Agricola S.A.</t>
  </si>
  <si>
    <t>SLED3</t>
  </si>
  <si>
    <t>Saraiva Livreiros SA em Recuperacao Jdcl</t>
  </si>
  <si>
    <t>SLED4</t>
  </si>
  <si>
    <t>Saraiva Livreiros SA em Recuperacao Jdcl Preference Shares</t>
  </si>
  <si>
    <t>SMLS3</t>
  </si>
  <si>
    <t>Smiles Fidelidade SA</t>
  </si>
  <si>
    <t>SMTO3</t>
  </si>
  <si>
    <t>Sao Martinho SA</t>
  </si>
  <si>
    <t>SNEC34</t>
  </si>
  <si>
    <t>Sony Corp Bdr</t>
  </si>
  <si>
    <t>SNSY3</t>
  </si>
  <si>
    <t>Sansuy SA Industria d Plstc Em Rcpr Jdcl</t>
  </si>
  <si>
    <t>SNSY5</t>
  </si>
  <si>
    <t>Sansuy Industria de Plasticos A Pref Shs</t>
  </si>
  <si>
    <t>SOMA3</t>
  </si>
  <si>
    <t>Grupo de Moda SOMA SA</t>
  </si>
  <si>
    <t>SOND5</t>
  </si>
  <si>
    <t>Sondotenica Engenharia de Solos A Pref Shs</t>
  </si>
  <si>
    <t>SOND6</t>
  </si>
  <si>
    <t>Sondotenica Engenharia de Solos B Pref Shs</t>
  </si>
  <si>
    <t>SPGI34</t>
  </si>
  <si>
    <t>S&amp;P Global Inc BDR</t>
  </si>
  <si>
    <t>SQIA3</t>
  </si>
  <si>
    <t>Sinqia SA</t>
  </si>
  <si>
    <t>SRXM34</t>
  </si>
  <si>
    <t>Sirius Xm Holdings Inc BDR</t>
  </si>
  <si>
    <t>SSFO34</t>
  </si>
  <si>
    <t>Salesforce Com BDR</t>
  </si>
  <si>
    <t>STBP3</t>
  </si>
  <si>
    <t>Santos Brasil Participacoes SA</t>
  </si>
  <si>
    <t>STZB34</t>
  </si>
  <si>
    <t>Constellation Brands Inc BDR</t>
  </si>
  <si>
    <t>SULA11</t>
  </si>
  <si>
    <t>Sul America SA Brazilian Units</t>
  </si>
  <si>
    <t>SULA3</t>
  </si>
  <si>
    <t>Sul America SA</t>
  </si>
  <si>
    <t>SULA4</t>
  </si>
  <si>
    <t>Sul America SA Preference Shares</t>
  </si>
  <si>
    <t>SUZB3</t>
  </si>
  <si>
    <t>Suzano SA</t>
  </si>
  <si>
    <t>T1EC34</t>
  </si>
  <si>
    <t>Technipfmc Plc Bdr</t>
  </si>
  <si>
    <t>TAEE11</t>
  </si>
  <si>
    <t>Transmissora Alianca Energia Eletrica SA Brazilian Units</t>
  </si>
  <si>
    <t>TAEE3</t>
  </si>
  <si>
    <t>Transmissora Alianca Energia Eletrica SA</t>
  </si>
  <si>
    <t>TAEE4</t>
  </si>
  <si>
    <t>Transmissora Alianca Energia Eletrica SA Preference Shares</t>
  </si>
  <si>
    <t>TAKP34</t>
  </si>
  <si>
    <t>Takeda Pharmaceutical Co Ltd BDR</t>
  </si>
  <si>
    <t>TASA3</t>
  </si>
  <si>
    <t>Taurus Armas SA</t>
  </si>
  <si>
    <t>TASA4</t>
  </si>
  <si>
    <t>Taurus Armas SA Preference Shares</t>
  </si>
  <si>
    <t>TCNO3</t>
  </si>
  <si>
    <t>Tecnosolo Engenharia SA</t>
  </si>
  <si>
    <t>TCNO4</t>
  </si>
  <si>
    <t>Tecnosolo Engenharia SA Preference Shares</t>
  </si>
  <si>
    <t>TCSA3</t>
  </si>
  <si>
    <t>Tecnisa SA</t>
  </si>
  <si>
    <t>TECN3</t>
  </si>
  <si>
    <t>Technos SA</t>
  </si>
  <si>
    <t>TEKA3</t>
  </si>
  <si>
    <t>Teka Tecelagem Kuehnrich SA</t>
  </si>
  <si>
    <t>TEKA4</t>
  </si>
  <si>
    <t>Teka Tecelagem Kuehnrich SA Preference Shares</t>
  </si>
  <si>
    <t>TELB3</t>
  </si>
  <si>
    <t>Telecomunicacoes Brasileiras SA TELEBRAS</t>
  </si>
  <si>
    <t>TELB4</t>
  </si>
  <si>
    <t>Telecomunicacoes Brasileiras SA TELEBRAS Preference Shares</t>
  </si>
  <si>
    <t>TEND3</t>
  </si>
  <si>
    <t>Construtora Tenda SA</t>
  </si>
  <si>
    <t>TESA3</t>
  </si>
  <si>
    <t>Terra Santa Agro SA</t>
  </si>
  <si>
    <t>TEXA34</t>
  </si>
  <si>
    <t>Texas Instruments Bdr</t>
  </si>
  <si>
    <t>TGMA3</t>
  </si>
  <si>
    <t>Tegma Gestao Logistica SA</t>
  </si>
  <si>
    <t>TGTB34</t>
  </si>
  <si>
    <t>Target Corporation Bdr</t>
  </si>
  <si>
    <t>TIET11</t>
  </si>
  <si>
    <t>AES Tiete Energia SA Brazilian Units</t>
  </si>
  <si>
    <t>TIET3</t>
  </si>
  <si>
    <t>AES Tiete Energia SA</t>
  </si>
  <si>
    <t>TIET4</t>
  </si>
  <si>
    <t>AES Tiete Energia SA Preference Shares</t>
  </si>
  <si>
    <t>TIFF34</t>
  </si>
  <si>
    <t>TIMS3</t>
  </si>
  <si>
    <t>Tim SA</t>
  </si>
  <si>
    <t>TJXC34</t>
  </si>
  <si>
    <t>TJX Companies Inc BDR</t>
  </si>
  <si>
    <t>TKNO4</t>
  </si>
  <si>
    <t>Tekno SA Industria e Comercio Preference Shares</t>
  </si>
  <si>
    <t>TLNC34</t>
  </si>
  <si>
    <t>Telefonica Sa Bdr</t>
  </si>
  <si>
    <t>TMCO34</t>
  </si>
  <si>
    <t>Toyota Motor Corp Bdr</t>
  </si>
  <si>
    <t>TMOS34</t>
  </si>
  <si>
    <t>Thermo Fisher Scientific BDR</t>
  </si>
  <si>
    <t>TOTS3</t>
  </si>
  <si>
    <t>Totvs SA</t>
  </si>
  <si>
    <t>TPIS3</t>
  </si>
  <si>
    <t>TPI Triunfo Participacoes e Invest. SA</t>
  </si>
  <si>
    <t>TPRY34</t>
  </si>
  <si>
    <t>Tapestry Inc BDR</t>
  </si>
  <si>
    <t>TRIS3</t>
  </si>
  <si>
    <t>Trisul SA</t>
  </si>
  <si>
    <t>TRPL3</t>
  </si>
  <si>
    <t>CTEEP Cia Transm Energia Eletr Paulista</t>
  </si>
  <si>
    <t>TRPL4</t>
  </si>
  <si>
    <t>CTEEP Cia Transm Energia Eletr Paulista Preference Shares</t>
  </si>
  <si>
    <t>TRVC34</t>
  </si>
  <si>
    <t>The Travelers Companies BDR</t>
  </si>
  <si>
    <t>TSLA34</t>
  </si>
  <si>
    <t>Tesla Motors Inc BDR</t>
  </si>
  <si>
    <t>TSMC34</t>
  </si>
  <si>
    <t>Taiwan Semiconduc Manufact Co Lt Bdr</t>
  </si>
  <si>
    <t>TSNF34</t>
  </si>
  <si>
    <t>Tyson Foods Inc BDR</t>
  </si>
  <si>
    <t>TUPY3</t>
  </si>
  <si>
    <t>Tupy SA</t>
  </si>
  <si>
    <t>TWTR34</t>
  </si>
  <si>
    <t>Twitter Inc BDR</t>
  </si>
  <si>
    <t>TXRX3</t>
  </si>
  <si>
    <t>Textil Renauxview SA</t>
  </si>
  <si>
    <t>TXRX4</t>
  </si>
  <si>
    <t>Textil Renauxview SA Preference Shares</t>
  </si>
  <si>
    <t>U1BE34</t>
  </si>
  <si>
    <t>Uber Technologies Inc Brazilian Depositary Receipt</t>
  </si>
  <si>
    <t>U1LT34</t>
  </si>
  <si>
    <t>Ulta Beauty Inc Bdr</t>
  </si>
  <si>
    <t>UBSG34</t>
  </si>
  <si>
    <t>Ubs Group Ag BDR</t>
  </si>
  <si>
    <t>UCAS3</t>
  </si>
  <si>
    <t>UNICASA Industria de Moveis S/A</t>
  </si>
  <si>
    <t>UGPA3</t>
  </si>
  <si>
    <t>Ultrapar Participacoes SA</t>
  </si>
  <si>
    <t>ULEV34</t>
  </si>
  <si>
    <t>Unilever Plc Bdr</t>
  </si>
  <si>
    <t>UNHH34</t>
  </si>
  <si>
    <t>Unitedhealth Group Inc BDR</t>
  </si>
  <si>
    <t>UNIP3</t>
  </si>
  <si>
    <t>Unipar Carbocloro SA</t>
  </si>
  <si>
    <t>UNIP5</t>
  </si>
  <si>
    <t>Unipar Participacoes A Pref Shs</t>
  </si>
  <si>
    <t>UNIP6</t>
  </si>
  <si>
    <t>Unipar Participacoes B Pref Shs</t>
  </si>
  <si>
    <t>UPAC34</t>
  </si>
  <si>
    <t>Union Pacific Corporation Bdr</t>
  </si>
  <si>
    <t>UPSS34</t>
  </si>
  <si>
    <t>United Parcel Service BDR</t>
  </si>
  <si>
    <t>USBC34</t>
  </si>
  <si>
    <t>US Bancorp BDR</t>
  </si>
  <si>
    <t>USIM3</t>
  </si>
  <si>
    <t>Usinas Siderurgicas de Mins Grs SA USMNS</t>
  </si>
  <si>
    <t>USIM5</t>
  </si>
  <si>
    <t>Usinas Siderurgicas de Minas Gerais A Pref Shs</t>
  </si>
  <si>
    <t>VALE3</t>
  </si>
  <si>
    <t>Vale SA</t>
  </si>
  <si>
    <t>VFCO34</t>
  </si>
  <si>
    <t>VF Corp BDR</t>
  </si>
  <si>
    <t>VISA34</t>
  </si>
  <si>
    <t>Visa Inc. BDR</t>
  </si>
  <si>
    <t>VIVA3</t>
  </si>
  <si>
    <t>Vivara Participacoes SA</t>
  </si>
  <si>
    <t>VIVR3</t>
  </si>
  <si>
    <t>Viver Incorporadora e Construtora SA</t>
  </si>
  <si>
    <t>VIVT3</t>
  </si>
  <si>
    <t>Telefonica Brasil SA</t>
  </si>
  <si>
    <t>VLID3</t>
  </si>
  <si>
    <t>Valid Solucoes SA</t>
  </si>
  <si>
    <t>VLOE34</t>
  </si>
  <si>
    <t>Valero Energy Corporation BDR</t>
  </si>
  <si>
    <t>VRSN34</t>
  </si>
  <si>
    <t>Verisign Inc BDR</t>
  </si>
  <si>
    <t>VRTX34</t>
  </si>
  <si>
    <t>Vertex Pharmaceuticals Inc BDR</t>
  </si>
  <si>
    <t>VULC3</t>
  </si>
  <si>
    <t>Vulcabras Azaleia SA</t>
  </si>
  <si>
    <t>VVAR3</t>
  </si>
  <si>
    <t>Via Varejo SA</t>
  </si>
  <si>
    <t>WALM34</t>
  </si>
  <si>
    <t>Wal Mart Stores BDR</t>
  </si>
  <si>
    <t>WATC34</t>
  </si>
  <si>
    <t>Waters Corp BDR</t>
  </si>
  <si>
    <t>WEGE3</t>
  </si>
  <si>
    <t>Weg SA</t>
  </si>
  <si>
    <t>WFCO34</t>
  </si>
  <si>
    <t>Wells Fargo BDR</t>
  </si>
  <si>
    <t>WGBA34</t>
  </si>
  <si>
    <t>Wallgreens Boots Alliance Inc BDR</t>
  </si>
  <si>
    <t>WHRL3</t>
  </si>
  <si>
    <t>Whirlpool SA</t>
  </si>
  <si>
    <t>WHRL4</t>
  </si>
  <si>
    <t>Whirlpool SA Preference Shares</t>
  </si>
  <si>
    <t>WIZS3</t>
  </si>
  <si>
    <t>Wiz Solucoes e Corretagem de Seguros SA</t>
  </si>
  <si>
    <t>WLMM3</t>
  </si>
  <si>
    <t>WLM Participacoes e Cmrc d Mqns e Vcs SA</t>
  </si>
  <si>
    <t>WLMM4</t>
  </si>
  <si>
    <t>WLM Participacoes e Cmrc d Mqns e Vcs SA Preference Shares</t>
  </si>
  <si>
    <t>WSON33</t>
  </si>
  <si>
    <t>Wilson Sons Ltd</t>
  </si>
  <si>
    <t>WUNI34</t>
  </si>
  <si>
    <t>The Western Union Company Bdr</t>
  </si>
  <si>
    <t>XRAY34</t>
  </si>
  <si>
    <t>Dentsply Sirona Inc BDR</t>
  </si>
  <si>
    <t>XRXB34</t>
  </si>
  <si>
    <t>Xerox Corporation BDR</t>
  </si>
  <si>
    <t>YDUQ3</t>
  </si>
  <si>
    <t>YDUQS Participacoes SA</t>
  </si>
  <si>
    <t>YUMR34</t>
  </si>
  <si>
    <t>Yum Brands Inc BDR</t>
  </si>
  <si>
    <t>IBOV</t>
  </si>
  <si>
    <t>IBOVESPA</t>
  </si>
  <si>
    <t>.INX</t>
  </si>
  <si>
    <t>S&amp;P 500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</si>
</sst>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D4D4D4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11</v>
      </c>
    </row>
    <row r="3">
      <c r="A3" s="3" t="s">
        <v>17</v>
      </c>
      <c r="B3" s="4" t="s">
        <v>18</v>
      </c>
      <c r="C3" s="4">
        <f>IFERROR(__xludf.DUMMYFUNCTION("GOOGLEFINANCE($A3, C$2)"),55.95)</f>
        <v>55.95</v>
      </c>
      <c r="D3" s="4">
        <f>IFERROR(__xludf.DUMMYFUNCTION("GOOGLEFINANCE($A3, D$2)"),0.0)</f>
        <v>0</v>
      </c>
      <c r="E3" s="4" t="str">
        <f>IFERROR(__xludf.DUMMYFUNCTION("GOOGLEFINANCE($A3, E$2)"),"#N/A")</f>
        <v>#N/A</v>
      </c>
      <c r="F3" s="4" t="str">
        <f>IFERROR(__xludf.DUMMYFUNCTION("GOOGLEFINANCE($A3, F$2)"),"#N/A")</f>
        <v>#N/A</v>
      </c>
      <c r="G3" s="4">
        <f>IFERROR(__xludf.DUMMYFUNCTION("GOOGLEFINANCE($A3, G$2)"),57.0)</f>
        <v>57</v>
      </c>
      <c r="H3" s="4">
        <f>IFERROR(__xludf.DUMMYFUNCTION("GOOGLEFINANCE($A3, H$2)"),55.55)</f>
        <v>55.55</v>
      </c>
      <c r="I3" s="4" t="str">
        <f>IFERROR(__xludf.DUMMYFUNCTION("REPLACE(JOIN("";"", INDEX(TRANSPOSE(GOOGLEFINANCE($A3, $I$2, TODAY() - 30, TODAY(), 1)), 2)), 1, 6, """")"),"55,8;52,45;50,13;52,1;51,4;51,15;51,8;52;53,7;52,75;52,57;54,5;54,85;52,25;51,45;54,95;56,7;55,95")</f>
        <v>55,8;52,45;50,13;52,1;51,4;51,15;51,8;52;53,7;52,75;52,57;54,5;54,85;52,25;51,45;54,95;56,7;55,95</v>
      </c>
    </row>
    <row r="4">
      <c r="A4" s="3" t="s">
        <v>19</v>
      </c>
      <c r="B4" s="4" t="s">
        <v>20</v>
      </c>
      <c r="C4" s="4">
        <f>IFERROR(__xludf.DUMMYFUNCTION("GOOGLEFINANCE($A4, C$2)"),44.5)</f>
        <v>44.5</v>
      </c>
      <c r="D4" s="4">
        <f>IFERROR(__xludf.DUMMYFUNCTION("GOOGLEFINANCE($A4, D$2)"),0.0)</f>
        <v>0</v>
      </c>
      <c r="E4" s="4" t="str">
        <f>IFERROR(__xludf.DUMMYFUNCTION("GOOGLEFINANCE($A4, E$2)"),"#N/A")</f>
        <v>#N/A</v>
      </c>
      <c r="F4" s="4" t="str">
        <f>IFERROR(__xludf.DUMMYFUNCTION("GOOGLEFINANCE($A4, F$2)"),"#N/A")</f>
        <v>#N/A</v>
      </c>
      <c r="G4" s="4">
        <f>IFERROR(__xludf.DUMMYFUNCTION("GOOGLEFINANCE($A4, G$2)"),44.96)</f>
        <v>44.96</v>
      </c>
      <c r="H4" s="4">
        <f>IFERROR(__xludf.DUMMYFUNCTION("GOOGLEFINANCE($A4, H$2)"),44.5)</f>
        <v>44.5</v>
      </c>
      <c r="I4" s="4" t="str">
        <f>IFERROR(__xludf.DUMMYFUNCTION("REPLACE(JOIN("";"", INDEX(TRANSPOSE(GOOGLEFINANCE($A4, $I$2, TODAY() - 30, TODAY(), 1)), 2)), 1, 6, """")"),"49,77;51,93;55,3;50,95;51,32;50,6;50,26;50,45;52,16;52,7;47,1;45,42;45,43;44;45,4;44,5")</f>
        <v>49,77;51,93;55,3;50,95;51,32;50,6;50,26;50,45;52,16;52,7;47,1;45,42;45,43;44;45,4;44,5</v>
      </c>
    </row>
    <row r="5">
      <c r="A5" s="3" t="s">
        <v>21</v>
      </c>
      <c r="B5" s="4" t="s">
        <v>22</v>
      </c>
      <c r="C5" s="4">
        <f>IFERROR(__xludf.DUMMYFUNCTION("GOOGLEFINANCE($A5, C$2)"),421.38)</f>
        <v>421.38</v>
      </c>
      <c r="D5" s="4">
        <f>IFERROR(__xludf.DUMMYFUNCTION("GOOGLEFINANCE($A5, D$2)"),0.0)</f>
        <v>0</v>
      </c>
      <c r="E5" s="4" t="str">
        <f>IFERROR(__xludf.DUMMYFUNCTION("GOOGLEFINANCE($A5, E$2)"),"#N/A")</f>
        <v>#N/A</v>
      </c>
      <c r="F5" s="4" t="str">
        <f>IFERROR(__xludf.DUMMYFUNCTION("GOOGLEFINANCE($A5, F$2)"),"#N/A")</f>
        <v>#N/A</v>
      </c>
      <c r="G5" s="4">
        <f>IFERROR(__xludf.DUMMYFUNCTION("GOOGLEFINANCE($A5, G$2)"),421.38)</f>
        <v>421.38</v>
      </c>
      <c r="H5" s="4">
        <f>IFERROR(__xludf.DUMMYFUNCTION("GOOGLEFINANCE($A5, H$2)"),419.85)</f>
        <v>419.85</v>
      </c>
      <c r="I5" s="4" t="str">
        <f>IFERROR(__xludf.DUMMYFUNCTION("REPLACE(JOIN("";"", INDEX(TRANSPOSE(GOOGLEFINANCE($A5, $I$2, TODAY() - 30, TODAY(), 1)), 2)), 1, 6, """")"),"432,6;427,38;427,89;422,38;424,09;413,28;418,91;428,98;421,38")</f>
        <v>432,6;427,38;427,89;422,38;424,09;413,28;418,91;428,98;421,38</v>
      </c>
    </row>
    <row r="6">
      <c r="A6" s="3" t="s">
        <v>23</v>
      </c>
      <c r="B6" s="4" t="s">
        <v>24</v>
      </c>
      <c r="C6" s="4">
        <f>IFERROR(__xludf.DUMMYFUNCTION("GOOGLEFINANCE($A6, C$2)"),100.63)</f>
        <v>100.63</v>
      </c>
      <c r="D6" s="4">
        <f>IFERROR(__xludf.DUMMYFUNCTION("GOOGLEFINANCE($A6, D$2)"),0.0)</f>
        <v>0</v>
      </c>
      <c r="E6" s="4" t="str">
        <f>IFERROR(__xludf.DUMMYFUNCTION("GOOGLEFINANCE($A6, E$2)"),"#N/A")</f>
        <v>#N/A</v>
      </c>
      <c r="F6" s="4" t="str">
        <f>IFERROR(__xludf.DUMMYFUNCTION("GOOGLEFINANCE($A6, F$2)"),"#N/A")</f>
        <v>#N/A</v>
      </c>
      <c r="G6" s="4">
        <f>IFERROR(__xludf.DUMMYFUNCTION("GOOGLEFINANCE($A6, G$2)"),101.44)</f>
        <v>101.44</v>
      </c>
      <c r="H6" s="4">
        <f>IFERROR(__xludf.DUMMYFUNCTION("GOOGLEFINANCE($A6, H$2)"),96.6)</f>
        <v>96.6</v>
      </c>
      <c r="I6" s="4" t="str">
        <f>IFERROR(__xludf.DUMMYFUNCTION("REPLACE(JOIN("";"", INDEX(TRANSPOSE(GOOGLEFINANCE($A6, $I$2, TODAY() - 30, TODAY(), 1)), 2)), 1, 6, """")"),"85,9;82,39;89,5;92,01;93,3;91,61;89,33;94,26;94,95;92,6;95,31;93,71;93,63;91,09;92,78;97,54;96,26;100,63")</f>
        <v>85,9;82,39;89,5;92,01;93,3;91,61;89,33;94,26;94,95;92,6;95,31;93,71;93,63;91,09;92,78;97,54;96,26;100,63</v>
      </c>
    </row>
    <row r="7">
      <c r="A7" s="3" t="s">
        <v>25</v>
      </c>
      <c r="B7" s="4" t="s">
        <v>26</v>
      </c>
      <c r="C7" s="4">
        <f>IFERROR(__xludf.DUMMYFUNCTION("GOOGLEFINANCE($A7, C$2)"),10.33)</f>
        <v>10.33</v>
      </c>
      <c r="D7" s="4">
        <f>IFERROR(__xludf.DUMMYFUNCTION("GOOGLEFINANCE($A7, D$2)"),0.0)</f>
        <v>0</v>
      </c>
      <c r="E7" s="4" t="str">
        <f>IFERROR(__xludf.DUMMYFUNCTION("GOOGLEFINANCE($A7, E$2)"),"#N/A")</f>
        <v>#N/A</v>
      </c>
      <c r="F7" s="4">
        <f>IFERROR(__xludf.DUMMYFUNCTION("GOOGLEFINANCE($A7, F$2)"),-0.87)</f>
        <v>-0.87</v>
      </c>
      <c r="G7" s="4">
        <f>IFERROR(__xludf.DUMMYFUNCTION("GOOGLEFINANCE($A7, G$2)"),10.55)</f>
        <v>10.55</v>
      </c>
      <c r="H7" s="4">
        <f>IFERROR(__xludf.DUMMYFUNCTION("GOOGLEFINANCE($A7, H$2)"),10.28)</f>
        <v>10.28</v>
      </c>
      <c r="I7" s="4" t="str">
        <f>IFERROR(__xludf.DUMMYFUNCTION("REPLACE(JOIN("";"", INDEX(TRANSPOSE(GOOGLEFINANCE($A7, $I$2, TODAY() - 30, TODAY(), 1)), 2)), 1, 6, """")"),"10,71;10,5;10,57;10,57;10,69;10,65;11,1;11,5;10,97;10,9;10,83;10,7;10,5;10,5;10,44;10,4;10,43;10,33")</f>
        <v>10,71;10,5;10,57;10,57;10,69;10,65;11,1;11,5;10,97;10,9;10,83;10,7;10,5;10,5;10,44;10,4;10,43;10,33</v>
      </c>
    </row>
    <row r="8">
      <c r="A8" s="3" t="s">
        <v>27</v>
      </c>
      <c r="B8" s="4" t="s">
        <v>28</v>
      </c>
      <c r="C8" s="4">
        <f>IFERROR(__xludf.DUMMYFUNCTION("GOOGLEFINANCE($A8, C$2)"),69.93)</f>
        <v>69.93</v>
      </c>
      <c r="D8" s="4">
        <f>IFERROR(__xludf.DUMMYFUNCTION("GOOGLEFINANCE($A8, D$2)"),0.0)</f>
        <v>0</v>
      </c>
      <c r="E8" s="4" t="str">
        <f>IFERROR(__xludf.DUMMYFUNCTION("GOOGLEFINANCE($A8, E$2)"),"#N/A")</f>
        <v>#N/A</v>
      </c>
      <c r="F8" s="4" t="str">
        <f>IFERROR(__xludf.DUMMYFUNCTION("GOOGLEFINANCE($A8, F$2)"),"#N/A")</f>
        <v>#N/A</v>
      </c>
      <c r="G8" s="4">
        <f>IFERROR(__xludf.DUMMYFUNCTION("GOOGLEFINANCE($A8, G$2)"),70.9)</f>
        <v>70.9</v>
      </c>
      <c r="H8" s="4">
        <f>IFERROR(__xludf.DUMMYFUNCTION("GOOGLEFINANCE($A8, H$2)"),69.65)</f>
        <v>69.65</v>
      </c>
      <c r="I8" s="4" t="str">
        <f>IFERROR(__xludf.DUMMYFUNCTION("REPLACE(JOIN("";"", INDEX(TRANSPOSE(GOOGLEFINANCE($A8, $I$2, TODAY() - 30, TODAY(), 1)), 2)), 1, 6, """")"),"76,35;77;76,58;74,5;72,02;73,55;72,4;72;74,6;73,6;73,2;73,25;73,06;72,75;72,87;70,88;70,17;69,93")</f>
        <v>76,35;77;76,58;74,5;72,02;73,55;72,4;72;74,6;73,6;73,2;73,25;73,06;72,75;72,87;70,88;70,17;69,93</v>
      </c>
    </row>
    <row r="9">
      <c r="A9" s="3" t="s">
        <v>29</v>
      </c>
      <c r="B9" s="4" t="s">
        <v>30</v>
      </c>
      <c r="C9" s="4">
        <f>IFERROR(__xludf.DUMMYFUNCTION("GOOGLEFINANCE($A9, C$2)"),571.0)</f>
        <v>571</v>
      </c>
      <c r="D9" s="4">
        <f>IFERROR(__xludf.DUMMYFUNCTION("GOOGLEFINANCE($A9, D$2)"),0.0)</f>
        <v>0</v>
      </c>
      <c r="E9" s="4" t="str">
        <f>IFERROR(__xludf.DUMMYFUNCTION("GOOGLEFINANCE($A9, E$2)"),"#N/A")</f>
        <v>#N/A</v>
      </c>
      <c r="F9" s="4" t="str">
        <f>IFERROR(__xludf.DUMMYFUNCTION("GOOGLEFINANCE($A9, F$2)"),"#N/A")</f>
        <v>#N/A</v>
      </c>
      <c r="G9" s="4">
        <f>IFERROR(__xludf.DUMMYFUNCTION("GOOGLEFINANCE($A9, G$2)"),572.5)</f>
        <v>572.5</v>
      </c>
      <c r="H9" s="4">
        <f>IFERROR(__xludf.DUMMYFUNCTION("GOOGLEFINANCE($A9, H$2)"),566.3)</f>
        <v>566.3</v>
      </c>
      <c r="I9" s="4" t="str">
        <f>IFERROR(__xludf.DUMMYFUNCTION("REPLACE(JOIN("";"", INDEX(TRANSPOSE(GOOGLEFINANCE($A9, $I$2, TODAY() - 30, TODAY(), 1)), 2)), 1, 6, """")"),"607,2;580;557,3;568,5;562,9;559,2;554;572;590,19;584,11;571;567;559;560,49;560,5;578,02;577,01;571")</f>
        <v>607,2;580;557,3;568,5;562,9;559,2;554;572;590,19;584,11;571;567;559;560,49;560,5;578,02;577,01;571</v>
      </c>
    </row>
    <row r="10">
      <c r="A10" s="3" t="s">
        <v>31</v>
      </c>
      <c r="B10" s="4" t="s">
        <v>32</v>
      </c>
      <c r="C10" s="4">
        <f>IFERROR(__xludf.DUMMYFUNCTION("GOOGLEFINANCE($A10, C$2)"),15.38)</f>
        <v>15.38</v>
      </c>
      <c r="D10" s="4">
        <f>IFERROR(__xludf.DUMMYFUNCTION("GOOGLEFINANCE($A10, D$2)"),0.0)</f>
        <v>0</v>
      </c>
      <c r="E10" s="4">
        <f>IFERROR(__xludf.DUMMYFUNCTION("GOOGLEFINANCE($A10, E$2)"),10.48)</f>
        <v>10.48</v>
      </c>
      <c r="F10" s="4">
        <f>IFERROR(__xludf.DUMMYFUNCTION("GOOGLEFINANCE($A10, F$2)"),1.47)</f>
        <v>1.47</v>
      </c>
      <c r="G10" s="4">
        <f>IFERROR(__xludf.DUMMYFUNCTION("GOOGLEFINANCE($A10, G$2)"),15.47)</f>
        <v>15.47</v>
      </c>
      <c r="H10" s="4">
        <f>IFERROR(__xludf.DUMMYFUNCTION("GOOGLEFINANCE($A10, H$2)"),15.12)</f>
        <v>15.12</v>
      </c>
      <c r="I10" s="4" t="str">
        <f>IFERROR(__xludf.DUMMYFUNCTION("REPLACE(JOIN("";"", INDEX(TRANSPOSE(GOOGLEFINANCE($A10, $I$2, TODAY() - 30, TODAY(), 1)), 2)), 1, 6, """")"),"15,48;15,29;15,12;15,5;15,11;15,62;15,89;15,9;15,82;15,78;15,42;15,7;15,26;15,33;15,56;15,46;15,26;15,38")</f>
        <v>15,48;15,29;15,12;15,5;15,11;15,62;15,89;15,9;15,82;15,78;15,42;15,7;15,26;15,33;15,56;15,46;15,26;15,38</v>
      </c>
    </row>
    <row r="11">
      <c r="A11" s="3" t="s">
        <v>33</v>
      </c>
      <c r="B11" s="4" t="s">
        <v>34</v>
      </c>
      <c r="C11" s="4">
        <f>IFERROR(__xludf.DUMMYFUNCTION("GOOGLEFINANCE($A11, C$2)"),14.89)</f>
        <v>14.89</v>
      </c>
      <c r="D11" s="4">
        <f>IFERROR(__xludf.DUMMYFUNCTION("GOOGLEFINANCE($A11, D$2)"),0.0)</f>
        <v>0</v>
      </c>
      <c r="E11" s="4">
        <f>IFERROR(__xludf.DUMMYFUNCTION("GOOGLEFINANCE($A11, E$2)"),27.21)</f>
        <v>27.21</v>
      </c>
      <c r="F11" s="4">
        <f>IFERROR(__xludf.DUMMYFUNCTION("GOOGLEFINANCE($A11, F$2)"),0.55)</f>
        <v>0.55</v>
      </c>
      <c r="G11" s="4">
        <f>IFERROR(__xludf.DUMMYFUNCTION("GOOGLEFINANCE($A11, G$2)"),15.01)</f>
        <v>15.01</v>
      </c>
      <c r="H11" s="4">
        <f>IFERROR(__xludf.DUMMYFUNCTION("GOOGLEFINANCE($A11, H$2)"),14.66)</f>
        <v>14.66</v>
      </c>
      <c r="I11" s="4" t="str">
        <f>IFERROR(__xludf.DUMMYFUNCTION("REPLACE(JOIN("";"", INDEX(TRANSPOSE(GOOGLEFINANCE($A11, $I$2, TODAY() - 30, TODAY(), 1)), 2)), 1, 6, """")"),"15,15;15,4;15,41;15,54;15,11;15,6;15,61;15,68;15,6;15,52;14,94;14,96;15,01;14,95;14,79;15,27;14,79;14,89")</f>
        <v>15,15;15,4;15,41;15,54;15,11;15,6;15,61;15,68;15,6;15,52;14,94;14,96;15,01;14,95;14,79;15,27;14,79;14,89</v>
      </c>
    </row>
    <row r="12">
      <c r="A12" s="3" t="s">
        <v>35</v>
      </c>
      <c r="B12" s="4" t="s">
        <v>36</v>
      </c>
      <c r="C12" s="4">
        <f>IFERROR(__xludf.DUMMYFUNCTION("GOOGLEFINANCE($A12, C$2)"),166.05)</f>
        <v>166.05</v>
      </c>
      <c r="D12" s="4">
        <f>IFERROR(__xludf.DUMMYFUNCTION("GOOGLEFINANCE($A12, D$2)"),0.0)</f>
        <v>0</v>
      </c>
      <c r="E12" s="4" t="str">
        <f>IFERROR(__xludf.DUMMYFUNCTION("GOOGLEFINANCE($A12, E$2)"),"#N/A")</f>
        <v>#N/A</v>
      </c>
      <c r="F12" s="4" t="str">
        <f>IFERROR(__xludf.DUMMYFUNCTION("GOOGLEFINANCE($A12, F$2)"),"#N/A")</f>
        <v>#N/A</v>
      </c>
      <c r="G12" s="4">
        <f>IFERROR(__xludf.DUMMYFUNCTION("GOOGLEFINANCE($A12, G$2)"),166.6)</f>
        <v>166.6</v>
      </c>
      <c r="H12" s="4">
        <f>IFERROR(__xludf.DUMMYFUNCTION("GOOGLEFINANCE($A12, H$2)"),165.82)</f>
        <v>165.82</v>
      </c>
      <c r="I12" s="4" t="str">
        <f>IFERROR(__xludf.DUMMYFUNCTION("REPLACE(JOIN("";"", INDEX(TRANSPOSE(GOOGLEFINANCE($A12, $I$2, TODAY() - 30, TODAY(), 1)), 2)), 1, 6, """")"),"154,5;152,95;155,75;165;169,76;170;162,1;162,13;162,35;166,62;166,12;168,64;168,62;170,52;172,2;172,09;171,02;166,05")</f>
        <v>154,5;152,95;155,75;165;169,76;170;162,1;162,13;162,35;166,62;166,12;168,64;168,62;170,52;172,2;172,09;171,02;166,05</v>
      </c>
    </row>
    <row r="13">
      <c r="A13" s="3" t="s">
        <v>37</v>
      </c>
      <c r="B13" s="4" t="s">
        <v>38</v>
      </c>
      <c r="C13" s="4">
        <f>IFERROR(__xludf.DUMMYFUNCTION("GOOGLEFINANCE($A13, C$2)"),1400.0)</f>
        <v>1400</v>
      </c>
      <c r="D13" s="4">
        <f>IFERROR(__xludf.DUMMYFUNCTION("GOOGLEFINANCE($A13, D$2)"),0.0)</f>
        <v>0</v>
      </c>
      <c r="E13" s="4" t="str">
        <f>IFERROR(__xludf.DUMMYFUNCTION("GOOGLEFINANCE($A13, E$2)"),"#N/A")</f>
        <v>#N/A</v>
      </c>
      <c r="F13" s="4" t="str">
        <f>IFERROR(__xludf.DUMMYFUNCTION("GOOGLEFINANCE($A13, F$2)"),"#N/A")</f>
        <v>#N/A</v>
      </c>
      <c r="G13" s="4" t="str">
        <f>IFERROR(__xludf.DUMMYFUNCTION("GOOGLEFINANCE($A13, G$2)"),"#N/A")</f>
        <v>#N/A</v>
      </c>
      <c r="H13" s="4" t="str">
        <f>IFERROR(__xludf.DUMMYFUNCTION("GOOGLEFINANCE($A13, H$2)"),"#N/A")</f>
        <v>#N/A</v>
      </c>
      <c r="I13" s="4" t="str">
        <f>IFERROR(__xludf.DUMMYFUNCTION("REPLACE(JOIN("";"", INDEX(TRANSPOSE(GOOGLEFINANCE($A13, $I$2, TODAY() - 30, TODAY(), 1)), 2)), 1, 6, """")"),"1404,01;1355;1331,2;1366,5;1354,8;1356,5;1372,3;1359,7;1374,1;1383;1384;1400;1375;1400")</f>
        <v>1404,01;1355;1331,2;1366,5;1354,8;1356,5;1372,3;1359,7;1374,1;1383;1384;1400;1375;1400</v>
      </c>
    </row>
    <row r="14">
      <c r="A14" s="3" t="s">
        <v>39</v>
      </c>
      <c r="B14" s="4" t="s">
        <v>40</v>
      </c>
      <c r="C14" s="4">
        <f>IFERROR(__xludf.DUMMYFUNCTION("GOOGLEFINANCE($A14, C$2)"),51.57)</f>
        <v>51.57</v>
      </c>
      <c r="D14" s="4">
        <f>IFERROR(__xludf.DUMMYFUNCTION("GOOGLEFINANCE($A14, D$2)"),0.0)</f>
        <v>0</v>
      </c>
      <c r="E14" s="4" t="str">
        <f>IFERROR(__xludf.DUMMYFUNCTION("GOOGLEFINANCE($A14, E$2)"),"#N/A")</f>
        <v>#N/A</v>
      </c>
      <c r="F14" s="4" t="str">
        <f>IFERROR(__xludf.DUMMYFUNCTION("GOOGLEFINANCE($A14, F$2)"),"#N/A")</f>
        <v>#N/A</v>
      </c>
      <c r="G14" s="4">
        <f>IFERROR(__xludf.DUMMYFUNCTION("GOOGLEFINANCE($A14, G$2)"),52.95)</f>
        <v>52.95</v>
      </c>
      <c r="H14" s="4">
        <f>IFERROR(__xludf.DUMMYFUNCTION("GOOGLEFINANCE($A14, H$2)"),51.57)</f>
        <v>51.57</v>
      </c>
      <c r="I14" s="4" t="str">
        <f>IFERROR(__xludf.DUMMYFUNCTION("REPLACE(JOIN("";"", INDEX(TRANSPOSE(GOOGLEFINANCE($A14, $I$2, TODAY() - 30, TODAY(), 1)), 2)), 1, 6, """")"),"51,75;50,88;49,71;50,83;50,5;51,34;52,9;51,8;53,16;52,8;52,8;53,35;53;53,28;53,4;56;53,15;51,57")</f>
        <v>51,75;50,88;49,71;50,83;50,5;51,34;52,9;51,8;53,16;52,8;52,8;53,35;53;53,28;53,4;56;53,15;51,57</v>
      </c>
    </row>
    <row r="15">
      <c r="A15" s="3" t="s">
        <v>41</v>
      </c>
      <c r="B15" s="4" t="s">
        <v>42</v>
      </c>
      <c r="C15" s="4">
        <f>IFERROR(__xludf.DUMMYFUNCTION("GOOGLEFINANCE($A15, C$2)"),460.0)</f>
        <v>460</v>
      </c>
      <c r="D15" s="4">
        <f>IFERROR(__xludf.DUMMYFUNCTION("GOOGLEFINANCE($A15, D$2)"),0.0)</f>
        <v>0</v>
      </c>
      <c r="E15" s="4" t="str">
        <f>IFERROR(__xludf.DUMMYFUNCTION("GOOGLEFINANCE($A15, E$2)"),"#N/A")</f>
        <v>#N/A</v>
      </c>
      <c r="F15" s="4" t="str">
        <f>IFERROR(__xludf.DUMMYFUNCTION("GOOGLEFINANCE($A15, F$2)"),"#N/A")</f>
        <v>#N/A</v>
      </c>
      <c r="G15" s="4">
        <f>IFERROR(__xludf.DUMMYFUNCTION("GOOGLEFINANCE($A15, G$2)"),460.0)</f>
        <v>460</v>
      </c>
      <c r="H15" s="4">
        <f>IFERROR(__xludf.DUMMYFUNCTION("GOOGLEFINANCE($A15, H$2)"),460.0)</f>
        <v>460</v>
      </c>
      <c r="I15" s="4" t="str">
        <f>IFERROR(__xludf.DUMMYFUNCTION("REPLACE(JOIN("";"", INDEX(TRANSPOSE(GOOGLEFINANCE($A15, $I$2, TODAY() - 30, TODAY(), 1)), 2)), 1, 6, """")"),"454,1;448,96;450;447,5;460")</f>
        <v>454,1;448,96;450;447,5;460</v>
      </c>
    </row>
    <row r="16">
      <c r="A16" s="3" t="s">
        <v>43</v>
      </c>
      <c r="B16" s="4" t="s">
        <v>44</v>
      </c>
      <c r="C16" s="4">
        <f>IFERROR(__xludf.DUMMYFUNCTION("GOOGLEFINANCE($A16, C$2)"),10.17)</f>
        <v>10.17</v>
      </c>
      <c r="D16" s="4">
        <f>IFERROR(__xludf.DUMMYFUNCTION("GOOGLEFINANCE($A16, D$2)"),0.0)</f>
        <v>0</v>
      </c>
      <c r="E16" s="4">
        <f>IFERROR(__xludf.DUMMYFUNCTION("GOOGLEFINANCE($A16, E$2)"),57.11)</f>
        <v>57.11</v>
      </c>
      <c r="F16" s="4">
        <f>IFERROR(__xludf.DUMMYFUNCTION("GOOGLEFINANCE($A16, F$2)"),0.18)</f>
        <v>0.18</v>
      </c>
      <c r="G16" s="4">
        <f>IFERROR(__xludf.DUMMYFUNCTION("GOOGLEFINANCE($A16, G$2)"),10.68)</f>
        <v>10.68</v>
      </c>
      <c r="H16" s="4">
        <f>IFERROR(__xludf.DUMMYFUNCTION("GOOGLEFINANCE($A16, H$2)"),10.05)</f>
        <v>10.05</v>
      </c>
      <c r="I16" s="4" t="str">
        <f>IFERROR(__xludf.DUMMYFUNCTION("REPLACE(JOIN("";"", INDEX(TRANSPOSE(GOOGLEFINANCE($A16, $I$2, TODAY() - 30, TODAY(), 1)), 2)), 1, 6, """")"),"12,36;12,22;11,74;12,22;11,84;12,45;12,43;12,11;11,97;11,72;11,9;11,85;11;10,41;11,1;10,98;10,36;10,17")</f>
        <v>12,36;12,22;11,74;12,22;11,84;12,45;12,43;12,11;11,97;11,72;11,9;11,85;11;10,41;11,1;10,98;10,36;10,17</v>
      </c>
    </row>
    <row r="17">
      <c r="A17" s="3" t="s">
        <v>45</v>
      </c>
      <c r="B17" s="4" t="s">
        <v>46</v>
      </c>
      <c r="C17" s="4">
        <f>IFERROR(__xludf.DUMMYFUNCTION("GOOGLEFINANCE($A17, C$2)"),9.3)</f>
        <v>9.3</v>
      </c>
      <c r="D17" s="4">
        <f>IFERROR(__xludf.DUMMYFUNCTION("GOOGLEFINANCE($A17, D$2)"),0.0)</f>
        <v>0</v>
      </c>
      <c r="E17" s="4">
        <f>IFERROR(__xludf.DUMMYFUNCTION("GOOGLEFINANCE($A17, E$2)"),31.36)</f>
        <v>31.36</v>
      </c>
      <c r="F17" s="4">
        <f>IFERROR(__xludf.DUMMYFUNCTION("GOOGLEFINANCE($A17, F$2)"),0.3)</f>
        <v>0.3</v>
      </c>
      <c r="G17" s="4">
        <f>IFERROR(__xludf.DUMMYFUNCTION("GOOGLEFINANCE($A17, G$2)"),9.64)</f>
        <v>9.64</v>
      </c>
      <c r="H17" s="4">
        <f>IFERROR(__xludf.DUMMYFUNCTION("GOOGLEFINANCE($A17, H$2)"),9.3)</f>
        <v>9.3</v>
      </c>
      <c r="I17" s="4" t="str">
        <f>IFERROR(__xludf.DUMMYFUNCTION("REPLACE(JOIN("";"", INDEX(TRANSPOSE(GOOGLEFINANCE($A17, $I$2, TODAY() - 30, TODAY(), 1)), 2)), 1, 6, """")"),"9,96;9,76;9,99;9,86;9,84;9,7;9,7;9,57;9,5;9,59;9,74;9,41;9,59;9,79;9,48;9,3")</f>
        <v>9,96;9,76;9,99;9,86;9,84;9,7;9,7;9,57;9,5;9,59;9,74;9,41;9,59;9,79;9,48;9,3</v>
      </c>
    </row>
    <row r="18">
      <c r="A18" s="3" t="s">
        <v>47</v>
      </c>
      <c r="B18" s="4" t="s">
        <v>48</v>
      </c>
      <c r="C18" s="4">
        <f>IFERROR(__xludf.DUMMYFUNCTION("GOOGLEFINANCE($A18, C$2)"),22.65)</f>
        <v>22.65</v>
      </c>
      <c r="D18" s="4">
        <f>IFERROR(__xludf.DUMMYFUNCTION("GOOGLEFINANCE($A18, D$2)"),0.0)</f>
        <v>0</v>
      </c>
      <c r="E18" s="4">
        <f>IFERROR(__xludf.DUMMYFUNCTION("GOOGLEFINANCE($A18, E$2)"),11.58)</f>
        <v>11.58</v>
      </c>
      <c r="F18" s="4">
        <f>IFERROR(__xludf.DUMMYFUNCTION("GOOGLEFINANCE($A18, F$2)"),1.96)</f>
        <v>1.96</v>
      </c>
      <c r="G18" s="4">
        <f>IFERROR(__xludf.DUMMYFUNCTION("GOOGLEFINANCE($A18, G$2)"),22.97)</f>
        <v>22.97</v>
      </c>
      <c r="H18" s="4">
        <f>IFERROR(__xludf.DUMMYFUNCTION("GOOGLEFINANCE($A18, H$2)"),22.25)</f>
        <v>22.25</v>
      </c>
      <c r="I18" s="4" t="str">
        <f>IFERROR(__xludf.DUMMYFUNCTION("REPLACE(JOIN("";"", INDEX(TRANSPOSE(GOOGLEFINANCE($A18, $I$2, TODAY() - 30, TODAY(), 1)), 2)), 1, 6, """")"),"26,39;26,6;25,81;26,16;25,78;26,5;25,78;24,95;24;23,78;24;23,95;23,1;23,13;23;22,7;22,5;22,65")</f>
        <v>26,39;26,6;25,81;26,16;25,78;26,5;25,78;24,95;24;23,78;24;23,95;23,1;23,13;23;22,7;22,5;22,65</v>
      </c>
    </row>
    <row r="19">
      <c r="A19" s="3" t="s">
        <v>49</v>
      </c>
      <c r="B19" s="4" t="s">
        <v>50</v>
      </c>
      <c r="C19" s="4">
        <f>IFERROR(__xludf.DUMMYFUNCTION("GOOGLEFINANCE($A19, C$2)"),23.0)</f>
        <v>23</v>
      </c>
      <c r="D19" s="4">
        <f>IFERROR(__xludf.DUMMYFUNCTION("GOOGLEFINANCE($A19, D$2)"),0.0)</f>
        <v>0</v>
      </c>
      <c r="E19" s="4" t="str">
        <f>IFERROR(__xludf.DUMMYFUNCTION("GOOGLEFINANCE($A19, E$2)"),"#N/A")</f>
        <v>#N/A</v>
      </c>
      <c r="F19" s="4">
        <f>IFERROR(__xludf.DUMMYFUNCTION("GOOGLEFINANCE($A19, F$2)"),-1.65)</f>
        <v>-1.65</v>
      </c>
      <c r="G19" s="4" t="str">
        <f>IFERROR(__xludf.DUMMYFUNCTION("GOOGLEFINANCE($A19, G$2)"),"#N/A")</f>
        <v>#N/A</v>
      </c>
      <c r="H19" s="4" t="str">
        <f>IFERROR(__xludf.DUMMYFUNCTION("GOOGLEFINANCE($A19, H$2)"),"#N/A")</f>
        <v>#N/A</v>
      </c>
      <c r="I19" s="4" t="str">
        <f>IFERROR(__xludf.DUMMYFUNCTION("REPLACE(JOIN("";"", INDEX(TRANSPOSE(GOOGLEFINANCE($A19, $I$2, TODAY() - 30, TODAY(), 1)), 2)), 1, 6, """")"),"21,1;21,1;21,1;20;24;23,75;23,75;22,5;22,23;23")</f>
        <v>21,1;21,1;21,1;20;24;23,75;23,75;22,5;22,23;23</v>
      </c>
    </row>
    <row r="20">
      <c r="A20" s="3" t="s">
        <v>51</v>
      </c>
      <c r="B20" s="4" t="s">
        <v>52</v>
      </c>
      <c r="C20" s="4">
        <f>IFERROR(__xludf.DUMMYFUNCTION("GOOGLEFINANCE($A20, C$2)"),20.01)</f>
        <v>20.01</v>
      </c>
      <c r="D20" s="4">
        <f>IFERROR(__xludf.DUMMYFUNCTION("GOOGLEFINANCE($A20, D$2)"),0.0)</f>
        <v>0</v>
      </c>
      <c r="E20" s="4" t="str">
        <f>IFERROR(__xludf.DUMMYFUNCTION("GOOGLEFINANCE($A20, E$2)"),"#N/A")</f>
        <v>#N/A</v>
      </c>
      <c r="F20" s="4">
        <f>IFERROR(__xludf.DUMMYFUNCTION("GOOGLEFINANCE($A20, F$2)"),-1.65)</f>
        <v>-1.65</v>
      </c>
      <c r="G20" s="4" t="str">
        <f>IFERROR(__xludf.DUMMYFUNCTION("GOOGLEFINANCE($A20, G$2)"),"#N/A")</f>
        <v>#N/A</v>
      </c>
      <c r="H20" s="4" t="str">
        <f>IFERROR(__xludf.DUMMYFUNCTION("GOOGLEFINANCE($A20, H$2)"),"#N/A")</f>
        <v>#N/A</v>
      </c>
      <c r="I20" s="4" t="str">
        <f>IFERROR(__xludf.DUMMYFUNCTION("REPLACE(JOIN("";"", INDEX(TRANSPOSE(GOOGLEFINANCE($A20, $I$2, TODAY() - 30, TODAY(), 1)), 2)), 1, 6, """")"),"25,5;20;20,01")</f>
        <v>25,5;20;20,01</v>
      </c>
    </row>
    <row r="21">
      <c r="A21" s="3" t="s">
        <v>53</v>
      </c>
      <c r="B21" s="4" t="s">
        <v>54</v>
      </c>
      <c r="C21" s="4">
        <f>IFERROR(__xludf.DUMMYFUNCTION("GOOGLEFINANCE($A21, C$2)"),27.0)</f>
        <v>27</v>
      </c>
      <c r="D21" s="4">
        <f>IFERROR(__xludf.DUMMYFUNCTION("GOOGLEFINANCE($A21, D$2)"),0.0)</f>
        <v>0</v>
      </c>
      <c r="E21" s="4" t="str">
        <f>IFERROR(__xludf.DUMMYFUNCTION("GOOGLEFINANCE($A21, E$2)"),"#N/A")</f>
        <v>#N/A</v>
      </c>
      <c r="F21" s="4">
        <f>IFERROR(__xludf.DUMMYFUNCTION("GOOGLEFINANCE($A21, F$2)"),-1.65)</f>
        <v>-1.65</v>
      </c>
      <c r="G21" s="4" t="str">
        <f>IFERROR(__xludf.DUMMYFUNCTION("GOOGLEFINANCE($A21, G$2)"),"#N/A")</f>
        <v>#N/A</v>
      </c>
      <c r="H21" s="4" t="str">
        <f>IFERROR(__xludf.DUMMYFUNCTION("GOOGLEFINANCE($A21, H$2)"),"#N/A")</f>
        <v>#N/A</v>
      </c>
      <c r="I21" s="4" t="str">
        <f>IFERROR(__xludf.DUMMYFUNCTION("REPLACE(JOIN("";"", INDEX(TRANSPOSE(GOOGLEFINANCE($A21, $I$2, TODAY() - 30, TODAY(), 1)), 2)), 1, 6, """")"),"27")</f>
        <v>27</v>
      </c>
    </row>
    <row r="22">
      <c r="A22" s="3" t="s">
        <v>55</v>
      </c>
      <c r="B22" s="4" t="s">
        <v>56</v>
      </c>
      <c r="C22" s="4">
        <f>IFERROR(__xludf.DUMMYFUNCTION("GOOGLEFINANCE($A22, C$2)"),229.48)</f>
        <v>229.48</v>
      </c>
      <c r="D22" s="4">
        <f>IFERROR(__xludf.DUMMYFUNCTION("GOOGLEFINANCE($A22, D$2)"),0.0)</f>
        <v>0</v>
      </c>
      <c r="E22" s="4" t="str">
        <f>IFERROR(__xludf.DUMMYFUNCTION("GOOGLEFINANCE($A22, E$2)"),"#N/A")</f>
        <v>#N/A</v>
      </c>
      <c r="F22" s="4" t="str">
        <f>IFERROR(__xludf.DUMMYFUNCTION("GOOGLEFINANCE($A22, F$2)"),"#N/A")</f>
        <v>#N/A</v>
      </c>
      <c r="G22" s="4">
        <f>IFERROR(__xludf.DUMMYFUNCTION("GOOGLEFINANCE($A22, G$2)"),229.48)</f>
        <v>229.48</v>
      </c>
      <c r="H22" s="4">
        <f>IFERROR(__xludf.DUMMYFUNCTION("GOOGLEFINANCE($A22, H$2)"),229.48)</f>
        <v>229.48</v>
      </c>
      <c r="I22" s="4" t="str">
        <f>IFERROR(__xludf.DUMMYFUNCTION("REPLACE(JOIN("";"", INDEX(TRANSPOSE(GOOGLEFINANCE($A22, $I$2, TODAY() - 30, TODAY(), 1)), 2)), 1, 6, """")"),"209;209,5;220;224,63;229,48")</f>
        <v>209;209,5;220;224,63;229,48</v>
      </c>
    </row>
    <row r="23">
      <c r="A23" s="3" t="s">
        <v>57</v>
      </c>
      <c r="B23" s="4" t="s">
        <v>58</v>
      </c>
      <c r="C23" s="4">
        <f>IFERROR(__xludf.DUMMYFUNCTION("GOOGLEFINANCE($A23, C$2)"),31.36)</f>
        <v>31.36</v>
      </c>
      <c r="D23" s="4">
        <f>IFERROR(__xludf.DUMMYFUNCTION("GOOGLEFINANCE($A23, D$2)"),0.0)</f>
        <v>0</v>
      </c>
      <c r="E23" s="4">
        <f>IFERROR(__xludf.DUMMYFUNCTION("GOOGLEFINANCE($A23, E$2)"),81.84)</f>
        <v>81.84</v>
      </c>
      <c r="F23" s="4">
        <f>IFERROR(__xludf.DUMMYFUNCTION("GOOGLEFINANCE($A23, F$2)"),0.38)</f>
        <v>0.38</v>
      </c>
      <c r="G23" s="4">
        <f>IFERROR(__xludf.DUMMYFUNCTION("GOOGLEFINANCE($A23, G$2)"),31.87)</f>
        <v>31.87</v>
      </c>
      <c r="H23" s="4">
        <f>IFERROR(__xludf.DUMMYFUNCTION("GOOGLEFINANCE($A23, H$2)"),31.1)</f>
        <v>31.1</v>
      </c>
      <c r="I23" s="4" t="str">
        <f>IFERROR(__xludf.DUMMYFUNCTION("REPLACE(JOIN("";"", INDEX(TRANSPOSE(GOOGLEFINANCE($A23, $I$2, TODAY() - 30, TODAY(), 1)), 2)), 1, 6, """")"),"36,35;36,9;36,85;36,36;35,92;35,04;35,1;35,76;36,39;36,73;35,95;35,51;35,48;35,48;35,02;32,01;31,05;31,36")</f>
        <v>36,35;36,9;36,85;36,36;35,92;35,04;35,1;35,76;36,39;36,73;35,95;35,51;35,48;35,48;35,02;32,01;31,05;31,36</v>
      </c>
    </row>
    <row r="24">
      <c r="A24" s="3" t="s">
        <v>59</v>
      </c>
      <c r="B24" s="4" t="s">
        <v>60</v>
      </c>
      <c r="C24" s="4">
        <f>IFERROR(__xludf.DUMMYFUNCTION("GOOGLEFINANCE($A24, C$2)"),36.6)</f>
        <v>36.6</v>
      </c>
      <c r="D24" s="4">
        <f>IFERROR(__xludf.DUMMYFUNCTION("GOOGLEFINANCE($A24, D$2)"),0.0)</f>
        <v>0</v>
      </c>
      <c r="E24" s="4">
        <f>IFERROR(__xludf.DUMMYFUNCTION("GOOGLEFINANCE($A24, E$2)"),95.51)</f>
        <v>95.51</v>
      </c>
      <c r="F24" s="4">
        <f>IFERROR(__xludf.DUMMYFUNCTION("GOOGLEFINANCE($A24, F$2)"),0.38)</f>
        <v>0.38</v>
      </c>
      <c r="G24" s="4">
        <f>IFERROR(__xludf.DUMMYFUNCTION("GOOGLEFINANCE($A24, G$2)"),36.72)</f>
        <v>36.72</v>
      </c>
      <c r="H24" s="4">
        <f>IFERROR(__xludf.DUMMYFUNCTION("GOOGLEFINANCE($A24, H$2)"),35.54)</f>
        <v>35.54</v>
      </c>
      <c r="I24" s="4" t="str">
        <f>IFERROR(__xludf.DUMMYFUNCTION("REPLACE(JOIN("";"", INDEX(TRANSPOSE(GOOGLEFINANCE($A24, $I$2, TODAY() - 30, TODAY(), 1)), 2)), 1, 6, """")"),"40,46;40,83;40,02;40,35;38,84;38,78;39,03;40,61;41;40,45;39,42;39,99;39,21;39,4;38,66;37,12;36,1;36,6")</f>
        <v>40,46;40,83;40,02;40,35;38,84;38,78;39,03;40,61;41;40,45;39,42;39,99;39,21;39,4;38,66;37,12;36,1;36,6</v>
      </c>
    </row>
    <row r="25">
      <c r="A25" s="3" t="s">
        <v>61</v>
      </c>
      <c r="B25" s="4" t="s">
        <v>62</v>
      </c>
      <c r="C25" s="4">
        <f>IFERROR(__xludf.DUMMYFUNCTION("GOOGLEFINANCE($A25, C$2)"),8.44)</f>
        <v>8.44</v>
      </c>
      <c r="D25" s="4">
        <f>IFERROR(__xludf.DUMMYFUNCTION("GOOGLEFINANCE($A25, D$2)"),0.0)</f>
        <v>0</v>
      </c>
      <c r="E25" s="4" t="str">
        <f>IFERROR(__xludf.DUMMYFUNCTION("GOOGLEFINANCE($A25, E$2)"),"#N/A")</f>
        <v>#N/A</v>
      </c>
      <c r="F25" s="4">
        <f>IFERROR(__xludf.DUMMYFUNCTION("GOOGLEFINANCE($A25, F$2)"),-0.27)</f>
        <v>-0.27</v>
      </c>
      <c r="G25" s="4">
        <f>IFERROR(__xludf.DUMMYFUNCTION("GOOGLEFINANCE($A25, G$2)"),8.67)</f>
        <v>8.67</v>
      </c>
      <c r="H25" s="4">
        <f>IFERROR(__xludf.DUMMYFUNCTION("GOOGLEFINANCE($A25, H$2)"),8.34)</f>
        <v>8.34</v>
      </c>
      <c r="I25" s="4" t="str">
        <f>IFERROR(__xludf.DUMMYFUNCTION("REPLACE(JOIN("";"", INDEX(TRANSPOSE(GOOGLEFINANCE($A25, $I$2, TODAY() - 30, TODAY(), 1)), 2)), 1, 6, """")"),"8,7;8,58;8,49;8,61;8,33;8,72;8,89;8,86;8,85;8,84;8,7;8,59;8,37;8,53;8,53;8,57;8,5;8,44")</f>
        <v>8,7;8,58;8,49;8,61;8,33;8,72;8,89;8,86;8,85;8,84;8,7;8,59;8,37;8,53;8,53;8,57;8,5;8,44</v>
      </c>
    </row>
    <row r="26">
      <c r="A26" s="3" t="s">
        <v>63</v>
      </c>
      <c r="B26" s="4" t="s">
        <v>64</v>
      </c>
      <c r="C26" s="4">
        <f>IFERROR(__xludf.DUMMYFUNCTION("GOOGLEFINANCE($A26, C$2)"),26.15)</f>
        <v>26.15</v>
      </c>
      <c r="D26" s="4">
        <f>IFERROR(__xludf.DUMMYFUNCTION("GOOGLEFINANCE($A26, D$2)"),0.0)</f>
        <v>0</v>
      </c>
      <c r="E26" s="4">
        <f>IFERROR(__xludf.DUMMYFUNCTION("GOOGLEFINANCE($A26, E$2)"),25.15)</f>
        <v>25.15</v>
      </c>
      <c r="F26" s="4">
        <f>IFERROR(__xludf.DUMMYFUNCTION("GOOGLEFINANCE($A26, F$2)"),1.04)</f>
        <v>1.04</v>
      </c>
      <c r="G26" s="4">
        <f>IFERROR(__xludf.DUMMYFUNCTION("GOOGLEFINANCE($A26, G$2)"),26.61)</f>
        <v>26.61</v>
      </c>
      <c r="H26" s="4">
        <f>IFERROR(__xludf.DUMMYFUNCTION("GOOGLEFINANCE($A26, H$2)"),26.03)</f>
        <v>26.03</v>
      </c>
      <c r="I26" s="4" t="str">
        <f>IFERROR(__xludf.DUMMYFUNCTION("REPLACE(JOIN("";"", INDEX(TRANSPOSE(GOOGLEFINANCE($A26, $I$2, TODAY() - 30, TODAY(), 1)), 2)), 1, 6, """")"),"26,18;26,07;26,17;28,32;27,61;28,06;28,41;29,03;29;28,57;28,72;28,37;27,46;27,38;27,24;26,65;26,19;26,15")</f>
        <v>26,18;26,07;26,17;28,32;27,61;28,06;28,41;29,03;29;28,57;28,72;28,37;27,46;27,38;27,24;26,65;26,19;26,15</v>
      </c>
    </row>
    <row r="27">
      <c r="A27" s="3" t="s">
        <v>65</v>
      </c>
      <c r="B27" s="4" t="s">
        <v>66</v>
      </c>
      <c r="C27" s="4">
        <f>IFERROR(__xludf.DUMMYFUNCTION("GOOGLEFINANCE($A27, C$2)"),25.08)</f>
        <v>25.08</v>
      </c>
      <c r="D27" s="4">
        <f>IFERROR(__xludf.DUMMYFUNCTION("GOOGLEFINANCE($A27, D$2)"),0.0)</f>
        <v>0</v>
      </c>
      <c r="E27" s="4">
        <f>IFERROR(__xludf.DUMMYFUNCTION("GOOGLEFINANCE($A27, E$2)"),12.27)</f>
        <v>12.27</v>
      </c>
      <c r="F27" s="4">
        <f>IFERROR(__xludf.DUMMYFUNCTION("GOOGLEFINANCE($A27, F$2)"),2.04)</f>
        <v>2.04</v>
      </c>
      <c r="G27" s="4">
        <f>IFERROR(__xludf.DUMMYFUNCTION("GOOGLEFINANCE($A27, G$2)"),25.37)</f>
        <v>25.37</v>
      </c>
      <c r="H27" s="4">
        <f>IFERROR(__xludf.DUMMYFUNCTION("GOOGLEFINANCE($A27, H$2)"),25.02)</f>
        <v>25.02</v>
      </c>
      <c r="I27" s="4" t="str">
        <f>IFERROR(__xludf.DUMMYFUNCTION("REPLACE(JOIN("";"", INDEX(TRANSPOSE(GOOGLEFINANCE($A27, $I$2, TODAY() - 30, TODAY(), 1)), 2)), 1, 6, """")"),"25,49;25,15;25,59;26,03;25,65;25,7;25,99;25,85;25,7;25,77;25,81;25,85;25,59;25,63;25,51;25,18;25,14;25,08")</f>
        <v>25,49;25,15;25,59;26,03;25,65;25,7;25,99;25,85;25,7;25,77;25,81;25,85;25,59;25,63;25,51;25,18;25,14;25,08</v>
      </c>
    </row>
    <row r="28">
      <c r="A28" s="3" t="s">
        <v>67</v>
      </c>
      <c r="B28" s="4" t="s">
        <v>68</v>
      </c>
      <c r="C28" s="4">
        <f>IFERROR(__xludf.DUMMYFUNCTION("GOOGLEFINANCE($A28, C$2)"),8.58)</f>
        <v>8.58</v>
      </c>
      <c r="D28" s="4">
        <f>IFERROR(__xludf.DUMMYFUNCTION("GOOGLEFINANCE($A28, D$2)"),0.0)</f>
        <v>0</v>
      </c>
      <c r="E28" s="4">
        <f>IFERROR(__xludf.DUMMYFUNCTION("GOOGLEFINANCE($A28, E$2)"),4.2)</f>
        <v>4.2</v>
      </c>
      <c r="F28" s="4">
        <f>IFERROR(__xludf.DUMMYFUNCTION("GOOGLEFINANCE($A28, F$2)"),2.04)</f>
        <v>2.04</v>
      </c>
      <c r="G28" s="4">
        <f>IFERROR(__xludf.DUMMYFUNCTION("GOOGLEFINANCE($A28, G$2)"),8.76)</f>
        <v>8.76</v>
      </c>
      <c r="H28" s="4">
        <f>IFERROR(__xludf.DUMMYFUNCTION("GOOGLEFINANCE($A28, H$2)"),8.58)</f>
        <v>8.58</v>
      </c>
      <c r="I28" s="4" t="str">
        <f>IFERROR(__xludf.DUMMYFUNCTION("REPLACE(JOIN("";"", INDEX(TRANSPOSE(GOOGLEFINANCE($A28, $I$2, TODAY() - 30, TODAY(), 1)), 2)), 1, 6, """")"),"8,7;8,51;8,63;8,93;8,61;8,8;8,85;8,97;8,8;8,9;8,96;8,82;8,82;8,8;8,7;8,57;8,59;8,58")</f>
        <v>8,7;8,51;8,63;8,93;8,61;8,8;8,85;8,97;8,8;8,9;8,96;8,82;8,82;8,8;8,7;8,57;8,59;8,58</v>
      </c>
    </row>
    <row r="29">
      <c r="A29" s="3" t="s">
        <v>69</v>
      </c>
      <c r="B29" s="4" t="s">
        <v>70</v>
      </c>
      <c r="C29" s="4">
        <f>IFERROR(__xludf.DUMMYFUNCTION("GOOGLEFINANCE($A29, C$2)"),8.23)</f>
        <v>8.23</v>
      </c>
      <c r="D29" s="4">
        <f>IFERROR(__xludf.DUMMYFUNCTION("GOOGLEFINANCE($A29, D$2)"),0.0)</f>
        <v>0</v>
      </c>
      <c r="E29" s="4">
        <f>IFERROR(__xludf.DUMMYFUNCTION("GOOGLEFINANCE($A29, E$2)"),4.03)</f>
        <v>4.03</v>
      </c>
      <c r="F29" s="4">
        <f>IFERROR(__xludf.DUMMYFUNCTION("GOOGLEFINANCE($A29, F$2)"),2.04)</f>
        <v>2.04</v>
      </c>
      <c r="G29" s="4">
        <f>IFERROR(__xludf.DUMMYFUNCTION("GOOGLEFINANCE($A29, G$2)"),8.37)</f>
        <v>8.37</v>
      </c>
      <c r="H29" s="4">
        <f>IFERROR(__xludf.DUMMYFUNCTION("GOOGLEFINANCE($A29, H$2)"),8.23)</f>
        <v>8.23</v>
      </c>
      <c r="I29" s="4" t="str">
        <f>IFERROR(__xludf.DUMMYFUNCTION("REPLACE(JOIN("";"", INDEX(TRANSPOSE(GOOGLEFINANCE($A29, $I$2, TODAY() - 30, TODAY(), 1)), 2)), 1, 6, """")"),"8,4;8,21;8,4;8,48;8,46;8,6;8,43;8,51;8,35;8,44;8,44;8,37;8,42;8,38;8,34;8,28;8,31;8,23")</f>
        <v>8,4;8,21;8,4;8,48;8,46;8,6;8,43;8,51;8,35;8,44;8,44;8,37;8,42;8,38;8,34;8,28;8,31;8,23</v>
      </c>
    </row>
    <row r="30">
      <c r="A30" s="3" t="s">
        <v>71</v>
      </c>
      <c r="B30" s="4" t="s">
        <v>72</v>
      </c>
      <c r="C30" s="4">
        <f>IFERROR(__xludf.DUMMYFUNCTION("GOOGLEFINANCE($A30, C$2)"),5.62)</f>
        <v>5.62</v>
      </c>
      <c r="D30" s="4">
        <f>IFERROR(__xludf.DUMMYFUNCTION("GOOGLEFINANCE($A30, D$2)"),0.0)</f>
        <v>0</v>
      </c>
      <c r="E30" s="4" t="str">
        <f>IFERROR(__xludf.DUMMYFUNCTION("GOOGLEFINANCE($A30, E$2)"),"#N/A")</f>
        <v>#N/A</v>
      </c>
      <c r="F30" s="4">
        <f>IFERROR(__xludf.DUMMYFUNCTION("GOOGLEFINANCE($A30, F$2)"),-1.42)</f>
        <v>-1.42</v>
      </c>
      <c r="G30" s="4">
        <f>IFERROR(__xludf.DUMMYFUNCTION("GOOGLEFINANCE($A30, G$2)"),5.76)</f>
        <v>5.76</v>
      </c>
      <c r="H30" s="4">
        <f>IFERROR(__xludf.DUMMYFUNCTION("GOOGLEFINANCE($A30, H$2)"),5.58)</f>
        <v>5.58</v>
      </c>
      <c r="I30" s="4" t="str">
        <f>IFERROR(__xludf.DUMMYFUNCTION("REPLACE(JOIN("";"", INDEX(TRANSPOSE(GOOGLEFINANCE($A30, $I$2, TODAY() - 30, TODAY(), 1)), 2)), 1, 6, """")"),"6,06;6,11;6,05;6,49;6,26;6,26;6,28;6,33;6,25;6,16;6,13;6,06;5,88;5,81;5,83;5,69;5,66;5,62")</f>
        <v>6,06;6,11;6,05;6,49;6,26;6,26;6,28;6,33;6,25;6,16;6,13;6,06;5,88;5,81;5,83;5,69;5,66;5,62</v>
      </c>
    </row>
    <row r="31">
      <c r="A31" s="3" t="s">
        <v>73</v>
      </c>
      <c r="B31" s="4" t="s">
        <v>74</v>
      </c>
      <c r="C31" s="4">
        <f>IFERROR(__xludf.DUMMYFUNCTION("GOOGLEFINANCE($A31, C$2)"),25.05)</f>
        <v>25.05</v>
      </c>
      <c r="D31" s="4">
        <f>IFERROR(__xludf.DUMMYFUNCTION("GOOGLEFINANCE($A31, D$2)"),0.0)</f>
        <v>0</v>
      </c>
      <c r="E31" s="4">
        <f>IFERROR(__xludf.DUMMYFUNCTION("GOOGLEFINANCE($A31, E$2)"),84.63)</f>
        <v>84.63</v>
      </c>
      <c r="F31" s="4">
        <f>IFERROR(__xludf.DUMMYFUNCTION("GOOGLEFINANCE($A31, F$2)"),0.3)</f>
        <v>0.3</v>
      </c>
      <c r="G31" s="4">
        <f>IFERROR(__xludf.DUMMYFUNCTION("GOOGLEFINANCE($A31, G$2)"),25.24)</f>
        <v>25.24</v>
      </c>
      <c r="H31" s="4">
        <f>IFERROR(__xludf.DUMMYFUNCTION("GOOGLEFINANCE($A31, H$2)"),24.6)</f>
        <v>24.6</v>
      </c>
      <c r="I31" s="4" t="str">
        <f>IFERROR(__xludf.DUMMYFUNCTION("REPLACE(JOIN("";"", INDEX(TRANSPOSE(GOOGLEFINANCE($A31, $I$2, TODAY() - 30, TODAY(), 1)), 2)), 1, 6, """")"),"26,2;25,95;26;25,8;25,22;25,01;25,5;25,5;25,26;25,67;26,16;25,95;25,28;25,3;25,1;24,83;24,58;25,05")</f>
        <v>26,2;25,95;26;25,8;25,22;25,01;25,5;25,5;25,26;25,67;26,16;25,95;25,28;25,3;25,1;24,83;24,58;25,05</v>
      </c>
    </row>
    <row r="32">
      <c r="A32" s="3" t="s">
        <v>75</v>
      </c>
      <c r="B32" s="4" t="s">
        <v>76</v>
      </c>
      <c r="C32" s="4">
        <f>IFERROR(__xludf.DUMMYFUNCTION("GOOGLEFINANCE($A32, C$2)"),44.94)</f>
        <v>44.94</v>
      </c>
      <c r="D32" s="4">
        <f>IFERROR(__xludf.DUMMYFUNCTION("GOOGLEFINANCE($A32, D$2)"),0.0)</f>
        <v>0</v>
      </c>
      <c r="E32" s="4" t="str">
        <f>IFERROR(__xludf.DUMMYFUNCTION("GOOGLEFINANCE($A32, E$2)"),"#N/A")</f>
        <v>#N/A</v>
      </c>
      <c r="F32" s="4" t="str">
        <f>IFERROR(__xludf.DUMMYFUNCTION("GOOGLEFINANCE($A32, F$2)"),"#N/A")</f>
        <v>#N/A</v>
      </c>
      <c r="G32" s="4">
        <f>IFERROR(__xludf.DUMMYFUNCTION("GOOGLEFINANCE($A32, G$2)"),45.72)</f>
        <v>45.72</v>
      </c>
      <c r="H32" s="4">
        <f>IFERROR(__xludf.DUMMYFUNCTION("GOOGLEFINANCE($A32, H$2)"),44.61)</f>
        <v>44.61</v>
      </c>
      <c r="I32" s="4" t="str">
        <f>IFERROR(__xludf.DUMMYFUNCTION("REPLACE(JOIN("";"", INDEX(TRANSPOSE(GOOGLEFINANCE($A32, $I$2, TODAY() - 30, TODAY(), 1)), 2)), 1, 6, """")"),"49,8;49,14;48,69;48,69;47,23;47;46,22;45,85;45,96;45,34;45,44;45,36;45,94;45,28;45,4;45,56;45,45;44,94")</f>
        <v>49,8;49,14;48,69;48,69;47,23;47;46,22;45,85;45,96;45,34;45,44;45,36;45,94;45,28;45,4;45,56;45,45;44,94</v>
      </c>
    </row>
    <row r="33">
      <c r="A33" s="3" t="s">
        <v>77</v>
      </c>
      <c r="B33" s="4" t="s">
        <v>78</v>
      </c>
      <c r="C33" s="4">
        <f>IFERROR(__xludf.DUMMYFUNCTION("GOOGLEFINANCE($A33, C$2)"),111.72)</f>
        <v>111.72</v>
      </c>
      <c r="D33" s="4">
        <f>IFERROR(__xludf.DUMMYFUNCTION("GOOGLEFINANCE($A33, D$2)"),0.0)</f>
        <v>0</v>
      </c>
      <c r="E33" s="4" t="str">
        <f>IFERROR(__xludf.DUMMYFUNCTION("GOOGLEFINANCE($A33, E$2)"),"#N/A")</f>
        <v>#N/A</v>
      </c>
      <c r="F33" s="4" t="str">
        <f>IFERROR(__xludf.DUMMYFUNCTION("GOOGLEFINANCE($A33, F$2)"),"#N/A")</f>
        <v>#N/A</v>
      </c>
      <c r="G33" s="4">
        <f>IFERROR(__xludf.DUMMYFUNCTION("GOOGLEFINANCE($A33, G$2)"),115.53)</f>
        <v>115.53</v>
      </c>
      <c r="H33" s="4">
        <f>IFERROR(__xludf.DUMMYFUNCTION("GOOGLEFINANCE($A33, H$2)"),111.5)</f>
        <v>111.5</v>
      </c>
      <c r="I33" s="4" t="str">
        <f>IFERROR(__xludf.DUMMYFUNCTION("REPLACE(JOIN("";"", INDEX(TRANSPOSE(GOOGLEFINANCE($A33, $I$2, TODAY() - 30, TODAY(), 1)), 2)), 1, 6, """")"),"114,96;113,85;111,2;112,57;112;116,1;117,3;113,5;116,07;114,9;113,6;114,3;112,89;112,21;112,7;114,5;115,53;111,72")</f>
        <v>114,96;113,85;111,2;112,57;112;116,1;117,3;113,5;116,07;114,9;113,6;114,3;112,89;112,21;112,7;114,5;115,53;111,72</v>
      </c>
    </row>
    <row r="34">
      <c r="A34" s="3" t="s">
        <v>79</v>
      </c>
      <c r="B34" s="4" t="s">
        <v>80</v>
      </c>
      <c r="C34" s="4">
        <f>IFERROR(__xludf.DUMMYFUNCTION("GOOGLEFINANCE($A34, C$2)"),10.46)</f>
        <v>10.46</v>
      </c>
      <c r="D34" s="4">
        <f>IFERROR(__xludf.DUMMYFUNCTION("GOOGLEFINANCE($A34, D$2)"),0.0)</f>
        <v>0</v>
      </c>
      <c r="E34" s="4" t="str">
        <f>IFERROR(__xludf.DUMMYFUNCTION("GOOGLEFINANCE($A34, E$2)"),"#N/A")</f>
        <v>#N/A</v>
      </c>
      <c r="F34" s="4">
        <f>IFERROR(__xludf.DUMMYFUNCTION("GOOGLEFINANCE($A34, F$2)"),-0.45)</f>
        <v>-0.45</v>
      </c>
      <c r="G34" s="4">
        <f>IFERROR(__xludf.DUMMYFUNCTION("GOOGLEFINANCE($A34, G$2)"),10.55)</f>
        <v>10.55</v>
      </c>
      <c r="H34" s="4">
        <f>IFERROR(__xludf.DUMMYFUNCTION("GOOGLEFINANCE($A34, H$2)"),10.13)</f>
        <v>10.13</v>
      </c>
      <c r="I34" s="4" t="str">
        <f>IFERROR(__xludf.DUMMYFUNCTION("REPLACE(JOIN("";"", INDEX(TRANSPOSE(GOOGLEFINANCE($A34, $I$2, TODAY() - 30, TODAY(), 1)), 2)), 1, 6, """")"),"11,58;11,34;11,34;11,62;11,18;11,04;11,13;11,17;11,04;11,26;11,27;11,18;10,77;10,86;10,74;10,7;10,34;10,46")</f>
        <v>11,58;11,34;11,34;11,62;11,18;11,04;11,13;11,17;11,04;11,26;11,27;11,18;10,77;10,86;10,74;10,7;10,34;10,46</v>
      </c>
    </row>
    <row r="35">
      <c r="A35" s="3" t="s">
        <v>81</v>
      </c>
      <c r="B35" s="4" t="s">
        <v>82</v>
      </c>
      <c r="C35" s="4">
        <f>IFERROR(__xludf.DUMMYFUNCTION("GOOGLEFINANCE($A35, C$2)"),50.87)</f>
        <v>50.87</v>
      </c>
      <c r="D35" s="4">
        <f>IFERROR(__xludf.DUMMYFUNCTION("GOOGLEFINANCE($A35, D$2)"),0.0)</f>
        <v>0</v>
      </c>
      <c r="E35" s="4" t="str">
        <f>IFERROR(__xludf.DUMMYFUNCTION("GOOGLEFINANCE($A35, E$2)"),"#N/A")</f>
        <v>#N/A</v>
      </c>
      <c r="F35" s="4">
        <f>IFERROR(__xludf.DUMMYFUNCTION("GOOGLEFINANCE($A35, F$2)"),-0.34)</f>
        <v>-0.34</v>
      </c>
      <c r="G35" s="4">
        <f>IFERROR(__xludf.DUMMYFUNCTION("GOOGLEFINANCE($A35, G$2)"),57.8)</f>
        <v>57.8</v>
      </c>
      <c r="H35" s="4">
        <f>IFERROR(__xludf.DUMMYFUNCTION("GOOGLEFINANCE($A35, H$2)"),50.87)</f>
        <v>50.87</v>
      </c>
      <c r="I35" s="4" t="str">
        <f>IFERROR(__xludf.DUMMYFUNCTION("REPLACE(JOIN("";"", INDEX(TRANSPOSE(GOOGLEFINANCE($A35, $I$2, TODAY() - 30, TODAY(), 1)), 2)), 1, 6, """")"),"37,46;39;38,6;37,7;36,97;36,46;37,5;40,3;39,71;40;48,39;51,74;51,61;52,88;54,23;60,39;56,38;50,87")</f>
        <v>37,46;39;38,6;37,7;36,97;36,46;37,5;40,3;39,71;40;48,39;51,74;51,61;52,88;54,23;60,39;56,38;50,87</v>
      </c>
    </row>
    <row r="36">
      <c r="A36" s="3" t="s">
        <v>83</v>
      </c>
      <c r="B36" s="4" t="s">
        <v>84</v>
      </c>
      <c r="C36" s="4">
        <f>IFERROR(__xludf.DUMMYFUNCTION("GOOGLEFINANCE($A36, C$2)"),414.56)</f>
        <v>414.56</v>
      </c>
      <c r="D36" s="4">
        <f>IFERROR(__xludf.DUMMYFUNCTION("GOOGLEFINANCE($A36, D$2)"),0.0)</f>
        <v>0</v>
      </c>
      <c r="E36" s="4" t="str">
        <f>IFERROR(__xludf.DUMMYFUNCTION("GOOGLEFINANCE($A36, E$2)"),"#N/A")</f>
        <v>#N/A</v>
      </c>
      <c r="F36" s="4" t="str">
        <f>IFERROR(__xludf.DUMMYFUNCTION("GOOGLEFINANCE($A36, F$2)"),"#N/A")</f>
        <v>#N/A</v>
      </c>
      <c r="G36" s="4">
        <f>IFERROR(__xludf.DUMMYFUNCTION("GOOGLEFINANCE($A36, G$2)"),414.56)</f>
        <v>414.56</v>
      </c>
      <c r="H36" s="4">
        <f>IFERROR(__xludf.DUMMYFUNCTION("GOOGLEFINANCE($A36, H$2)"),410.01)</f>
        <v>410.01</v>
      </c>
      <c r="I36" s="4" t="str">
        <f>IFERROR(__xludf.DUMMYFUNCTION("REPLACE(JOIN("";"", INDEX(TRANSPOSE(GOOGLEFINANCE($A36, $I$2, TODAY() - 30, TODAY(), 1)), 2)), 1, 6, """")"),"346,1;382,7;395,34;397,69;414,05;419,57;419,99;407,71;414,56")</f>
        <v>346,1;382,7;395,34;397,69;414,05;419,57;419,99;407,71;414,56</v>
      </c>
    </row>
    <row r="37">
      <c r="A37" s="3" t="s">
        <v>85</v>
      </c>
      <c r="B37" s="4" t="s">
        <v>86</v>
      </c>
      <c r="C37" s="4">
        <f>IFERROR(__xludf.DUMMYFUNCTION("GOOGLEFINANCE($A37, C$2)"),150.0)</f>
        <v>150</v>
      </c>
      <c r="D37" s="4">
        <f>IFERROR(__xludf.DUMMYFUNCTION("GOOGLEFINANCE($A37, D$2)"),0.0)</f>
        <v>0</v>
      </c>
      <c r="E37" s="4" t="str">
        <f>IFERROR(__xludf.DUMMYFUNCTION("GOOGLEFINANCE($A37, E$2)"),"#N/A")</f>
        <v>#N/A</v>
      </c>
      <c r="F37" s="4" t="str">
        <f>IFERROR(__xludf.DUMMYFUNCTION("GOOGLEFINANCE($A37, F$2)"),"#N/A")</f>
        <v>#N/A</v>
      </c>
      <c r="G37" s="4" t="str">
        <f>IFERROR(__xludf.DUMMYFUNCTION("GOOGLEFINANCE($A37, G$2)"),"#N/A")</f>
        <v>#N/A</v>
      </c>
      <c r="H37" s="4" t="str">
        <f>IFERROR(__xludf.DUMMYFUNCTION("GOOGLEFINANCE($A37, H$2)"),"#N/A")</f>
        <v>#N/A</v>
      </c>
      <c r="I37" s="4" t="str">
        <f>IFERROR(__xludf.DUMMYFUNCTION("REPLACE(JOIN("";"", INDEX(TRANSPOSE(GOOGLEFINANCE($A37, $I$2, TODAY() - 30, TODAY(), 1)), 2)), 1, 6, """")"),"150")</f>
        <v>150</v>
      </c>
    </row>
    <row r="38">
      <c r="A38" s="3" t="s">
        <v>87</v>
      </c>
      <c r="B38" s="4" t="s">
        <v>88</v>
      </c>
      <c r="C38" s="4">
        <f>IFERROR(__xludf.DUMMYFUNCTION("GOOGLEFINANCE($A38, C$2)"),77.0)</f>
        <v>77</v>
      </c>
      <c r="D38" s="4">
        <f>IFERROR(__xludf.DUMMYFUNCTION("GOOGLEFINANCE($A38, D$2)"),0.0)</f>
        <v>0</v>
      </c>
      <c r="E38" s="4">
        <f>IFERROR(__xludf.DUMMYFUNCTION("GOOGLEFINANCE($A38, E$2)"),235.24)</f>
        <v>235.24</v>
      </c>
      <c r="F38" s="4">
        <f>IFERROR(__xludf.DUMMYFUNCTION("GOOGLEFINANCE($A38, F$2)"),0.33)</f>
        <v>0.33</v>
      </c>
      <c r="G38" s="4">
        <f>IFERROR(__xludf.DUMMYFUNCTION("GOOGLEFINANCE($A38, G$2)"),77.2)</f>
        <v>77.2</v>
      </c>
      <c r="H38" s="4">
        <f>IFERROR(__xludf.DUMMYFUNCTION("GOOGLEFINANCE($A38, H$2)"),75.44)</f>
        <v>75.44</v>
      </c>
      <c r="I38" s="4" t="str">
        <f>IFERROR(__xludf.DUMMYFUNCTION("REPLACE(JOIN("";"", INDEX(TRANSPOSE(GOOGLEFINANCE($A38, $I$2, TODAY() - 30, TODAY(), 1)), 2)), 1, 6, """")"),"69,48;69,01;71;72,59;70,57;71,9;72,5;72,5;74,51;74;74,56;75,05;74;74,53;76;76,01;75,5;77")</f>
        <v>69,48;69,01;71;72,59;70,57;71,9;72,5;72,5;74,51;74;74,56;75,05;74;74,53;76;76,01;75,5;77</v>
      </c>
    </row>
    <row r="39">
      <c r="A39" s="3" t="s">
        <v>89</v>
      </c>
      <c r="B39" s="4" t="s">
        <v>90</v>
      </c>
      <c r="C39" s="4">
        <f>IFERROR(__xludf.DUMMYFUNCTION("GOOGLEFINANCE($A39, C$2)"),3.4)</f>
        <v>3.4</v>
      </c>
      <c r="D39" s="4">
        <f>IFERROR(__xludf.DUMMYFUNCTION("GOOGLEFINANCE($A39, D$2)"),0.0)</f>
        <v>0</v>
      </c>
      <c r="E39" s="4" t="str">
        <f>IFERROR(__xludf.DUMMYFUNCTION("GOOGLEFINANCE($A39, E$2)"),"#N/A")</f>
        <v>#N/A</v>
      </c>
      <c r="F39" s="4">
        <f>IFERROR(__xludf.DUMMYFUNCTION("GOOGLEFINANCE($A39, F$2)"),-57.59)</f>
        <v>-57.59</v>
      </c>
      <c r="G39" s="4">
        <f>IFERROR(__xludf.DUMMYFUNCTION("GOOGLEFINANCE($A39, G$2)"),3.4)</f>
        <v>3.4</v>
      </c>
      <c r="H39" s="4">
        <f>IFERROR(__xludf.DUMMYFUNCTION("GOOGLEFINANCE($A39, H$2)"),3.2)</f>
        <v>3.2</v>
      </c>
      <c r="I39" s="4" t="str">
        <f>IFERROR(__xludf.DUMMYFUNCTION("REPLACE(JOIN("";"", INDEX(TRANSPOSE(GOOGLEFINANCE($A39, $I$2, TODAY() - 30, TODAY(), 1)), 2)), 1, 6, """")"),"3,11;3,11;3,1;3,1;3,01;2,95;2,9;3,04;3,04;3,26;3,19;3,19;3,2;3,23;3,3;3,6;3,4;3,4")</f>
        <v>3,11;3,11;3,1;3,1;3,01;2,95;2,9;3,04;3,04;3,26;3,19;3,19;3,2;3,23;3,3;3,6;3,4;3,4</v>
      </c>
    </row>
    <row r="40">
      <c r="A40" s="3" t="s">
        <v>91</v>
      </c>
      <c r="B40" s="4" t="s">
        <v>92</v>
      </c>
      <c r="C40" s="4">
        <f>IFERROR(__xludf.DUMMYFUNCTION("GOOGLEFINANCE($A40, C$2)"),4.31)</f>
        <v>4.31</v>
      </c>
      <c r="D40" s="4">
        <f>IFERROR(__xludf.DUMMYFUNCTION("GOOGLEFINANCE($A40, D$2)"),0.0)</f>
        <v>0</v>
      </c>
      <c r="E40" s="4">
        <f>IFERROR(__xludf.DUMMYFUNCTION("GOOGLEFINANCE($A40, E$2)"),7.43)</f>
        <v>7.43</v>
      </c>
      <c r="F40" s="4">
        <f>IFERROR(__xludf.DUMMYFUNCTION("GOOGLEFINANCE($A40, F$2)"),0.58)</f>
        <v>0.58</v>
      </c>
      <c r="G40" s="4">
        <f>IFERROR(__xludf.DUMMYFUNCTION("GOOGLEFINANCE($A40, G$2)"),4.48)</f>
        <v>4.48</v>
      </c>
      <c r="H40" s="4">
        <f>IFERROR(__xludf.DUMMYFUNCTION("GOOGLEFINANCE($A40, H$2)"),4.11)</f>
        <v>4.11</v>
      </c>
      <c r="I40" s="4" t="str">
        <f>IFERROR(__xludf.DUMMYFUNCTION("REPLACE(JOIN("";"", INDEX(TRANSPOSE(GOOGLEFINANCE($A40, $I$2, TODAY() - 30, TODAY(), 1)), 2)), 1, 6, """")"),"3,22;3,38;3,44;3,48;3,41;3,42;3,53;3,6;3,61;3,78;3,88;3,83;3,68;4,22;4,25;4;4,16;4,31")</f>
        <v>3,22;3,38;3,44;3,48;3,41;3,42;3,53;3,6;3,61;3,78;3,88;3,83;3,68;4,22;4,25;4;4,16;4,31</v>
      </c>
    </row>
    <row r="41">
      <c r="A41" s="3" t="s">
        <v>93</v>
      </c>
      <c r="B41" s="4" t="s">
        <v>94</v>
      </c>
      <c r="C41" s="4">
        <f>IFERROR(__xludf.DUMMYFUNCTION("GOOGLEFINANCE($A41, C$2)"),52.29)</f>
        <v>52.29</v>
      </c>
      <c r="D41" s="4">
        <f>IFERROR(__xludf.DUMMYFUNCTION("GOOGLEFINANCE($A41, D$2)"),0.0)</f>
        <v>0</v>
      </c>
      <c r="E41" s="4" t="str">
        <f>IFERROR(__xludf.DUMMYFUNCTION("GOOGLEFINANCE($A41, E$2)"),"#N/A")</f>
        <v>#N/A</v>
      </c>
      <c r="F41" s="4" t="str">
        <f>IFERROR(__xludf.DUMMYFUNCTION("GOOGLEFINANCE($A41, F$2)"),"#N/A")</f>
        <v>#N/A</v>
      </c>
      <c r="G41" s="4">
        <f>IFERROR(__xludf.DUMMYFUNCTION("GOOGLEFINANCE($A41, G$2)"),53.0)</f>
        <v>53</v>
      </c>
      <c r="H41" s="4">
        <f>IFERROR(__xludf.DUMMYFUNCTION("GOOGLEFINANCE($A41, H$2)"),52.13)</f>
        <v>52.13</v>
      </c>
      <c r="I41" s="4" t="str">
        <f>IFERROR(__xludf.DUMMYFUNCTION("REPLACE(JOIN("";"", INDEX(TRANSPOSE(GOOGLEFINANCE($A41, $I$2, TODAY() - 30, TODAY(), 1)), 2)), 1, 6, """")"),"53,02;53,15;52,53;52,1;52,8;52,32;51,28;51,31;52,37;52,11;51,51;51,59;51,35;51,29;51,74;53,59;53,16;52,29")</f>
        <v>53,02;53,15;52,53;52,1;52,8;52,32;51,28;51,31;52,37;52,11;51,51;51,59;51,35;51,29;51,74;53,59;53,16;52,29</v>
      </c>
    </row>
    <row r="42">
      <c r="A42" s="3" t="s">
        <v>95</v>
      </c>
      <c r="B42" s="4" t="s">
        <v>96</v>
      </c>
      <c r="C42" s="4">
        <f>IFERROR(__xludf.DUMMYFUNCTION("GOOGLEFINANCE($A42, C$2)"),544.0)</f>
        <v>544</v>
      </c>
      <c r="D42" s="4">
        <f>IFERROR(__xludf.DUMMYFUNCTION("GOOGLEFINANCE($A42, D$2)"),0.0)</f>
        <v>0</v>
      </c>
      <c r="E42" s="4" t="str">
        <f>IFERROR(__xludf.DUMMYFUNCTION("GOOGLEFINANCE($A42, E$2)"),"#N/A")</f>
        <v>#N/A</v>
      </c>
      <c r="F42" s="4" t="str">
        <f>IFERROR(__xludf.DUMMYFUNCTION("GOOGLEFINANCE($A42, F$2)"),"#N/A")</f>
        <v>#N/A</v>
      </c>
      <c r="G42" s="4">
        <f>IFERROR(__xludf.DUMMYFUNCTION("GOOGLEFINANCE($A42, G$2)"),571.99)</f>
        <v>571.99</v>
      </c>
      <c r="H42" s="4">
        <f>IFERROR(__xludf.DUMMYFUNCTION("GOOGLEFINANCE($A42, H$2)"),543.34)</f>
        <v>543.34</v>
      </c>
      <c r="I42" s="4" t="str">
        <f>IFERROR(__xludf.DUMMYFUNCTION("REPLACE(JOIN("";"", INDEX(TRANSPOSE(GOOGLEFINANCE($A42, $I$2, TODAY() - 30, TODAY(), 1)), 2)), 1, 6, """")"),"515,9;496,96;479,7;491,7;499,89;496,9;505;499,79;516;548,9;542,41;552,8;551,69;553,71;559,15;572,01;556,51;544")</f>
        <v>515,9;496,96;479,7;491,7;499,89;496,9;505;499,79;516;548,9;542,41;552,8;551,69;553,71;559,15;572,01;556,51;544</v>
      </c>
    </row>
    <row r="43">
      <c r="A43" s="3" t="s">
        <v>97</v>
      </c>
      <c r="B43" s="4" t="s">
        <v>98</v>
      </c>
      <c r="C43" s="4">
        <f>IFERROR(__xludf.DUMMYFUNCTION("GOOGLEFINANCE($A43, C$2)"),55.5)</f>
        <v>55.5</v>
      </c>
      <c r="D43" s="4">
        <f>IFERROR(__xludf.DUMMYFUNCTION("GOOGLEFINANCE($A43, D$2)"),0.0)</f>
        <v>0</v>
      </c>
      <c r="E43" s="4" t="str">
        <f>IFERROR(__xludf.DUMMYFUNCTION("GOOGLEFINANCE($A43, E$2)"),"#N/A")</f>
        <v>#N/A</v>
      </c>
      <c r="F43" s="4" t="str">
        <f>IFERROR(__xludf.DUMMYFUNCTION("GOOGLEFINANCE($A43, F$2)"),"#N/A")</f>
        <v>#N/A</v>
      </c>
      <c r="G43" s="4">
        <f>IFERROR(__xludf.DUMMYFUNCTION("GOOGLEFINANCE($A43, G$2)"),56.45)</f>
        <v>56.45</v>
      </c>
      <c r="H43" s="4">
        <f>IFERROR(__xludf.DUMMYFUNCTION("GOOGLEFINANCE($A43, H$2)"),53.52)</f>
        <v>53.52</v>
      </c>
      <c r="I43" s="4" t="str">
        <f>IFERROR(__xludf.DUMMYFUNCTION("REPLACE(JOIN("";"", INDEX(TRANSPOSE(GOOGLEFINANCE($A43, $I$2, TODAY() - 30, TODAY(), 1)), 2)), 1, 6, """")"),"#N/A")</f>
        <v>#N/A</v>
      </c>
    </row>
    <row r="44">
      <c r="A44" s="3" t="s">
        <v>99</v>
      </c>
      <c r="B44" s="4" t="s">
        <v>100</v>
      </c>
      <c r="C44" s="4">
        <f>IFERROR(__xludf.DUMMYFUNCTION("GOOGLEFINANCE($A44, C$2)"),75.5)</f>
        <v>75.5</v>
      </c>
      <c r="D44" s="4">
        <f>IFERROR(__xludf.DUMMYFUNCTION("GOOGLEFINANCE($A44, D$2)"),0.0)</f>
        <v>0</v>
      </c>
      <c r="E44" s="4" t="str">
        <f>IFERROR(__xludf.DUMMYFUNCTION("GOOGLEFINANCE($A44, E$2)"),"#N/A")</f>
        <v>#N/A</v>
      </c>
      <c r="F44" s="4" t="str">
        <f>IFERROR(__xludf.DUMMYFUNCTION("GOOGLEFINANCE($A44, F$2)"),"#N/A")</f>
        <v>#N/A</v>
      </c>
      <c r="G44" s="4">
        <f>IFERROR(__xludf.DUMMYFUNCTION("GOOGLEFINANCE($A44, G$2)"),75.8)</f>
        <v>75.8</v>
      </c>
      <c r="H44" s="4">
        <f>IFERROR(__xludf.DUMMYFUNCTION("GOOGLEFINANCE($A44, H$2)"),75.3)</f>
        <v>75.3</v>
      </c>
      <c r="I44" s="4" t="str">
        <f>IFERROR(__xludf.DUMMYFUNCTION("REPLACE(JOIN("";"", INDEX(TRANSPOSE(GOOGLEFINANCE($A44, $I$2, TODAY() - 30, TODAY(), 1)), 2)), 1, 6, """")"),"73,3;71,25;69,37;70,75;70,33;72,8;72,55;71,4;72,6;71,45;71,88;72,73;71,96;72,93;74,05;75,15;75,6;75,5")</f>
        <v>73,3;71,25;69,37;70,75;70,33;72,8;72,55;71,4;72,6;71,45;71,88;72,73;71,96;72,93;74,05;75,15;75,6;75,5</v>
      </c>
    </row>
    <row r="45">
      <c r="A45" s="3" t="s">
        <v>101</v>
      </c>
      <c r="B45" s="4" t="s">
        <v>102</v>
      </c>
      <c r="C45" s="4">
        <f>IFERROR(__xludf.DUMMYFUNCTION("GOOGLEFINANCE($A45, C$2)"),22.0)</f>
        <v>22</v>
      </c>
      <c r="D45" s="4">
        <f>IFERROR(__xludf.DUMMYFUNCTION("GOOGLEFINANCE($A45, D$2)"),0.0)</f>
        <v>0</v>
      </c>
      <c r="E45" s="4" t="str">
        <f>IFERROR(__xludf.DUMMYFUNCTION("GOOGLEFINANCE($A45, E$2)"),"#N/A")</f>
        <v>#N/A</v>
      </c>
      <c r="F45" s="4">
        <f>IFERROR(__xludf.DUMMYFUNCTION("GOOGLEFINANCE($A45, F$2)"),-16.23)</f>
        <v>-16.23</v>
      </c>
      <c r="G45" s="4">
        <f>IFERROR(__xludf.DUMMYFUNCTION("GOOGLEFINANCE($A45, G$2)"),22.15)</f>
        <v>22.15</v>
      </c>
      <c r="H45" s="4">
        <f>IFERROR(__xludf.DUMMYFUNCTION("GOOGLEFINANCE($A45, H$2)"),22.0)</f>
        <v>22</v>
      </c>
      <c r="I45" s="4" t="str">
        <f>IFERROR(__xludf.DUMMYFUNCTION("REPLACE(JOIN("";"", INDEX(TRANSPOSE(GOOGLEFINANCE($A45, $I$2, TODAY() - 30, TODAY(), 1)), 2)), 1, 6, """")"),"22;22,39;22;21,93;21,93;22;23;22,82;23;23;23,5;23;22,1;22;23,8;22,99;22,02;22")</f>
        <v>22;22,39;22;21,93;21,93;22;23;22,82;23;23;23,5;23;22,1;22;23,8;22,99;22,02;22</v>
      </c>
    </row>
    <row r="46">
      <c r="A46" s="3" t="s">
        <v>103</v>
      </c>
      <c r="B46" s="4" t="s">
        <v>104</v>
      </c>
      <c r="C46" s="4">
        <f>IFERROR(__xludf.DUMMYFUNCTION("GOOGLEFINANCE($A46, C$2)"),71.2)</f>
        <v>71.2</v>
      </c>
      <c r="D46" s="4">
        <f>IFERROR(__xludf.DUMMYFUNCTION("GOOGLEFINANCE($A46, D$2)"),0.0)</f>
        <v>0</v>
      </c>
      <c r="E46" s="4" t="str">
        <f>IFERROR(__xludf.DUMMYFUNCTION("GOOGLEFINANCE($A46, E$2)"),"#N/A")</f>
        <v>#N/A</v>
      </c>
      <c r="F46" s="4" t="str">
        <f>IFERROR(__xludf.DUMMYFUNCTION("GOOGLEFINANCE($A46, F$2)"),"#N/A")</f>
        <v>#N/A</v>
      </c>
      <c r="G46" s="4">
        <f>IFERROR(__xludf.DUMMYFUNCTION("GOOGLEFINANCE($A46, G$2)"),71.6)</f>
        <v>71.6</v>
      </c>
      <c r="H46" s="4">
        <f>IFERROR(__xludf.DUMMYFUNCTION("GOOGLEFINANCE($A46, H$2)"),69.83)</f>
        <v>69.83</v>
      </c>
      <c r="I46" s="4" t="str">
        <f>IFERROR(__xludf.DUMMYFUNCTION("REPLACE(JOIN("";"", INDEX(TRANSPOSE(GOOGLEFINANCE($A46, $I$2, TODAY() - 30, TODAY(), 1)), 2)), 1, 6, """")"),"68,63;62,07;62,15;65,15;64,45;64,34;65,5;64,65;68;68,15;68,29;68,32;69,07;68,95;69,7;69,85;69,83;71,2")</f>
        <v>68,63;62,07;62,15;65,15;64,45;64,34;65,5;64,65;68;68,15;68,29;68,32;69,07;68,95;69,7;69,85;69,83;71,2</v>
      </c>
    </row>
    <row r="47">
      <c r="A47" s="3" t="s">
        <v>105</v>
      </c>
      <c r="B47" s="4" t="s">
        <v>106</v>
      </c>
      <c r="C47" s="4">
        <f>IFERROR(__xludf.DUMMYFUNCTION("GOOGLEFINANCE($A47, C$2)"),6.89)</f>
        <v>6.89</v>
      </c>
      <c r="D47" s="4">
        <f>IFERROR(__xludf.DUMMYFUNCTION("GOOGLEFINANCE($A47, D$2)"),0.0)</f>
        <v>0</v>
      </c>
      <c r="E47" s="4" t="str">
        <f>IFERROR(__xludf.DUMMYFUNCTION("GOOGLEFINANCE($A47, E$2)"),"#N/A")</f>
        <v>#N/A</v>
      </c>
      <c r="F47" s="4">
        <f>IFERROR(__xludf.DUMMYFUNCTION("GOOGLEFINANCE($A47, F$2)"),-4.61)</f>
        <v>-4.61</v>
      </c>
      <c r="G47" s="4">
        <f>IFERROR(__xludf.DUMMYFUNCTION("GOOGLEFINANCE($A47, G$2)"),7.1)</f>
        <v>7.1</v>
      </c>
      <c r="H47" s="4">
        <f>IFERROR(__xludf.DUMMYFUNCTION("GOOGLEFINANCE($A47, H$2)"),6.8)</f>
        <v>6.8</v>
      </c>
      <c r="I47" s="4" t="str">
        <f>IFERROR(__xludf.DUMMYFUNCTION("REPLACE(JOIN("";"", INDEX(TRANSPOSE(GOOGLEFINANCE($A47, $I$2, TODAY() - 30, TODAY(), 1)), 2)), 1, 6, """")"),"6,97;6,7;6,78;6,78;6,5;6,81;6,66;6,62;7,26;7,01;7,12;7,17;6,98;7,18;7,09;7,22;7,02;6,89")</f>
        <v>6,97;6,7;6,78;6,78;6,5;6,81;6,66;6,62;7,26;7,01;7,12;7,17;6,98;7,18;7,09;7,22;7,02;6,89</v>
      </c>
    </row>
    <row r="48">
      <c r="A48" s="3" t="s">
        <v>107</v>
      </c>
      <c r="B48" s="4" t="s">
        <v>108</v>
      </c>
      <c r="C48" s="4">
        <f>IFERROR(__xludf.DUMMYFUNCTION("GOOGLEFINANCE($A48, C$2)"),4.06)</f>
        <v>4.06</v>
      </c>
      <c r="D48" s="4">
        <f>IFERROR(__xludf.DUMMYFUNCTION("GOOGLEFINANCE($A48, D$2)"),0.0)</f>
        <v>0</v>
      </c>
      <c r="E48" s="4" t="str">
        <f>IFERROR(__xludf.DUMMYFUNCTION("GOOGLEFINANCE($A48, E$2)"),"#N/A")</f>
        <v>#N/A</v>
      </c>
      <c r="F48" s="4">
        <f>IFERROR(__xludf.DUMMYFUNCTION("GOOGLEFINANCE($A48, F$2)"),-4.61)</f>
        <v>-4.61</v>
      </c>
      <c r="G48" s="4">
        <f>IFERROR(__xludf.DUMMYFUNCTION("GOOGLEFINANCE($A48, G$2)"),4.25)</f>
        <v>4.25</v>
      </c>
      <c r="H48" s="4">
        <f>IFERROR(__xludf.DUMMYFUNCTION("GOOGLEFINANCE($A48, H$2)"),3.82)</f>
        <v>3.82</v>
      </c>
      <c r="I48" s="4" t="str">
        <f>IFERROR(__xludf.DUMMYFUNCTION("REPLACE(JOIN("";"", INDEX(TRANSPOSE(GOOGLEFINANCE($A48, $I$2, TODAY() - 30, TODAY(), 1)), 2)), 1, 6, """")"),"4;3,62;3,42;3,41;3,47;3,43;3,44;3,39;3,77;4,05;4,22;4;3,93;4,17;4,01;4,25;4,15;4,06")</f>
        <v>4;3,62;3,42;3,41;3,47;3,43;3,44;3,39;3,77;4,05;4,22;4;3,93;4,17;4,01;4,25;4,15;4,06</v>
      </c>
    </row>
    <row r="49">
      <c r="A49" s="3" t="s">
        <v>109</v>
      </c>
      <c r="B49" s="4" t="s">
        <v>110</v>
      </c>
      <c r="C49" s="4">
        <f>IFERROR(__xludf.DUMMYFUNCTION("GOOGLEFINANCE($A49, C$2)"),327.95)</f>
        <v>327.95</v>
      </c>
      <c r="D49" s="4">
        <f>IFERROR(__xludf.DUMMYFUNCTION("GOOGLEFINANCE($A49, D$2)"),0.0)</f>
        <v>0</v>
      </c>
      <c r="E49" s="4" t="str">
        <f>IFERROR(__xludf.DUMMYFUNCTION("GOOGLEFINANCE($A49, E$2)"),"#N/A")</f>
        <v>#N/A</v>
      </c>
      <c r="F49" s="4" t="str">
        <f>IFERROR(__xludf.DUMMYFUNCTION("GOOGLEFINANCE($A49, F$2)"),"#N/A")</f>
        <v>#N/A</v>
      </c>
      <c r="G49" s="4">
        <f>IFERROR(__xludf.DUMMYFUNCTION("GOOGLEFINANCE($A49, G$2)"),327.95)</f>
        <v>327.95</v>
      </c>
      <c r="H49" s="4">
        <f>IFERROR(__xludf.DUMMYFUNCTION("GOOGLEFINANCE($A49, H$2)"),327.95)</f>
        <v>327.95</v>
      </c>
      <c r="I49" s="4" t="str">
        <f>IFERROR(__xludf.DUMMYFUNCTION("REPLACE(JOIN("";"", INDEX(TRANSPOSE(GOOGLEFINANCE($A49, $I$2, TODAY() - 30, TODAY(), 1)), 2)), 1, 6, """")"),"316,57;310,1;313,1;312,4;317,2;322,9;329;314,67;309,22;324,9;331,8;327,95")</f>
        <v>316,57;310,1;313,1;312,4;317,2;322,9;329;314,67;309,22;324,9;331,8;327,95</v>
      </c>
    </row>
    <row r="50">
      <c r="A50" s="3" t="s">
        <v>111</v>
      </c>
      <c r="B50" s="4" t="s">
        <v>112</v>
      </c>
      <c r="C50" s="4">
        <f>IFERROR(__xludf.DUMMYFUNCTION("GOOGLEFINANCE($A50, C$2)"),43.7)</f>
        <v>43.7</v>
      </c>
      <c r="D50" s="4">
        <f>IFERROR(__xludf.DUMMYFUNCTION("GOOGLEFINANCE($A50, D$2)"),0.0)</f>
        <v>0</v>
      </c>
      <c r="E50" s="4" t="str">
        <f>IFERROR(__xludf.DUMMYFUNCTION("GOOGLEFINANCE($A50, E$2)"),"#N/A")</f>
        <v>#N/A</v>
      </c>
      <c r="F50" s="4">
        <f>IFERROR(__xludf.DUMMYFUNCTION("GOOGLEFINANCE($A50, F$2)"),-33.66)</f>
        <v>-33.66</v>
      </c>
      <c r="G50" s="4">
        <f>IFERROR(__xludf.DUMMYFUNCTION("GOOGLEFINANCE($A50, G$2)"),44.0)</f>
        <v>44</v>
      </c>
      <c r="H50" s="4">
        <f>IFERROR(__xludf.DUMMYFUNCTION("GOOGLEFINANCE($A50, H$2)"),42.13)</f>
        <v>42.13</v>
      </c>
      <c r="I50" s="4" t="str">
        <f>IFERROR(__xludf.DUMMYFUNCTION("REPLACE(JOIN("";"", INDEX(TRANSPOSE(GOOGLEFINANCE($A50, $I$2, TODAY() - 30, TODAY(), 1)), 2)), 1, 6, """")"),"38,91;37,87;39,72;41,44;40,34;41,4;42,14;42,51;43,37;43,55;44,59;44,3;42,75;43,04;42,86;43,33;42,3;43,7")</f>
        <v>38,91;37,87;39,72;41,44;40,34;41,4;42,14;42,51;43,37;43,55;44,59;44,3;42,75;43,04;42,86;43,33;42,3;43,7</v>
      </c>
    </row>
    <row r="51">
      <c r="A51" s="3" t="s">
        <v>113</v>
      </c>
      <c r="B51" s="4" t="s">
        <v>114</v>
      </c>
      <c r="C51" s="4">
        <f>IFERROR(__xludf.DUMMYFUNCTION("GOOGLEFINANCE($A51, C$2)"),58.05)</f>
        <v>58.05</v>
      </c>
      <c r="D51" s="4">
        <f>IFERROR(__xludf.DUMMYFUNCTION("GOOGLEFINANCE($A51, D$2)"),0.0)</f>
        <v>0</v>
      </c>
      <c r="E51" s="4">
        <f>IFERROR(__xludf.DUMMYFUNCTION("GOOGLEFINANCE($A51, E$2)"),31.41)</f>
        <v>31.41</v>
      </c>
      <c r="F51" s="4">
        <f>IFERROR(__xludf.DUMMYFUNCTION("GOOGLEFINANCE($A51, F$2)"),1.85)</f>
        <v>1.85</v>
      </c>
      <c r="G51" s="4">
        <f>IFERROR(__xludf.DUMMYFUNCTION("GOOGLEFINANCE($A51, G$2)"),59.09)</f>
        <v>59.09</v>
      </c>
      <c r="H51" s="4">
        <f>IFERROR(__xludf.DUMMYFUNCTION("GOOGLEFINANCE($A51, H$2)"),57.62)</f>
        <v>57.62</v>
      </c>
      <c r="I51" s="4" t="str">
        <f>IFERROR(__xludf.DUMMYFUNCTION("REPLACE(JOIN("";"", INDEX(TRANSPOSE(GOOGLEFINANCE($A51, $I$2, TODAY() - 30, TODAY(), 1)), 2)), 1, 6, """")"),"58,55;59,3;59,01;61,29;59,8;61,25;62,69;62,96;62,44;63,45;62,51;62,22;60,05;60,32;59,86;59,01;58,02;58,05")</f>
        <v>58,55;59,3;59,01;61,29;59,8;61,25;62,69;62,96;62,44;63,45;62,51;62,22;60,05;60,32;59,86;59,01;58,02;58,05</v>
      </c>
    </row>
    <row r="52">
      <c r="A52" s="3" t="s">
        <v>115</v>
      </c>
      <c r="B52" s="4" t="s">
        <v>116</v>
      </c>
      <c r="C52" s="4">
        <f>IFERROR(__xludf.DUMMYFUNCTION("GOOGLEFINANCE($A52, C$2)"),50.6)</f>
        <v>50.6</v>
      </c>
      <c r="D52" s="4">
        <f>IFERROR(__xludf.DUMMYFUNCTION("GOOGLEFINANCE($A52, D$2)"),0.0)</f>
        <v>0</v>
      </c>
      <c r="E52" s="4" t="str">
        <f>IFERROR(__xludf.DUMMYFUNCTION("GOOGLEFINANCE($A52, E$2)"),"#N/A")</f>
        <v>#N/A</v>
      </c>
      <c r="F52" s="4" t="str">
        <f>IFERROR(__xludf.DUMMYFUNCTION("GOOGLEFINANCE($A52, F$2)"),"#N/A")</f>
        <v>#N/A</v>
      </c>
      <c r="G52" s="4">
        <f>IFERROR(__xludf.DUMMYFUNCTION("GOOGLEFINANCE($A52, G$2)"),51.8)</f>
        <v>51.8</v>
      </c>
      <c r="H52" s="4">
        <f>IFERROR(__xludf.DUMMYFUNCTION("GOOGLEFINANCE($A52, H$2)"),50.6)</f>
        <v>50.6</v>
      </c>
      <c r="I52" s="4" t="str">
        <f>IFERROR(__xludf.DUMMYFUNCTION("REPLACE(JOIN("";"", INDEX(TRANSPOSE(GOOGLEFINANCE($A52, $I$2, TODAY() - 30, TODAY(), 1)), 2)), 1, 6, """")"),"50,69;50,92;50,36;50,75;49,85;51,5;49;50,36;52,12;51,25;50,2;51,35;51,5;51,8;51,4;51,8;51,7;50,6")</f>
        <v>50,69;50,92;50,36;50,75;49,85;51,5;49;50,36;52,12;51,25;50,2;51,35;51,5;51,8;51,4;51,8;51,7;50,6</v>
      </c>
    </row>
    <row r="53">
      <c r="A53" s="3" t="s">
        <v>117</v>
      </c>
      <c r="B53" s="4" t="s">
        <v>118</v>
      </c>
      <c r="C53" s="4">
        <f>IFERROR(__xludf.DUMMYFUNCTION("GOOGLEFINANCE($A53, C$2)"),77.0)</f>
        <v>77</v>
      </c>
      <c r="D53" s="4">
        <f>IFERROR(__xludf.DUMMYFUNCTION("GOOGLEFINANCE($A53, D$2)"),0.0)</f>
        <v>0</v>
      </c>
      <c r="E53" s="4" t="str">
        <f>IFERROR(__xludf.DUMMYFUNCTION("GOOGLEFINANCE($A53, E$2)"),"#N/A")</f>
        <v>#N/A</v>
      </c>
      <c r="F53" s="4">
        <f>IFERROR(__xludf.DUMMYFUNCTION("GOOGLEFINANCE($A53, F$2)"),-15.86)</f>
        <v>-15.86</v>
      </c>
      <c r="G53" s="4">
        <f>IFERROR(__xludf.DUMMYFUNCTION("GOOGLEFINANCE($A53, G$2)"),77.0)</f>
        <v>77</v>
      </c>
      <c r="H53" s="4">
        <f>IFERROR(__xludf.DUMMYFUNCTION("GOOGLEFINANCE($A53, H$2)"),75.5)</f>
        <v>75.5</v>
      </c>
      <c r="I53" s="4" t="str">
        <f>IFERROR(__xludf.DUMMYFUNCTION("REPLACE(JOIN("";"", INDEX(TRANSPOSE(GOOGLEFINANCE($A53, $I$2, TODAY() - 30, TODAY(), 1)), 2)), 1, 6, """")"),"86,5;84,06;83,5;83,49;83;82,95;82,95;82,9;83,5;82,4;82,4;81;78,13;78,14;77,9;76,5;77")</f>
        <v>86,5;84,06;83,5;83,49;83;82,95;82,95;82,9;83,5;82,4;82,4;81;78,13;78,14;77,9;76,5;77</v>
      </c>
    </row>
    <row r="54">
      <c r="A54" s="3" t="s">
        <v>119</v>
      </c>
      <c r="B54" s="4" t="s">
        <v>120</v>
      </c>
      <c r="C54" s="4">
        <f>IFERROR(__xludf.DUMMYFUNCTION("GOOGLEFINANCE($A54, C$2)"),18.1)</f>
        <v>18.1</v>
      </c>
      <c r="D54" s="4">
        <f>IFERROR(__xludf.DUMMYFUNCTION("GOOGLEFINANCE($A54, D$2)"),0.0)</f>
        <v>0</v>
      </c>
      <c r="E54" s="4">
        <f>IFERROR(__xludf.DUMMYFUNCTION("GOOGLEFINANCE($A54, E$2)"),12.14)</f>
        <v>12.14</v>
      </c>
      <c r="F54" s="4">
        <f>IFERROR(__xludf.DUMMYFUNCTION("GOOGLEFINANCE($A54, F$2)"),1.49)</f>
        <v>1.49</v>
      </c>
      <c r="G54" s="4" t="str">
        <f>IFERROR(__xludf.DUMMYFUNCTION("GOOGLEFINANCE($A54, G$2)"),"#N/A")</f>
        <v>#N/A</v>
      </c>
      <c r="H54" s="4" t="str">
        <f>IFERROR(__xludf.DUMMYFUNCTION("GOOGLEFINANCE($A54, H$2)"),"#N/A")</f>
        <v>#N/A</v>
      </c>
      <c r="I54" s="4" t="str">
        <f>IFERROR(__xludf.DUMMYFUNCTION("REPLACE(JOIN("";"", INDEX(TRANSPOSE(GOOGLEFINANCE($A54, $I$2, TODAY() - 30, TODAY(), 1)), 2)), 1, 6, """")"),"20,6;19,52;19,52;19,16;19;19;19;19;19,24;19;19;18,8;18,4;18,1")</f>
        <v>20,6;19,52;19,52;19,16;19;19;19;19;19,24;19;19;18,8;18,4;18,1</v>
      </c>
    </row>
    <row r="55">
      <c r="A55" s="3" t="s">
        <v>121</v>
      </c>
      <c r="B55" s="4" t="s">
        <v>122</v>
      </c>
      <c r="C55" s="4">
        <f>IFERROR(__xludf.DUMMYFUNCTION("GOOGLEFINANCE($A55, C$2)"),13.21)</f>
        <v>13.21</v>
      </c>
      <c r="D55" s="4">
        <f>IFERROR(__xludf.DUMMYFUNCTION("GOOGLEFINANCE($A55, D$2)"),0.0)</f>
        <v>0</v>
      </c>
      <c r="E55" s="4">
        <f>IFERROR(__xludf.DUMMYFUNCTION("GOOGLEFINANCE($A55, E$2)"),8.86)</f>
        <v>8.86</v>
      </c>
      <c r="F55" s="4">
        <f>IFERROR(__xludf.DUMMYFUNCTION("GOOGLEFINANCE($A55, F$2)"),1.49)</f>
        <v>1.49</v>
      </c>
      <c r="G55" s="4">
        <f>IFERROR(__xludf.DUMMYFUNCTION("GOOGLEFINANCE($A55, G$2)"),13.5)</f>
        <v>13.5</v>
      </c>
      <c r="H55" s="4">
        <f>IFERROR(__xludf.DUMMYFUNCTION("GOOGLEFINANCE($A55, H$2)"),13.21)</f>
        <v>13.21</v>
      </c>
      <c r="I55" s="4" t="str">
        <f>IFERROR(__xludf.DUMMYFUNCTION("REPLACE(JOIN("";"", INDEX(TRANSPOSE(GOOGLEFINANCE($A55, $I$2, TODAY() - 30, TODAY(), 1)), 2)), 1, 6, """")"),"15,8;15,5;15,5;15,22;14,98;14,52;14,7;15,5;14,9;14,6;13,63;13,49;13,2;12,95;13,2;13,21")</f>
        <v>15,8;15,5;15,5;15,22;14,98;14,52;14,7;15,5;14,9;14,6;13,63;13,49;13,2;12,95;13,2;13,21</v>
      </c>
    </row>
    <row r="56">
      <c r="A56" s="3" t="s">
        <v>123</v>
      </c>
      <c r="B56" s="4" t="s">
        <v>124</v>
      </c>
      <c r="C56" s="4">
        <f>IFERROR(__xludf.DUMMYFUNCTION("GOOGLEFINANCE($A56, C$2)"),96.5)</f>
        <v>96.5</v>
      </c>
      <c r="D56" s="4">
        <f>IFERROR(__xludf.DUMMYFUNCTION("GOOGLEFINANCE($A56, D$2)"),0.0)</f>
        <v>0</v>
      </c>
      <c r="E56" s="4">
        <f>IFERROR(__xludf.DUMMYFUNCTION("GOOGLEFINANCE($A56, E$2)"),35.98)</f>
        <v>35.98</v>
      </c>
      <c r="F56" s="4">
        <f>IFERROR(__xludf.DUMMYFUNCTION("GOOGLEFINANCE($A56, F$2)"),2.68)</f>
        <v>2.68</v>
      </c>
      <c r="G56" s="4">
        <f>IFERROR(__xludf.DUMMYFUNCTION("GOOGLEFINANCE($A56, G$2)"),96.5)</f>
        <v>96.5</v>
      </c>
      <c r="H56" s="4">
        <f>IFERROR(__xludf.DUMMYFUNCTION("GOOGLEFINANCE($A56, H$2)"),96.5)</f>
        <v>96.5</v>
      </c>
      <c r="I56" s="4" t="str">
        <f>IFERROR(__xludf.DUMMYFUNCTION("REPLACE(JOIN("";"", INDEX(TRANSPOSE(GOOGLEFINANCE($A56, $I$2, TODAY() - 30, TODAY(), 1)), 2)), 1, 6, """")"),"95,89;95,89;95,5;95,59;95,59;95,59;97,9;96,5;96,5;96,5")</f>
        <v>95,89;95,89;95,5;95,59;95,59;95,59;97,9;96,5;96,5;96,5</v>
      </c>
    </row>
    <row r="57">
      <c r="A57" s="3" t="s">
        <v>125</v>
      </c>
      <c r="B57" s="4" t="s">
        <v>126</v>
      </c>
      <c r="C57" s="4">
        <f>IFERROR(__xludf.DUMMYFUNCTION("GOOGLEFINANCE($A57, C$2)"),40.0)</f>
        <v>40</v>
      </c>
      <c r="D57" s="4">
        <f>IFERROR(__xludf.DUMMYFUNCTION("GOOGLEFINANCE($A57, D$2)"),0.0)</f>
        <v>0</v>
      </c>
      <c r="E57" s="4">
        <f>IFERROR(__xludf.DUMMYFUNCTION("GOOGLEFINANCE($A57, E$2)"),3.5)</f>
        <v>3.5</v>
      </c>
      <c r="F57" s="4">
        <f>IFERROR(__xludf.DUMMYFUNCTION("GOOGLEFINANCE($A57, F$2)"),11.42)</f>
        <v>11.42</v>
      </c>
      <c r="G57" s="4">
        <f>IFERROR(__xludf.DUMMYFUNCTION("GOOGLEFINANCE($A57, G$2)"),40.0)</f>
        <v>40</v>
      </c>
      <c r="H57" s="4">
        <f>IFERROR(__xludf.DUMMYFUNCTION("GOOGLEFINANCE($A57, H$2)"),39.23)</f>
        <v>39.23</v>
      </c>
      <c r="I57" s="4" t="str">
        <f>IFERROR(__xludf.DUMMYFUNCTION("REPLACE(JOIN("";"", INDEX(TRANSPOSE(GOOGLEFINANCE($A57, $I$2, TODAY() - 30, TODAY(), 1)), 2)), 1, 6, """")"),"39,6;39,47;39,99;40,01;39,89;39,62;40,99;40,15;39,73;40,21;39,6;39,85;39,73;39,9;40;40;40;40")</f>
        <v>39,6;39,47;39,99;40,01;39,89;39,62;40,99;40,15;39,73;40,21;39,6;39,85;39,73;39,9;40;40;40;40</v>
      </c>
    </row>
    <row r="58">
      <c r="A58" s="3" t="s">
        <v>127</v>
      </c>
      <c r="B58" s="4" t="s">
        <v>128</v>
      </c>
      <c r="C58" s="4">
        <f>IFERROR(__xludf.DUMMYFUNCTION("GOOGLEFINANCE($A58, C$2)"),32.63)</f>
        <v>32.63</v>
      </c>
      <c r="D58" s="4">
        <f>IFERROR(__xludf.DUMMYFUNCTION("GOOGLEFINANCE($A58, D$2)"),0.0)</f>
        <v>0</v>
      </c>
      <c r="E58" s="4">
        <f>IFERROR(__xludf.DUMMYFUNCTION("GOOGLEFINANCE($A58, E$2)"),7.33)</f>
        <v>7.33</v>
      </c>
      <c r="F58" s="4">
        <f>IFERROR(__xludf.DUMMYFUNCTION("GOOGLEFINANCE($A58, F$2)"),4.45)</f>
        <v>4.45</v>
      </c>
      <c r="G58" s="4">
        <f>IFERROR(__xludf.DUMMYFUNCTION("GOOGLEFINANCE($A58, G$2)"),33.41)</f>
        <v>33.41</v>
      </c>
      <c r="H58" s="4">
        <f>IFERROR(__xludf.DUMMYFUNCTION("GOOGLEFINANCE($A58, H$2)"),32.53)</f>
        <v>32.53</v>
      </c>
      <c r="I58" s="4" t="str">
        <f>IFERROR(__xludf.DUMMYFUNCTION("REPLACE(JOIN("";"", INDEX(TRANSPOSE(GOOGLEFINANCE($A58, $I$2, TODAY() - 30, TODAY(), 1)), 2)), 1, 6, """")"),"33,69;32,79;33,52;34,54;33,86;34,29;34,06;34,33;34,19;33,96;33,87;34,28;33,81;33,94;33,75;33,36;33,26;32,63")</f>
        <v>33,69;32,79;33,52;34,54;33,86;34,29;34,06;34,33;34,19;33,96;33,87;34,28;33,81;33,94;33,75;33,36;33,26;32,63</v>
      </c>
    </row>
    <row r="59">
      <c r="A59" s="3" t="s">
        <v>129</v>
      </c>
      <c r="B59" s="4" t="s">
        <v>130</v>
      </c>
      <c r="C59" s="4">
        <f>IFERROR(__xludf.DUMMYFUNCTION("GOOGLEFINANCE($A59, C$2)"),21.77)</f>
        <v>21.77</v>
      </c>
      <c r="D59" s="4">
        <f>IFERROR(__xludf.DUMMYFUNCTION("GOOGLEFINANCE($A59, D$2)"),0.0)</f>
        <v>0</v>
      </c>
      <c r="E59" s="4">
        <f>IFERROR(__xludf.DUMMYFUNCTION("GOOGLEFINANCE($A59, E$2)"),12.05)</f>
        <v>12.05</v>
      </c>
      <c r="F59" s="4">
        <f>IFERROR(__xludf.DUMMYFUNCTION("GOOGLEFINANCE($A59, F$2)"),1.81)</f>
        <v>1.81</v>
      </c>
      <c r="G59" s="4">
        <f>IFERROR(__xludf.DUMMYFUNCTION("GOOGLEFINANCE($A59, G$2)"),22.25)</f>
        <v>22.25</v>
      </c>
      <c r="H59" s="4">
        <f>IFERROR(__xludf.DUMMYFUNCTION("GOOGLEFINANCE($A59, H$2)"),21.71)</f>
        <v>21.71</v>
      </c>
      <c r="I59" s="4" t="str">
        <f>IFERROR(__xludf.DUMMYFUNCTION("REPLACE(JOIN("";"", INDEX(TRANSPOSE(GOOGLEFINANCE($A59, $I$2, TODAY() - 30, TODAY(), 1)), 2)), 1, 6, """")"),"21,92;21,45;21,62;22,3;21,64;22,1;22,04;22,18;22,86;22,71;22,3;22,51;22,29;22,35;22,4;22,17;21,85;21,77")</f>
        <v>21,92;21,45;21,62;22,3;21,64;22,1;22,04;22,18;22,86;22,71;22,3;22,51;22,29;22,35;22,4;22,17;21,85;21,77</v>
      </c>
    </row>
    <row r="60">
      <c r="A60" s="3" t="s">
        <v>131</v>
      </c>
      <c r="B60" s="4" t="s">
        <v>132</v>
      </c>
      <c r="C60" s="4">
        <f>IFERROR(__xludf.DUMMYFUNCTION("GOOGLEFINANCE($A60, C$2)"),24.7)</f>
        <v>24.7</v>
      </c>
      <c r="D60" s="4">
        <f>IFERROR(__xludf.DUMMYFUNCTION("GOOGLEFINANCE($A60, D$2)"),0.0)</f>
        <v>0</v>
      </c>
      <c r="E60" s="4">
        <f>IFERROR(__xludf.DUMMYFUNCTION("GOOGLEFINANCE($A60, E$2)"),13.67)</f>
        <v>13.67</v>
      </c>
      <c r="F60" s="4">
        <f>IFERROR(__xludf.DUMMYFUNCTION("GOOGLEFINANCE($A60, F$2)"),1.81)</f>
        <v>1.81</v>
      </c>
      <c r="G60" s="4">
        <f>IFERROR(__xludf.DUMMYFUNCTION("GOOGLEFINANCE($A60, G$2)"),25.27)</f>
        <v>25.27</v>
      </c>
      <c r="H60" s="4">
        <f>IFERROR(__xludf.DUMMYFUNCTION("GOOGLEFINANCE($A60, H$2)"),24.61)</f>
        <v>24.61</v>
      </c>
      <c r="I60" s="4" t="str">
        <f>IFERROR(__xludf.DUMMYFUNCTION("REPLACE(JOIN("";"", INDEX(TRANSPOSE(GOOGLEFINANCE($A60, $I$2, TODAY() - 30, TODAY(), 1)), 2)), 1, 6, """")"),"25,01;24,41;24,76;25,53;24,74;25,25;25,13;25,25;26,01;25,87;25,32;25,45;25,17;25,2;25,2;25,18;24,91;24,7")</f>
        <v>25,01;24,41;24,76;25,53;24,74;25,25;25,13;25,25;26,01;25,87;25,32;25,45;25,17;25,2;25,2;25,18;24,91;24,7</v>
      </c>
    </row>
    <row r="61">
      <c r="A61" s="3" t="s">
        <v>133</v>
      </c>
      <c r="B61" s="4" t="s">
        <v>134</v>
      </c>
      <c r="C61" s="4">
        <f>IFERROR(__xludf.DUMMYFUNCTION("GOOGLEFINANCE($A61, C$2)"),2.05)</f>
        <v>2.05</v>
      </c>
      <c r="D61" s="4">
        <f>IFERROR(__xludf.DUMMYFUNCTION("GOOGLEFINANCE($A61, D$2)"),0.0)</f>
        <v>0</v>
      </c>
      <c r="E61" s="4" t="str">
        <f>IFERROR(__xludf.DUMMYFUNCTION("GOOGLEFINANCE($A61, E$2)"),"#N/A")</f>
        <v>#N/A</v>
      </c>
      <c r="F61" s="4">
        <f>IFERROR(__xludf.DUMMYFUNCTION("GOOGLEFINANCE($A61, F$2)"),-4.0)</f>
        <v>-4</v>
      </c>
      <c r="G61" s="4">
        <f>IFERROR(__xludf.DUMMYFUNCTION("GOOGLEFINANCE($A61, G$2)"),2.08)</f>
        <v>2.08</v>
      </c>
      <c r="H61" s="4">
        <f>IFERROR(__xludf.DUMMYFUNCTION("GOOGLEFINANCE($A61, H$2)"),2.03)</f>
        <v>2.03</v>
      </c>
      <c r="I61" s="4" t="str">
        <f>IFERROR(__xludf.DUMMYFUNCTION("REPLACE(JOIN("";"", INDEX(TRANSPOSE(GOOGLEFINANCE($A61, $I$2, TODAY() - 30, TODAY(), 1)), 2)), 1, 6, """")"),"2,18;2,11;2,04;2,07;2,05;2,09;2,22;2,38;2,38;2,28;2,23;2,14;2,07;2,08;2,14;2,12;2,06;2,05")</f>
        <v>2,18;2,11;2,04;2,07;2,05;2,09;2,22;2,38;2,38;2,28;2,23;2,14;2,07;2,08;2,14;2,12;2,06;2,05</v>
      </c>
    </row>
    <row r="62">
      <c r="A62" s="3" t="s">
        <v>135</v>
      </c>
      <c r="B62" s="4" t="s">
        <v>136</v>
      </c>
      <c r="C62" s="4">
        <f>IFERROR(__xludf.DUMMYFUNCTION("GOOGLEFINANCE($A62, C$2)"),27.67)</f>
        <v>27.67</v>
      </c>
      <c r="D62" s="4">
        <f>IFERROR(__xludf.DUMMYFUNCTION("GOOGLEFINANCE($A62, D$2)"),0.0)</f>
        <v>0</v>
      </c>
      <c r="E62" s="4">
        <f>IFERROR(__xludf.DUMMYFUNCTION("GOOGLEFINANCE($A62, E$2)"),14.35)</f>
        <v>14.35</v>
      </c>
      <c r="F62" s="4">
        <f>IFERROR(__xludf.DUMMYFUNCTION("GOOGLEFINANCE($A62, F$2)"),1.93)</f>
        <v>1.93</v>
      </c>
      <c r="G62" s="4">
        <f>IFERROR(__xludf.DUMMYFUNCTION("GOOGLEFINANCE($A62, G$2)"),27.88)</f>
        <v>27.88</v>
      </c>
      <c r="H62" s="4">
        <f>IFERROR(__xludf.DUMMYFUNCTION("GOOGLEFINANCE($A62, H$2)"),27.52)</f>
        <v>27.52</v>
      </c>
      <c r="I62" s="4" t="str">
        <f>IFERROR(__xludf.DUMMYFUNCTION("REPLACE(JOIN("";"", INDEX(TRANSPOSE(GOOGLEFINANCE($A62, $I$2, TODAY() - 30, TODAY(), 1)), 2)), 1, 6, """")"),"28,42;28,45;27,99;28,23;27,66;28,05;28,29;28,35;28,28;28,52;28,09;28,58;28,72;28,64;28,01;27,94;27,66;27,67")</f>
        <v>28,42;28,45;27,99;28,23;27,66;28,05;28,29;28,35;28,28;28,52;28,09;28,58;28,72;28,64;28,01;27,94;27,66;27,67</v>
      </c>
    </row>
    <row r="63">
      <c r="A63" s="3" t="s">
        <v>137</v>
      </c>
      <c r="B63" s="4" t="s">
        <v>138</v>
      </c>
      <c r="C63" s="4">
        <f>IFERROR(__xludf.DUMMYFUNCTION("GOOGLEFINANCE($A63, C$2)"),639.54)</f>
        <v>639.54</v>
      </c>
      <c r="D63" s="4">
        <f>IFERROR(__xludf.DUMMYFUNCTION("GOOGLEFINANCE($A63, D$2)"),0.0)</f>
        <v>0</v>
      </c>
      <c r="E63" s="4" t="str">
        <f>IFERROR(__xludf.DUMMYFUNCTION("GOOGLEFINANCE($A63, E$2)"),"#N/A")</f>
        <v>#N/A</v>
      </c>
      <c r="F63" s="4" t="str">
        <f>IFERROR(__xludf.DUMMYFUNCTION("GOOGLEFINANCE($A63, F$2)"),"#N/A")</f>
        <v>#N/A</v>
      </c>
      <c r="G63" s="4">
        <f>IFERROR(__xludf.DUMMYFUNCTION("GOOGLEFINANCE($A63, G$2)"),639.54)</f>
        <v>639.54</v>
      </c>
      <c r="H63" s="4">
        <f>IFERROR(__xludf.DUMMYFUNCTION("GOOGLEFINANCE($A63, H$2)"),639.0)</f>
        <v>639</v>
      </c>
      <c r="I63" s="4" t="str">
        <f>IFERROR(__xludf.DUMMYFUNCTION("REPLACE(JOIN("";"", INDEX(TRANSPOSE(GOOGLEFINANCE($A63, $I$2, TODAY() - 30, TODAY(), 1)), 2)), 1, 6, """")"),"626,3;612,7;612,7;589,8;589,8;589;595,53;623;638;640,5;648,5;639,54")</f>
        <v>626,3;612,7;612,7;589,8;589,8;589;595,53;623;638;640,5;648,5;639,54</v>
      </c>
    </row>
    <row r="64">
      <c r="A64" s="3" t="s">
        <v>139</v>
      </c>
      <c r="B64" s="4" t="s">
        <v>140</v>
      </c>
      <c r="C64" s="4">
        <f>IFERROR(__xludf.DUMMYFUNCTION("GOOGLEFINANCE($A64, C$2)"),12.04)</f>
        <v>12.04</v>
      </c>
      <c r="D64" s="4">
        <f>IFERROR(__xludf.DUMMYFUNCTION("GOOGLEFINANCE($A64, D$2)"),0.0)</f>
        <v>0</v>
      </c>
      <c r="E64" s="4" t="str">
        <f>IFERROR(__xludf.DUMMYFUNCTION("GOOGLEFINANCE($A64, E$2)"),"#N/A")</f>
        <v>#N/A</v>
      </c>
      <c r="F64" s="4">
        <f>IFERROR(__xludf.DUMMYFUNCTION("GOOGLEFINANCE($A64, F$2)"),-103.34)</f>
        <v>-103.34</v>
      </c>
      <c r="G64" s="4">
        <f>IFERROR(__xludf.DUMMYFUNCTION("GOOGLEFINANCE($A64, G$2)"),12.24)</f>
        <v>12.24</v>
      </c>
      <c r="H64" s="4">
        <f>IFERROR(__xludf.DUMMYFUNCTION("GOOGLEFINANCE($A64, H$2)"),10.75)</f>
        <v>10.75</v>
      </c>
      <c r="I64" s="4" t="str">
        <f>IFERROR(__xludf.DUMMYFUNCTION("REPLACE(JOIN("";"", INDEX(TRANSPOSE(GOOGLEFINANCE($A64, $I$2, TODAY() - 30, TODAY(), 1)), 2)), 1, 6, """")"),"10,25;10,22;10,64;10,55;10,2;10,35;10,3;10,87;10,8;10,8;10,66;10,55;10,27;10,7;11,25;10,73;11,21;12,04")</f>
        <v>10,25;10,22;10,64;10,55;10,2;10,35;10,3;10,87;10,8;10,8;10,66;10,55;10,27;10,7;11,25;10,73;11,21;12,04</v>
      </c>
    </row>
    <row r="65">
      <c r="A65" s="3" t="s">
        <v>141</v>
      </c>
      <c r="B65" s="4" t="s">
        <v>142</v>
      </c>
      <c r="C65" s="4">
        <f>IFERROR(__xludf.DUMMYFUNCTION("GOOGLEFINANCE($A65, C$2)"),9.41)</f>
        <v>9.41</v>
      </c>
      <c r="D65" s="4">
        <f>IFERROR(__xludf.DUMMYFUNCTION("GOOGLEFINANCE($A65, D$2)"),0.0)</f>
        <v>0</v>
      </c>
      <c r="E65" s="4">
        <f>IFERROR(__xludf.DUMMYFUNCTION("GOOGLEFINANCE($A65, E$2)"),5.43)</f>
        <v>5.43</v>
      </c>
      <c r="F65" s="4">
        <f>IFERROR(__xludf.DUMMYFUNCTION("GOOGLEFINANCE($A65, F$2)"),1.73)</f>
        <v>1.73</v>
      </c>
      <c r="G65" s="4">
        <f>IFERROR(__xludf.DUMMYFUNCTION("GOOGLEFINANCE($A65, G$2)"),9.7)</f>
        <v>9.7</v>
      </c>
      <c r="H65" s="4">
        <f>IFERROR(__xludf.DUMMYFUNCTION("GOOGLEFINANCE($A65, H$2)"),9.32)</f>
        <v>9.32</v>
      </c>
      <c r="I65" s="4" t="str">
        <f>IFERROR(__xludf.DUMMYFUNCTION("REPLACE(JOIN("";"", INDEX(TRANSPOSE(GOOGLEFINANCE($A65, $I$2, TODAY() - 30, TODAY(), 1)), 2)), 1, 6, """")"),"9,18;9,06;9,26;9,5;9,28;9,26;9,31;9,5;9,37;9,35;9,42;9,53;9,3;9,51;9,58;10,07;9,63;9,41")</f>
        <v>9,18;9,06;9,26;9,5;9,28;9,26;9,31;9,5;9,37;9,35;9,42;9,53;9,3;9,51;9,58;10,07;9,63;9,41</v>
      </c>
    </row>
    <row r="66">
      <c r="A66" s="3" t="s">
        <v>143</v>
      </c>
      <c r="B66" s="4" t="s">
        <v>144</v>
      </c>
      <c r="C66" s="4">
        <f>IFERROR(__xludf.DUMMYFUNCTION("GOOGLEFINANCE($A66, C$2)"),5.07)</f>
        <v>5.07</v>
      </c>
      <c r="D66" s="4">
        <f>IFERROR(__xludf.DUMMYFUNCTION("GOOGLEFINANCE($A66, D$2)"),0.0)</f>
        <v>0</v>
      </c>
      <c r="E66" s="4">
        <f>IFERROR(__xludf.DUMMYFUNCTION("GOOGLEFINANCE($A66, E$2)"),7.41)</f>
        <v>7.41</v>
      </c>
      <c r="F66" s="4">
        <f>IFERROR(__xludf.DUMMYFUNCTION("GOOGLEFINANCE($A66, F$2)"),0.68)</f>
        <v>0.68</v>
      </c>
      <c r="G66" s="4">
        <f>IFERROR(__xludf.DUMMYFUNCTION("GOOGLEFINANCE($A66, G$2)"),5.09)</f>
        <v>5.09</v>
      </c>
      <c r="H66" s="4">
        <f>IFERROR(__xludf.DUMMYFUNCTION("GOOGLEFINANCE($A66, H$2)"),5.0)</f>
        <v>5</v>
      </c>
      <c r="I66" s="4" t="str">
        <f>IFERROR(__xludf.DUMMYFUNCTION("REPLACE(JOIN("";"", INDEX(TRANSPOSE(GOOGLEFINANCE($A66, $I$2, TODAY() - 30, TODAY(), 1)), 2)), 1, 6, """")"),"5,12;5,14;5,16;5,2;5,15;5,14;5,23;5,24;5,2;5,22;5,22;5,15;5,08;5,1;5,08;5,09;5,08;5,07")</f>
        <v>5,12;5,14;5,16;5,2;5,15;5,14;5,23;5,24;5,2;5,22;5,22;5,15;5,08;5,1;5,08;5,09;5,08;5,07</v>
      </c>
    </row>
    <row r="67">
      <c r="A67" s="3" t="s">
        <v>145</v>
      </c>
      <c r="B67" s="4" t="s">
        <v>146</v>
      </c>
      <c r="C67" s="4">
        <f>IFERROR(__xludf.DUMMYFUNCTION("GOOGLEFINANCE($A67, C$2)"),5.88)</f>
        <v>5.88</v>
      </c>
      <c r="D67" s="4">
        <f>IFERROR(__xludf.DUMMYFUNCTION("GOOGLEFINANCE($A67, D$2)"),0.0)</f>
        <v>0</v>
      </c>
      <c r="E67" s="4">
        <f>IFERROR(__xludf.DUMMYFUNCTION("GOOGLEFINANCE($A67, E$2)"),8.6)</f>
        <v>8.6</v>
      </c>
      <c r="F67" s="4">
        <f>IFERROR(__xludf.DUMMYFUNCTION("GOOGLEFINANCE($A67, F$2)"),0.68)</f>
        <v>0.68</v>
      </c>
      <c r="G67" s="4">
        <f>IFERROR(__xludf.DUMMYFUNCTION("GOOGLEFINANCE($A67, G$2)"),5.9)</f>
        <v>5.9</v>
      </c>
      <c r="H67" s="4">
        <f>IFERROR(__xludf.DUMMYFUNCTION("GOOGLEFINANCE($A67, H$2)"),5.81)</f>
        <v>5.81</v>
      </c>
      <c r="I67" s="4" t="str">
        <f>IFERROR(__xludf.DUMMYFUNCTION("REPLACE(JOIN("";"", INDEX(TRANSPOSE(GOOGLEFINANCE($A67, $I$2, TODAY() - 30, TODAY(), 1)), 2)), 1, 6, """")"),"5,96;5,98;6,04;6,04;6,06;6,06;6;5,97;5,96;5,99;5,99;6,03;5,96;5,9;5,93;5,95;5,9;5,88")</f>
        <v>5,96;5,98;6,04;6,04;6,06;6,06;6;5,97;5,96;5,99;5,99;6,03;5,96;5,9;5,93;5,95;5,9;5,88</v>
      </c>
    </row>
    <row r="68">
      <c r="A68" s="3" t="s">
        <v>147</v>
      </c>
      <c r="B68" s="4" t="s">
        <v>148</v>
      </c>
      <c r="C68" s="4">
        <f>IFERROR(__xludf.DUMMYFUNCTION("GOOGLEFINANCE($A68, C$2)"),66.0)</f>
        <v>66</v>
      </c>
      <c r="D68" s="4">
        <f>IFERROR(__xludf.DUMMYFUNCTION("GOOGLEFINANCE($A68, D$2)"),0.0)</f>
        <v>0</v>
      </c>
      <c r="E68" s="4" t="str">
        <f>IFERROR(__xludf.DUMMYFUNCTION("GOOGLEFINANCE($A68, E$2)"),"#N/A")</f>
        <v>#N/A</v>
      </c>
      <c r="F68" s="4" t="str">
        <f>IFERROR(__xludf.DUMMYFUNCTION("GOOGLEFINANCE($A68, F$2)"),"#N/A")</f>
        <v>#N/A</v>
      </c>
      <c r="G68" s="4">
        <f>IFERROR(__xludf.DUMMYFUNCTION("GOOGLEFINANCE($A68, G$2)"),66.5)</f>
        <v>66.5</v>
      </c>
      <c r="H68" s="4">
        <f>IFERROR(__xludf.DUMMYFUNCTION("GOOGLEFINANCE($A68, H$2)"),65.17)</f>
        <v>65.17</v>
      </c>
      <c r="I68" s="4" t="str">
        <f>IFERROR(__xludf.DUMMYFUNCTION("REPLACE(JOIN("";"", INDEX(TRANSPOSE(GOOGLEFINANCE($A68, $I$2, TODAY() - 30, TODAY(), 1)), 2)), 1, 6, """")"),"64,05;60;61,59;62,81;62,62;62,58;62,48;62,58;64,8;63,5;63,75;64,7;64,67;64,45;65,36;66,65;66,5;66")</f>
        <v>64,05;60;61,59;62,81;62,62;62,58;62,48;62,58;64,8;63,5;63,75;64,7;64,67;64,45;65,36;66,65;66,5;66</v>
      </c>
    </row>
    <row r="69">
      <c r="A69" s="3" t="s">
        <v>149</v>
      </c>
      <c r="B69" s="4" t="s">
        <v>150</v>
      </c>
      <c r="C69" s="4">
        <f>IFERROR(__xludf.DUMMYFUNCTION("GOOGLEFINANCE($A69, C$2)"),24.54)</f>
        <v>24.54</v>
      </c>
      <c r="D69" s="4">
        <f>IFERROR(__xludf.DUMMYFUNCTION("GOOGLEFINANCE($A69, D$2)"),0.0)</f>
        <v>0</v>
      </c>
      <c r="E69" s="4">
        <f>IFERROR(__xludf.DUMMYFUNCTION("GOOGLEFINANCE($A69, E$2)"),6.2)</f>
        <v>6.2</v>
      </c>
      <c r="F69" s="4">
        <f>IFERROR(__xludf.DUMMYFUNCTION("GOOGLEFINANCE($A69, F$2)"),3.96)</f>
        <v>3.96</v>
      </c>
      <c r="G69" s="4">
        <f>IFERROR(__xludf.DUMMYFUNCTION("GOOGLEFINANCE($A69, G$2)"),24.54)</f>
        <v>24.54</v>
      </c>
      <c r="H69" s="4">
        <f>IFERROR(__xludf.DUMMYFUNCTION("GOOGLEFINANCE($A69, H$2)"),24.54)</f>
        <v>24.54</v>
      </c>
      <c r="I69" s="4" t="str">
        <f>IFERROR(__xludf.DUMMYFUNCTION("REPLACE(JOIN("";"", INDEX(TRANSPOSE(GOOGLEFINANCE($A69, $I$2, TODAY() - 30, TODAY(), 1)), 2)), 1, 6, """")"),"25,49;25,27;24,75;25,5;25,48;25,09;24,74;25;25,28;25;25,54;24,26;25,4;24,56;24;24,54;24,54")</f>
        <v>25,49;25,27;24,75;25,5;25,48;25,09;24,74;25;25,28;25;25,54;24,26;25,4;24,56;24;24,54;24,54</v>
      </c>
    </row>
    <row r="70">
      <c r="A70" s="3" t="s">
        <v>151</v>
      </c>
      <c r="B70" s="4" t="s">
        <v>152</v>
      </c>
      <c r="C70" s="4">
        <f>IFERROR(__xludf.DUMMYFUNCTION("GOOGLEFINANCE($A70, C$2)"),408.3)</f>
        <v>408.3</v>
      </c>
      <c r="D70" s="4">
        <f>IFERROR(__xludf.DUMMYFUNCTION("GOOGLEFINANCE($A70, D$2)"),0.0)</f>
        <v>0</v>
      </c>
      <c r="E70" s="4" t="str">
        <f>IFERROR(__xludf.DUMMYFUNCTION("GOOGLEFINANCE($A70, E$2)"),"#N/A")</f>
        <v>#N/A</v>
      </c>
      <c r="F70" s="4" t="str">
        <f>IFERROR(__xludf.DUMMYFUNCTION("GOOGLEFINANCE($A70, F$2)"),"#N/A")</f>
        <v>#N/A</v>
      </c>
      <c r="G70" s="4">
        <f>IFERROR(__xludf.DUMMYFUNCTION("GOOGLEFINANCE($A70, G$2)"),408.3)</f>
        <v>408.3</v>
      </c>
      <c r="H70" s="4">
        <f>IFERROR(__xludf.DUMMYFUNCTION("GOOGLEFINANCE($A70, H$2)"),408.3)</f>
        <v>408.3</v>
      </c>
      <c r="I70" s="4" t="str">
        <f>IFERROR(__xludf.DUMMYFUNCTION("REPLACE(JOIN("";"", INDEX(TRANSPOSE(GOOGLEFINANCE($A70, $I$2, TODAY() - 30, TODAY(), 1)), 2)), 1, 6, """")"),"383,7;375,3;360,61;366,1;360;375,2;408;409,8;408,3")</f>
        <v>383,7;375,3;360,61;366,1;360;375,2;408;409,8;408,3</v>
      </c>
    </row>
    <row r="71">
      <c r="A71" s="3" t="s">
        <v>153</v>
      </c>
      <c r="B71" s="4" t="s">
        <v>154</v>
      </c>
      <c r="C71" s="4">
        <f>IFERROR(__xludf.DUMMYFUNCTION("GOOGLEFINANCE($A71, C$2)"),53.65)</f>
        <v>53.65</v>
      </c>
      <c r="D71" s="4">
        <f>IFERROR(__xludf.DUMMYFUNCTION("GOOGLEFINANCE($A71, D$2)"),0.0)</f>
        <v>0</v>
      </c>
      <c r="E71" s="4" t="str">
        <f>IFERROR(__xludf.DUMMYFUNCTION("GOOGLEFINANCE($A71, E$2)"),"#N/A")</f>
        <v>#N/A</v>
      </c>
      <c r="F71" s="4" t="str">
        <f>IFERROR(__xludf.DUMMYFUNCTION("GOOGLEFINANCE($A71, F$2)"),"#N/A")</f>
        <v>#N/A</v>
      </c>
      <c r="G71" s="4">
        <f>IFERROR(__xludf.DUMMYFUNCTION("GOOGLEFINANCE($A71, G$2)"),53.65)</f>
        <v>53.65</v>
      </c>
      <c r="H71" s="4">
        <f>IFERROR(__xludf.DUMMYFUNCTION("GOOGLEFINANCE($A71, H$2)"),50.45)</f>
        <v>50.45</v>
      </c>
      <c r="I71" s="4" t="str">
        <f>IFERROR(__xludf.DUMMYFUNCTION("REPLACE(JOIN("";"", INDEX(TRANSPOSE(GOOGLEFINANCE($A71, $I$2, TODAY() - 30, TODAY(), 1)), 2)), 1, 6, """")"),"44,62;46,82;42,05;43,9;44,88;44,05;47,67;51,99;52,57;50,62;52,9;51,85;48,24;49,3;50,8;50,79;50,48;53,65")</f>
        <v>44,62;46,82;42,05;43,9;44,88;44,05;47,67;51,99;52,57;50,62;52,9;51,85;48,24;49,3;50,8;50,79;50,48;53,65</v>
      </c>
    </row>
    <row r="72">
      <c r="A72" s="3" t="s">
        <v>155</v>
      </c>
      <c r="B72" s="4" t="s">
        <v>156</v>
      </c>
      <c r="C72" s="4">
        <f>IFERROR(__xludf.DUMMYFUNCTION("GOOGLEFINANCE($A72, C$2)"),52.77)</f>
        <v>52.77</v>
      </c>
      <c r="D72" s="4">
        <f>IFERROR(__xludf.DUMMYFUNCTION("GOOGLEFINANCE($A72, D$2)"),0.0)</f>
        <v>0</v>
      </c>
      <c r="E72" s="4">
        <f>IFERROR(__xludf.DUMMYFUNCTION("GOOGLEFINANCE($A72, E$2)"),21716.05)</f>
        <v>21716.05</v>
      </c>
      <c r="F72" s="4">
        <f>IFERROR(__xludf.DUMMYFUNCTION("GOOGLEFINANCE($A72, F$2)"),0.0)</f>
        <v>0</v>
      </c>
      <c r="G72" s="4">
        <f>IFERROR(__xludf.DUMMYFUNCTION("GOOGLEFINANCE($A72, G$2)"),52.9)</f>
        <v>52.9</v>
      </c>
      <c r="H72" s="4">
        <f>IFERROR(__xludf.DUMMYFUNCTION("GOOGLEFINANCE($A72, H$2)"),50.1)</f>
        <v>50.1</v>
      </c>
      <c r="I72" s="4" t="str">
        <f>IFERROR(__xludf.DUMMYFUNCTION("REPLACE(JOIN("";"", INDEX(TRANSPOSE(GOOGLEFINANCE($A72, $I$2, TODAY() - 30, TODAY(), 1)), 2)), 1, 6, """")"),"45;46,77;41,56;43,83;43,56;42,42;47;51,96;52,4;50,51;53,46;51,65;48,8;49,05;51,01;50,49;50,61;52,77")</f>
        <v>45;46,77;41,56;43,83;43,56;42,42;47;51,96;52,4;50,51;53,46;51,65;48,8;49,05;51,01;50,49;50,61;52,77</v>
      </c>
    </row>
    <row r="73">
      <c r="A73" s="3" t="s">
        <v>157</v>
      </c>
      <c r="B73" s="4" t="s">
        <v>158</v>
      </c>
      <c r="C73" s="4">
        <f>IFERROR(__xludf.DUMMYFUNCTION("GOOGLEFINANCE($A73, C$2)"),1850.0)</f>
        <v>1850</v>
      </c>
      <c r="D73" s="4">
        <f>IFERROR(__xludf.DUMMYFUNCTION("GOOGLEFINANCE($A73, D$2)"),0.0)</f>
        <v>0</v>
      </c>
      <c r="E73" s="4" t="str">
        <f>IFERROR(__xludf.DUMMYFUNCTION("GOOGLEFINANCE($A73, E$2)"),"#N/A")</f>
        <v>#N/A</v>
      </c>
      <c r="F73" s="4" t="str">
        <f>IFERROR(__xludf.DUMMYFUNCTION("GOOGLEFINANCE($A73, F$2)"),"#N/A")</f>
        <v>#N/A</v>
      </c>
      <c r="G73" s="4">
        <f>IFERROR(__xludf.DUMMYFUNCTION("GOOGLEFINANCE($A73, G$2)"),1854.76)</f>
        <v>1854.76</v>
      </c>
      <c r="H73" s="4">
        <f>IFERROR(__xludf.DUMMYFUNCTION("GOOGLEFINANCE($A73, H$2)"),1626.0)</f>
        <v>1626</v>
      </c>
      <c r="I73" s="4" t="str">
        <f>IFERROR(__xludf.DUMMYFUNCTION("REPLACE(JOIN("";"", INDEX(TRANSPOSE(GOOGLEFINANCE($A73, $I$2, TODAY() - 30, TODAY(), 1)), 2)), 1, 6, """")"),"1380;1332,42;1286,49;1328,25;1279,81;1318,01;1341;1363,5;1414,81;1449,69;1482,29;1585,49;1635;1664,17;1684;1674,67;1614,01;1850")</f>
        <v>1380;1332,42;1286,49;1328,25;1279,81;1318,01;1341;1363,5;1414,81;1449,69;1482,29;1585,49;1635;1664,17;1684;1674,67;1614,01;1850</v>
      </c>
    </row>
    <row r="74">
      <c r="A74" s="3" t="s">
        <v>159</v>
      </c>
      <c r="B74" s="4" t="s">
        <v>160</v>
      </c>
      <c r="C74" s="4">
        <f>IFERROR(__xludf.DUMMYFUNCTION("GOOGLEFINANCE($A74, C$2)"),253.02)</f>
        <v>253.02</v>
      </c>
      <c r="D74" s="4">
        <f>IFERROR(__xludf.DUMMYFUNCTION("GOOGLEFINANCE($A74, D$2)"),0.0)</f>
        <v>0</v>
      </c>
      <c r="E74" s="4" t="str">
        <f>IFERROR(__xludf.DUMMYFUNCTION("GOOGLEFINANCE($A74, E$2)"),"#N/A")</f>
        <v>#N/A</v>
      </c>
      <c r="F74" s="4" t="str">
        <f>IFERROR(__xludf.DUMMYFUNCTION("GOOGLEFINANCE($A74, F$2)"),"#N/A")</f>
        <v>#N/A</v>
      </c>
      <c r="G74" s="4">
        <f>IFERROR(__xludf.DUMMYFUNCTION("GOOGLEFINANCE($A74, G$2)"),253.02)</f>
        <v>253.02</v>
      </c>
      <c r="H74" s="4">
        <f>IFERROR(__xludf.DUMMYFUNCTION("GOOGLEFINANCE($A74, H$2)"),250.8)</f>
        <v>250.8</v>
      </c>
      <c r="I74" s="4" t="str">
        <f>IFERROR(__xludf.DUMMYFUNCTION("REPLACE(JOIN("";"", INDEX(TRANSPOSE(GOOGLEFINANCE($A74, $I$2, TODAY() - 30, TODAY(), 1)), 2)), 1, 6, """")"),"246,7;246,7;240;243;259,9;257,6;249,1;236,7;241,3;238;240;241,5;246,4;253;249;250;250,8;253,02")</f>
        <v>246,7;246,7;240;243;259,9;257,6;249,1;236,7;241,3;238;240;241,5;246,4;253;249;250;250,8;253,02</v>
      </c>
    </row>
    <row r="75">
      <c r="A75" s="3" t="s">
        <v>161</v>
      </c>
      <c r="B75" s="4" t="s">
        <v>162</v>
      </c>
      <c r="C75" s="4">
        <f>IFERROR(__xludf.DUMMYFUNCTION("GOOGLEFINANCE($A75, C$2)"),29.4)</f>
        <v>29.4</v>
      </c>
      <c r="D75" s="4">
        <f>IFERROR(__xludf.DUMMYFUNCTION("GOOGLEFINANCE($A75, D$2)"),0.0)</f>
        <v>0</v>
      </c>
      <c r="E75" s="4" t="str">
        <f>IFERROR(__xludf.DUMMYFUNCTION("GOOGLEFINANCE($A75, E$2)"),"#N/A")</f>
        <v>#N/A</v>
      </c>
      <c r="F75" s="4" t="str">
        <f>IFERROR(__xludf.DUMMYFUNCTION("GOOGLEFINANCE($A75, F$2)"),"#N/A")</f>
        <v>#N/A</v>
      </c>
      <c r="G75" s="4">
        <f>IFERROR(__xludf.DUMMYFUNCTION("GOOGLEFINANCE($A75, G$2)"),29.4)</f>
        <v>29.4</v>
      </c>
      <c r="H75" s="4">
        <f>IFERROR(__xludf.DUMMYFUNCTION("GOOGLEFINANCE($A75, H$2)"),29.4)</f>
        <v>29.4</v>
      </c>
      <c r="I75" s="4" t="str">
        <f>IFERROR(__xludf.DUMMYFUNCTION("REPLACE(JOIN("";"", INDEX(TRANSPOSE(GOOGLEFINANCE($A75, $I$2, TODAY() - 30, TODAY(), 1)), 2)), 1, 6, """")"),"26,07;24,9;25;25,23;26,32;28;29;28,44;29;29,4")</f>
        <v>26,07;24,9;25;25,23;26,32;28;29;28,44;29;29,4</v>
      </c>
    </row>
    <row r="76">
      <c r="A76" s="3" t="s">
        <v>163</v>
      </c>
      <c r="B76" s="4" t="s">
        <v>164</v>
      </c>
      <c r="C76" s="4">
        <f>IFERROR(__xludf.DUMMYFUNCTION("GOOGLEFINANCE($A76, C$2)"),15.2)</f>
        <v>15.2</v>
      </c>
      <c r="D76" s="4">
        <f>IFERROR(__xludf.DUMMYFUNCTION("GOOGLEFINANCE($A76, D$2)"),0.0)</f>
        <v>0</v>
      </c>
      <c r="E76" s="4" t="str">
        <f>IFERROR(__xludf.DUMMYFUNCTION("GOOGLEFINANCE($A76, E$2)"),"#N/A")</f>
        <v>#N/A</v>
      </c>
      <c r="F76" s="4">
        <f>IFERROR(__xludf.DUMMYFUNCTION("GOOGLEFINANCE($A76, F$2)"),-0.96)</f>
        <v>-0.96</v>
      </c>
      <c r="G76" s="4">
        <f>IFERROR(__xludf.DUMMYFUNCTION("GOOGLEFINANCE($A76, G$2)"),15.27)</f>
        <v>15.27</v>
      </c>
      <c r="H76" s="4">
        <f>IFERROR(__xludf.DUMMYFUNCTION("GOOGLEFINANCE($A76, H$2)"),14.8)</f>
        <v>14.8</v>
      </c>
      <c r="I76" s="4" t="str">
        <f>IFERROR(__xludf.DUMMYFUNCTION("REPLACE(JOIN("";"", INDEX(TRANSPOSE(GOOGLEFINANCE($A76, $I$2, TODAY() - 30, TODAY(), 1)), 2)), 1, 6, """")"),"15,9;15,55;15,6;15,52;15,46;15,59;15,66;15,6;15,45;15,34;15,16;15;14,77;14,8;14,99;14,95;14,77;15,2")</f>
        <v>15,9;15,55;15,6;15,52;15,46;15,59;15,66;15,6;15,45;15,34;15,16;15;14,77;14,8;14,99;14,95;14,77;15,2</v>
      </c>
    </row>
    <row r="77">
      <c r="A77" s="3" t="s">
        <v>165</v>
      </c>
      <c r="B77" s="4" t="s">
        <v>166</v>
      </c>
      <c r="C77" s="4">
        <f>IFERROR(__xludf.DUMMYFUNCTION("GOOGLEFINANCE($A77, C$2)"),10.31)</f>
        <v>10.31</v>
      </c>
      <c r="D77" s="4">
        <f>IFERROR(__xludf.DUMMYFUNCTION("GOOGLEFINANCE($A77, D$2)"),0.0)</f>
        <v>0</v>
      </c>
      <c r="E77" s="4" t="str">
        <f>IFERROR(__xludf.DUMMYFUNCTION("GOOGLEFINANCE($A77, E$2)"),"#N/A")</f>
        <v>#N/A</v>
      </c>
      <c r="F77" s="4">
        <f>IFERROR(__xludf.DUMMYFUNCTION("GOOGLEFINANCE($A77, F$2)"),-1.35)</f>
        <v>-1.35</v>
      </c>
      <c r="G77" s="4">
        <f>IFERROR(__xludf.DUMMYFUNCTION("GOOGLEFINANCE($A77, G$2)"),10.48)</f>
        <v>10.48</v>
      </c>
      <c r="H77" s="4">
        <f>IFERROR(__xludf.DUMMYFUNCTION("GOOGLEFINANCE($A77, H$2)"),10.26)</f>
        <v>10.26</v>
      </c>
      <c r="I77" s="4" t="str">
        <f>IFERROR(__xludf.DUMMYFUNCTION("REPLACE(JOIN("";"", INDEX(TRANSPOSE(GOOGLEFINANCE($A77, $I$2, TODAY() - 30, TODAY(), 1)), 2)), 1, 6, """")"),"9,89;9,88;9,91;9,99;9,6;9,52;9,81;9,93;10,03;10,14;10,29;10,09;9,75;10,38;10,52;10,41;10,42;10,31")</f>
        <v>9,89;9,88;9,91;9,99;9,6;9,52;9,81;9,93;10,03;10,14;10,29;10,09;9,75;10,38;10,52;10,41;10,42;10,31</v>
      </c>
    </row>
    <row r="78">
      <c r="A78" s="3" t="s">
        <v>167</v>
      </c>
      <c r="B78" s="4" t="s">
        <v>168</v>
      </c>
      <c r="C78" s="4">
        <f>IFERROR(__xludf.DUMMYFUNCTION("GOOGLEFINANCE($A78, C$2)"),70.65)</f>
        <v>70.65</v>
      </c>
      <c r="D78" s="4">
        <f>IFERROR(__xludf.DUMMYFUNCTION("GOOGLEFINANCE($A78, D$2)"),0.0)</f>
        <v>0</v>
      </c>
      <c r="E78" s="4" t="str">
        <f>IFERROR(__xludf.DUMMYFUNCTION("GOOGLEFINANCE($A78, E$2)"),"#N/A")</f>
        <v>#N/A</v>
      </c>
      <c r="F78" s="4" t="str">
        <f>IFERROR(__xludf.DUMMYFUNCTION("GOOGLEFINANCE($A78, F$2)"),"#N/A")</f>
        <v>#N/A</v>
      </c>
      <c r="G78" s="4">
        <f>IFERROR(__xludf.DUMMYFUNCTION("GOOGLEFINANCE($A78, G$2)"),71.75)</f>
        <v>71.75</v>
      </c>
      <c r="H78" s="4">
        <f>IFERROR(__xludf.DUMMYFUNCTION("GOOGLEFINANCE($A78, H$2)"),69.65)</f>
        <v>69.65</v>
      </c>
      <c r="I78" s="4" t="str">
        <f>IFERROR(__xludf.DUMMYFUNCTION("REPLACE(JOIN("";"", INDEX(TRANSPOSE(GOOGLEFINANCE($A78, $I$2, TODAY() - 30, TODAY(), 1)), 2)), 1, 6, """")"),"65,1;60,81;58,89;63;60,69;61,92;63,79;62,69;64,41;64,5;66,5;64,34;66,14;66,39;66,2;69,1;70,45;70,65")</f>
        <v>65,1;60,81;58,89;63;60,69;61,92;63,79;62,69;64,41;64,5;66,5;64,34;66,14;66,39;66,2;69,1;70,45;70,65</v>
      </c>
    </row>
    <row r="79">
      <c r="A79" s="3" t="s">
        <v>169</v>
      </c>
      <c r="B79" s="4" t="s">
        <v>170</v>
      </c>
      <c r="C79" s="4">
        <f>IFERROR(__xludf.DUMMYFUNCTION("GOOGLEFINANCE($A79, C$2)"),641.5)</f>
        <v>641.5</v>
      </c>
      <c r="D79" s="4">
        <f>IFERROR(__xludf.DUMMYFUNCTION("GOOGLEFINANCE($A79, D$2)"),0.0)</f>
        <v>0</v>
      </c>
      <c r="E79" s="4" t="str">
        <f>IFERROR(__xludf.DUMMYFUNCTION("GOOGLEFINANCE($A79, E$2)"),"#N/A")</f>
        <v>#N/A</v>
      </c>
      <c r="F79" s="4" t="str">
        <f>IFERROR(__xludf.DUMMYFUNCTION("GOOGLEFINANCE($A79, F$2)"),"#N/A")</f>
        <v>#N/A</v>
      </c>
      <c r="G79" s="4">
        <f>IFERROR(__xludf.DUMMYFUNCTION("GOOGLEFINANCE($A79, G$2)"),646.0)</f>
        <v>646</v>
      </c>
      <c r="H79" s="4">
        <f>IFERROR(__xludf.DUMMYFUNCTION("GOOGLEFINANCE($A79, H$2)"),639.0)</f>
        <v>639</v>
      </c>
      <c r="I79" s="4" t="str">
        <f>IFERROR(__xludf.DUMMYFUNCTION("REPLACE(JOIN("";"", INDEX(TRANSPOSE(GOOGLEFINANCE($A79, $I$2, TODAY() - 30, TODAY(), 1)), 2)), 1, 6, """")"),"670;647,62;631,1;661,1;643,8;644,5;653,8;649;660,3;649,4;648,7;652;648,9;648,5;644;655;635,5;641,5")</f>
        <v>670;647,62;631,1;661,1;643,8;644,5;653,8;649;660,3;649,4;648,7;652;648,9;648,5;644;655;635,5;641,5</v>
      </c>
    </row>
    <row r="80">
      <c r="A80" s="3" t="s">
        <v>171</v>
      </c>
      <c r="B80" s="4" t="s">
        <v>172</v>
      </c>
      <c r="C80" s="4">
        <f>IFERROR(__xludf.DUMMYFUNCTION("GOOGLEFINANCE($A80, C$2)"),17.35)</f>
        <v>17.35</v>
      </c>
      <c r="D80" s="4">
        <f>IFERROR(__xludf.DUMMYFUNCTION("GOOGLEFINANCE($A80, D$2)"),0.0)</f>
        <v>0</v>
      </c>
      <c r="E80" s="4">
        <f>IFERROR(__xludf.DUMMYFUNCTION("GOOGLEFINANCE($A80, E$2)"),6.02)</f>
        <v>6.02</v>
      </c>
      <c r="F80" s="4">
        <f>IFERROR(__xludf.DUMMYFUNCTION("GOOGLEFINANCE($A80, F$2)"),2.88)</f>
        <v>2.88</v>
      </c>
      <c r="G80" s="4">
        <f>IFERROR(__xludf.DUMMYFUNCTION("GOOGLEFINANCE($A80, G$2)"),18.33)</f>
        <v>18.33</v>
      </c>
      <c r="H80" s="4">
        <f>IFERROR(__xludf.DUMMYFUNCTION("GOOGLEFINANCE($A80, H$2)"),17.2)</f>
        <v>17.2</v>
      </c>
      <c r="I80" s="4" t="str">
        <f>IFERROR(__xludf.DUMMYFUNCTION("REPLACE(JOIN("";"", INDEX(TRANSPOSE(GOOGLEFINANCE($A80, $I$2, TODAY() - 30, TODAY(), 1)), 2)), 1, 6, """")"),"17,46;17,7;17,91;17,8;17,12;17;17,25;17,1;17,1;16,1;17,42;18,76;17,8;18,99;17,35")</f>
        <v>17,46;17,7;17,91;17,8;17,12;17;17,25;17,1;17,1;16,1;17,42;18,76;17,8;18,99;17,35</v>
      </c>
    </row>
    <row r="81">
      <c r="A81" s="3" t="s">
        <v>173</v>
      </c>
      <c r="B81" s="4" t="s">
        <v>174</v>
      </c>
      <c r="C81" s="4">
        <f>IFERROR(__xludf.DUMMYFUNCTION("GOOGLEFINANCE($A81, C$2)"),16.12)</f>
        <v>16.12</v>
      </c>
      <c r="D81" s="4">
        <f>IFERROR(__xludf.DUMMYFUNCTION("GOOGLEFINANCE($A81, D$2)"),0.0)</f>
        <v>0</v>
      </c>
      <c r="E81" s="4">
        <f>IFERROR(__xludf.DUMMYFUNCTION("GOOGLEFINANCE($A81, E$2)"),5.59)</f>
        <v>5.59</v>
      </c>
      <c r="F81" s="4">
        <f>IFERROR(__xludf.DUMMYFUNCTION("GOOGLEFINANCE($A81, F$2)"),2.88)</f>
        <v>2.88</v>
      </c>
      <c r="G81" s="4">
        <f>IFERROR(__xludf.DUMMYFUNCTION("GOOGLEFINANCE($A81, G$2)"),16.85)</f>
        <v>16.85</v>
      </c>
      <c r="H81" s="4">
        <f>IFERROR(__xludf.DUMMYFUNCTION("GOOGLEFINANCE($A81, H$2)"),16.0)</f>
        <v>16</v>
      </c>
      <c r="I81" s="4" t="str">
        <f>IFERROR(__xludf.DUMMYFUNCTION("REPLACE(JOIN("";"", INDEX(TRANSPOSE(GOOGLEFINANCE($A81, $I$2, TODAY() - 30, TODAY(), 1)), 2)), 1, 6, """")"),"16,39;16,22;16,05;16,1;16,15;16,26;16,47;16,25;16,04;15,9;15,92;15,99;15,64;17,79;17,95;17,7;17,78;16,12")</f>
        <v>16,39;16,22;16,05;16,1;16,15;16,26;16,47;16,25;16,04;15,9;15,92;15,99;15,64;17,79;17,95;17,7;17,78;16,12</v>
      </c>
    </row>
    <row r="82">
      <c r="A82" s="3" t="s">
        <v>175</v>
      </c>
      <c r="B82" s="4" t="s">
        <v>176</v>
      </c>
      <c r="C82" s="4">
        <f>IFERROR(__xludf.DUMMYFUNCTION("GOOGLEFINANCE($A82, C$2)"),5.08)</f>
        <v>5.08</v>
      </c>
      <c r="D82" s="4">
        <f>IFERROR(__xludf.DUMMYFUNCTION("GOOGLEFINANCE($A82, D$2)"),0.0)</f>
        <v>0</v>
      </c>
      <c r="E82" s="4">
        <f>IFERROR(__xludf.DUMMYFUNCTION("GOOGLEFINANCE($A82, E$2)"),7.35)</f>
        <v>7.35</v>
      </c>
      <c r="F82" s="4">
        <f>IFERROR(__xludf.DUMMYFUNCTION("GOOGLEFINANCE($A82, F$2)"),0.69)</f>
        <v>0.69</v>
      </c>
      <c r="G82" s="4">
        <f>IFERROR(__xludf.DUMMYFUNCTION("GOOGLEFINANCE($A82, G$2)"),5.26)</f>
        <v>5.26</v>
      </c>
      <c r="H82" s="4">
        <f>IFERROR(__xludf.DUMMYFUNCTION("GOOGLEFINANCE($A82, H$2)"),5.06)</f>
        <v>5.06</v>
      </c>
      <c r="I82" s="4" t="str">
        <f>IFERROR(__xludf.DUMMYFUNCTION("REPLACE(JOIN("";"", INDEX(TRANSPOSE(GOOGLEFINANCE($A82, $I$2, TODAY() - 30, TODAY(), 1)), 2)), 1, 6, """")"),"5,46;5,33;5,28;5,39;5,27;5,71;5,64;5,69;5,72;5,67;5,59;5,6;5,41;5,35;5,33;5,35;5,25;5,08")</f>
        <v>5,46;5,33;5,28;5,39;5,27;5,71;5,64;5,69;5,72;5,67;5,59;5,6;5,41;5,35;5,33;5,35;5,25;5,08</v>
      </c>
    </row>
    <row r="83">
      <c r="A83" s="3" t="s">
        <v>177</v>
      </c>
      <c r="B83" s="4" t="s">
        <v>178</v>
      </c>
      <c r="C83" s="4">
        <f>IFERROR(__xludf.DUMMYFUNCTION("GOOGLEFINANCE($A83, C$2)"),22.7)</f>
        <v>22.7</v>
      </c>
      <c r="D83" s="4">
        <f>IFERROR(__xludf.DUMMYFUNCTION("GOOGLEFINANCE($A83, D$2)"),0.0)</f>
        <v>0</v>
      </c>
      <c r="E83" s="4">
        <f>IFERROR(__xludf.DUMMYFUNCTION("GOOGLEFINANCE($A83, E$2)"),65.67)</f>
        <v>65.67</v>
      </c>
      <c r="F83" s="4">
        <f>IFERROR(__xludf.DUMMYFUNCTION("GOOGLEFINANCE($A83, F$2)"),0.35)</f>
        <v>0.35</v>
      </c>
      <c r="G83" s="4" t="str">
        <f>IFERROR(__xludf.DUMMYFUNCTION("GOOGLEFINANCE($A83, G$2)"),"#N/A")</f>
        <v>#N/A</v>
      </c>
      <c r="H83" s="4" t="str">
        <f>IFERROR(__xludf.DUMMYFUNCTION("GOOGLEFINANCE($A83, H$2)"),"#N/A")</f>
        <v>#N/A</v>
      </c>
      <c r="I83" s="4" t="str">
        <f>IFERROR(__xludf.DUMMYFUNCTION("REPLACE(JOIN("";"", INDEX(TRANSPOSE(GOOGLEFINANCE($A83, $I$2, TODAY() - 30, TODAY(), 1)), 2)), 1, 6, """")"),"20;20,6;20,6;22,95;22,55;24,2;22,55;22,5;21,96;22,7")</f>
        <v>20;20,6;20,6;22,95;22,55;24,2;22,55;22,5;21,96;22,7</v>
      </c>
    </row>
    <row r="84">
      <c r="A84" s="3" t="s">
        <v>179</v>
      </c>
      <c r="B84" s="4" t="s">
        <v>180</v>
      </c>
      <c r="C84" s="4">
        <f>IFERROR(__xludf.DUMMYFUNCTION("GOOGLEFINANCE($A84, C$2)"),22.0)</f>
        <v>22</v>
      </c>
      <c r="D84" s="4">
        <f>IFERROR(__xludf.DUMMYFUNCTION("GOOGLEFINANCE($A84, D$2)"),0.0)</f>
        <v>0</v>
      </c>
      <c r="E84" s="4">
        <f>IFERROR(__xludf.DUMMYFUNCTION("GOOGLEFINANCE($A84, E$2)"),63.64)</f>
        <v>63.64</v>
      </c>
      <c r="F84" s="4">
        <f>IFERROR(__xludf.DUMMYFUNCTION("GOOGLEFINANCE($A84, F$2)"),0.35)</f>
        <v>0.35</v>
      </c>
      <c r="G84" s="4">
        <f>IFERROR(__xludf.DUMMYFUNCTION("GOOGLEFINANCE($A84, G$2)"),22.0)</f>
        <v>22</v>
      </c>
      <c r="H84" s="4">
        <f>IFERROR(__xludf.DUMMYFUNCTION("GOOGLEFINANCE($A84, H$2)"),22.0)</f>
        <v>22</v>
      </c>
      <c r="I84" s="4" t="str">
        <f>IFERROR(__xludf.DUMMYFUNCTION("REPLACE(JOIN("";"", INDEX(TRANSPOSE(GOOGLEFINANCE($A84, $I$2, TODAY() - 30, TODAY(), 1)), 2)), 1, 6, """")"),"19,92;19,6;19,6;19,7;21,53;21,85;22,11;21,6;21,41;21,7;22,5;22,5;22,5;22")</f>
        <v>19,92;19,6;19,6;19,7;21,53;21,85;22,11;21,6;21,41;21,7;22,5;22,5;22,5;22</v>
      </c>
    </row>
    <row r="85">
      <c r="A85" s="3" t="s">
        <v>181</v>
      </c>
      <c r="B85" s="4" t="s">
        <v>182</v>
      </c>
      <c r="C85" s="4">
        <f>IFERROR(__xludf.DUMMYFUNCTION("GOOGLEFINANCE($A85, C$2)"),256.5)</f>
        <v>256.5</v>
      </c>
      <c r="D85" s="4">
        <f>IFERROR(__xludf.DUMMYFUNCTION("GOOGLEFINANCE($A85, D$2)"),0.0)</f>
        <v>0</v>
      </c>
      <c r="E85" s="4">
        <f>IFERROR(__xludf.DUMMYFUNCTION("GOOGLEFINANCE($A85, E$2)"),28.48)</f>
        <v>28.48</v>
      </c>
      <c r="F85" s="4">
        <f>IFERROR(__xludf.DUMMYFUNCTION("GOOGLEFINANCE($A85, F$2)"),9.01)</f>
        <v>9.01</v>
      </c>
      <c r="G85" s="4">
        <f>IFERROR(__xludf.DUMMYFUNCTION("GOOGLEFINANCE($A85, G$2)"),256.5)</f>
        <v>256.5</v>
      </c>
      <c r="H85" s="4">
        <f>IFERROR(__xludf.DUMMYFUNCTION("GOOGLEFINANCE($A85, H$2)"),256.5)</f>
        <v>256.5</v>
      </c>
      <c r="I85" s="4" t="str">
        <f>IFERROR(__xludf.DUMMYFUNCTION("REPLACE(JOIN("";"", INDEX(TRANSPOSE(GOOGLEFINANCE($A85, $I$2, TODAY() - 30, TODAY(), 1)), 2)), 1, 6, """")"),"249,97;245;244,95;256;252,92;240;245;245;240,5;238,26;260;250;247;253;256,87;256,5")</f>
        <v>249,97;245;244,95;256;252,92;240;245;245;240,5;238,26;260;250;247;253;256,87;256,5</v>
      </c>
    </row>
    <row r="86">
      <c r="A86" s="3" t="s">
        <v>183</v>
      </c>
      <c r="B86" s="4" t="s">
        <v>184</v>
      </c>
      <c r="C86" s="4">
        <f>IFERROR(__xludf.DUMMYFUNCTION("GOOGLEFINANCE($A86, C$2)"),329.78)</f>
        <v>329.78</v>
      </c>
      <c r="D86" s="4">
        <f>IFERROR(__xludf.DUMMYFUNCTION("GOOGLEFINANCE($A86, D$2)"),0.0)</f>
        <v>0</v>
      </c>
      <c r="E86" s="4" t="str">
        <f>IFERROR(__xludf.DUMMYFUNCTION("GOOGLEFINANCE($A86, E$2)"),"#N/A")</f>
        <v>#N/A</v>
      </c>
      <c r="F86" s="4" t="str">
        <f>IFERROR(__xludf.DUMMYFUNCTION("GOOGLEFINANCE($A86, F$2)"),"#N/A")</f>
        <v>#N/A</v>
      </c>
      <c r="G86" s="4">
        <f>IFERROR(__xludf.DUMMYFUNCTION("GOOGLEFINANCE($A86, G$2)"),329.78)</f>
        <v>329.78</v>
      </c>
      <c r="H86" s="4">
        <f>IFERROR(__xludf.DUMMYFUNCTION("GOOGLEFINANCE($A86, H$2)"),327.5)</f>
        <v>327.5</v>
      </c>
      <c r="I86" s="4" t="str">
        <f>IFERROR(__xludf.DUMMYFUNCTION("REPLACE(JOIN("";"", INDEX(TRANSPOSE(GOOGLEFINANCE($A86, $I$2, TODAY() - 30, TODAY(), 1)), 2)), 1, 6, """")"),"353,5;346,49;336,96;341,31;337,19;341,2;339,69;336,2;333,8;326,6;323;323;322;323,1;329,4;332;329,78")</f>
        <v>353,5;346,49;336,96;341,31;337,19;341,2;339,69;336,2;333,8;326,6;323;323;322;323,1;329,4;332;329,78</v>
      </c>
    </row>
    <row r="87">
      <c r="A87" s="3" t="s">
        <v>185</v>
      </c>
      <c r="B87" s="4" t="s">
        <v>186</v>
      </c>
      <c r="C87" s="4">
        <f>IFERROR(__xludf.DUMMYFUNCTION("GOOGLEFINANCE($A87, C$2)"),69.99)</f>
        <v>69.99</v>
      </c>
      <c r="D87" s="4">
        <f>IFERROR(__xludf.DUMMYFUNCTION("GOOGLEFINANCE($A87, D$2)"),0.0)</f>
        <v>0</v>
      </c>
      <c r="E87" s="4">
        <f>IFERROR(__xludf.DUMMYFUNCTION("GOOGLEFINANCE($A87, E$2)"),4.72)</f>
        <v>4.72</v>
      </c>
      <c r="F87" s="4">
        <f>IFERROR(__xludf.DUMMYFUNCTION("GOOGLEFINANCE($A87, F$2)"),14.83)</f>
        <v>14.83</v>
      </c>
      <c r="G87" s="4">
        <f>IFERROR(__xludf.DUMMYFUNCTION("GOOGLEFINANCE($A87, G$2)"),69.99)</f>
        <v>69.99</v>
      </c>
      <c r="H87" s="4">
        <f>IFERROR(__xludf.DUMMYFUNCTION("GOOGLEFINANCE($A87, H$2)"),69.99)</f>
        <v>69.99</v>
      </c>
      <c r="I87" s="4" t="str">
        <f>IFERROR(__xludf.DUMMYFUNCTION("REPLACE(JOIN("";"", INDEX(TRANSPOSE(GOOGLEFINANCE($A87, $I$2, TODAY() - 30, TODAY(), 1)), 2)), 1, 6, """")"),"74,4;73;72,1;71,88;70,02;69,23;70,01;71;71,85;70,84;69,5;70,99;70,84;69,99")</f>
        <v>74,4;73;72,1;71,88;70,02;69,23;70,01;71;71,85;70,84;69,5;70,99;70,84;69,99</v>
      </c>
    </row>
    <row r="88">
      <c r="A88" s="3" t="s">
        <v>187</v>
      </c>
      <c r="B88" s="4" t="s">
        <v>188</v>
      </c>
      <c r="C88" s="4">
        <f>IFERROR(__xludf.DUMMYFUNCTION("GOOGLEFINANCE($A88, C$2)"),46.67)</f>
        <v>46.67</v>
      </c>
      <c r="D88" s="4">
        <f>IFERROR(__xludf.DUMMYFUNCTION("GOOGLEFINANCE($A88, D$2)"),0.0)</f>
        <v>0</v>
      </c>
      <c r="E88" s="4" t="str">
        <f>IFERROR(__xludf.DUMMYFUNCTION("GOOGLEFINANCE($A88, E$2)"),"#N/A")</f>
        <v>#N/A</v>
      </c>
      <c r="F88" s="4" t="str">
        <f>IFERROR(__xludf.DUMMYFUNCTION("GOOGLEFINANCE($A88, F$2)"),"#N/A")</f>
        <v>#N/A</v>
      </c>
      <c r="G88" s="4">
        <f>IFERROR(__xludf.DUMMYFUNCTION("GOOGLEFINANCE($A88, G$2)"),46.9)</f>
        <v>46.9</v>
      </c>
      <c r="H88" s="4">
        <f>IFERROR(__xludf.DUMMYFUNCTION("GOOGLEFINANCE($A88, H$2)"),46.15)</f>
        <v>46.15</v>
      </c>
      <c r="I88" s="4" t="str">
        <f>IFERROR(__xludf.DUMMYFUNCTION("REPLACE(JOIN("";"", INDEX(TRANSPOSE(GOOGLEFINANCE($A88, $I$2, TODAY() - 30, TODAY(), 1)), 2)), 1, 6, """")"),"43,42;41,72;40,35;41,32;40,76;40,99;41,72;42,55;44,06;43,76;44,4;44,39;44,46;44,12;45,06;46,68;46,71;46,67")</f>
        <v>43,42;41,72;40,35;41,32;40,76;40,99;41,72;42,55;44,06;43,76;44,4;44,39;44,46;44,12;45,06;46,68;46,71;46,67</v>
      </c>
    </row>
    <row r="89">
      <c r="A89" s="3" t="s">
        <v>189</v>
      </c>
      <c r="B89" s="4" t="s">
        <v>190</v>
      </c>
      <c r="C89" s="4">
        <f>IFERROR(__xludf.DUMMYFUNCTION("GOOGLEFINANCE($A89, C$2)"),10.5)</f>
        <v>10.5</v>
      </c>
      <c r="D89" s="4">
        <f>IFERROR(__xludf.DUMMYFUNCTION("GOOGLEFINANCE($A89, D$2)"),0.0)</f>
        <v>0</v>
      </c>
      <c r="E89" s="4">
        <f>IFERROR(__xludf.DUMMYFUNCTION("GOOGLEFINANCE($A89, E$2)"),227.17)</f>
        <v>227.17</v>
      </c>
      <c r="F89" s="4">
        <f>IFERROR(__xludf.DUMMYFUNCTION("GOOGLEFINANCE($A89, F$2)"),0.05)</f>
        <v>0.05</v>
      </c>
      <c r="G89" s="4">
        <f>IFERROR(__xludf.DUMMYFUNCTION("GOOGLEFINANCE($A89, G$2)"),10.77)</f>
        <v>10.77</v>
      </c>
      <c r="H89" s="4">
        <f>IFERROR(__xludf.DUMMYFUNCTION("GOOGLEFINANCE($A89, H$2)"),10.24)</f>
        <v>10.24</v>
      </c>
      <c r="I89" s="4" t="str">
        <f>IFERROR(__xludf.DUMMYFUNCTION("REPLACE(JOIN("";"", INDEX(TRANSPOSE(GOOGLEFINANCE($A89, $I$2, TODAY() - 30, TODAY(), 1)), 2)), 1, 6, """")"),"11,21;10,56;9,79;10,08;9,51;9,89;10,18;10,15;10,1;9,66;9,21;9,63;10,11;10,41;10,27;10,11;10,62;10,5")</f>
        <v>11,21;10,56;9,79;10,08;9,51;9,89;10,18;10,15;10,1;9,66;9,21;9,63;10,11;10,41;10,27;10,11;10,62;10,5</v>
      </c>
    </row>
    <row r="90">
      <c r="A90" s="3" t="s">
        <v>191</v>
      </c>
      <c r="B90" s="4" t="s">
        <v>192</v>
      </c>
      <c r="C90" s="4">
        <f>IFERROR(__xludf.DUMMYFUNCTION("GOOGLEFINANCE($A90, C$2)"),2.24)</f>
        <v>2.24</v>
      </c>
      <c r="D90" s="4">
        <f>IFERROR(__xludf.DUMMYFUNCTION("GOOGLEFINANCE($A90, D$2)"),0.0)</f>
        <v>0</v>
      </c>
      <c r="E90" s="4">
        <f>IFERROR(__xludf.DUMMYFUNCTION("GOOGLEFINANCE($A90, E$2)"),15.17)</f>
        <v>15.17</v>
      </c>
      <c r="F90" s="4">
        <f>IFERROR(__xludf.DUMMYFUNCTION("GOOGLEFINANCE($A90, F$2)"),0.15)</f>
        <v>0.15</v>
      </c>
      <c r="G90" s="4">
        <f>IFERROR(__xludf.DUMMYFUNCTION("GOOGLEFINANCE($A90, G$2)"),2.26)</f>
        <v>2.26</v>
      </c>
      <c r="H90" s="4">
        <f>IFERROR(__xludf.DUMMYFUNCTION("GOOGLEFINANCE($A90, H$2)"),2.22)</f>
        <v>2.22</v>
      </c>
      <c r="I90" s="4" t="str">
        <f>IFERROR(__xludf.DUMMYFUNCTION("REPLACE(JOIN("";"", INDEX(TRANSPOSE(GOOGLEFINANCE($A90, $I$2, TODAY() - 30, TODAY(), 1)), 2)), 1, 6, """")"),"2,41;2,35;2,35;2,37;2,22;2,23;2,25;2,31;2,32;2,3;2,28;2,31;2,25;2,26;2,25;2,27;2,24;2,24")</f>
        <v>2,41;2,35;2,35;2,37;2,22;2,23;2,25;2,31;2,32;2,3;2,28;2,31;2,25;2,26;2,25;2,27;2,24;2,24</v>
      </c>
    </row>
    <row r="91">
      <c r="A91" s="3" t="s">
        <v>193</v>
      </c>
      <c r="B91" s="4" t="s">
        <v>194</v>
      </c>
      <c r="C91" s="4">
        <f>IFERROR(__xludf.DUMMYFUNCTION("GOOGLEFINANCE($A91, C$2)"),229.8)</f>
        <v>229.8</v>
      </c>
      <c r="D91" s="4">
        <f>IFERROR(__xludf.DUMMYFUNCTION("GOOGLEFINANCE($A91, D$2)"),0.0)</f>
        <v>0</v>
      </c>
      <c r="E91" s="4" t="str">
        <f>IFERROR(__xludf.DUMMYFUNCTION("GOOGLEFINANCE($A91, E$2)"),"#N/A")</f>
        <v>#N/A</v>
      </c>
      <c r="F91" s="4" t="str">
        <f>IFERROR(__xludf.DUMMYFUNCTION("GOOGLEFINANCE($A91, F$2)"),"#N/A")</f>
        <v>#N/A</v>
      </c>
      <c r="G91" s="4">
        <f>IFERROR(__xludf.DUMMYFUNCTION("GOOGLEFINANCE($A91, G$2)"),232.2)</f>
        <v>232.2</v>
      </c>
      <c r="H91" s="4">
        <f>IFERROR(__xludf.DUMMYFUNCTION("GOOGLEFINANCE($A91, H$2)"),227.6)</f>
        <v>227.6</v>
      </c>
      <c r="I91" s="4" t="str">
        <f>IFERROR(__xludf.DUMMYFUNCTION("REPLACE(JOIN("";"", INDEX(TRANSPOSE(GOOGLEFINANCE($A91, $I$2, TODAY() - 30, TODAY(), 1)), 2)), 1, 6, """")"),"235;222,7;217;225,1;220;222,4;220,3;221,9;229,5;225,81;226,6;226,5;224,5;227,4;224,8;233,6;229,8;229,8")</f>
        <v>235;222,7;217;225,1;220;222,4;220,3;221,9;229,5;225,81;226,6;226,5;224,5;227,4;224,8;233,6;229,8;229,8</v>
      </c>
    </row>
    <row r="92">
      <c r="A92" s="3" t="s">
        <v>195</v>
      </c>
      <c r="B92" s="4" t="s">
        <v>196</v>
      </c>
      <c r="C92" s="4">
        <f>IFERROR(__xludf.DUMMYFUNCTION("GOOGLEFINANCE($A92, C$2)"),49.7)</f>
        <v>49.7</v>
      </c>
      <c r="D92" s="4">
        <f>IFERROR(__xludf.DUMMYFUNCTION("GOOGLEFINANCE($A92, D$2)"),0.0)</f>
        <v>0</v>
      </c>
      <c r="E92" s="4" t="str">
        <f>IFERROR(__xludf.DUMMYFUNCTION("GOOGLEFINANCE($A92, E$2)"),"#N/A")</f>
        <v>#N/A</v>
      </c>
      <c r="F92" s="4" t="str">
        <f>IFERROR(__xludf.DUMMYFUNCTION("GOOGLEFINANCE($A92, F$2)"),"#N/A")</f>
        <v>#N/A</v>
      </c>
      <c r="G92" s="4">
        <f>IFERROR(__xludf.DUMMYFUNCTION("GOOGLEFINANCE($A92, G$2)"),49.95)</f>
        <v>49.95</v>
      </c>
      <c r="H92" s="4">
        <f>IFERROR(__xludf.DUMMYFUNCTION("GOOGLEFINANCE($A92, H$2)"),49.48)</f>
        <v>49.48</v>
      </c>
      <c r="I92" s="4" t="str">
        <f>IFERROR(__xludf.DUMMYFUNCTION("REPLACE(JOIN("";"", INDEX(TRANSPOSE(GOOGLEFINANCE($A92, $I$2, TODAY() - 30, TODAY(), 1)), 2)), 1, 6, """")"),"49,8;49,16;48,52;50,37;50,15;48,7;48,33;47,91;50,19;49,55;50,97;51,6;51,15;50,55;50,5;50,35;49,55;49,7")</f>
        <v>49,8;49,16;48,52;50,37;50,15;48,7;48,33;47,91;50,19;49,55;50,97;51,6;51,15;50,55;50,5;50,35;49,55;49,7</v>
      </c>
    </row>
    <row r="93">
      <c r="A93" s="3" t="s">
        <v>197</v>
      </c>
      <c r="B93" s="4" t="s">
        <v>198</v>
      </c>
      <c r="C93" s="4">
        <f>IFERROR(__xludf.DUMMYFUNCTION("GOOGLEFINANCE($A93, C$2)"),106.9)</f>
        <v>106.9</v>
      </c>
      <c r="D93" s="4">
        <f>IFERROR(__xludf.DUMMYFUNCTION("GOOGLEFINANCE($A93, D$2)"),0.0)</f>
        <v>0</v>
      </c>
      <c r="E93" s="4">
        <f>IFERROR(__xludf.DUMMYFUNCTION("GOOGLEFINANCE($A93, E$2)"),72.13)</f>
        <v>72.13</v>
      </c>
      <c r="F93" s="4">
        <f>IFERROR(__xludf.DUMMYFUNCTION("GOOGLEFINANCE($A93, F$2)"),1.48)</f>
        <v>1.48</v>
      </c>
      <c r="G93" s="4">
        <f>IFERROR(__xludf.DUMMYFUNCTION("GOOGLEFINANCE($A93, G$2)"),107.92)</f>
        <v>107.92</v>
      </c>
      <c r="H93" s="4">
        <f>IFERROR(__xludf.DUMMYFUNCTION("GOOGLEFINANCE($A93, H$2)"),105.14)</f>
        <v>105.14</v>
      </c>
      <c r="I93" s="4" t="str">
        <f>IFERROR(__xludf.DUMMYFUNCTION("REPLACE(JOIN("";"", INDEX(TRANSPOSE(GOOGLEFINANCE($A93, $I$2, TODAY() - 30, TODAY(), 1)), 2)), 1, 6, """")"),"92,88;91,5;89,96;98,03;95,05;98,47;98,83;106,47;109,46;110;114,15;113,72;108,75;111,6;109;109,32;106,2;106,9")</f>
        <v>92,88;91,5;89,96;98,03;95,05;98,47;98,83;106,47;109,46;110;114,15;113,72;108,75;111,6;109;109,32;106,2;106,9</v>
      </c>
    </row>
    <row r="94">
      <c r="A94" s="3" t="s">
        <v>199</v>
      </c>
      <c r="B94" s="4" t="s">
        <v>200</v>
      </c>
      <c r="C94" s="4">
        <f>IFERROR(__xludf.DUMMYFUNCTION("GOOGLEFINANCE($A94, C$2)"),46.2)</f>
        <v>46.2</v>
      </c>
      <c r="D94" s="4">
        <f>IFERROR(__xludf.DUMMYFUNCTION("GOOGLEFINANCE($A94, D$2)"),0.0)</f>
        <v>0</v>
      </c>
      <c r="E94" s="4">
        <f>IFERROR(__xludf.DUMMYFUNCTION("GOOGLEFINANCE($A94, E$2)"),31.17)</f>
        <v>31.17</v>
      </c>
      <c r="F94" s="4">
        <f>IFERROR(__xludf.DUMMYFUNCTION("GOOGLEFINANCE($A94, F$2)"),1.48)</f>
        <v>1.48</v>
      </c>
      <c r="G94" s="4">
        <f>IFERROR(__xludf.DUMMYFUNCTION("GOOGLEFINANCE($A94, G$2)"),48.49)</f>
        <v>48.49</v>
      </c>
      <c r="H94" s="4">
        <f>IFERROR(__xludf.DUMMYFUNCTION("GOOGLEFINANCE($A94, H$2)"),46.0)</f>
        <v>46</v>
      </c>
      <c r="I94" s="4" t="str">
        <f>IFERROR(__xludf.DUMMYFUNCTION("REPLACE(JOIN("";"", INDEX(TRANSPOSE(GOOGLEFINANCE($A94, $I$2, TODAY() - 30, TODAY(), 1)), 2)), 1, 6, """")"),"45;44,28;43,47;47,73;47,44;46,63;46,16;47,99;47,88;47,23;47,65;47,81;47,69;48,03;47,9;48,37;46,5;46,2")</f>
        <v>45;44,28;43,47;47,73;47,44;46,63;46,16;47,99;47,88;47,23;47,65;47,81;47,69;48,03;47,9;48,37;46,5;46,2</v>
      </c>
    </row>
    <row r="95">
      <c r="A95" s="3" t="s">
        <v>201</v>
      </c>
      <c r="B95" s="4" t="s">
        <v>202</v>
      </c>
      <c r="C95" s="4">
        <f>IFERROR(__xludf.DUMMYFUNCTION("GOOGLEFINANCE($A95, C$2)"),31.0)</f>
        <v>31</v>
      </c>
      <c r="D95" s="4">
        <f>IFERROR(__xludf.DUMMYFUNCTION("GOOGLEFINANCE($A95, D$2)"),0.0)</f>
        <v>0</v>
      </c>
      <c r="E95" s="4">
        <f>IFERROR(__xludf.DUMMYFUNCTION("GOOGLEFINANCE($A95, E$2)"),20.92)</f>
        <v>20.92</v>
      </c>
      <c r="F95" s="4">
        <f>IFERROR(__xludf.DUMMYFUNCTION("GOOGLEFINANCE($A95, F$2)"),1.48)</f>
        <v>1.48</v>
      </c>
      <c r="G95" s="4">
        <f>IFERROR(__xludf.DUMMYFUNCTION("GOOGLEFINANCE($A95, G$2)"),31.0)</f>
        <v>31</v>
      </c>
      <c r="H95" s="4">
        <f>IFERROR(__xludf.DUMMYFUNCTION("GOOGLEFINANCE($A95, H$2)"),30.01)</f>
        <v>30.01</v>
      </c>
      <c r="I95" s="4" t="str">
        <f>IFERROR(__xludf.DUMMYFUNCTION("REPLACE(JOIN("";"", INDEX(TRANSPOSE(GOOGLEFINANCE($A95, $I$2, TODAY() - 30, TODAY(), 1)), 2)), 1, 6, """")"),"25;24,45;24,2;25,93;25,2;26,6;26,4;28,11;31;32,76;35,39;33,52;32,19;33;31,7;31,4;30,24;31")</f>
        <v>25;24,45;24,2;25,93;25,2;26,6;26,4;28,11;31;32,76;35,39;33,52;32,19;33;31,7;31,4;30,24;31</v>
      </c>
    </row>
    <row r="96">
      <c r="A96" s="3" t="s">
        <v>203</v>
      </c>
      <c r="B96" s="4" t="s">
        <v>204</v>
      </c>
      <c r="C96" s="4">
        <f>IFERROR(__xludf.DUMMYFUNCTION("GOOGLEFINANCE($A96, C$2)"),13.45)</f>
        <v>13.45</v>
      </c>
      <c r="D96" s="4">
        <f>IFERROR(__xludf.DUMMYFUNCTION("GOOGLEFINANCE($A96, D$2)"),0.0)</f>
        <v>0</v>
      </c>
      <c r="E96" s="4">
        <f>IFERROR(__xludf.DUMMYFUNCTION("GOOGLEFINANCE($A96, E$2)"),24.72)</f>
        <v>24.72</v>
      </c>
      <c r="F96" s="4">
        <f>IFERROR(__xludf.DUMMYFUNCTION("GOOGLEFINANCE($A96, F$2)"),0.54)</f>
        <v>0.54</v>
      </c>
      <c r="G96" s="4">
        <f>IFERROR(__xludf.DUMMYFUNCTION("GOOGLEFINANCE($A96, G$2)"),13.52)</f>
        <v>13.52</v>
      </c>
      <c r="H96" s="4">
        <f>IFERROR(__xludf.DUMMYFUNCTION("GOOGLEFINANCE($A96, H$2)"),12.77)</f>
        <v>12.77</v>
      </c>
      <c r="I96" s="4" t="str">
        <f>IFERROR(__xludf.DUMMYFUNCTION("REPLACE(JOIN("";"", INDEX(TRANSPOSE(GOOGLEFINANCE($A96, $I$2, TODAY() - 30, TODAY(), 1)), 2)), 1, 6, """")"),"9,36;9,18;9,29;9,62;9,39;9,97;10,07;11,29;11,85;12,26;13,04;13,1;12,75;12,8;12,56;12,71;12,96;13,45")</f>
        <v>9,36;9,18;9,29;9,62;9,39;9,97;10,07;11,29;11,85;12,26;13,04;13,1;12,75;12,8;12,56;12,71;12,96;13,45</v>
      </c>
    </row>
    <row r="97">
      <c r="A97" s="3" t="s">
        <v>205</v>
      </c>
      <c r="B97" s="4" t="s">
        <v>206</v>
      </c>
      <c r="C97" s="4">
        <f>IFERROR(__xludf.DUMMYFUNCTION("GOOGLEFINANCE($A97, C$2)"),57.0)</f>
        <v>57</v>
      </c>
      <c r="D97" s="4">
        <f>IFERROR(__xludf.DUMMYFUNCTION("GOOGLEFINANCE($A97, D$2)"),0.0)</f>
        <v>0</v>
      </c>
      <c r="E97" s="4">
        <f>IFERROR(__xludf.DUMMYFUNCTION("GOOGLEFINANCE($A97, E$2)"),26.34)</f>
        <v>26.34</v>
      </c>
      <c r="F97" s="4">
        <f>IFERROR(__xludf.DUMMYFUNCTION("GOOGLEFINANCE($A97, F$2)"),2.16)</f>
        <v>2.16</v>
      </c>
      <c r="G97" s="4">
        <f>IFERROR(__xludf.DUMMYFUNCTION("GOOGLEFINANCE($A97, G$2)"),57.0)</f>
        <v>57</v>
      </c>
      <c r="H97" s="4">
        <f>IFERROR(__xludf.DUMMYFUNCTION("GOOGLEFINANCE($A97, H$2)"),55.79)</f>
        <v>55.79</v>
      </c>
      <c r="I97" s="4" t="str">
        <f>IFERROR(__xludf.DUMMYFUNCTION("REPLACE(JOIN("";"", INDEX(TRANSPOSE(GOOGLEFINANCE($A97, $I$2, TODAY() - 30, TODAY(), 1)), 2)), 1, 6, """")"),"62,38;61,35;59,8;57,46;54,85;56,49;53,2;55;54,47;55,54;55,75;54,69;54,75;54,46;54,32;55,56;56,48;57")</f>
        <v>62,38;61,35;59,8;57,46;54,85;56,49;53,2;55;54,47;55,54;55,75;54,69;54,75;54,46;54,32;55,56;56,48;57</v>
      </c>
    </row>
    <row r="98">
      <c r="A98" s="3" t="s">
        <v>207</v>
      </c>
      <c r="B98" s="4" t="s">
        <v>208</v>
      </c>
      <c r="C98" s="4">
        <f>IFERROR(__xludf.DUMMYFUNCTION("GOOGLEFINANCE($A98, C$2)"),65.19)</f>
        <v>65.19</v>
      </c>
      <c r="D98" s="4">
        <f>IFERROR(__xludf.DUMMYFUNCTION("GOOGLEFINANCE($A98, D$2)"),0.0)</f>
        <v>0</v>
      </c>
      <c r="E98" s="4">
        <f>IFERROR(__xludf.DUMMYFUNCTION("GOOGLEFINANCE($A98, E$2)"),30.12)</f>
        <v>30.12</v>
      </c>
      <c r="F98" s="4">
        <f>IFERROR(__xludf.DUMMYFUNCTION("GOOGLEFINANCE($A98, F$2)"),2.16)</f>
        <v>2.16</v>
      </c>
      <c r="G98" s="4">
        <f>IFERROR(__xludf.DUMMYFUNCTION("GOOGLEFINANCE($A98, G$2)"),65.55)</f>
        <v>65.55</v>
      </c>
      <c r="H98" s="4">
        <f>IFERROR(__xludf.DUMMYFUNCTION("GOOGLEFINANCE($A98, H$2)"),63.66)</f>
        <v>63.66</v>
      </c>
      <c r="I98" s="4" t="str">
        <f>IFERROR(__xludf.DUMMYFUNCTION("REPLACE(JOIN("";"", INDEX(TRANSPOSE(GOOGLEFINANCE($A98, $I$2, TODAY() - 30, TODAY(), 1)), 2)), 1, 6, """")"),"70,87;70,17;67,79;65,99;62,51;64,76;61,06;62,4;61,51;63,07;63,27;63,16;63,06;62,8;62,6;64,01;64,4;65,19")</f>
        <v>70,87;70,17;67,79;65,99;62,51;64,76;61,06;62,4;61,51;63,07;63,27;63,16;63,06;62,8;62,6;64,01;64,4;65,19</v>
      </c>
    </row>
    <row r="99">
      <c r="A99" s="3" t="s">
        <v>209</v>
      </c>
      <c r="B99" s="4" t="s">
        <v>210</v>
      </c>
      <c r="C99" s="4">
        <f>IFERROR(__xludf.DUMMYFUNCTION("GOOGLEFINANCE($A99, C$2)"),22.86)</f>
        <v>22.86</v>
      </c>
      <c r="D99" s="4">
        <f>IFERROR(__xludf.DUMMYFUNCTION("GOOGLEFINANCE($A99, D$2)"),0.0)</f>
        <v>0</v>
      </c>
      <c r="E99" s="4">
        <f>IFERROR(__xludf.DUMMYFUNCTION("GOOGLEFINANCE($A99, E$2)"),31.22)</f>
        <v>31.22</v>
      </c>
      <c r="F99" s="4">
        <f>IFERROR(__xludf.DUMMYFUNCTION("GOOGLEFINANCE($A99, F$2)"),0.73)</f>
        <v>0.73</v>
      </c>
      <c r="G99" s="4">
        <f>IFERROR(__xludf.DUMMYFUNCTION("GOOGLEFINANCE($A99, G$2)"),23.0)</f>
        <v>23</v>
      </c>
      <c r="H99" s="4">
        <f>IFERROR(__xludf.DUMMYFUNCTION("GOOGLEFINANCE($A99, H$2)"),22.03)</f>
        <v>22.03</v>
      </c>
      <c r="I99" s="4" t="str">
        <f>IFERROR(__xludf.DUMMYFUNCTION("REPLACE(JOIN("";"", INDEX(TRANSPOSE(GOOGLEFINANCE($A99, $I$2, TODAY() - 30, TODAY(), 1)), 2)), 1, 6, """")"),"20,9;22,9;23,27;23,8;23,26;23,77;23,34;22,99;22,77;22,48;22,43;22,38;22,33;22,65;22,25;22,25;22,42;22,86")</f>
        <v>20,9;22,9;23,27;23,8;23,26;23,77;23,34;22,99;22,77;22,48;22,43;22,38;22,33;22,65;22,25;22,25;22,42;22,86</v>
      </c>
    </row>
    <row r="100">
      <c r="A100" s="3" t="s">
        <v>211</v>
      </c>
      <c r="B100" s="4" t="s">
        <v>212</v>
      </c>
      <c r="C100" s="4">
        <f>IFERROR(__xludf.DUMMYFUNCTION("GOOGLEFINANCE($A100, C$2)"),22.46)</f>
        <v>22.46</v>
      </c>
      <c r="D100" s="4">
        <f>IFERROR(__xludf.DUMMYFUNCTION("GOOGLEFINANCE($A100, D$2)"),0.0)</f>
        <v>0</v>
      </c>
      <c r="E100" s="4">
        <f>IFERROR(__xludf.DUMMYFUNCTION("GOOGLEFINANCE($A100, E$2)"),15.73)</f>
        <v>15.73</v>
      </c>
      <c r="F100" s="4">
        <f>IFERROR(__xludf.DUMMYFUNCTION("GOOGLEFINANCE($A100, F$2)"),1.43)</f>
        <v>1.43</v>
      </c>
      <c r="G100" s="4">
        <f>IFERROR(__xludf.DUMMYFUNCTION("GOOGLEFINANCE($A100, G$2)"),22.92)</f>
        <v>22.92</v>
      </c>
      <c r="H100" s="4">
        <f>IFERROR(__xludf.DUMMYFUNCTION("GOOGLEFINANCE($A100, H$2)"),22.45)</f>
        <v>22.45</v>
      </c>
      <c r="I100" s="4" t="str">
        <f>IFERROR(__xludf.DUMMYFUNCTION("REPLACE(JOIN("";"", INDEX(TRANSPOSE(GOOGLEFINANCE($A100, $I$2, TODAY() - 30, TODAY(), 1)), 2)), 1, 6, """")"),"20,69;20,41;20,99;21,65;21,22;21,05;21,9;22,57;22,39;22,41;23,1;23,34;23,07;22,98;23,3;23,25;22,6;22,46")</f>
        <v>20,69;20,41;20,99;21,65;21,22;21,05;21,9;22,57;22,39;22,41;23,1;23,34;23,07;22,98;23,3;23,25;22,6;22,46</v>
      </c>
    </row>
    <row r="101">
      <c r="A101" s="3" t="s">
        <v>213</v>
      </c>
      <c r="B101" s="4" t="s">
        <v>214</v>
      </c>
      <c r="C101" s="4">
        <f>IFERROR(__xludf.DUMMYFUNCTION("GOOGLEFINANCE($A101, C$2)"),10.79)</f>
        <v>10.79</v>
      </c>
      <c r="D101" s="4">
        <f>IFERROR(__xludf.DUMMYFUNCTION("GOOGLEFINANCE($A101, D$2)"),0.0)</f>
        <v>0</v>
      </c>
      <c r="E101" s="4">
        <f>IFERROR(__xludf.DUMMYFUNCTION("GOOGLEFINANCE($A101, E$2)"),16.16)</f>
        <v>16.16</v>
      </c>
      <c r="F101" s="4">
        <f>IFERROR(__xludf.DUMMYFUNCTION("GOOGLEFINANCE($A101, F$2)"),0.67)</f>
        <v>0.67</v>
      </c>
      <c r="G101" s="4">
        <f>IFERROR(__xludf.DUMMYFUNCTION("GOOGLEFINANCE($A101, G$2)"),11.0)</f>
        <v>11</v>
      </c>
      <c r="H101" s="4">
        <f>IFERROR(__xludf.DUMMYFUNCTION("GOOGLEFINANCE($A101, H$2)"),10.7)</f>
        <v>10.7</v>
      </c>
      <c r="I101" s="4" t="str">
        <f>IFERROR(__xludf.DUMMYFUNCTION("REPLACE(JOIN("";"", INDEX(TRANSPOSE(GOOGLEFINANCE($A101, $I$2, TODAY() - 30, TODAY(), 1)), 2)), 1, 6, """")"),"16;19,99;15,49;15;15,01;14,01;18;14,61;12,49;11,2;10,52;10,55;10,13;10,76;11,85;10,79")</f>
        <v>16;19,99;15,49;15;15,01;14,01;18;14,61;12,49;11,2;10,52;10,55;10,13;10,76;11,85;10,79</v>
      </c>
    </row>
    <row r="102">
      <c r="A102" s="3" t="s">
        <v>215</v>
      </c>
      <c r="B102" s="4" t="s">
        <v>216</v>
      </c>
      <c r="C102" s="4">
        <f>IFERROR(__xludf.DUMMYFUNCTION("GOOGLEFINANCE($A102, C$2)"),9.46)</f>
        <v>9.46</v>
      </c>
      <c r="D102" s="4">
        <f>IFERROR(__xludf.DUMMYFUNCTION("GOOGLEFINANCE($A102, D$2)"),0.0)</f>
        <v>0</v>
      </c>
      <c r="E102" s="4">
        <f>IFERROR(__xludf.DUMMYFUNCTION("GOOGLEFINANCE($A102, E$2)"),14.17)</f>
        <v>14.17</v>
      </c>
      <c r="F102" s="4">
        <f>IFERROR(__xludf.DUMMYFUNCTION("GOOGLEFINANCE($A102, F$2)"),0.67)</f>
        <v>0.67</v>
      </c>
      <c r="G102" s="4">
        <f>IFERROR(__xludf.DUMMYFUNCTION("GOOGLEFINANCE($A102, G$2)"),9.5)</f>
        <v>9.5</v>
      </c>
      <c r="H102" s="4">
        <f>IFERROR(__xludf.DUMMYFUNCTION("GOOGLEFINANCE($A102, H$2)"),9.36)</f>
        <v>9.36</v>
      </c>
      <c r="I102" s="4" t="str">
        <f>IFERROR(__xludf.DUMMYFUNCTION("REPLACE(JOIN("";"", INDEX(TRANSPOSE(GOOGLEFINANCE($A102, $I$2, TODAY() - 30, TODAY(), 1)), 2)), 1, 6, """")"),"10,86;11,01;10,39;10,64;10,4;10,4;10,4;10,52;10,34;10,22;9,94;9,83;9,71;9,94;9,36;9,63;9,46")</f>
        <v>10,86;11,01;10,39;10,64;10,4;10,4;10,4;10,52;10,34;10,22;9,94;9,83;9,71;9,94;9,36;9,63;9,46</v>
      </c>
    </row>
    <row r="103">
      <c r="A103" s="3" t="s">
        <v>217</v>
      </c>
      <c r="B103" s="4" t="s">
        <v>218</v>
      </c>
      <c r="C103" s="4">
        <f>IFERROR(__xludf.DUMMYFUNCTION("GOOGLEFINANCE($A103, C$2)"),17.79)</f>
        <v>17.79</v>
      </c>
      <c r="D103" s="4">
        <f>IFERROR(__xludf.DUMMYFUNCTION("GOOGLEFINANCE($A103, D$2)"),0.0)</f>
        <v>0</v>
      </c>
      <c r="E103" s="4">
        <f>IFERROR(__xludf.DUMMYFUNCTION("GOOGLEFINANCE($A103, E$2)"),26.65)</f>
        <v>26.65</v>
      </c>
      <c r="F103" s="4">
        <f>IFERROR(__xludf.DUMMYFUNCTION("GOOGLEFINANCE($A103, F$2)"),0.67)</f>
        <v>0.67</v>
      </c>
      <c r="G103" s="4" t="str">
        <f>IFERROR(__xludf.DUMMYFUNCTION("GOOGLEFINANCE($A103, G$2)"),"#N/A")</f>
        <v>#N/A</v>
      </c>
      <c r="H103" s="4" t="str">
        <f>IFERROR(__xludf.DUMMYFUNCTION("GOOGLEFINANCE($A103, H$2)"),"#N/A")</f>
        <v>#N/A</v>
      </c>
      <c r="I103" s="4" t="str">
        <f>IFERROR(__xludf.DUMMYFUNCTION("REPLACE(JOIN("";"", INDEX(TRANSPOSE(GOOGLEFINANCE($A103, $I$2, TODAY() - 30, TODAY(), 1)), 2)), 1, 6, """")"),"12,99;20;32,99;20,99;18;20;18;18,1;16,11;14,59;17,8;17,79")</f>
        <v>12,99;20;32,99;20,99;18;20;18;18,1;16,11;14,59;17,8;17,79</v>
      </c>
    </row>
    <row r="104">
      <c r="A104" s="3" t="s">
        <v>219</v>
      </c>
      <c r="B104" s="4" t="s">
        <v>220</v>
      </c>
      <c r="C104" s="4">
        <f>IFERROR(__xludf.DUMMYFUNCTION("GOOGLEFINANCE($A104, C$2)"),16.81)</f>
        <v>16.81</v>
      </c>
      <c r="D104" s="4">
        <f>IFERROR(__xludf.DUMMYFUNCTION("GOOGLEFINANCE($A104, D$2)"),0.0)</f>
        <v>0</v>
      </c>
      <c r="E104" s="4">
        <f>IFERROR(__xludf.DUMMYFUNCTION("GOOGLEFINANCE($A104, E$2)"),25.18)</f>
        <v>25.18</v>
      </c>
      <c r="F104" s="4">
        <f>IFERROR(__xludf.DUMMYFUNCTION("GOOGLEFINANCE($A104, F$2)"),0.67)</f>
        <v>0.67</v>
      </c>
      <c r="G104" s="4" t="str">
        <f>IFERROR(__xludf.DUMMYFUNCTION("GOOGLEFINANCE($A104, G$2)"),"#N/A")</f>
        <v>#N/A</v>
      </c>
      <c r="H104" s="4" t="str">
        <f>IFERROR(__xludf.DUMMYFUNCTION("GOOGLEFINANCE($A104, H$2)"),"#N/A")</f>
        <v>#N/A</v>
      </c>
      <c r="I104" s="4" t="str">
        <f>IFERROR(__xludf.DUMMYFUNCTION("REPLACE(JOIN("";"", INDEX(TRANSPOSE(GOOGLEFINANCE($A104, $I$2, TODAY() - 30, TODAY(), 1)), 2)), 1, 6, """")"),"16,81")</f>
        <v>16,81</v>
      </c>
    </row>
    <row r="105">
      <c r="A105" s="3" t="s">
        <v>221</v>
      </c>
      <c r="B105" s="4" t="s">
        <v>222</v>
      </c>
      <c r="C105" s="4">
        <f>IFERROR(__xludf.DUMMYFUNCTION("GOOGLEFINANCE($A105, C$2)"),11.84)</f>
        <v>11.84</v>
      </c>
      <c r="D105" s="4">
        <f>IFERROR(__xludf.DUMMYFUNCTION("GOOGLEFINANCE($A105, D$2)"),0.0)</f>
        <v>0</v>
      </c>
      <c r="E105" s="4">
        <f>IFERROR(__xludf.DUMMYFUNCTION("GOOGLEFINANCE($A105, E$2)"),17.74)</f>
        <v>17.74</v>
      </c>
      <c r="F105" s="4">
        <f>IFERROR(__xludf.DUMMYFUNCTION("GOOGLEFINANCE($A105, F$2)"),0.67)</f>
        <v>0.67</v>
      </c>
      <c r="G105" s="4" t="str">
        <f>IFERROR(__xludf.DUMMYFUNCTION("GOOGLEFINANCE($A105, G$2)"),"#N/A")</f>
        <v>#N/A</v>
      </c>
      <c r="H105" s="4" t="str">
        <f>IFERROR(__xludf.DUMMYFUNCTION("GOOGLEFINANCE($A105, H$2)"),"#N/A")</f>
        <v>#N/A</v>
      </c>
      <c r="I105" s="4" t="str">
        <f>IFERROR(__xludf.DUMMYFUNCTION("REPLACE(JOIN("";"", INDEX(TRANSPOSE(GOOGLEFINANCE($A105, $I$2, TODAY() - 30, TODAY(), 1)), 2)), 1, 6, """")"),"9,25;10,5;10,2;10,7;10,01;10,25;9,71;9,9;10,98;10,44;11;11,39;11,18;11,84")</f>
        <v>9,25;10,5;10,2;10,7;10,01;10,25;9,71;9,9;10,98;10,44;11;11,39;11,18;11,84</v>
      </c>
    </row>
    <row r="106">
      <c r="A106" s="3" t="s">
        <v>223</v>
      </c>
      <c r="B106" s="4" t="s">
        <v>224</v>
      </c>
      <c r="C106" s="4">
        <f>IFERROR(__xludf.DUMMYFUNCTION("GOOGLEFINANCE($A106, C$2)"),11.01)</f>
        <v>11.01</v>
      </c>
      <c r="D106" s="4">
        <f>IFERROR(__xludf.DUMMYFUNCTION("GOOGLEFINANCE($A106, D$2)"),0.0)</f>
        <v>0</v>
      </c>
      <c r="E106" s="4">
        <f>IFERROR(__xludf.DUMMYFUNCTION("GOOGLEFINANCE($A106, E$2)"),13.1)</f>
        <v>13.1</v>
      </c>
      <c r="F106" s="4">
        <f>IFERROR(__xludf.DUMMYFUNCTION("GOOGLEFINANCE($A106, F$2)"),0.84)</f>
        <v>0.84</v>
      </c>
      <c r="G106" s="4">
        <f>IFERROR(__xludf.DUMMYFUNCTION("GOOGLEFINANCE($A106, G$2)"),11.01)</f>
        <v>11.01</v>
      </c>
      <c r="H106" s="4">
        <f>IFERROR(__xludf.DUMMYFUNCTION("GOOGLEFINANCE($A106, H$2)"),11.01)</f>
        <v>11.01</v>
      </c>
      <c r="I106" s="4" t="str">
        <f>IFERROR(__xludf.DUMMYFUNCTION("REPLACE(JOIN("";"", INDEX(TRANSPOSE(GOOGLEFINANCE($A106, $I$2, TODAY() - 30, TODAY(), 1)), 2)), 1, 6, """")"),"12,92;13,5;12,3;11,94;12,09;12,04;11,96;12,19;12,05;11,9;11,5;11,29;11,01;11,09;11,02;11,02;11,01;11,01")</f>
        <v>12,92;13,5;12,3;11,94;12,09;12,04;11,96;12,19;12,05;11,9;11,5;11,29;11,01;11,09;11,02;11,02;11,01;11,01</v>
      </c>
    </row>
    <row r="107">
      <c r="A107" s="3" t="s">
        <v>225</v>
      </c>
      <c r="B107" s="4" t="s">
        <v>226</v>
      </c>
      <c r="C107" s="4">
        <f>IFERROR(__xludf.DUMMYFUNCTION("GOOGLEFINANCE($A107, C$2)"),9.35)</f>
        <v>9.35</v>
      </c>
      <c r="D107" s="4">
        <f>IFERROR(__xludf.DUMMYFUNCTION("GOOGLEFINANCE($A107, D$2)"),0.0)</f>
        <v>0</v>
      </c>
      <c r="E107" s="4">
        <f>IFERROR(__xludf.DUMMYFUNCTION("GOOGLEFINANCE($A107, E$2)"),11.13)</f>
        <v>11.13</v>
      </c>
      <c r="F107" s="4">
        <f>IFERROR(__xludf.DUMMYFUNCTION("GOOGLEFINANCE($A107, F$2)"),0.84)</f>
        <v>0.84</v>
      </c>
      <c r="G107" s="4">
        <f>IFERROR(__xludf.DUMMYFUNCTION("GOOGLEFINANCE($A107, G$2)"),9.35)</f>
        <v>9.35</v>
      </c>
      <c r="H107" s="4">
        <f>IFERROR(__xludf.DUMMYFUNCTION("GOOGLEFINANCE($A107, H$2)"),9.24)</f>
        <v>9.24</v>
      </c>
      <c r="I107" s="4" t="str">
        <f>IFERROR(__xludf.DUMMYFUNCTION("REPLACE(JOIN("";"", INDEX(TRANSPOSE(GOOGLEFINANCE($A107, $I$2, TODAY() - 30, TODAY(), 1)), 2)), 1, 6, """")"),"9,65;9,63;9,35;9,24;9,1;9,3;9,53;9,3;9,3;9,19;9,5;9,37;9,25;9,15;9,4;9,35;9,35")</f>
        <v>9,65;9,63;9,35;9,24;9,1;9,3;9,53;9,3;9,3;9,19;9,5;9,37;9,25;9,15;9,4;9,35;9,35</v>
      </c>
    </row>
    <row r="108">
      <c r="A108" s="3" t="s">
        <v>227</v>
      </c>
      <c r="B108" s="4" t="s">
        <v>228</v>
      </c>
      <c r="C108" s="4">
        <f>IFERROR(__xludf.DUMMYFUNCTION("GOOGLEFINANCE($A108, C$2)"),29.74)</f>
        <v>29.74</v>
      </c>
      <c r="D108" s="4">
        <f>IFERROR(__xludf.DUMMYFUNCTION("GOOGLEFINANCE($A108, D$2)"),0.0)</f>
        <v>0</v>
      </c>
      <c r="E108" s="4" t="str">
        <f>IFERROR(__xludf.DUMMYFUNCTION("GOOGLEFINANCE($A108, E$2)"),"#N/A")</f>
        <v>#N/A</v>
      </c>
      <c r="F108" s="4">
        <f>IFERROR(__xludf.DUMMYFUNCTION("GOOGLEFINANCE($A108, F$2)"),-13.14)</f>
        <v>-13.14</v>
      </c>
      <c r="G108" s="4">
        <f>IFERROR(__xludf.DUMMYFUNCTION("GOOGLEFINANCE($A108, G$2)"),29.98)</f>
        <v>29.98</v>
      </c>
      <c r="H108" s="4">
        <f>IFERROR(__xludf.DUMMYFUNCTION("GOOGLEFINANCE($A108, H$2)"),28.99)</f>
        <v>28.99</v>
      </c>
      <c r="I108" s="4" t="str">
        <f>IFERROR(__xludf.DUMMYFUNCTION("REPLACE(JOIN("";"", INDEX(TRANSPOSE(GOOGLEFINANCE($A108, $I$2, TODAY() - 30, TODAY(), 1)), 2)), 1, 6, """")"),"25,02;24,9;24,74;24,74;24,75;25,58;27;28,45;29,25;28,77;28,75;28,77;28,48;28,95;29,94;29,9;29,42;29,74")</f>
        <v>25,02;24,9;24,74;24,74;24,75;25,58;27;28,45;29,25;28,77;28,75;28,77;28,48;28,95;29,94;29,9;29,42;29,74</v>
      </c>
    </row>
    <row r="109">
      <c r="A109" s="3" t="s">
        <v>229</v>
      </c>
      <c r="B109" s="4" t="s">
        <v>230</v>
      </c>
      <c r="C109" s="4">
        <f>IFERROR(__xludf.DUMMYFUNCTION("GOOGLEFINANCE($A109, C$2)"),30.65)</f>
        <v>30.65</v>
      </c>
      <c r="D109" s="4">
        <f>IFERROR(__xludf.DUMMYFUNCTION("GOOGLEFINANCE($A109, D$2)"),0.0)</f>
        <v>0</v>
      </c>
      <c r="E109" s="4" t="str">
        <f>IFERROR(__xludf.DUMMYFUNCTION("GOOGLEFINANCE($A109, E$2)"),"#N/A")</f>
        <v>#N/A</v>
      </c>
      <c r="F109" s="4">
        <f>IFERROR(__xludf.DUMMYFUNCTION("GOOGLEFINANCE($A109, F$2)"),-13.14)</f>
        <v>-13.14</v>
      </c>
      <c r="G109" s="4">
        <f>IFERROR(__xludf.DUMMYFUNCTION("GOOGLEFINANCE($A109, G$2)"),30.85)</f>
        <v>30.85</v>
      </c>
      <c r="H109" s="4">
        <f>IFERROR(__xludf.DUMMYFUNCTION("GOOGLEFINANCE($A109, H$2)"),29.85)</f>
        <v>29.85</v>
      </c>
      <c r="I109" s="4" t="str">
        <f>IFERROR(__xludf.DUMMYFUNCTION("REPLACE(JOIN("";"", INDEX(TRANSPOSE(GOOGLEFINANCE($A109, $I$2, TODAY() - 30, TODAY(), 1)), 2)), 1, 6, """")"),"24,01;23,65;23,3;23,83;24,22;25,56;27,18;28,87;29,71;29,16;28,63;28,99;28,81;29,33;30,22;30,52;30,22;30,65")</f>
        <v>24,01;23,65;23,3;23,83;24,22;25,56;27,18;28,87;29,71;29,16;28,63;28,99;28,81;29,33;30,22;30,52;30,22;30,65</v>
      </c>
    </row>
    <row r="110">
      <c r="A110" s="3" t="s">
        <v>231</v>
      </c>
      <c r="B110" s="4" t="s">
        <v>232</v>
      </c>
      <c r="C110" s="4">
        <f>IFERROR(__xludf.DUMMYFUNCTION("GOOGLEFINANCE($A110, C$2)"),17.99)</f>
        <v>17.99</v>
      </c>
      <c r="D110" s="4">
        <f>IFERROR(__xludf.DUMMYFUNCTION("GOOGLEFINANCE($A110, D$2)"),0.0)</f>
        <v>0</v>
      </c>
      <c r="E110" s="4" t="str">
        <f>IFERROR(__xludf.DUMMYFUNCTION("GOOGLEFINANCE($A110, E$2)"),"#N/A")</f>
        <v>#N/A</v>
      </c>
      <c r="F110" s="4">
        <f>IFERROR(__xludf.DUMMYFUNCTION("GOOGLEFINANCE($A110, F$2)"),-13.14)</f>
        <v>-13.14</v>
      </c>
      <c r="G110" s="4" t="str">
        <f>IFERROR(__xludf.DUMMYFUNCTION("GOOGLEFINANCE($A110, G$2)"),"#N/A")</f>
        <v>#N/A</v>
      </c>
      <c r="H110" s="4" t="str">
        <f>IFERROR(__xludf.DUMMYFUNCTION("GOOGLEFINANCE($A110, H$2)"),"#N/A")</f>
        <v>#N/A</v>
      </c>
      <c r="I110" s="4" t="str">
        <f>IFERROR(__xludf.DUMMYFUNCTION("REPLACE(JOIN("";"", INDEX(TRANSPOSE(GOOGLEFINANCE($A110, $I$2, TODAY() - 30, TODAY(), 1)), 2)), 1, 6, """")"),"18;18;19,08;19,09;18,5;18,77;18,77;18,02;18,02;18,21;17,99")</f>
        <v>18;18;19,08;19,09;18,5;18,77;18,77;18,02;18,02;18,21;17,99</v>
      </c>
    </row>
    <row r="111">
      <c r="A111" s="3" t="s">
        <v>233</v>
      </c>
      <c r="B111" s="4" t="s">
        <v>234</v>
      </c>
      <c r="C111" s="4">
        <f>IFERROR(__xludf.DUMMYFUNCTION("GOOGLEFINANCE($A111, C$2)"),9.22)</f>
        <v>9.22</v>
      </c>
      <c r="D111" s="4">
        <f>IFERROR(__xludf.DUMMYFUNCTION("GOOGLEFINANCE($A111, D$2)"),0.0)</f>
        <v>0</v>
      </c>
      <c r="E111" s="4" t="str">
        <f>IFERROR(__xludf.DUMMYFUNCTION("GOOGLEFINANCE($A111, E$2)"),"#N/A")</f>
        <v>#N/A</v>
      </c>
      <c r="F111" s="4">
        <f>IFERROR(__xludf.DUMMYFUNCTION("GOOGLEFINANCE($A111, F$2)"),-0.02)</f>
        <v>-0.02</v>
      </c>
      <c r="G111" s="4">
        <f>IFERROR(__xludf.DUMMYFUNCTION("GOOGLEFINANCE($A111, G$2)"),9.4)</f>
        <v>9.4</v>
      </c>
      <c r="H111" s="4">
        <f>IFERROR(__xludf.DUMMYFUNCTION("GOOGLEFINANCE($A111, H$2)"),9.18)</f>
        <v>9.18</v>
      </c>
      <c r="I111" s="4" t="str">
        <f>IFERROR(__xludf.DUMMYFUNCTION("REPLACE(JOIN("";"", INDEX(TRANSPOSE(GOOGLEFINANCE($A111, $I$2, TODAY() - 30, TODAY(), 1)), 2)), 1, 6, """")"),"9,17;9,34;9,29;9,89;9,55;9,67;9,87;10,14;9,91;9,83;9,75;9,61;9,47;9,45;9,47;9,35;9,27;9,22")</f>
        <v>9,17;9,34;9,29;9,89;9,55;9,67;9,87;10,14;9,91;9,83;9,75;9,61;9,47;9,45;9,47;9,35;9,27;9,22</v>
      </c>
    </row>
    <row r="112">
      <c r="A112" s="3" t="s">
        <v>235</v>
      </c>
      <c r="B112" s="4" t="s">
        <v>236</v>
      </c>
      <c r="C112" s="4">
        <f>IFERROR(__xludf.DUMMYFUNCTION("GOOGLEFINANCE($A112, C$2)"),8.66)</f>
        <v>8.66</v>
      </c>
      <c r="D112" s="4">
        <f>IFERROR(__xludf.DUMMYFUNCTION("GOOGLEFINANCE($A112, D$2)"),0.0)</f>
        <v>0</v>
      </c>
      <c r="E112" s="4">
        <f>IFERROR(__xludf.DUMMYFUNCTION("GOOGLEFINANCE($A112, E$2)"),20.38)</f>
        <v>20.38</v>
      </c>
      <c r="F112" s="4">
        <f>IFERROR(__xludf.DUMMYFUNCTION("GOOGLEFINANCE($A112, F$2)"),0.43)</f>
        <v>0.43</v>
      </c>
      <c r="G112" s="4">
        <f>IFERROR(__xludf.DUMMYFUNCTION("GOOGLEFINANCE($A112, G$2)"),8.8)</f>
        <v>8.8</v>
      </c>
      <c r="H112" s="4">
        <f>IFERROR(__xludf.DUMMYFUNCTION("GOOGLEFINANCE($A112, H$2)"),8.61)</f>
        <v>8.61</v>
      </c>
      <c r="I112" s="4" t="str">
        <f>IFERROR(__xludf.DUMMYFUNCTION("REPLACE(JOIN("";"", INDEX(TRANSPOSE(GOOGLEFINANCE($A112, $I$2, TODAY() - 30, TODAY(), 1)), 2)), 1, 6, """")"),"8,88;9,13;9,04;9,2;9;8,94;9,07;9,07;9,12;9,07;9,24;9,02;8,87;8,86;8,92;8,78;8,65;8,66")</f>
        <v>8,88;9,13;9,04;9,2;9;8,94;9,07;9,07;9,12;9,07;9,24;9,02;8,87;8,86;8,92;8,78;8,65;8,66</v>
      </c>
    </row>
    <row r="113">
      <c r="A113" s="3" t="s">
        <v>237</v>
      </c>
      <c r="B113" s="4" t="s">
        <v>238</v>
      </c>
      <c r="C113" s="4">
        <f>IFERROR(__xludf.DUMMYFUNCTION("GOOGLEFINANCE($A113, C$2)"),14.35)</f>
        <v>14.35</v>
      </c>
      <c r="D113" s="4">
        <f>IFERROR(__xludf.DUMMYFUNCTION("GOOGLEFINANCE($A113, D$2)"),0.0)</f>
        <v>0</v>
      </c>
      <c r="E113" s="4">
        <f>IFERROR(__xludf.DUMMYFUNCTION("GOOGLEFINANCE($A113, E$2)"),8.07)</f>
        <v>8.07</v>
      </c>
      <c r="F113" s="4">
        <f>IFERROR(__xludf.DUMMYFUNCTION("GOOGLEFINANCE($A113, F$2)"),1.78)</f>
        <v>1.78</v>
      </c>
      <c r="G113" s="4">
        <f>IFERROR(__xludf.DUMMYFUNCTION("GOOGLEFINANCE($A113, G$2)"),14.74)</f>
        <v>14.74</v>
      </c>
      <c r="H113" s="4">
        <f>IFERROR(__xludf.DUMMYFUNCTION("GOOGLEFINANCE($A113, H$2)"),14.35)</f>
        <v>14.35</v>
      </c>
      <c r="I113" s="4" t="str">
        <f>IFERROR(__xludf.DUMMYFUNCTION("REPLACE(JOIN("";"", INDEX(TRANSPOSE(GOOGLEFINANCE($A113, $I$2, TODAY() - 30, TODAY(), 1)), 2)), 1, 6, """")"),"14,88;14,76;14,58;14,78;14,81;14,64;14,6;14,87;14,95;14,78;14,64;14,61;14,55;14,61;14,56;14,7;14,52;14,35")</f>
        <v>14,88;14,76;14,58;14,78;14,81;14,64;14,6;14,87;14,95;14,78;14,64;14,61;14,55;14,61;14,56;14,7;14,52;14,35</v>
      </c>
    </row>
    <row r="114">
      <c r="A114" s="3" t="s">
        <v>239</v>
      </c>
      <c r="B114" s="4" t="s">
        <v>240</v>
      </c>
      <c r="C114" s="4">
        <f>IFERROR(__xludf.DUMMYFUNCTION("GOOGLEFINANCE($A114, C$2)"),17.99)</f>
        <v>17.99</v>
      </c>
      <c r="D114" s="4">
        <f>IFERROR(__xludf.DUMMYFUNCTION("GOOGLEFINANCE($A114, D$2)"),0.0)</f>
        <v>0</v>
      </c>
      <c r="E114" s="4">
        <f>IFERROR(__xludf.DUMMYFUNCTION("GOOGLEFINANCE($A114, E$2)"),10.11)</f>
        <v>10.11</v>
      </c>
      <c r="F114" s="4">
        <f>IFERROR(__xludf.DUMMYFUNCTION("GOOGLEFINANCE($A114, F$2)"),1.78)</f>
        <v>1.78</v>
      </c>
      <c r="G114" s="4" t="str">
        <f>IFERROR(__xludf.DUMMYFUNCTION("GOOGLEFINANCE($A114, G$2)"),"#N/A")</f>
        <v>#N/A</v>
      </c>
      <c r="H114" s="4" t="str">
        <f>IFERROR(__xludf.DUMMYFUNCTION("GOOGLEFINANCE($A114, H$2)"),"#N/A")</f>
        <v>#N/A</v>
      </c>
      <c r="I114" s="4" t="str">
        <f>IFERROR(__xludf.DUMMYFUNCTION("REPLACE(JOIN("";"", INDEX(TRANSPOSE(GOOGLEFINANCE($A114, $I$2, TODAY() - 30, TODAY(), 1)), 2)), 1, 6, """")"),"17,75;17,86;17,7;17,99;18,1;17,7;17,7;17,99;17,71;17,7;17,99")</f>
        <v>17,75;17,86;17,7;17,99;18,1;17,7;17,7;17,99;17,71;17,7;17,99</v>
      </c>
    </row>
    <row r="115">
      <c r="A115" s="3" t="s">
        <v>241</v>
      </c>
      <c r="B115" s="4" t="s">
        <v>242</v>
      </c>
      <c r="C115" s="4">
        <f>IFERROR(__xludf.DUMMYFUNCTION("GOOGLEFINANCE($A115, C$2)"),13.2)</f>
        <v>13.2</v>
      </c>
      <c r="D115" s="4">
        <f>IFERROR(__xludf.DUMMYFUNCTION("GOOGLEFINANCE($A115, D$2)"),0.0)</f>
        <v>0</v>
      </c>
      <c r="E115" s="4">
        <f>IFERROR(__xludf.DUMMYFUNCTION("GOOGLEFINANCE($A115, E$2)"),7.42)</f>
        <v>7.42</v>
      </c>
      <c r="F115" s="4">
        <f>IFERROR(__xludf.DUMMYFUNCTION("GOOGLEFINANCE($A115, F$2)"),1.78)</f>
        <v>1.78</v>
      </c>
      <c r="G115" s="4">
        <f>IFERROR(__xludf.DUMMYFUNCTION("GOOGLEFINANCE($A115, G$2)"),13.25)</f>
        <v>13.25</v>
      </c>
      <c r="H115" s="4">
        <f>IFERROR(__xludf.DUMMYFUNCTION("GOOGLEFINANCE($A115, H$2)"),13.05)</f>
        <v>13.05</v>
      </c>
      <c r="I115" s="4" t="str">
        <f>IFERROR(__xludf.DUMMYFUNCTION("REPLACE(JOIN("";"", INDEX(TRANSPOSE(GOOGLEFINANCE($A115, $I$2, TODAY() - 30, TODAY(), 1)), 2)), 1, 6, """")"),"13,52;13,33;13,17;13,53;13,47;13,5;13,52;13,6;13,65;13,5;13,41;13,66;13,42;13,4;13,23;13,22;13,18;13,2")</f>
        <v>13,52;13,33;13,17;13,53;13,47;13,5;13,52;13,6;13,65;13,5;13,41;13,66;13,42;13,4;13,23;13,22;13,18;13,2</v>
      </c>
    </row>
    <row r="116">
      <c r="A116" s="3" t="s">
        <v>243</v>
      </c>
      <c r="B116" s="4" t="s">
        <v>244</v>
      </c>
      <c r="C116" s="4">
        <f>IFERROR(__xludf.DUMMYFUNCTION("GOOGLEFINANCE($A116, C$2)"),6.53)</f>
        <v>6.53</v>
      </c>
      <c r="D116" s="4">
        <f>IFERROR(__xludf.DUMMYFUNCTION("GOOGLEFINANCE($A116, D$2)"),0.0)</f>
        <v>0</v>
      </c>
      <c r="E116" s="4" t="str">
        <f>IFERROR(__xludf.DUMMYFUNCTION("GOOGLEFINANCE($A116, E$2)"),"#N/A")</f>
        <v>#N/A</v>
      </c>
      <c r="F116" s="4">
        <f>IFERROR(__xludf.DUMMYFUNCTION("GOOGLEFINANCE($A116, F$2)"),-1.28)</f>
        <v>-1.28</v>
      </c>
      <c r="G116" s="4">
        <f>IFERROR(__xludf.DUMMYFUNCTION("GOOGLEFINANCE($A116, G$2)"),6.53)</f>
        <v>6.53</v>
      </c>
      <c r="H116" s="4">
        <f>IFERROR(__xludf.DUMMYFUNCTION("GOOGLEFINANCE($A116, H$2)"),6.25)</f>
        <v>6.25</v>
      </c>
      <c r="I116" s="4" t="str">
        <f>IFERROR(__xludf.DUMMYFUNCTION("REPLACE(JOIN("";"", INDEX(TRANSPOSE(GOOGLEFINANCE($A116, $I$2, TODAY() - 30, TODAY(), 1)), 2)), 1, 6, """")"),"7,43;7,99;8;8,05;8,15;7,99;7,82;7,95;7,6;7,81;8,08;7,82;7,7;7,69;7,07;6,71;6,33;6,53")</f>
        <v>7,43;7,99;8;8,05;8,15;7,99;7,82;7,95;7,6;7,81;8,08;7,82;7,7;7,69;7,07;6,71;6,33;6,53</v>
      </c>
    </row>
    <row r="117">
      <c r="A117" s="3" t="s">
        <v>245</v>
      </c>
      <c r="B117" s="4" t="s">
        <v>246</v>
      </c>
      <c r="C117" s="4">
        <f>IFERROR(__xludf.DUMMYFUNCTION("GOOGLEFINANCE($A117, C$2)"),64.9)</f>
        <v>64.9</v>
      </c>
      <c r="D117" s="4">
        <f>IFERROR(__xludf.DUMMYFUNCTION("GOOGLEFINANCE($A117, D$2)"),0.0)</f>
        <v>0</v>
      </c>
      <c r="E117" s="4">
        <f>IFERROR(__xludf.DUMMYFUNCTION("GOOGLEFINANCE($A117, E$2)"),52.41)</f>
        <v>52.41</v>
      </c>
      <c r="F117" s="4">
        <f>IFERROR(__xludf.DUMMYFUNCTION("GOOGLEFINANCE($A117, F$2)"),1.24)</f>
        <v>1.24</v>
      </c>
      <c r="G117" s="4" t="str">
        <f>IFERROR(__xludf.DUMMYFUNCTION("GOOGLEFINANCE($A117, G$2)"),"#N/A")</f>
        <v>#N/A</v>
      </c>
      <c r="H117" s="4" t="str">
        <f>IFERROR(__xludf.DUMMYFUNCTION("GOOGLEFINANCE($A117, H$2)"),"#N/A")</f>
        <v>#N/A</v>
      </c>
      <c r="I117" s="4" t="str">
        <f>IFERROR(__xludf.DUMMYFUNCTION("REPLACE(JOIN("";"", INDEX(TRANSPOSE(GOOGLEFINANCE($A117, $I$2, TODAY() - 30, TODAY(), 1)), 2)), 1, 6, """")"),"63,5;60,1;65,01;63,5;65,99;65,99;61,51;63;62,36;65;64,45;64,9")</f>
        <v>63,5;60,1;65,01;63,5;65,99;65,99;61,51;63;62,36;65;64,45;64,9</v>
      </c>
    </row>
    <row r="118">
      <c r="A118" s="3" t="s">
        <v>247</v>
      </c>
      <c r="B118" s="4" t="s">
        <v>248</v>
      </c>
      <c r="C118" s="4">
        <f>IFERROR(__xludf.DUMMYFUNCTION("GOOGLEFINANCE($A118, C$2)"),49.6)</f>
        <v>49.6</v>
      </c>
      <c r="D118" s="4">
        <f>IFERROR(__xludf.DUMMYFUNCTION("GOOGLEFINANCE($A118, D$2)"),0.0)</f>
        <v>0</v>
      </c>
      <c r="E118" s="4">
        <f>IFERROR(__xludf.DUMMYFUNCTION("GOOGLEFINANCE($A118, E$2)"),40.05)</f>
        <v>40.05</v>
      </c>
      <c r="F118" s="4">
        <f>IFERROR(__xludf.DUMMYFUNCTION("GOOGLEFINANCE($A118, F$2)"),1.24)</f>
        <v>1.24</v>
      </c>
      <c r="G118" s="4">
        <f>IFERROR(__xludf.DUMMYFUNCTION("GOOGLEFINANCE($A118, G$2)"),50.48)</f>
        <v>50.48</v>
      </c>
      <c r="H118" s="4">
        <f>IFERROR(__xludf.DUMMYFUNCTION("GOOGLEFINANCE($A118, H$2)"),49.6)</f>
        <v>49.6</v>
      </c>
      <c r="I118" s="4" t="str">
        <f>IFERROR(__xludf.DUMMYFUNCTION("REPLACE(JOIN("";"", INDEX(TRANSPOSE(GOOGLEFINANCE($A118, $I$2, TODAY() - 30, TODAY(), 1)), 2)), 1, 6, """")"),"44,3;44,3;44;43,5;57,99;57,69;56,5;56;56;55;52;52;49,6")</f>
        <v>44,3;44,3;44;43,5;57,99;57,69;56,5;56;56;55;52;52;49,6</v>
      </c>
    </row>
    <row r="119">
      <c r="A119" s="3" t="s">
        <v>249</v>
      </c>
      <c r="B119" s="4" t="s">
        <v>250</v>
      </c>
      <c r="C119" s="4">
        <f>IFERROR(__xludf.DUMMYFUNCTION("GOOGLEFINANCE($A119, C$2)"),88.65)</f>
        <v>88.65</v>
      </c>
      <c r="D119" s="4">
        <f>IFERROR(__xludf.DUMMYFUNCTION("GOOGLEFINANCE($A119, D$2)"),0.0)</f>
        <v>0</v>
      </c>
      <c r="E119" s="4" t="str">
        <f>IFERROR(__xludf.DUMMYFUNCTION("GOOGLEFINANCE($A119, E$2)"),"#N/A")</f>
        <v>#N/A</v>
      </c>
      <c r="F119" s="4">
        <f>IFERROR(__xludf.DUMMYFUNCTION("GOOGLEFINANCE($A119, F$2)"),-0.32)</f>
        <v>-0.32</v>
      </c>
      <c r="G119" s="4">
        <f>IFERROR(__xludf.DUMMYFUNCTION("GOOGLEFINANCE($A119, G$2)"),89.4)</f>
        <v>89.4</v>
      </c>
      <c r="H119" s="4">
        <f>IFERROR(__xludf.DUMMYFUNCTION("GOOGLEFINANCE($A119, H$2)"),82.3)</f>
        <v>82.3</v>
      </c>
      <c r="I119" s="4" t="str">
        <f>IFERROR(__xludf.DUMMYFUNCTION("REPLACE(JOIN("";"", INDEX(TRANSPOSE(GOOGLEFINANCE($A119, $I$2, TODAY() - 30, TODAY(), 1)), 2)), 1, 6, """")"),"89,31;85,85;85;86,2;82,32;83,56;89,3;90,39;86,34;84,51;84,07;83;82,54;85,6;85,41;86,38;83;88,65")</f>
        <v>89,31;85,85;85;86,2;82,32;83,56;89,3;90,39;86,34;84,51;84,07;83;82,54;85,6;85,41;86,38;83;88,65</v>
      </c>
    </row>
    <row r="120">
      <c r="A120" s="3" t="s">
        <v>251</v>
      </c>
      <c r="B120" s="4" t="s">
        <v>252</v>
      </c>
      <c r="C120" s="4">
        <f>IFERROR(__xludf.DUMMYFUNCTION("GOOGLEFINANCE($A120, C$2)"),10.06)</f>
        <v>10.06</v>
      </c>
      <c r="D120" s="4">
        <f>IFERROR(__xludf.DUMMYFUNCTION("GOOGLEFINANCE($A120, D$2)"),0.0)</f>
        <v>0</v>
      </c>
      <c r="E120" s="4">
        <f>IFERROR(__xludf.DUMMYFUNCTION("GOOGLEFINANCE($A120, E$2)"),13.37)</f>
        <v>13.37</v>
      </c>
      <c r="F120" s="4">
        <f>IFERROR(__xludf.DUMMYFUNCTION("GOOGLEFINANCE($A120, F$2)"),0.75)</f>
        <v>0.75</v>
      </c>
      <c r="G120" s="4">
        <f>IFERROR(__xludf.DUMMYFUNCTION("GOOGLEFINANCE($A120, G$2)"),10.47)</f>
        <v>10.47</v>
      </c>
      <c r="H120" s="4">
        <f>IFERROR(__xludf.DUMMYFUNCTION("GOOGLEFINANCE($A120, H$2)"),10.0)</f>
        <v>10</v>
      </c>
      <c r="I120" s="4" t="str">
        <f>IFERROR(__xludf.DUMMYFUNCTION("REPLACE(JOIN("";"", INDEX(TRANSPOSE(GOOGLEFINANCE($A120, $I$2, TODAY() - 30, TODAY(), 1)), 2)), 1, 6, """")"),"9,94;9,95;9,95;10,41;10,25;10;9,81;10,18;10,1;10,1;10,42;10,3;10,23;10,41;10;10,02;10,48;10,06")</f>
        <v>9,94;9,95;9,95;10,41;10,25;10;9,81;10,18;10,1;10,1;10,42;10,3;10,23;10,41;10;10,02;10,48;10,06</v>
      </c>
    </row>
    <row r="121">
      <c r="A121" s="3" t="s">
        <v>253</v>
      </c>
      <c r="B121" s="4" t="s">
        <v>254</v>
      </c>
      <c r="C121" s="4">
        <f>IFERROR(__xludf.DUMMYFUNCTION("GOOGLEFINANCE($A121, C$2)"),232.6)</f>
        <v>232.6</v>
      </c>
      <c r="D121" s="4">
        <f>IFERROR(__xludf.DUMMYFUNCTION("GOOGLEFINANCE($A121, D$2)"),0.0)</f>
        <v>0</v>
      </c>
      <c r="E121" s="4" t="str">
        <f>IFERROR(__xludf.DUMMYFUNCTION("GOOGLEFINANCE($A121, E$2)"),"#N/A")</f>
        <v>#N/A</v>
      </c>
      <c r="F121" s="4" t="str">
        <f>IFERROR(__xludf.DUMMYFUNCTION("GOOGLEFINANCE($A121, F$2)"),"#N/A")</f>
        <v>#N/A</v>
      </c>
      <c r="G121" s="4" t="str">
        <f>IFERROR(__xludf.DUMMYFUNCTION("GOOGLEFINANCE($A121, G$2)"),"#N/A")</f>
        <v>#N/A</v>
      </c>
      <c r="H121" s="4" t="str">
        <f>IFERROR(__xludf.DUMMYFUNCTION("GOOGLEFINANCE($A121, H$2)"),"#N/A")</f>
        <v>#N/A</v>
      </c>
      <c r="I121" s="4" t="str">
        <f>IFERROR(__xludf.DUMMYFUNCTION("REPLACE(JOIN("";"", INDEX(TRANSPOSE(GOOGLEFINANCE($A121, $I$2, TODAY() - 30, TODAY(), 1)), 2)), 1, 6, """")"),"232,6")</f>
        <v>232,6</v>
      </c>
    </row>
    <row r="122">
      <c r="A122" s="3" t="s">
        <v>255</v>
      </c>
      <c r="B122" s="4" t="s">
        <v>256</v>
      </c>
      <c r="C122" s="4">
        <f>IFERROR(__xludf.DUMMYFUNCTION("GOOGLEFINANCE($A122, C$2)"),120.3)</f>
        <v>120.3</v>
      </c>
      <c r="D122" s="4">
        <f>IFERROR(__xludf.DUMMYFUNCTION("GOOGLEFINANCE($A122, D$2)"),0.0)</f>
        <v>0</v>
      </c>
      <c r="E122" s="4" t="str">
        <f>IFERROR(__xludf.DUMMYFUNCTION("GOOGLEFINANCE($A122, E$2)"),"#N/A")</f>
        <v>#N/A</v>
      </c>
      <c r="F122" s="4" t="str">
        <f>IFERROR(__xludf.DUMMYFUNCTION("GOOGLEFINANCE($A122, F$2)"),"#N/A")</f>
        <v>#N/A</v>
      </c>
      <c r="G122" s="4" t="str">
        <f>IFERROR(__xludf.DUMMYFUNCTION("GOOGLEFINANCE($A122, G$2)"),"#N/A")</f>
        <v>#N/A</v>
      </c>
      <c r="H122" s="4" t="str">
        <f>IFERROR(__xludf.DUMMYFUNCTION("GOOGLEFINANCE($A122, H$2)"),"#N/A")</f>
        <v>#N/A</v>
      </c>
      <c r="I122" s="4" t="str">
        <f>IFERROR(__xludf.DUMMYFUNCTION("REPLACE(JOIN("";"", INDEX(TRANSPOSE(GOOGLEFINANCE($A122, $I$2, TODAY() - 30, TODAY(), 1)), 2)), 1, 6, """")"),"115,8;119,1;128,4;126,5;120,7;124,4;119,55;119;123,6;118;122,25;122,65;122,5;121,5;120,3")</f>
        <v>115,8;119,1;128,4;126,5;120,7;124,4;119,55;119;123,6;118;122,25;122,65;122,5;121,5;120,3</v>
      </c>
    </row>
    <row r="123">
      <c r="A123" s="3" t="s">
        <v>257</v>
      </c>
      <c r="B123" s="4" t="s">
        <v>258</v>
      </c>
      <c r="C123" s="4">
        <f>IFERROR(__xludf.DUMMYFUNCTION("GOOGLEFINANCE($A123, C$2)"),5.3)</f>
        <v>5.3</v>
      </c>
      <c r="D123" s="4">
        <f>IFERROR(__xludf.DUMMYFUNCTION("GOOGLEFINANCE($A123, D$2)"),0.0)</f>
        <v>0</v>
      </c>
      <c r="E123" s="4">
        <f>IFERROR(__xludf.DUMMYFUNCTION("GOOGLEFINANCE($A123, E$2)"),9.33)</f>
        <v>9.33</v>
      </c>
      <c r="F123" s="4">
        <f>IFERROR(__xludf.DUMMYFUNCTION("GOOGLEFINANCE($A123, F$2)"),0.57)</f>
        <v>0.57</v>
      </c>
      <c r="G123" s="4">
        <f>IFERROR(__xludf.DUMMYFUNCTION("GOOGLEFINANCE($A123, G$2)"),5.46)</f>
        <v>5.46</v>
      </c>
      <c r="H123" s="4">
        <f>IFERROR(__xludf.DUMMYFUNCTION("GOOGLEFINANCE($A123, H$2)"),5.16)</f>
        <v>5.16</v>
      </c>
      <c r="I123" s="4" t="str">
        <f>IFERROR(__xludf.DUMMYFUNCTION("REPLACE(JOIN("";"", INDEX(TRANSPOSE(GOOGLEFINANCE($A123, $I$2, TODAY() - 30, TODAY(), 1)), 2)), 1, 6, """")"),"5,28;5,17;5,18;5,45;5,34;5,31;5,21;5,3;5,18;5,15;5,21;5,13;4,95;5,03;5,04;5,17;5,23;5,3")</f>
        <v>5,28;5,17;5,18;5,45;5,34;5,31;5,21;5,3;5,18;5,15;5,21;5,13;4,95;5,03;5,04;5,17;5,23;5,3</v>
      </c>
    </row>
    <row r="124">
      <c r="A124" s="3" t="s">
        <v>259</v>
      </c>
      <c r="B124" s="4" t="s">
        <v>260</v>
      </c>
      <c r="C124" s="4">
        <f>IFERROR(__xludf.DUMMYFUNCTION("GOOGLEFINANCE($A124, C$2)"),10.63)</f>
        <v>10.63</v>
      </c>
      <c r="D124" s="4">
        <f>IFERROR(__xludf.DUMMYFUNCTION("GOOGLEFINANCE($A124, D$2)"),0.0)</f>
        <v>0</v>
      </c>
      <c r="E124" s="4">
        <f>IFERROR(__xludf.DUMMYFUNCTION("GOOGLEFINANCE($A124, E$2)"),8.43)</f>
        <v>8.43</v>
      </c>
      <c r="F124" s="4">
        <f>IFERROR(__xludf.DUMMYFUNCTION("GOOGLEFINANCE($A124, F$2)"),1.26)</f>
        <v>1.26</v>
      </c>
      <c r="G124" s="4">
        <f>IFERROR(__xludf.DUMMYFUNCTION("GOOGLEFINANCE($A124, G$2)"),10.83)</f>
        <v>10.83</v>
      </c>
      <c r="H124" s="4">
        <f>IFERROR(__xludf.DUMMYFUNCTION("GOOGLEFINANCE($A124, H$2)"),10.63)</f>
        <v>10.63</v>
      </c>
      <c r="I124" s="4" t="str">
        <f>IFERROR(__xludf.DUMMYFUNCTION("REPLACE(JOIN("";"", INDEX(TRANSPOSE(GOOGLEFINANCE($A124, $I$2, TODAY() - 30, TODAY(), 1)), 2)), 1, 6, """")"),"10,67;10,58;10,63;10,95;10,59;11,11;11,19;11,42;11,29;11,37;11,24;11,19;11,15;11,35;11,09;11,11;10,75;10,63")</f>
        <v>10,67;10,58;10,63;10,95;10,59;11,11;11,19;11,42;11,29;11,37;11,24;11,19;11,15;11,35;11,09;11,11;10,75;10,63</v>
      </c>
    </row>
    <row r="125">
      <c r="A125" s="3" t="s">
        <v>261</v>
      </c>
      <c r="B125" s="4" t="s">
        <v>262</v>
      </c>
      <c r="C125" s="4">
        <f>IFERROR(__xludf.DUMMYFUNCTION("GOOGLEFINANCE($A125, C$2)"),322.3)</f>
        <v>322.3</v>
      </c>
      <c r="D125" s="4">
        <f>IFERROR(__xludf.DUMMYFUNCTION("GOOGLEFINANCE($A125, D$2)"),0.0)</f>
        <v>0</v>
      </c>
      <c r="E125" s="4" t="str">
        <f>IFERROR(__xludf.DUMMYFUNCTION("GOOGLEFINANCE($A125, E$2)"),"#N/A")</f>
        <v>#N/A</v>
      </c>
      <c r="F125" s="4" t="str">
        <f>IFERROR(__xludf.DUMMYFUNCTION("GOOGLEFINANCE($A125, F$2)"),"#N/A")</f>
        <v>#N/A</v>
      </c>
      <c r="G125" s="4">
        <f>IFERROR(__xludf.DUMMYFUNCTION("GOOGLEFINANCE($A125, G$2)"),322.83)</f>
        <v>322.83</v>
      </c>
      <c r="H125" s="4">
        <f>IFERROR(__xludf.DUMMYFUNCTION("GOOGLEFINANCE($A125, H$2)"),322.3)</f>
        <v>322.3</v>
      </c>
      <c r="I125" s="4" t="str">
        <f>IFERROR(__xludf.DUMMYFUNCTION("REPLACE(JOIN("";"", INDEX(TRANSPOSE(GOOGLEFINANCE($A125, $I$2, TODAY() - 30, TODAY(), 1)), 2)), 1, 6, """")"),"278,31;305,6;305,7;322,3")</f>
        <v>278,31;305,6;305,7;322,3</v>
      </c>
    </row>
    <row r="126">
      <c r="A126" s="3" t="s">
        <v>263</v>
      </c>
      <c r="B126" s="4" t="s">
        <v>264</v>
      </c>
      <c r="C126" s="4">
        <f>IFERROR(__xludf.DUMMYFUNCTION("GOOGLEFINANCE($A126, C$2)"),245.6)</f>
        <v>245.6</v>
      </c>
      <c r="D126" s="4">
        <f>IFERROR(__xludf.DUMMYFUNCTION("GOOGLEFINANCE($A126, D$2)"),0.0)</f>
        <v>0</v>
      </c>
      <c r="E126" s="4" t="str">
        <f>IFERROR(__xludf.DUMMYFUNCTION("GOOGLEFINANCE($A126, E$2)"),"#N/A")</f>
        <v>#N/A</v>
      </c>
      <c r="F126" s="4" t="str">
        <f>IFERROR(__xludf.DUMMYFUNCTION("GOOGLEFINANCE($A126, F$2)"),"#N/A")</f>
        <v>#N/A</v>
      </c>
      <c r="G126" s="4">
        <f>IFERROR(__xludf.DUMMYFUNCTION("GOOGLEFINANCE($A126, G$2)"),245.6)</f>
        <v>245.6</v>
      </c>
      <c r="H126" s="4">
        <f>IFERROR(__xludf.DUMMYFUNCTION("GOOGLEFINANCE($A126, H$2)"),245.3)</f>
        <v>245.3</v>
      </c>
      <c r="I126" s="4" t="str">
        <f>IFERROR(__xludf.DUMMYFUNCTION("REPLACE(JOIN("";"", INDEX(TRANSPOSE(GOOGLEFINANCE($A126, $I$2, TODAY() - 30, TODAY(), 1)), 2)), 1, 6, """")"),"240,34;226;221,7;230,57;230,8;225,26;228,7;229,87;250,99;248,81;245,94;246,9;243,8;244,7;241,28;249,02;239,56;245,6")</f>
        <v>240,34;226;221,7;230,57;230,8;225,26;228,7;229,87;250,99;248,81;245,94;246,9;243,8;244,7;241,28;249,02;239,56;245,6</v>
      </c>
    </row>
    <row r="127">
      <c r="A127" s="3" t="s">
        <v>265</v>
      </c>
      <c r="B127" s="4" t="s">
        <v>266</v>
      </c>
      <c r="C127" s="4">
        <f>IFERROR(__xludf.DUMMYFUNCTION("GOOGLEFINANCE($A127, C$2)"),15.85)</f>
        <v>15.85</v>
      </c>
      <c r="D127" s="4">
        <f>IFERROR(__xludf.DUMMYFUNCTION("GOOGLEFINANCE($A127, D$2)"),0.0)</f>
        <v>0</v>
      </c>
      <c r="E127" s="4">
        <f>IFERROR(__xludf.DUMMYFUNCTION("GOOGLEFINANCE($A127, E$2)"),15.34)</f>
        <v>15.34</v>
      </c>
      <c r="F127" s="4">
        <f>IFERROR(__xludf.DUMMYFUNCTION("GOOGLEFINANCE($A127, F$2)"),1.03)</f>
        <v>1.03</v>
      </c>
      <c r="G127" s="4">
        <f>IFERROR(__xludf.DUMMYFUNCTION("GOOGLEFINANCE($A127, G$2)"),16.2)</f>
        <v>16.2</v>
      </c>
      <c r="H127" s="4">
        <f>IFERROR(__xludf.DUMMYFUNCTION("GOOGLEFINANCE($A127, H$2)"),15.5)</f>
        <v>15.5</v>
      </c>
      <c r="I127" s="4" t="str">
        <f>IFERROR(__xludf.DUMMYFUNCTION("REPLACE(JOIN("";"", INDEX(TRANSPOSE(GOOGLEFINANCE($A127, $I$2, TODAY() - 30, TODAY(), 1)), 2)), 1, 6, """")"),"16,26;15,6;15,5;15,9;15,18;15,3;15,38;15,3;15,62;15,46;15,31;16,41;15,5;16,04;16,01;16,13;15,67;15,85")</f>
        <v>16,26;15,6;15,5;15,9;15,18;15,3;15,38;15,3;15,62;15,46;15,31;16,41;15,5;16,04;16,01;16,13;15,67;15,85</v>
      </c>
    </row>
    <row r="128">
      <c r="A128" s="3" t="s">
        <v>267</v>
      </c>
      <c r="B128" s="4" t="s">
        <v>268</v>
      </c>
      <c r="C128" s="4">
        <f>IFERROR(__xludf.DUMMYFUNCTION("GOOGLEFINANCE($A128, C$2)"),15.7)</f>
        <v>15.7</v>
      </c>
      <c r="D128" s="4">
        <f>IFERROR(__xludf.DUMMYFUNCTION("GOOGLEFINANCE($A128, D$2)"),0.0)</f>
        <v>0</v>
      </c>
      <c r="E128" s="4">
        <f>IFERROR(__xludf.DUMMYFUNCTION("GOOGLEFINANCE($A128, E$2)"),23.92)</f>
        <v>23.92</v>
      </c>
      <c r="F128" s="4">
        <f>IFERROR(__xludf.DUMMYFUNCTION("GOOGLEFINANCE($A128, F$2)"),0.66)</f>
        <v>0.66</v>
      </c>
      <c r="G128" s="4" t="str">
        <f>IFERROR(__xludf.DUMMYFUNCTION("GOOGLEFINANCE($A128, G$2)"),"#N/A")</f>
        <v>#N/A</v>
      </c>
      <c r="H128" s="4" t="str">
        <f>IFERROR(__xludf.DUMMYFUNCTION("GOOGLEFINANCE($A128, H$2)"),"#N/A")</f>
        <v>#N/A</v>
      </c>
      <c r="I128" s="4" t="str">
        <f>IFERROR(__xludf.DUMMYFUNCTION("REPLACE(JOIN("";"", INDEX(TRANSPOSE(GOOGLEFINANCE($A128, $I$2, TODAY() - 30, TODAY(), 1)), 2)), 1, 6, """")"),"16;16;15,9;16,34;16,33;16,01;15,65;15,98;15,7")</f>
        <v>16;16;15,9;16,34;16,33;16,01;15,65;15,98;15,7</v>
      </c>
    </row>
    <row r="129">
      <c r="A129" s="3" t="s">
        <v>269</v>
      </c>
      <c r="B129" s="4" t="s">
        <v>270</v>
      </c>
      <c r="C129" s="4">
        <f>IFERROR(__xludf.DUMMYFUNCTION("GOOGLEFINANCE($A129, C$2)"),11.89)</f>
        <v>11.89</v>
      </c>
      <c r="D129" s="4">
        <f>IFERROR(__xludf.DUMMYFUNCTION("GOOGLEFINANCE($A129, D$2)"),0.0)</f>
        <v>0</v>
      </c>
      <c r="E129" s="4">
        <f>IFERROR(__xludf.DUMMYFUNCTION("GOOGLEFINANCE($A129, E$2)"),35.83)</f>
        <v>35.83</v>
      </c>
      <c r="F129" s="4">
        <f>IFERROR(__xludf.DUMMYFUNCTION("GOOGLEFINANCE($A129, F$2)"),0.33)</f>
        <v>0.33</v>
      </c>
      <c r="G129" s="4">
        <f>IFERROR(__xludf.DUMMYFUNCTION("GOOGLEFINANCE($A129, G$2)"),12.03)</f>
        <v>12.03</v>
      </c>
      <c r="H129" s="4">
        <f>IFERROR(__xludf.DUMMYFUNCTION("GOOGLEFINANCE($A129, H$2)"),11.8)</f>
        <v>11.8</v>
      </c>
      <c r="I129" s="4" t="str">
        <f>IFERROR(__xludf.DUMMYFUNCTION("REPLACE(JOIN("";"", INDEX(TRANSPOSE(GOOGLEFINANCE($A129, $I$2, TODAY() - 30, TODAY(), 1)), 2)), 1, 6, """")"),"12,03;11,99;12,41;12,61;12,6;12,88;13,05;13,02;13,06;12,97;12,96;12,97;12,66;12,43;12,3;12,04;12,05;11,89")</f>
        <v>12,03;11,99;12,41;12,61;12,6;12,88;13,05;13,02;13,06;12,97;12,96;12,97;12,66;12,43;12,3;12,04;12,05;11,89</v>
      </c>
    </row>
    <row r="130">
      <c r="A130" s="3" t="s">
        <v>271</v>
      </c>
      <c r="B130" s="4" t="s">
        <v>272</v>
      </c>
      <c r="C130" s="4">
        <f>IFERROR(__xludf.DUMMYFUNCTION("GOOGLEFINANCE($A130, C$2)"),12.17)</f>
        <v>12.17</v>
      </c>
      <c r="D130" s="4">
        <f>IFERROR(__xludf.DUMMYFUNCTION("GOOGLEFINANCE($A130, D$2)"),0.0)</f>
        <v>0</v>
      </c>
      <c r="E130" s="4">
        <f>IFERROR(__xludf.DUMMYFUNCTION("GOOGLEFINANCE($A130, E$2)"),37.34)</f>
        <v>37.34</v>
      </c>
      <c r="F130" s="4">
        <f>IFERROR(__xludf.DUMMYFUNCTION("GOOGLEFINANCE($A130, F$2)"),0.33)</f>
        <v>0.33</v>
      </c>
      <c r="G130" s="4">
        <f>IFERROR(__xludf.DUMMYFUNCTION("GOOGLEFINANCE($A130, G$2)"),12.28)</f>
        <v>12.28</v>
      </c>
      <c r="H130" s="4">
        <f>IFERROR(__xludf.DUMMYFUNCTION("GOOGLEFINANCE($A130, H$2)"),12.06)</f>
        <v>12.06</v>
      </c>
      <c r="I130" s="4" t="str">
        <f>IFERROR(__xludf.DUMMYFUNCTION("REPLACE(JOIN("";"", INDEX(TRANSPOSE(GOOGLEFINANCE($A130, $I$2, TODAY() - 30, TODAY(), 1)), 2)), 1, 6, """")"),"12,51;12,15;12,49;12,69;12,12;12,21;12,41;12,61;12,44;12,27;12,2;12,17;12,05;12,32;12,46;12,45;12,21;12,17")</f>
        <v>12,51;12,15;12,49;12,69;12,12;12,21;12,41;12,61;12,44;12,27;12,2;12,17;12,05;12,32;12,46;12,45;12,21;12,17</v>
      </c>
    </row>
    <row r="131">
      <c r="A131" s="3" t="s">
        <v>273</v>
      </c>
      <c r="B131" s="4" t="s">
        <v>274</v>
      </c>
      <c r="C131" s="4">
        <f>IFERROR(__xludf.DUMMYFUNCTION("GOOGLEFINANCE($A131, C$2)"),11.47)</f>
        <v>11.47</v>
      </c>
      <c r="D131" s="4">
        <f>IFERROR(__xludf.DUMMYFUNCTION("GOOGLEFINANCE($A131, D$2)"),0.0)</f>
        <v>0</v>
      </c>
      <c r="E131" s="4" t="str">
        <f>IFERROR(__xludf.DUMMYFUNCTION("GOOGLEFINANCE($A131, E$2)"),"#N/A")</f>
        <v>#N/A</v>
      </c>
      <c r="F131" s="4">
        <f>IFERROR(__xludf.DUMMYFUNCTION("GOOGLEFINANCE($A131, F$2)"),-0.24)</f>
        <v>-0.24</v>
      </c>
      <c r="G131" s="4">
        <f>IFERROR(__xludf.DUMMYFUNCTION("GOOGLEFINANCE($A131, G$2)"),11.88)</f>
        <v>11.88</v>
      </c>
      <c r="H131" s="4">
        <f>IFERROR(__xludf.DUMMYFUNCTION("GOOGLEFINANCE($A131, H$2)"),11.31)</f>
        <v>11.31</v>
      </c>
      <c r="I131" s="4" t="str">
        <f>IFERROR(__xludf.DUMMYFUNCTION("REPLACE(JOIN("";"", INDEX(TRANSPOSE(GOOGLEFINANCE($A131, $I$2, TODAY() - 30, TODAY(), 1)), 2)), 1, 6, """")"),"12,01;12,33;12,52;13,09;12,5;12,65;12,47;12,38;12,36;12,3;12,02;11,83;11,8;11,75;11,81;11,8;11,85;11,47")</f>
        <v>12,01;12,33;12,52;13,09;12,5;12,65;12,47;12,38;12,36;12,3;12,02;11,83;11,8;11,75;11,81;11,8;11,85;11,47</v>
      </c>
    </row>
    <row r="132">
      <c r="A132" s="3" t="s">
        <v>275</v>
      </c>
      <c r="B132" s="4" t="s">
        <v>276</v>
      </c>
      <c r="C132" s="4">
        <f>IFERROR(__xludf.DUMMYFUNCTION("GOOGLEFINANCE($A132, C$2)"),134.0)</f>
        <v>134</v>
      </c>
      <c r="D132" s="4">
        <f>IFERROR(__xludf.DUMMYFUNCTION("GOOGLEFINANCE($A132, D$2)"),0.0)</f>
        <v>0</v>
      </c>
      <c r="E132" s="4">
        <f>IFERROR(__xludf.DUMMYFUNCTION("GOOGLEFINANCE($A132, E$2)"),23.44)</f>
        <v>23.44</v>
      </c>
      <c r="F132" s="4">
        <f>IFERROR(__xludf.DUMMYFUNCTION("GOOGLEFINANCE($A132, F$2)"),5.72)</f>
        <v>5.72</v>
      </c>
      <c r="G132" s="4">
        <f>IFERROR(__xludf.DUMMYFUNCTION("GOOGLEFINANCE($A132, G$2)"),134.0)</f>
        <v>134</v>
      </c>
      <c r="H132" s="4">
        <f>IFERROR(__xludf.DUMMYFUNCTION("GOOGLEFINANCE($A132, H$2)"),133.88)</f>
        <v>133.88</v>
      </c>
      <c r="I132" s="4" t="str">
        <f>IFERROR(__xludf.DUMMYFUNCTION("REPLACE(JOIN("";"", INDEX(TRANSPOSE(GOOGLEFINANCE($A132, $I$2, TODAY() - 30, TODAY(), 1)), 2)), 1, 6, """")"),"128,01;129,5;128;130,9;128,61;127,01;127,01;132,4;132,49;132,5;133,99;128,81;131;130;134")</f>
        <v>128,01;129,5;128;130,9;128,61;127,01;127,01;132,4;132,49;132,5;133,99;128,81;131;130;134</v>
      </c>
    </row>
    <row r="133">
      <c r="A133" s="3" t="s">
        <v>277</v>
      </c>
      <c r="B133" s="4" t="s">
        <v>278</v>
      </c>
      <c r="C133" s="4">
        <f>IFERROR(__xludf.DUMMYFUNCTION("GOOGLEFINANCE($A133, C$2)"),156.39)</f>
        <v>156.39</v>
      </c>
      <c r="D133" s="4">
        <f>IFERROR(__xludf.DUMMYFUNCTION("GOOGLEFINANCE($A133, D$2)"),0.0)</f>
        <v>0</v>
      </c>
      <c r="E133" s="4">
        <f>IFERROR(__xludf.DUMMYFUNCTION("GOOGLEFINANCE($A133, E$2)"),27.35)</f>
        <v>27.35</v>
      </c>
      <c r="F133" s="4">
        <f>IFERROR(__xludf.DUMMYFUNCTION("GOOGLEFINANCE($A133, F$2)"),5.72)</f>
        <v>5.72</v>
      </c>
      <c r="G133" s="4">
        <f>IFERROR(__xludf.DUMMYFUNCTION("GOOGLEFINANCE($A133, G$2)"),156.39)</f>
        <v>156.39</v>
      </c>
      <c r="H133" s="4">
        <f>IFERROR(__xludf.DUMMYFUNCTION("GOOGLEFINANCE($A133, H$2)"),154.3)</f>
        <v>154.3</v>
      </c>
      <c r="I133" s="4" t="str">
        <f>IFERROR(__xludf.DUMMYFUNCTION("REPLACE(JOIN("";"", INDEX(TRANSPOSE(GOOGLEFINANCE($A133, $I$2, TODAY() - 30, TODAY(), 1)), 2)), 1, 6, """")"),"156,49;155;155,69;153,99;153,5;154,79;154,59;154,59;155,69;156,39")</f>
        <v>156,49;155;155,69;153,99;153,5;154,79;154,59;154,59;155,69;156,39</v>
      </c>
    </row>
    <row r="134">
      <c r="A134" s="3" t="s">
        <v>279</v>
      </c>
      <c r="B134" s="4" t="s">
        <v>280</v>
      </c>
      <c r="C134" s="4">
        <f>IFERROR(__xludf.DUMMYFUNCTION("GOOGLEFINANCE($A134, C$2)"),156.7)</f>
        <v>156.7</v>
      </c>
      <c r="D134" s="4">
        <f>IFERROR(__xludf.DUMMYFUNCTION("GOOGLEFINANCE($A134, D$2)"),0.0)</f>
        <v>0</v>
      </c>
      <c r="E134" s="4">
        <f>IFERROR(__xludf.DUMMYFUNCTION("GOOGLEFINANCE($A134, E$2)"),27.4)</f>
        <v>27.4</v>
      </c>
      <c r="F134" s="4">
        <f>IFERROR(__xludf.DUMMYFUNCTION("GOOGLEFINANCE($A134, F$2)"),5.72)</f>
        <v>5.72</v>
      </c>
      <c r="G134" s="4">
        <f>IFERROR(__xludf.DUMMYFUNCTION("GOOGLEFINANCE($A134, G$2)"),156.7)</f>
        <v>156.7</v>
      </c>
      <c r="H134" s="4">
        <f>IFERROR(__xludf.DUMMYFUNCTION("GOOGLEFINANCE($A134, H$2)"),156.7)</f>
        <v>156.7</v>
      </c>
      <c r="I134" s="4" t="str">
        <f>IFERROR(__xludf.DUMMYFUNCTION("REPLACE(JOIN("";"", INDEX(TRANSPOSE(GOOGLEFINANCE($A134, $I$2, TODAY() - 30, TODAY(), 1)), 2)), 1, 6, """")"),"150;148,1;149,95;147,5;143;144;144,99;145;155;154,2;149,5;152;151,99;153,8;153,8;150;156,7")</f>
        <v>150;148,1;149,95;147,5;143;144;144,99;145;155;154,2;149,5;152;151,99;153,8;153,8;150;156,7</v>
      </c>
    </row>
    <row r="135">
      <c r="A135" s="3" t="s">
        <v>281</v>
      </c>
      <c r="B135" s="4" t="s">
        <v>282</v>
      </c>
      <c r="C135" s="4">
        <f>IFERROR(__xludf.DUMMYFUNCTION("GOOGLEFINANCE($A135, C$2)"),11.6)</f>
        <v>11.6</v>
      </c>
      <c r="D135" s="4">
        <f>IFERROR(__xludf.DUMMYFUNCTION("GOOGLEFINANCE($A135, D$2)"),0.0)</f>
        <v>0</v>
      </c>
      <c r="E135" s="4" t="str">
        <f>IFERROR(__xludf.DUMMYFUNCTION("GOOGLEFINANCE($A135, E$2)"),"#N/A")</f>
        <v>#N/A</v>
      </c>
      <c r="F135" s="4">
        <f>IFERROR(__xludf.DUMMYFUNCTION("GOOGLEFINANCE($A135, F$2)"),-5.85)</f>
        <v>-5.85</v>
      </c>
      <c r="G135" s="4">
        <f>IFERROR(__xludf.DUMMYFUNCTION("GOOGLEFINANCE($A135, G$2)"),11.95)</f>
        <v>11.95</v>
      </c>
      <c r="H135" s="4">
        <f>IFERROR(__xludf.DUMMYFUNCTION("GOOGLEFINANCE($A135, H$2)"),11.6)</f>
        <v>11.6</v>
      </c>
      <c r="I135" s="4" t="str">
        <f>IFERROR(__xludf.DUMMYFUNCTION("REPLACE(JOIN("";"", INDEX(TRANSPOSE(GOOGLEFINANCE($A135, $I$2, TODAY() - 30, TODAY(), 1)), 2)), 1, 6, """")"),"12,05;13,37;12,59;12,2;11,99;11,9;12,08;12,13;12,01;12;11,96;11,86;11,99;11,95;11,8;12,08;11,7;11,6")</f>
        <v>12,05;13,37;12,59;12,2;11,99;11,9;12,08;12,13;12,01;12;11,96;11,86;11,99;11,95;11,8;12,08;11,7;11,6</v>
      </c>
    </row>
    <row r="136">
      <c r="A136" s="3" t="s">
        <v>283</v>
      </c>
      <c r="B136" s="4" t="s">
        <v>284</v>
      </c>
      <c r="C136" s="4">
        <f>IFERROR(__xludf.DUMMYFUNCTION("GOOGLEFINANCE($A136, C$2)"),5.41)</f>
        <v>5.41</v>
      </c>
      <c r="D136" s="4">
        <f>IFERROR(__xludf.DUMMYFUNCTION("GOOGLEFINANCE($A136, D$2)"),0.0)</f>
        <v>0</v>
      </c>
      <c r="E136" s="4" t="str">
        <f>IFERROR(__xludf.DUMMYFUNCTION("GOOGLEFINANCE($A136, E$2)"),"#N/A")</f>
        <v>#N/A</v>
      </c>
      <c r="F136" s="4">
        <f>IFERROR(__xludf.DUMMYFUNCTION("GOOGLEFINANCE($A136, F$2)"),-5.85)</f>
        <v>-5.85</v>
      </c>
      <c r="G136" s="4">
        <f>IFERROR(__xludf.DUMMYFUNCTION("GOOGLEFINANCE($A136, G$2)"),5.62)</f>
        <v>5.62</v>
      </c>
      <c r="H136" s="4">
        <f>IFERROR(__xludf.DUMMYFUNCTION("GOOGLEFINANCE($A136, H$2)"),5.31)</f>
        <v>5.31</v>
      </c>
      <c r="I136" s="4" t="str">
        <f>IFERROR(__xludf.DUMMYFUNCTION("REPLACE(JOIN("";"", INDEX(TRANSPOSE(GOOGLEFINANCE($A136, $I$2, TODAY() - 30, TODAY(), 1)), 2)), 1, 6, """")"),"5,48;5,68;5,55;5,64;5,35;5,36;5,5;5,59;5,71;5,54;5,49;5,43;5,4;5,46;5,54;5,54;5,33;5,41")</f>
        <v>5,48;5,68;5,55;5,64;5,35;5,36;5,5;5,59;5,71;5,54;5,49;5,43;5,4;5,46;5,54;5,54;5,33;5,41</v>
      </c>
    </row>
    <row r="137">
      <c r="A137" s="3" t="s">
        <v>285</v>
      </c>
      <c r="B137" s="4" t="s">
        <v>286</v>
      </c>
      <c r="C137" s="4">
        <f>IFERROR(__xludf.DUMMYFUNCTION("GOOGLEFINANCE($A137, C$2)"),40.4)</f>
        <v>40.4</v>
      </c>
      <c r="D137" s="4">
        <f>IFERROR(__xludf.DUMMYFUNCTION("GOOGLEFINANCE($A137, D$2)"),0.0)</f>
        <v>0</v>
      </c>
      <c r="E137" s="4">
        <f>IFERROR(__xludf.DUMMYFUNCTION("GOOGLEFINANCE($A137, E$2)"),10.33)</f>
        <v>10.33</v>
      </c>
      <c r="F137" s="4">
        <f>IFERROR(__xludf.DUMMYFUNCTION("GOOGLEFINANCE($A137, F$2)"),3.91)</f>
        <v>3.91</v>
      </c>
      <c r="G137" s="4" t="str">
        <f>IFERROR(__xludf.DUMMYFUNCTION("GOOGLEFINANCE($A137, G$2)"),"#N/A")</f>
        <v>#N/A</v>
      </c>
      <c r="H137" s="4" t="str">
        <f>IFERROR(__xludf.DUMMYFUNCTION("GOOGLEFINANCE($A137, H$2)"),"#N/A")</f>
        <v>#N/A</v>
      </c>
      <c r="I137" s="4" t="str">
        <f>IFERROR(__xludf.DUMMYFUNCTION("REPLACE(JOIN("";"", INDEX(TRANSPOSE(GOOGLEFINANCE($A137, $I$2, TODAY() - 30, TODAY(), 1)), 2)), 1, 6, """")"),"40,38;41;41;40,99;40,5;39,85;39,83;40,1;40,4;39,85;40,5;40,4")</f>
        <v>40,38;41;41;40,99;40,5;39,85;39,83;40,1;40,4;39,85;40,5;40,4</v>
      </c>
    </row>
    <row r="138">
      <c r="A138" s="3" t="s">
        <v>287</v>
      </c>
      <c r="B138" s="4" t="s">
        <v>288</v>
      </c>
      <c r="C138" s="4">
        <f>IFERROR(__xludf.DUMMYFUNCTION("GOOGLEFINANCE($A138, C$2)"),60.0)</f>
        <v>60</v>
      </c>
      <c r="D138" s="4">
        <f>IFERROR(__xludf.DUMMYFUNCTION("GOOGLEFINANCE($A138, D$2)"),0.0)</f>
        <v>0</v>
      </c>
      <c r="E138" s="4">
        <f>IFERROR(__xludf.DUMMYFUNCTION("GOOGLEFINANCE($A138, E$2)"),39.62)</f>
        <v>39.62</v>
      </c>
      <c r="F138" s="4">
        <f>IFERROR(__xludf.DUMMYFUNCTION("GOOGLEFINANCE($A138, F$2)"),1.51)</f>
        <v>1.51</v>
      </c>
      <c r="G138" s="4">
        <f>IFERROR(__xludf.DUMMYFUNCTION("GOOGLEFINANCE($A138, G$2)"),60.0)</f>
        <v>60</v>
      </c>
      <c r="H138" s="4">
        <f>IFERROR(__xludf.DUMMYFUNCTION("GOOGLEFINANCE($A138, H$2)"),60.0)</f>
        <v>60</v>
      </c>
      <c r="I138" s="4" t="str">
        <f>IFERROR(__xludf.DUMMYFUNCTION("REPLACE(JOIN("";"", INDEX(TRANSPOSE(GOOGLEFINANCE($A138, $I$2, TODAY() - 30, TODAY(), 1)), 2)), 1, 6, """")"),"60,2;60;60;60;60;60")</f>
        <v>60,2;60;60;60;60;60</v>
      </c>
    </row>
    <row r="139">
      <c r="A139" s="3" t="s">
        <v>289</v>
      </c>
      <c r="B139" s="4" t="s">
        <v>290</v>
      </c>
      <c r="C139" s="4">
        <f>IFERROR(__xludf.DUMMYFUNCTION("GOOGLEFINANCE($A139, C$2)"),30.0)</f>
        <v>30</v>
      </c>
      <c r="D139" s="4">
        <f>IFERROR(__xludf.DUMMYFUNCTION("GOOGLEFINANCE($A139, D$2)"),0.0)</f>
        <v>0</v>
      </c>
      <c r="E139" s="4">
        <f>IFERROR(__xludf.DUMMYFUNCTION("GOOGLEFINANCE($A139, E$2)"),10.32)</f>
        <v>10.32</v>
      </c>
      <c r="F139" s="4">
        <f>IFERROR(__xludf.DUMMYFUNCTION("GOOGLEFINANCE($A139, F$2)"),2.91)</f>
        <v>2.91</v>
      </c>
      <c r="G139" s="4" t="str">
        <f>IFERROR(__xludf.DUMMYFUNCTION("GOOGLEFINANCE($A139, G$2)"),"#N/A")</f>
        <v>#N/A</v>
      </c>
      <c r="H139" s="4" t="str">
        <f>IFERROR(__xludf.DUMMYFUNCTION("GOOGLEFINANCE($A139, H$2)"),"#N/A")</f>
        <v>#N/A</v>
      </c>
      <c r="I139" s="4" t="str">
        <f>IFERROR(__xludf.DUMMYFUNCTION("REPLACE(JOIN("";"", INDEX(TRANSPOSE(GOOGLEFINANCE($A139, $I$2, TODAY() - 30, TODAY(), 1)), 2)), 1, 6, """")"),"#N/A")</f>
        <v>#N/A</v>
      </c>
    </row>
    <row r="140">
      <c r="A140" s="3" t="s">
        <v>291</v>
      </c>
      <c r="B140" s="4" t="s">
        <v>292</v>
      </c>
      <c r="C140" s="4">
        <f>IFERROR(__xludf.DUMMYFUNCTION("GOOGLEFINANCE($A140, C$2)"),29.0)</f>
        <v>29</v>
      </c>
      <c r="D140" s="4">
        <f>IFERROR(__xludf.DUMMYFUNCTION("GOOGLEFINANCE($A140, D$2)"),0.0)</f>
        <v>0</v>
      </c>
      <c r="E140" s="4">
        <f>IFERROR(__xludf.DUMMYFUNCTION("GOOGLEFINANCE($A140, E$2)"),9.97)</f>
        <v>9.97</v>
      </c>
      <c r="F140" s="4">
        <f>IFERROR(__xludf.DUMMYFUNCTION("GOOGLEFINANCE($A140, F$2)"),2.91)</f>
        <v>2.91</v>
      </c>
      <c r="G140" s="4" t="str">
        <f>IFERROR(__xludf.DUMMYFUNCTION("GOOGLEFINANCE($A140, G$2)"),"#N/A")</f>
        <v>#N/A</v>
      </c>
      <c r="H140" s="4" t="str">
        <f>IFERROR(__xludf.DUMMYFUNCTION("GOOGLEFINANCE($A140, H$2)"),"#N/A")</f>
        <v>#N/A</v>
      </c>
      <c r="I140" s="4" t="str">
        <f>IFERROR(__xludf.DUMMYFUNCTION("REPLACE(JOIN("";"", INDEX(TRANSPOSE(GOOGLEFINANCE($A140, $I$2, TODAY() - 30, TODAY(), 1)), 2)), 1, 6, """")"),"30;30;32;29;29")</f>
        <v>30;30;32;29;29</v>
      </c>
    </row>
    <row r="141">
      <c r="A141" s="3" t="s">
        <v>293</v>
      </c>
      <c r="B141" s="4" t="s">
        <v>294</v>
      </c>
      <c r="C141" s="4">
        <f>IFERROR(__xludf.DUMMYFUNCTION("GOOGLEFINANCE($A141, C$2)"),30.41)</f>
        <v>30.41</v>
      </c>
      <c r="D141" s="4">
        <f>IFERROR(__xludf.DUMMYFUNCTION("GOOGLEFINANCE($A141, D$2)"),0.0)</f>
        <v>0</v>
      </c>
      <c r="E141" s="4">
        <f>IFERROR(__xludf.DUMMYFUNCTION("GOOGLEFINANCE($A141, E$2)"),5.76)</f>
        <v>5.76</v>
      </c>
      <c r="F141" s="4">
        <f>IFERROR(__xludf.DUMMYFUNCTION("GOOGLEFINANCE($A141, F$2)"),5.28)</f>
        <v>5.28</v>
      </c>
      <c r="G141" s="4">
        <f>IFERROR(__xludf.DUMMYFUNCTION("GOOGLEFINANCE($A141, G$2)"),30.79)</f>
        <v>30.79</v>
      </c>
      <c r="H141" s="4">
        <f>IFERROR(__xludf.DUMMYFUNCTION("GOOGLEFINANCE($A141, H$2)"),30.06)</f>
        <v>30.06</v>
      </c>
      <c r="I141" s="4" t="str">
        <f>IFERROR(__xludf.DUMMYFUNCTION("REPLACE(JOIN("";"", INDEX(TRANSPOSE(GOOGLEFINANCE($A141, $I$2, TODAY() - 30, TODAY(), 1)), 2)), 1, 6, """")"),"28,4;27,75;27,8;28,45;27,27;28,45;28,06;28,36;28,06;28,5;28,8;28,56;28,12;28,35;30;30,21;30,02;30,41")</f>
        <v>28,4;27,75;27,8;28,45;27,27;28,45;28,06;28,36;28,06;28,5;28,8;28,56;28,12;28,35;30;30,21;30,02;30,41</v>
      </c>
    </row>
    <row r="142">
      <c r="A142" s="3" t="s">
        <v>295</v>
      </c>
      <c r="B142" s="4" t="s">
        <v>296</v>
      </c>
      <c r="C142" s="4">
        <f>IFERROR(__xludf.DUMMYFUNCTION("GOOGLEFINANCE($A142, C$2)"),43.41)</f>
        <v>43.41</v>
      </c>
      <c r="D142" s="4">
        <f>IFERROR(__xludf.DUMMYFUNCTION("GOOGLEFINANCE($A142, D$2)"),0.0)</f>
        <v>0</v>
      </c>
      <c r="E142" s="4">
        <f>IFERROR(__xludf.DUMMYFUNCTION("GOOGLEFINANCE($A142, E$2)"),8.22)</f>
        <v>8.22</v>
      </c>
      <c r="F142" s="4">
        <f>IFERROR(__xludf.DUMMYFUNCTION("GOOGLEFINANCE($A142, F$2)"),5.28)</f>
        <v>5.28</v>
      </c>
      <c r="G142" s="4">
        <f>IFERROR(__xludf.DUMMYFUNCTION("GOOGLEFINANCE($A142, G$2)"),45.0)</f>
        <v>45</v>
      </c>
      <c r="H142" s="4">
        <f>IFERROR(__xludf.DUMMYFUNCTION("GOOGLEFINANCE($A142, H$2)"),43.08)</f>
        <v>43.08</v>
      </c>
      <c r="I142" s="4" t="str">
        <f>IFERROR(__xludf.DUMMYFUNCTION("REPLACE(JOIN("";"", INDEX(TRANSPOSE(GOOGLEFINANCE($A142, $I$2, TODAY() - 30, TODAY(), 1)), 2)), 1, 6, """")"),"35,99;37;37;35,7;36;36,98;35,57;36;35,16;36,6;35,7;36;38,45;37,6;42,56;43,41")</f>
        <v>35,99;37;37;35,7;36;36,98;35,57;36;35,16;36,6;35,7;36;38,45;37,6;42,56;43,41</v>
      </c>
    </row>
    <row r="143">
      <c r="A143" s="3" t="s">
        <v>297</v>
      </c>
      <c r="B143" s="4" t="s">
        <v>298</v>
      </c>
      <c r="C143" s="4">
        <f>IFERROR(__xludf.DUMMYFUNCTION("GOOGLEFINANCE($A143, C$2)"),29.44)</f>
        <v>29.44</v>
      </c>
      <c r="D143" s="4">
        <f>IFERROR(__xludf.DUMMYFUNCTION("GOOGLEFINANCE($A143, D$2)"),0.0)</f>
        <v>0</v>
      </c>
      <c r="E143" s="4">
        <f>IFERROR(__xludf.DUMMYFUNCTION("GOOGLEFINANCE($A143, E$2)"),5.58)</f>
        <v>5.58</v>
      </c>
      <c r="F143" s="4">
        <f>IFERROR(__xludf.DUMMYFUNCTION("GOOGLEFINANCE($A143, F$2)"),5.28)</f>
        <v>5.28</v>
      </c>
      <c r="G143" s="4">
        <f>IFERROR(__xludf.DUMMYFUNCTION("GOOGLEFINANCE($A143, G$2)"),29.69)</f>
        <v>29.69</v>
      </c>
      <c r="H143" s="4">
        <f>IFERROR(__xludf.DUMMYFUNCTION("GOOGLEFINANCE($A143, H$2)"),29.05)</f>
        <v>29.05</v>
      </c>
      <c r="I143" s="4" t="str">
        <f>IFERROR(__xludf.DUMMYFUNCTION("REPLACE(JOIN("";"", INDEX(TRANSPOSE(GOOGLEFINANCE($A143, $I$2, TODAY() - 30, TODAY(), 1)), 2)), 1, 6, """")"),"29,81;29,42;29,36;29,99;29,25;29,5;29,7;30,51;30,68;31,16;31,13;31,11;30,9;30,4;29,62;29,58;29,12;29,44")</f>
        <v>29,81;29,42;29,36;29,99;29,25;29,5;29,7;30,51;30,68;31,16;31,13;31,11;30,9;30,4;29,62;29,58;29,12;29,44</v>
      </c>
    </row>
    <row r="144">
      <c r="A144" s="3" t="s">
        <v>299</v>
      </c>
      <c r="B144" s="4" t="s">
        <v>300</v>
      </c>
      <c r="C144" s="4">
        <f>IFERROR(__xludf.DUMMYFUNCTION("GOOGLEFINANCE($A144, C$2)"),159.9)</f>
        <v>159.9</v>
      </c>
      <c r="D144" s="4">
        <f>IFERROR(__xludf.DUMMYFUNCTION("GOOGLEFINANCE($A144, D$2)"),0.0)</f>
        <v>0</v>
      </c>
      <c r="E144" s="4">
        <f>IFERROR(__xludf.DUMMYFUNCTION("GOOGLEFINANCE($A144, E$2)"),18.47)</f>
        <v>18.47</v>
      </c>
      <c r="F144" s="4">
        <f>IFERROR(__xludf.DUMMYFUNCTION("GOOGLEFINANCE($A144, F$2)"),8.66)</f>
        <v>8.66</v>
      </c>
      <c r="G144" s="4">
        <f>IFERROR(__xludf.DUMMYFUNCTION("GOOGLEFINANCE($A144, G$2)"),159.9)</f>
        <v>159.9</v>
      </c>
      <c r="H144" s="4">
        <f>IFERROR(__xludf.DUMMYFUNCTION("GOOGLEFINANCE($A144, H$2)"),159.9)</f>
        <v>159.9</v>
      </c>
      <c r="I144" s="4" t="str">
        <f>IFERROR(__xludf.DUMMYFUNCTION("REPLACE(JOIN("";"", INDEX(TRANSPOSE(GOOGLEFINANCE($A144, $I$2, TODAY() - 30, TODAY(), 1)), 2)), 1, 6, """")"),"160,25;170;169,99;165;165;169,99;165;159,9")</f>
        <v>160,25;170;169,99;165;165;169,99;165;159,9</v>
      </c>
    </row>
    <row r="145">
      <c r="A145" s="3" t="s">
        <v>301</v>
      </c>
      <c r="B145" s="4" t="s">
        <v>302</v>
      </c>
      <c r="C145" s="4">
        <f>IFERROR(__xludf.DUMMYFUNCTION("GOOGLEFINANCE($A145, C$2)"),156.71)</f>
        <v>156.71</v>
      </c>
      <c r="D145" s="4">
        <f>IFERROR(__xludf.DUMMYFUNCTION("GOOGLEFINANCE($A145, D$2)"),0.0)</f>
        <v>0</v>
      </c>
      <c r="E145" s="4">
        <f>IFERROR(__xludf.DUMMYFUNCTION("GOOGLEFINANCE($A145, E$2)"),18.1)</f>
        <v>18.1</v>
      </c>
      <c r="F145" s="4">
        <f>IFERROR(__xludf.DUMMYFUNCTION("GOOGLEFINANCE($A145, F$2)"),8.66)</f>
        <v>8.66</v>
      </c>
      <c r="G145" s="4">
        <f>IFERROR(__xludf.DUMMYFUNCTION("GOOGLEFINANCE($A145, G$2)"),157.92)</f>
        <v>157.92</v>
      </c>
      <c r="H145" s="4">
        <f>IFERROR(__xludf.DUMMYFUNCTION("GOOGLEFINANCE($A145, H$2)"),155.12)</f>
        <v>155.12</v>
      </c>
      <c r="I145" s="4" t="str">
        <f>IFERROR(__xludf.DUMMYFUNCTION("REPLACE(JOIN("";"", INDEX(TRANSPOSE(GOOGLEFINANCE($A145, $I$2, TODAY() - 30, TODAY(), 1)), 2)), 1, 6, """")"),"164,2;164,03;164,05;164,28;163,5;159,4;159,98;163,15;163,99;165;159;160,34;157,8;160,85;160;158,7;156,7;156,71")</f>
        <v>164,2;164,03;164,05;164,28;163,5;159,4;159,98;163,15;163,99;165;159;160,34;157,8;160,85;160;158,7;156,7;156,71</v>
      </c>
    </row>
    <row r="146">
      <c r="A146" s="3" t="s">
        <v>303</v>
      </c>
      <c r="B146" s="4" t="s">
        <v>304</v>
      </c>
      <c r="C146" s="4">
        <f>IFERROR(__xludf.DUMMYFUNCTION("GOOGLEFINANCE($A146, C$2)"),34.99)</f>
        <v>34.99</v>
      </c>
      <c r="D146" s="4">
        <f>IFERROR(__xludf.DUMMYFUNCTION("GOOGLEFINANCE($A146, D$2)"),0.0)</f>
        <v>0</v>
      </c>
      <c r="E146" s="4">
        <f>IFERROR(__xludf.DUMMYFUNCTION("GOOGLEFINANCE($A146, E$2)"),5.15)</f>
        <v>5.15</v>
      </c>
      <c r="F146" s="4">
        <f>IFERROR(__xludf.DUMMYFUNCTION("GOOGLEFINANCE($A146, F$2)"),6.8)</f>
        <v>6.8</v>
      </c>
      <c r="G146" s="4">
        <f>IFERROR(__xludf.DUMMYFUNCTION("GOOGLEFINANCE($A146, G$2)"),35.41)</f>
        <v>35.41</v>
      </c>
      <c r="H146" s="4">
        <f>IFERROR(__xludf.DUMMYFUNCTION("GOOGLEFINANCE($A146, H$2)"),34.99)</f>
        <v>34.99</v>
      </c>
      <c r="I146" s="4" t="str">
        <f>IFERROR(__xludf.DUMMYFUNCTION("REPLACE(JOIN("";"", INDEX(TRANSPOSE(GOOGLEFINANCE($A146, $I$2, TODAY() - 30, TODAY(), 1)), 2)), 1, 6, """")"),"39,03;39,25;36,75;37,15;38,39;38;37,01;34,81;35,94;36,15;35,02;34,5;36,6;37,27;36;36,48;34,99")</f>
        <v>39,03;39,25;36,75;37,15;38,39;38;37,01;34,81;35,94;36,15;35,02;34,5;36,6;37,27;36;36,48;34,99</v>
      </c>
    </row>
    <row r="147">
      <c r="A147" s="3" t="s">
        <v>305</v>
      </c>
      <c r="B147" s="4" t="s">
        <v>306</v>
      </c>
      <c r="C147" s="4">
        <f>IFERROR(__xludf.DUMMYFUNCTION("GOOGLEFINANCE($A147, C$2)"),35.0)</f>
        <v>35</v>
      </c>
      <c r="D147" s="4">
        <f>IFERROR(__xludf.DUMMYFUNCTION("GOOGLEFINANCE($A147, D$2)"),0.0)</f>
        <v>0</v>
      </c>
      <c r="E147" s="4">
        <f>IFERROR(__xludf.DUMMYFUNCTION("GOOGLEFINANCE($A147, E$2)"),5.15)</f>
        <v>5.15</v>
      </c>
      <c r="F147" s="4">
        <f>IFERROR(__xludf.DUMMYFUNCTION("GOOGLEFINANCE($A147, F$2)"),6.8)</f>
        <v>6.8</v>
      </c>
      <c r="G147" s="4">
        <f>IFERROR(__xludf.DUMMYFUNCTION("GOOGLEFINANCE($A147, G$2)"),35.14)</f>
        <v>35.14</v>
      </c>
      <c r="H147" s="4">
        <f>IFERROR(__xludf.DUMMYFUNCTION("GOOGLEFINANCE($A147, H$2)"),34.51)</f>
        <v>34.51</v>
      </c>
      <c r="I147" s="4" t="str">
        <f>IFERROR(__xludf.DUMMYFUNCTION("REPLACE(JOIN("";"", INDEX(TRANSPOSE(GOOGLEFINANCE($A147, $I$2, TODAY() - 30, TODAY(), 1)), 2)), 1, 6, """")"),"38,9;38,45;37,38;37,72;35,05;35,22;35,03;37,5;36,5;35,52;36,89;36;33,83;35,12;34,5;35,5;35;35")</f>
        <v>38,9;38,45;37,38;37,72;35,05;35,22;35,03;37,5;36,5;35,52;36,89;36;33,83;35,12;34,5;35,5;35;35</v>
      </c>
    </row>
    <row r="148">
      <c r="A148" s="3" t="s">
        <v>307</v>
      </c>
      <c r="B148" s="4" t="s">
        <v>308</v>
      </c>
      <c r="C148" s="4">
        <f>IFERROR(__xludf.DUMMYFUNCTION("GOOGLEFINANCE($A148, C$2)"),54.89)</f>
        <v>54.89</v>
      </c>
      <c r="D148" s="4">
        <f>IFERROR(__xludf.DUMMYFUNCTION("GOOGLEFINANCE($A148, D$2)"),0.0)</f>
        <v>0</v>
      </c>
      <c r="E148" s="4" t="str">
        <f>IFERROR(__xludf.DUMMYFUNCTION("GOOGLEFINANCE($A148, E$2)"),"#N/A")</f>
        <v>#N/A</v>
      </c>
      <c r="F148" s="4" t="str">
        <f>IFERROR(__xludf.DUMMYFUNCTION("GOOGLEFINANCE($A148, F$2)"),"#N/A")</f>
        <v>#N/A</v>
      </c>
      <c r="G148" s="4">
        <f>IFERROR(__xludf.DUMMYFUNCTION("GOOGLEFINANCE($A148, G$2)"),58.31)</f>
        <v>58.31</v>
      </c>
      <c r="H148" s="4">
        <f>IFERROR(__xludf.DUMMYFUNCTION("GOOGLEFINANCE($A148, H$2)"),54.77)</f>
        <v>54.77</v>
      </c>
      <c r="I148" s="4" t="str">
        <f>IFERROR(__xludf.DUMMYFUNCTION("REPLACE(JOIN("";"", INDEX(TRANSPOSE(GOOGLEFINANCE($A148, $I$2, TODAY() - 30, TODAY(), 1)), 2)), 1, 6, """")"),"59,24;57,84;55,7;59,5;56;54,61;55,32;54,8;58,31;55,35;55,02;55,94;55,14;55,54;55,19;56,51;56,51;54,89")</f>
        <v>59,24;57,84;55,7;59,5;56;54,61;55,32;54,8;58,31;55,35;55,02;55,94;55,14;55,54;55,19;56,51;56,51;54,89</v>
      </c>
    </row>
    <row r="149">
      <c r="A149" s="3" t="s">
        <v>309</v>
      </c>
      <c r="B149" s="4" t="s">
        <v>310</v>
      </c>
      <c r="C149" s="4">
        <f>IFERROR(__xludf.DUMMYFUNCTION("GOOGLEFINANCE($A149, C$2)"),437.9)</f>
        <v>437.9</v>
      </c>
      <c r="D149" s="4">
        <f>IFERROR(__xludf.DUMMYFUNCTION("GOOGLEFINANCE($A149, D$2)"),0.94)</f>
        <v>0.94</v>
      </c>
      <c r="E149" s="4" t="str">
        <f>IFERROR(__xludf.DUMMYFUNCTION("GOOGLEFINANCE($A149, E$2)"),"#N/A")</f>
        <v>#N/A</v>
      </c>
      <c r="F149" s="4" t="str">
        <f>IFERROR(__xludf.DUMMYFUNCTION("GOOGLEFINANCE($A149, F$2)"),"#N/A")</f>
        <v>#N/A</v>
      </c>
      <c r="G149" s="4" t="str">
        <f>IFERROR(__xludf.DUMMYFUNCTION("GOOGLEFINANCE($A149, G$2)"),"#N/A")</f>
        <v>#N/A</v>
      </c>
      <c r="H149" s="4" t="str">
        <f>IFERROR(__xludf.DUMMYFUNCTION("GOOGLEFINANCE($A149, H$2)"),"#N/A")</f>
        <v>#N/A</v>
      </c>
      <c r="I149" s="4" t="str">
        <f>IFERROR(__xludf.DUMMYFUNCTION("REPLACE(JOIN("";"", INDEX(TRANSPOSE(GOOGLEFINANCE($A149, $I$2, TODAY() - 30, TODAY(), 1)), 2)), 1, 6, """")"),"462,6;437,9")</f>
        <v>462,6;437,9</v>
      </c>
    </row>
    <row r="150">
      <c r="A150" s="3" t="s">
        <v>311</v>
      </c>
      <c r="B150" s="4" t="s">
        <v>312</v>
      </c>
      <c r="C150" s="4">
        <f>IFERROR(__xludf.DUMMYFUNCTION("GOOGLEFINANCE($A150, C$2)"),263.27)</f>
        <v>263.27</v>
      </c>
      <c r="D150" s="4">
        <f>IFERROR(__xludf.DUMMYFUNCTION("GOOGLEFINANCE($A150, D$2)"),0.0)</f>
        <v>0</v>
      </c>
      <c r="E150" s="4" t="str">
        <f>IFERROR(__xludf.DUMMYFUNCTION("GOOGLEFINANCE($A150, E$2)"),"#N/A")</f>
        <v>#N/A</v>
      </c>
      <c r="F150" s="4" t="str">
        <f>IFERROR(__xludf.DUMMYFUNCTION("GOOGLEFINANCE($A150, F$2)"),"#N/A")</f>
        <v>#N/A</v>
      </c>
      <c r="G150" s="4" t="str">
        <f>IFERROR(__xludf.DUMMYFUNCTION("GOOGLEFINANCE($A150, G$2)"),"#N/A")</f>
        <v>#N/A</v>
      </c>
      <c r="H150" s="4" t="str">
        <f>IFERROR(__xludf.DUMMYFUNCTION("GOOGLEFINANCE($A150, H$2)"),"#N/A")</f>
        <v>#N/A</v>
      </c>
      <c r="I150" s="4" t="str">
        <f>IFERROR(__xludf.DUMMYFUNCTION("REPLACE(JOIN("";"", INDEX(TRANSPOSE(GOOGLEFINANCE($A150, $I$2, TODAY() - 30, TODAY(), 1)), 2)), 1, 6, """")"),"257,5;258,1;263,27")</f>
        <v>257,5;258,1;263,27</v>
      </c>
    </row>
    <row r="151">
      <c r="A151" s="3" t="s">
        <v>313</v>
      </c>
      <c r="B151" s="4" t="s">
        <v>314</v>
      </c>
      <c r="C151" s="4">
        <f>IFERROR(__xludf.DUMMYFUNCTION("GOOGLEFINANCE($A151, C$2)"),51.88)</f>
        <v>51.88</v>
      </c>
      <c r="D151" s="4">
        <f>IFERROR(__xludf.DUMMYFUNCTION("GOOGLEFINANCE($A151, D$2)"),0.0)</f>
        <v>0</v>
      </c>
      <c r="E151" s="4" t="str">
        <f>IFERROR(__xludf.DUMMYFUNCTION("GOOGLEFINANCE($A151, E$2)"),"#N/A")</f>
        <v>#N/A</v>
      </c>
      <c r="F151" s="4" t="str">
        <f>IFERROR(__xludf.DUMMYFUNCTION("GOOGLEFINANCE($A151, F$2)"),"#N/A")</f>
        <v>#N/A</v>
      </c>
      <c r="G151" s="4">
        <f>IFERROR(__xludf.DUMMYFUNCTION("GOOGLEFINANCE($A151, G$2)"),52.25)</f>
        <v>52.25</v>
      </c>
      <c r="H151" s="4">
        <f>IFERROR(__xludf.DUMMYFUNCTION("GOOGLEFINANCE($A151, H$2)"),51.25)</f>
        <v>51.25</v>
      </c>
      <c r="I151" s="4" t="str">
        <f>IFERROR(__xludf.DUMMYFUNCTION("REPLACE(JOIN("";"", INDEX(TRANSPOSE(GOOGLEFINANCE($A151, $I$2, TODAY() - 30, TODAY(), 1)), 2)), 1, 6, """")"),"50,31;48,07;47,8;48,47;46,67;47,3;46,82;47,88;48,43;47,97;49,23;49,05;49,73;49,31;49,95;52,05;51,78;51,88")</f>
        <v>50,31;48,07;47,8;48,47;46,67;47,3;46,82;47,88;48,43;47,97;49,23;49,05;49,73;49,31;49,95;52,05;51,78;51,88</v>
      </c>
    </row>
    <row r="152">
      <c r="A152" s="3" t="s">
        <v>315</v>
      </c>
      <c r="B152" s="4" t="s">
        <v>316</v>
      </c>
      <c r="C152" s="4">
        <f>IFERROR(__xludf.DUMMYFUNCTION("GOOGLEFINANCE($A152, C$2)"),3.57)</f>
        <v>3.57</v>
      </c>
      <c r="D152" s="4">
        <f>IFERROR(__xludf.DUMMYFUNCTION("GOOGLEFINANCE($A152, D$2)"),0.0)</f>
        <v>0</v>
      </c>
      <c r="E152" s="4">
        <f>IFERROR(__xludf.DUMMYFUNCTION("GOOGLEFINANCE($A152, E$2)"),19.79)</f>
        <v>19.79</v>
      </c>
      <c r="F152" s="4">
        <f>IFERROR(__xludf.DUMMYFUNCTION("GOOGLEFINANCE($A152, F$2)"),0.18)</f>
        <v>0.18</v>
      </c>
      <c r="G152" s="4">
        <f>IFERROR(__xludf.DUMMYFUNCTION("GOOGLEFINANCE($A152, G$2)"),3.61)</f>
        <v>3.61</v>
      </c>
      <c r="H152" s="4">
        <f>IFERROR(__xludf.DUMMYFUNCTION("GOOGLEFINANCE($A152, H$2)"),3.53)</f>
        <v>3.53</v>
      </c>
      <c r="I152" s="4" t="str">
        <f>IFERROR(__xludf.DUMMYFUNCTION("REPLACE(JOIN("";"", INDEX(TRANSPOSE(GOOGLEFINANCE($A152, $I$2, TODAY() - 30, TODAY(), 1)), 2)), 1, 6, """")"),"3,61;3,67;4,15;4,13;4,11;4,2;4,22;4,2;4,13;4,19;4,06;4,06;3,91;3,92;3,66;3,68;3,59;3,57")</f>
        <v>3,61;3,67;4,15;4,13;4,11;4,2;4,22;4,2;4,13;4,19;4,06;4,06;3,91;3,92;3,66;3,68;3,59;3,57</v>
      </c>
    </row>
    <row r="153">
      <c r="A153" s="3" t="s">
        <v>317</v>
      </c>
      <c r="B153" s="4" t="s">
        <v>318</v>
      </c>
      <c r="C153" s="4">
        <f>IFERROR(__xludf.DUMMYFUNCTION("GOOGLEFINANCE($A153, C$2)"),245.0)</f>
        <v>245</v>
      </c>
      <c r="D153" s="4">
        <f>IFERROR(__xludf.DUMMYFUNCTION("GOOGLEFINANCE($A153, D$2)"),0.0)</f>
        <v>0</v>
      </c>
      <c r="E153" s="4" t="str">
        <f>IFERROR(__xludf.DUMMYFUNCTION("GOOGLEFINANCE($A153, E$2)"),"#N/A")</f>
        <v>#N/A</v>
      </c>
      <c r="F153" s="4" t="str">
        <f>IFERROR(__xludf.DUMMYFUNCTION("GOOGLEFINANCE($A153, F$2)"),"#N/A")</f>
        <v>#N/A</v>
      </c>
      <c r="G153" s="4" t="str">
        <f>IFERROR(__xludf.DUMMYFUNCTION("GOOGLEFINANCE($A153, G$2)"),"#N/A")</f>
        <v>#N/A</v>
      </c>
      <c r="H153" s="4" t="str">
        <f>IFERROR(__xludf.DUMMYFUNCTION("GOOGLEFINANCE($A153, H$2)"),"#N/A")</f>
        <v>#N/A</v>
      </c>
      <c r="I153" s="4" t="str">
        <f>IFERROR(__xludf.DUMMYFUNCTION("REPLACE(JOIN("";"", INDEX(TRANSPOSE(GOOGLEFINANCE($A153, $I$2, TODAY() - 30, TODAY(), 1)), 2)), 1, 6, """")"),"239,2;245")</f>
        <v>239,2;245</v>
      </c>
    </row>
    <row r="154">
      <c r="A154" s="3" t="s">
        <v>319</v>
      </c>
      <c r="B154" s="4" t="s">
        <v>320</v>
      </c>
      <c r="C154" s="4">
        <f>IFERROR(__xludf.DUMMYFUNCTION("GOOGLEFINANCE($A154, C$2)"),58.9)</f>
        <v>58.9</v>
      </c>
      <c r="D154" s="4">
        <f>IFERROR(__xludf.DUMMYFUNCTION("GOOGLEFINANCE($A154, D$2)"),0.0)</f>
        <v>0</v>
      </c>
      <c r="E154" s="4">
        <f>IFERROR(__xludf.DUMMYFUNCTION("GOOGLEFINANCE($A154, E$2)"),6.48)</f>
        <v>6.48</v>
      </c>
      <c r="F154" s="4">
        <f>IFERROR(__xludf.DUMMYFUNCTION("GOOGLEFINANCE($A154, F$2)"),9.08)</f>
        <v>9.08</v>
      </c>
      <c r="G154" s="4">
        <f>IFERROR(__xludf.DUMMYFUNCTION("GOOGLEFINANCE($A154, G$2)"),58.9)</f>
        <v>58.9</v>
      </c>
      <c r="H154" s="4">
        <f>IFERROR(__xludf.DUMMYFUNCTION("GOOGLEFINANCE($A154, H$2)"),58.9)</f>
        <v>58.9</v>
      </c>
      <c r="I154" s="4" t="str">
        <f>IFERROR(__xludf.DUMMYFUNCTION("REPLACE(JOIN("";"", INDEX(TRANSPOSE(GOOGLEFINANCE($A154, $I$2, TODAY() - 30, TODAY(), 1)), 2)), 1, 6, """")"),"57;58,9")</f>
        <v>57;58,9</v>
      </c>
    </row>
    <row r="155">
      <c r="A155" s="3" t="s">
        <v>321</v>
      </c>
      <c r="B155" s="4" t="s">
        <v>322</v>
      </c>
      <c r="C155" s="4">
        <f>IFERROR(__xludf.DUMMYFUNCTION("GOOGLEFINANCE($A155, C$2)"),52.8)</f>
        <v>52.8</v>
      </c>
      <c r="D155" s="4">
        <f>IFERROR(__xludf.DUMMYFUNCTION("GOOGLEFINANCE($A155, D$2)"),0.0)</f>
        <v>0</v>
      </c>
      <c r="E155" s="4">
        <f>IFERROR(__xludf.DUMMYFUNCTION("GOOGLEFINANCE($A155, E$2)"),5.81)</f>
        <v>5.81</v>
      </c>
      <c r="F155" s="4">
        <f>IFERROR(__xludf.DUMMYFUNCTION("GOOGLEFINANCE($A155, F$2)"),9.08)</f>
        <v>9.08</v>
      </c>
      <c r="G155" s="4">
        <f>IFERROR(__xludf.DUMMYFUNCTION("GOOGLEFINANCE($A155, G$2)"),53.6)</f>
        <v>53.6</v>
      </c>
      <c r="H155" s="4">
        <f>IFERROR(__xludf.DUMMYFUNCTION("GOOGLEFINANCE($A155, H$2)"),52.8)</f>
        <v>52.8</v>
      </c>
      <c r="I155" s="4" t="str">
        <f>IFERROR(__xludf.DUMMYFUNCTION("REPLACE(JOIN("";"", INDEX(TRANSPOSE(GOOGLEFINANCE($A155, $I$2, TODAY() - 30, TODAY(), 1)), 2)), 1, 6, """")"),"52,01;50,5;52,15;52,14;52;53,88;55,43;55,73;52,3;52,28;53,39;53,5;51,75;52,24;52,99;53,4;53,6;52,8")</f>
        <v>52,01;50,5;52,15;52,14;52;53,88;55,43;55,73;52,3;52,28;53,39;53,5;51,75;52,24;52,99;53,4;53,6;52,8</v>
      </c>
    </row>
    <row r="156">
      <c r="A156" s="3" t="s">
        <v>323</v>
      </c>
      <c r="B156" s="4" t="s">
        <v>324</v>
      </c>
      <c r="C156" s="4">
        <f>IFERROR(__xludf.DUMMYFUNCTION("GOOGLEFINANCE($A156, C$2)"),258.3)</f>
        <v>258.3</v>
      </c>
      <c r="D156" s="4">
        <f>IFERROR(__xludf.DUMMYFUNCTION("GOOGLEFINANCE($A156, D$2)"),0.0)</f>
        <v>0</v>
      </c>
      <c r="E156" s="4" t="str">
        <f>IFERROR(__xludf.DUMMYFUNCTION("GOOGLEFINANCE($A156, E$2)"),"#N/A")</f>
        <v>#N/A</v>
      </c>
      <c r="F156" s="4" t="str">
        <f>IFERROR(__xludf.DUMMYFUNCTION("GOOGLEFINANCE($A156, F$2)"),"#N/A")</f>
        <v>#N/A</v>
      </c>
      <c r="G156" s="4" t="str">
        <f>IFERROR(__xludf.DUMMYFUNCTION("GOOGLEFINANCE($A156, G$2)"),"#N/A")</f>
        <v>#N/A</v>
      </c>
      <c r="H156" s="4" t="str">
        <f>IFERROR(__xludf.DUMMYFUNCTION("GOOGLEFINANCE($A156, H$2)"),"#N/A")</f>
        <v>#N/A</v>
      </c>
      <c r="I156" s="4" t="str">
        <f>IFERROR(__xludf.DUMMYFUNCTION("REPLACE(JOIN("";"", INDEX(TRANSPOSE(GOOGLEFINANCE($A156, $I$2, TODAY() - 30, TODAY(), 1)), 2)), 1, 6, """")"),"280,55;260,71;250;251,1;247,4;258,3")</f>
        <v>280,55;260,71;250;251,1;247,4;258,3</v>
      </c>
    </row>
    <row r="157">
      <c r="A157" s="3" t="s">
        <v>325</v>
      </c>
      <c r="B157" s="4" t="s">
        <v>326</v>
      </c>
      <c r="C157" s="4">
        <f>IFERROR(__xludf.DUMMYFUNCTION("GOOGLEFINANCE($A157, C$2)"),56.29)</f>
        <v>56.29</v>
      </c>
      <c r="D157" s="4">
        <f>IFERROR(__xludf.DUMMYFUNCTION("GOOGLEFINANCE($A157, D$2)"),0.0)</f>
        <v>0</v>
      </c>
      <c r="E157" s="4" t="str">
        <f>IFERROR(__xludf.DUMMYFUNCTION("GOOGLEFINANCE($A157, E$2)"),"#N/A")</f>
        <v>#N/A</v>
      </c>
      <c r="F157" s="4" t="str">
        <f>IFERROR(__xludf.DUMMYFUNCTION("GOOGLEFINANCE($A157, F$2)"),"#N/A")</f>
        <v>#N/A</v>
      </c>
      <c r="G157" s="4">
        <f>IFERROR(__xludf.DUMMYFUNCTION("GOOGLEFINANCE($A157, G$2)"),57.24)</f>
        <v>57.24</v>
      </c>
      <c r="H157" s="4">
        <f>IFERROR(__xludf.DUMMYFUNCTION("GOOGLEFINANCE($A157, H$2)"),55.9)</f>
        <v>55.9</v>
      </c>
      <c r="I157" s="4" t="str">
        <f>IFERROR(__xludf.DUMMYFUNCTION("REPLACE(JOIN("";"", INDEX(TRANSPOSE(GOOGLEFINANCE($A157, $I$2, TODAY() - 30, TODAY(), 1)), 2)), 1, 6, """")"),"53,49;53,78;52,51;56,05;54,45;54,84;55,18;54,48;56,02;55,11;55,8;57;56,89;57,06;57,51;57,48;57,32;56,29")</f>
        <v>53,49;53,78;52,51;56,05;54,45;54,84;55,18;54,48;56,02;55,11;55,8;57;56,89;57,06;57,51;57,48;57,32;56,29</v>
      </c>
    </row>
    <row r="158">
      <c r="A158" s="3" t="s">
        <v>327</v>
      </c>
      <c r="B158" s="4" t="s">
        <v>328</v>
      </c>
      <c r="C158" s="4">
        <f>IFERROR(__xludf.DUMMYFUNCTION("GOOGLEFINANCE($A158, C$2)"),15.23)</f>
        <v>15.23</v>
      </c>
      <c r="D158" s="4">
        <f>IFERROR(__xludf.DUMMYFUNCTION("GOOGLEFINANCE($A158, D$2)"),0.0)</f>
        <v>0</v>
      </c>
      <c r="E158" s="4">
        <f>IFERROR(__xludf.DUMMYFUNCTION("GOOGLEFINANCE($A158, E$2)"),11.39)</f>
        <v>11.39</v>
      </c>
      <c r="F158" s="4">
        <f>IFERROR(__xludf.DUMMYFUNCTION("GOOGLEFINANCE($A158, F$2)"),1.34)</f>
        <v>1.34</v>
      </c>
      <c r="G158" s="4">
        <f>IFERROR(__xludf.DUMMYFUNCTION("GOOGLEFINANCE($A158, G$2)"),15.43)</f>
        <v>15.43</v>
      </c>
      <c r="H158" s="4">
        <f>IFERROR(__xludf.DUMMYFUNCTION("GOOGLEFINANCE($A158, H$2)"),15.1)</f>
        <v>15.1</v>
      </c>
      <c r="I158" s="4" t="str">
        <f>IFERROR(__xludf.DUMMYFUNCTION("REPLACE(JOIN("";"", INDEX(TRANSPOSE(GOOGLEFINANCE($A158, $I$2, TODAY() - 30, TODAY(), 1)), 2)), 1, 6, """")"),"15,94;15,83;15,72;16,65;16,2;16,64;16,74;16,92;16,7;16,54;16,66;16,45;15,91;16,04;15,6;15,31;15,3;15,23")</f>
        <v>15,94;15,83;15,72;16,65;16,2;16,64;16,74;16,92;16,7;16,54;16,66;16,45;15,91;16,04;15,6;15,31;15,3;15,23</v>
      </c>
    </row>
    <row r="159">
      <c r="A159" s="3" t="s">
        <v>329</v>
      </c>
      <c r="B159" s="4" t="s">
        <v>330</v>
      </c>
      <c r="C159" s="4">
        <f>IFERROR(__xludf.DUMMYFUNCTION("GOOGLEFINANCE($A159, C$2)"),12.74)</f>
        <v>12.74</v>
      </c>
      <c r="D159" s="4">
        <f>IFERROR(__xludf.DUMMYFUNCTION("GOOGLEFINANCE($A159, D$2)"),0.0)</f>
        <v>0</v>
      </c>
      <c r="E159" s="4">
        <f>IFERROR(__xludf.DUMMYFUNCTION("GOOGLEFINANCE($A159, E$2)"),9.53)</f>
        <v>9.53</v>
      </c>
      <c r="F159" s="4">
        <f>IFERROR(__xludf.DUMMYFUNCTION("GOOGLEFINANCE($A159, F$2)"),1.34)</f>
        <v>1.34</v>
      </c>
      <c r="G159" s="4">
        <f>IFERROR(__xludf.DUMMYFUNCTION("GOOGLEFINANCE($A159, G$2)"),13.07)</f>
        <v>13.07</v>
      </c>
      <c r="H159" s="4">
        <f>IFERROR(__xludf.DUMMYFUNCTION("GOOGLEFINANCE($A159, H$2)"),12.71)</f>
        <v>12.71</v>
      </c>
      <c r="I159" s="4" t="str">
        <f>IFERROR(__xludf.DUMMYFUNCTION("REPLACE(JOIN("";"", INDEX(TRANSPOSE(GOOGLEFINANCE($A159, $I$2, TODAY() - 30, TODAY(), 1)), 2)), 1, 6, """")"),"13,8;13,48;13,45;14,15;13,7;14,14;14,28;14,42;14,29;14,14;14,16;13,92;13,73;13,74;13,53;13,24;12,9;12,74")</f>
        <v>13,8;13,48;13,45;14,15;13,7;14,14;14,28;14,42;14,29;14,14;14,16;13,92;13,73;13,74;13,53;13,24;12,9;12,74</v>
      </c>
    </row>
    <row r="160">
      <c r="A160" s="3" t="s">
        <v>331</v>
      </c>
      <c r="B160" s="4" t="s">
        <v>332</v>
      </c>
      <c r="C160" s="4">
        <f>IFERROR(__xludf.DUMMYFUNCTION("GOOGLEFINANCE($A160, C$2)"),293.55)</f>
        <v>293.55</v>
      </c>
      <c r="D160" s="4">
        <f>IFERROR(__xludf.DUMMYFUNCTION("GOOGLEFINANCE($A160, D$2)"),0.0)</f>
        <v>0</v>
      </c>
      <c r="E160" s="4" t="str">
        <f>IFERROR(__xludf.DUMMYFUNCTION("GOOGLEFINANCE($A160, E$2)"),"#N/A")</f>
        <v>#N/A</v>
      </c>
      <c r="F160" s="4" t="str">
        <f>IFERROR(__xludf.DUMMYFUNCTION("GOOGLEFINANCE($A160, F$2)"),"#N/A")</f>
        <v>#N/A</v>
      </c>
      <c r="G160" s="4">
        <f>IFERROR(__xludf.DUMMYFUNCTION("GOOGLEFINANCE($A160, G$2)"),293.55)</f>
        <v>293.55</v>
      </c>
      <c r="H160" s="4">
        <f>IFERROR(__xludf.DUMMYFUNCTION("GOOGLEFINANCE($A160, H$2)"),293.55)</f>
        <v>293.55</v>
      </c>
      <c r="I160" s="4" t="str">
        <f>IFERROR(__xludf.DUMMYFUNCTION("REPLACE(JOIN("";"", INDEX(TRANSPOSE(GOOGLEFINANCE($A160, $I$2, TODAY() - 30, TODAY(), 1)), 2)), 1, 6, """")"),"292,8;288;293,55;293,55")</f>
        <v>292,8;288;293,55;293,55</v>
      </c>
    </row>
    <row r="161">
      <c r="A161" s="3" t="s">
        <v>333</v>
      </c>
      <c r="B161" s="4" t="s">
        <v>334</v>
      </c>
      <c r="C161" s="4">
        <f>IFERROR(__xludf.DUMMYFUNCTION("GOOGLEFINANCE($A161, C$2)"),24.24)</f>
        <v>24.24</v>
      </c>
      <c r="D161" s="4">
        <f>IFERROR(__xludf.DUMMYFUNCTION("GOOGLEFINANCE($A161, D$2)"),0.0)</f>
        <v>0</v>
      </c>
      <c r="E161" s="4">
        <f>IFERROR(__xludf.DUMMYFUNCTION("GOOGLEFINANCE($A161, E$2)"),109.63)</f>
        <v>109.63</v>
      </c>
      <c r="F161" s="4">
        <f>IFERROR(__xludf.DUMMYFUNCTION("GOOGLEFINANCE($A161, F$2)"),0.22)</f>
        <v>0.22</v>
      </c>
      <c r="G161" s="4">
        <f>IFERROR(__xludf.DUMMYFUNCTION("GOOGLEFINANCE($A161, G$2)"),24.26)</f>
        <v>24.26</v>
      </c>
      <c r="H161" s="4">
        <f>IFERROR(__xludf.DUMMYFUNCTION("GOOGLEFINANCE($A161, H$2)"),22.86)</f>
        <v>22.86</v>
      </c>
      <c r="I161" s="4" t="str">
        <f>IFERROR(__xludf.DUMMYFUNCTION("REPLACE(JOIN("";"", INDEX(TRANSPOSE(GOOGLEFINANCE($A161, $I$2, TODAY() - 30, TODAY(), 1)), 2)), 1, 6, """")"),"24,55;25,08;24,57;25,75;25,5;24,99;25,35;25,01;25,14;24,94;24,68;23,96;23,25;23,11;23,27;23,38;23,25;24,24")</f>
        <v>24,55;25,08;24,57;25,75;25,5;24,99;25,35;25,01;25,14;24,94;24,68;23,96;23,25;23,11;23,27;23,38;23,25;24,24</v>
      </c>
    </row>
    <row r="162">
      <c r="A162" s="3" t="s">
        <v>335</v>
      </c>
      <c r="B162" s="4" t="s">
        <v>336</v>
      </c>
      <c r="C162" s="4">
        <f>IFERROR(__xludf.DUMMYFUNCTION("GOOGLEFINANCE($A162, C$2)"),45.09)</f>
        <v>45.09</v>
      </c>
      <c r="D162" s="4">
        <f>IFERROR(__xludf.DUMMYFUNCTION("GOOGLEFINANCE($A162, D$2)"),0.0)</f>
        <v>0</v>
      </c>
      <c r="E162" s="4" t="str">
        <f>IFERROR(__xludf.DUMMYFUNCTION("GOOGLEFINANCE($A162, E$2)"),"#N/A")</f>
        <v>#N/A</v>
      </c>
      <c r="F162" s="4" t="str">
        <f>IFERROR(__xludf.DUMMYFUNCTION("GOOGLEFINANCE($A162, F$2)"),"#N/A")</f>
        <v>#N/A</v>
      </c>
      <c r="G162" s="4">
        <f>IFERROR(__xludf.DUMMYFUNCTION("GOOGLEFINANCE($A162, G$2)"),46.0)</f>
        <v>46</v>
      </c>
      <c r="H162" s="4">
        <f>IFERROR(__xludf.DUMMYFUNCTION("GOOGLEFINANCE($A162, H$2)"),44.98)</f>
        <v>44.98</v>
      </c>
      <c r="I162" s="4" t="str">
        <f>IFERROR(__xludf.DUMMYFUNCTION("REPLACE(JOIN("";"", INDEX(TRANSPOSE(GOOGLEFINANCE($A162, $I$2, TODAY() - 30, TODAY(), 1)), 2)), 1, 6, """")"),"44,25;44;43,6;44,6;44,17;44,09;43,75;43,83;44,4;44,42;44,45;44,79;44,49;45,21;45,58;45,35;45,93;45,09")</f>
        <v>44,25;44;43,6;44,6;44,17;44,09;43,75;43,83;44,4;44,42;44,45;44,79;44,49;45,21;45,58;45,35;45,93;45,09</v>
      </c>
    </row>
    <row r="163">
      <c r="A163" s="3" t="s">
        <v>337</v>
      </c>
      <c r="B163" s="4" t="s">
        <v>338</v>
      </c>
      <c r="C163" s="4">
        <f>IFERROR(__xludf.DUMMYFUNCTION("GOOGLEFINANCE($A163, C$2)"),51.24)</f>
        <v>51.24</v>
      </c>
      <c r="D163" s="4">
        <f>IFERROR(__xludf.DUMMYFUNCTION("GOOGLEFINANCE($A163, D$2)"),0.0)</f>
        <v>0</v>
      </c>
      <c r="E163" s="4">
        <f>IFERROR(__xludf.DUMMYFUNCTION("GOOGLEFINANCE($A163, E$2)"),11.01)</f>
        <v>11.01</v>
      </c>
      <c r="F163" s="4">
        <f>IFERROR(__xludf.DUMMYFUNCTION("GOOGLEFINANCE($A163, F$2)"),4.65)</f>
        <v>4.65</v>
      </c>
      <c r="G163" s="4" t="str">
        <f>IFERROR(__xludf.DUMMYFUNCTION("GOOGLEFINANCE($A163, G$2)"),"#N/A")</f>
        <v>#N/A</v>
      </c>
      <c r="H163" s="4" t="str">
        <f>IFERROR(__xludf.DUMMYFUNCTION("GOOGLEFINANCE($A163, H$2)"),"#N/A")</f>
        <v>#N/A</v>
      </c>
      <c r="I163" s="4" t="str">
        <f>IFERROR(__xludf.DUMMYFUNCTION("REPLACE(JOIN("";"", INDEX(TRANSPOSE(GOOGLEFINANCE($A163, $I$2, TODAY() - 30, TODAY(), 1)), 2)), 1, 6, """")"),"63,55;68;63,77;61,01;60,28;51,24")</f>
        <v>63,55;68;63,77;61,01;60,28;51,24</v>
      </c>
    </row>
    <row r="164">
      <c r="A164" s="3" t="s">
        <v>339</v>
      </c>
      <c r="B164" s="4" t="s">
        <v>340</v>
      </c>
      <c r="C164" s="4">
        <f>IFERROR(__xludf.DUMMYFUNCTION("GOOGLEFINANCE($A164, C$2)"),54.33)</f>
        <v>54.33</v>
      </c>
      <c r="D164" s="4">
        <f>IFERROR(__xludf.DUMMYFUNCTION("GOOGLEFINANCE($A164, D$2)"),0.0)</f>
        <v>0</v>
      </c>
      <c r="E164" s="4">
        <f>IFERROR(__xludf.DUMMYFUNCTION("GOOGLEFINANCE($A164, E$2)"),11.68)</f>
        <v>11.68</v>
      </c>
      <c r="F164" s="4">
        <f>IFERROR(__xludf.DUMMYFUNCTION("GOOGLEFINANCE($A164, F$2)"),4.65)</f>
        <v>4.65</v>
      </c>
      <c r="G164" s="4">
        <f>IFERROR(__xludf.DUMMYFUNCTION("GOOGLEFINANCE($A164, G$2)"),55.55)</f>
        <v>55.55</v>
      </c>
      <c r="H164" s="4">
        <f>IFERROR(__xludf.DUMMYFUNCTION("GOOGLEFINANCE($A164, H$2)"),54.0)</f>
        <v>54</v>
      </c>
      <c r="I164" s="4" t="str">
        <f>IFERROR(__xludf.DUMMYFUNCTION("REPLACE(JOIN("";"", INDEX(TRANSPOSE(GOOGLEFINANCE($A164, $I$2, TODAY() - 30, TODAY(), 1)), 2)), 1, 6, """")"),"56,93;54,75;54,76;55,2;55,29;57,21;57,37;56,12;55,4;55,87;55,89;55,94;54,98;54,82;53,53;53,52;54,5;54,33")</f>
        <v>56,93;54,75;54,76;55,2;55,29;57,21;57,37;56,12;55,4;55,87;55,89;55,94;54,98;54,82;53,53;53,52;54,5;54,33</v>
      </c>
    </row>
    <row r="165">
      <c r="A165" s="3" t="s">
        <v>341</v>
      </c>
      <c r="B165" s="4" t="s">
        <v>342</v>
      </c>
      <c r="C165" s="4">
        <f>IFERROR(__xludf.DUMMYFUNCTION("GOOGLEFINANCE($A165, C$2)"),4.18)</f>
        <v>4.18</v>
      </c>
      <c r="D165" s="4">
        <f>IFERROR(__xludf.DUMMYFUNCTION("GOOGLEFINANCE($A165, D$2)"),0.0)</f>
        <v>0</v>
      </c>
      <c r="E165" s="4" t="str">
        <f>IFERROR(__xludf.DUMMYFUNCTION("GOOGLEFINANCE($A165, E$2)"),"#N/A")</f>
        <v>#N/A</v>
      </c>
      <c r="F165" s="4">
        <f>IFERROR(__xludf.DUMMYFUNCTION("GOOGLEFINANCE($A165, F$2)"),-1.06)</f>
        <v>-1.06</v>
      </c>
      <c r="G165" s="4">
        <f>IFERROR(__xludf.DUMMYFUNCTION("GOOGLEFINANCE($A165, G$2)"),4.25)</f>
        <v>4.25</v>
      </c>
      <c r="H165" s="4">
        <f>IFERROR(__xludf.DUMMYFUNCTION("GOOGLEFINANCE($A165, H$2)"),4.14)</f>
        <v>4.14</v>
      </c>
      <c r="I165" s="4" t="str">
        <f>IFERROR(__xludf.DUMMYFUNCTION("REPLACE(JOIN("";"", INDEX(TRANSPOSE(GOOGLEFINANCE($A165, $I$2, TODAY() - 30, TODAY(), 1)), 2)), 1, 6, """")"),"4,41;4,33;4,33;4,59;4,52;4,54;4,65;4,74;4,62;4,63;4,47;4,42;4,24;4,23;4,19;4,26;4,2;4,18")</f>
        <v>4,41;4,33;4,33;4,59;4,52;4,54;4,65;4,74;4,62;4,63;4,47;4,42;4,24;4,23;4,19;4,26;4,2;4,18</v>
      </c>
    </row>
    <row r="166">
      <c r="A166" s="3" t="s">
        <v>343</v>
      </c>
      <c r="B166" s="4" t="s">
        <v>344</v>
      </c>
      <c r="C166" s="4">
        <f>IFERROR(__xludf.DUMMYFUNCTION("GOOGLEFINANCE($A166, C$2)"),59.69)</f>
        <v>59.69</v>
      </c>
      <c r="D166" s="4">
        <f>IFERROR(__xludf.DUMMYFUNCTION("GOOGLEFINANCE($A166, D$2)"),0.0)</f>
        <v>0</v>
      </c>
      <c r="E166" s="4" t="str">
        <f>IFERROR(__xludf.DUMMYFUNCTION("GOOGLEFINANCE($A166, E$2)"),"#N/A")</f>
        <v>#N/A</v>
      </c>
      <c r="F166" s="4" t="str">
        <f>IFERROR(__xludf.DUMMYFUNCTION("GOOGLEFINANCE($A166, F$2)"),"#N/A")</f>
        <v>#N/A</v>
      </c>
      <c r="G166" s="4">
        <f>IFERROR(__xludf.DUMMYFUNCTION("GOOGLEFINANCE($A166, G$2)"),61.05)</f>
        <v>61.05</v>
      </c>
      <c r="H166" s="4">
        <f>IFERROR(__xludf.DUMMYFUNCTION("GOOGLEFINANCE($A166, H$2)"),59.69)</f>
        <v>59.69</v>
      </c>
      <c r="I166" s="4" t="str">
        <f>IFERROR(__xludf.DUMMYFUNCTION("REPLACE(JOIN("";"", INDEX(TRANSPOSE(GOOGLEFINANCE($A166, $I$2, TODAY() - 30, TODAY(), 1)), 2)), 1, 6, """")"),"60,87;59,86;60,29;61,54;61,14;61,27;60,57;60,74;61,71;60,8;60,95;60,95;60,2;60,75;61,25;59,69")</f>
        <v>60,87;59,86;60,29;61,54;61,14;61,27;60,57;60,74;61,71;60,8;60,95;60,95;60,2;60,75;61,25;59,69</v>
      </c>
    </row>
    <row r="167">
      <c r="A167" s="3" t="s">
        <v>345</v>
      </c>
      <c r="B167" s="4" t="s">
        <v>346</v>
      </c>
      <c r="C167" s="4">
        <f>IFERROR(__xludf.DUMMYFUNCTION("GOOGLEFINANCE($A167, C$2)"),64.7)</f>
        <v>64.7</v>
      </c>
      <c r="D167" s="4">
        <f>IFERROR(__xludf.DUMMYFUNCTION("GOOGLEFINANCE($A167, D$2)"),0.0)</f>
        <v>0</v>
      </c>
      <c r="E167" s="4" t="str">
        <f>IFERROR(__xludf.DUMMYFUNCTION("GOOGLEFINANCE($A167, E$2)"),"#N/A")</f>
        <v>#N/A</v>
      </c>
      <c r="F167" s="4" t="str">
        <f>IFERROR(__xludf.DUMMYFUNCTION("GOOGLEFINANCE($A167, F$2)"),"#N/A")</f>
        <v>#N/A</v>
      </c>
      <c r="G167" s="4">
        <f>IFERROR(__xludf.DUMMYFUNCTION("GOOGLEFINANCE($A167, G$2)"),64.71)</f>
        <v>64.71</v>
      </c>
      <c r="H167" s="4">
        <f>IFERROR(__xludf.DUMMYFUNCTION("GOOGLEFINANCE($A167, H$2)"),64.05)</f>
        <v>64.05</v>
      </c>
      <c r="I167" s="4" t="str">
        <f>IFERROR(__xludf.DUMMYFUNCTION("REPLACE(JOIN("";"", INDEX(TRANSPOSE(GOOGLEFINANCE($A167, $I$2, TODAY() - 30, TODAY(), 1)), 2)), 1, 6, """")"),"58,36;55,9;55,07;56,04;54,93;55,45;54,99;57,9;59;59,95;63,2;63,62;64,7;62,29;62,95;66,7;65,15;64,7")</f>
        <v>58,36;55,9;55,07;56,04;54,93;55,45;54,99;57,9;59;59,95;63,2;63,62;64,7;62,29;62,95;66,7;65,15;64,7</v>
      </c>
    </row>
    <row r="168">
      <c r="A168" s="3" t="s">
        <v>347</v>
      </c>
      <c r="B168" s="4" t="s">
        <v>348</v>
      </c>
      <c r="C168" s="4">
        <f>IFERROR(__xludf.DUMMYFUNCTION("GOOGLEFINANCE($A168, C$2)"),20.43)</f>
        <v>20.43</v>
      </c>
      <c r="D168" s="4">
        <f>IFERROR(__xludf.DUMMYFUNCTION("GOOGLEFINANCE($A168, D$2)"),0.0)</f>
        <v>0</v>
      </c>
      <c r="E168" s="4" t="str">
        <f>IFERROR(__xludf.DUMMYFUNCTION("GOOGLEFINANCE($A168, E$2)"),"#N/A")</f>
        <v>#N/A</v>
      </c>
      <c r="F168" s="4" t="str">
        <f>IFERROR(__xludf.DUMMYFUNCTION("GOOGLEFINANCE($A168, F$2)"),"#N/A")</f>
        <v>#N/A</v>
      </c>
      <c r="G168" s="4">
        <f>IFERROR(__xludf.DUMMYFUNCTION("GOOGLEFINANCE($A168, G$2)"),20.71)</f>
        <v>20.71</v>
      </c>
      <c r="H168" s="4">
        <f>IFERROR(__xludf.DUMMYFUNCTION("GOOGLEFINANCE($A168, H$2)"),19.43)</f>
        <v>19.43</v>
      </c>
      <c r="I168" s="4" t="str">
        <f>IFERROR(__xludf.DUMMYFUNCTION("REPLACE(JOIN("";"", INDEX(TRANSPOSE(GOOGLEFINANCE($A168, $I$2, TODAY() - 30, TODAY(), 1)), 2)), 1, 6, """")"),"17,19;18,1;18,83;18,12;17,43;17,96;18,01;18,15;18,69;20,4;21,06;18,12;17,92;18,47;18,1;19,89;19,57;20,43")</f>
        <v>17,19;18,1;18,83;18,12;17,43;17,96;18,01;18,15;18,69;20,4;21,06;18,12;17,92;18,47;18,1;19,89;19,57;20,43</v>
      </c>
    </row>
    <row r="169">
      <c r="A169" s="3" t="s">
        <v>349</v>
      </c>
      <c r="B169" s="4" t="s">
        <v>350</v>
      </c>
      <c r="C169" s="4">
        <f>IFERROR(__xludf.DUMMYFUNCTION("GOOGLEFINANCE($A169, C$2)"),48.0)</f>
        <v>48</v>
      </c>
      <c r="D169" s="4">
        <f>IFERROR(__xludf.DUMMYFUNCTION("GOOGLEFINANCE($A169, D$2)"),0.0)</f>
        <v>0</v>
      </c>
      <c r="E169" s="4" t="str">
        <f>IFERROR(__xludf.DUMMYFUNCTION("GOOGLEFINANCE($A169, E$2)"),"#N/A")</f>
        <v>#N/A</v>
      </c>
      <c r="F169" s="4" t="str">
        <f>IFERROR(__xludf.DUMMYFUNCTION("GOOGLEFINANCE($A169, F$2)"),"#N/A")</f>
        <v>#N/A</v>
      </c>
      <c r="G169" s="4">
        <f>IFERROR(__xludf.DUMMYFUNCTION("GOOGLEFINANCE($A169, G$2)"),48.62)</f>
        <v>48.62</v>
      </c>
      <c r="H169" s="4">
        <f>IFERROR(__xludf.DUMMYFUNCTION("GOOGLEFINANCE($A169, H$2)"),47.78)</f>
        <v>47.78</v>
      </c>
      <c r="I169" s="4" t="str">
        <f>IFERROR(__xludf.DUMMYFUNCTION("REPLACE(JOIN("";"", INDEX(TRANSPOSE(GOOGLEFINANCE($A169, $I$2, TODAY() - 30, TODAY(), 1)), 2)), 1, 6, """")"),"49,64;48,81;48,33;48,79;48,39;48,59;47,85;47,82;48,33;47,73;48,26;48,38;48;47,58;47,44;48,48;48,62;48")</f>
        <v>49,64;48,81;48,33;48,79;48,39;48,59;47,85;47,82;48,33;47,73;48,26;48,38;48;47,58;47,44;48,48;48,62;48</v>
      </c>
    </row>
    <row r="170">
      <c r="A170" s="3" t="s">
        <v>351</v>
      </c>
      <c r="B170" s="4" t="s">
        <v>352</v>
      </c>
      <c r="C170" s="4">
        <f>IFERROR(__xludf.DUMMYFUNCTION("GOOGLEFINANCE($A170, C$2)"),32.63)</f>
        <v>32.63</v>
      </c>
      <c r="D170" s="4">
        <f>IFERROR(__xludf.DUMMYFUNCTION("GOOGLEFINANCE($A170, D$2)"),0.0)</f>
        <v>0</v>
      </c>
      <c r="E170" s="4">
        <f>IFERROR(__xludf.DUMMYFUNCTION("GOOGLEFINANCE($A170, E$2)"),10.68)</f>
        <v>10.68</v>
      </c>
      <c r="F170" s="4">
        <f>IFERROR(__xludf.DUMMYFUNCTION("GOOGLEFINANCE($A170, F$2)"),3.05)</f>
        <v>3.05</v>
      </c>
      <c r="G170" s="4">
        <f>IFERROR(__xludf.DUMMYFUNCTION("GOOGLEFINANCE($A170, G$2)"),33.15)</f>
        <v>33.15</v>
      </c>
      <c r="H170" s="4">
        <f>IFERROR(__xludf.DUMMYFUNCTION("GOOGLEFINANCE($A170, H$2)"),32.5)</f>
        <v>32.5</v>
      </c>
      <c r="I170" s="4" t="str">
        <f>IFERROR(__xludf.DUMMYFUNCTION("REPLACE(JOIN("";"", INDEX(TRANSPOSE(GOOGLEFINANCE($A170, $I$2, TODAY() - 30, TODAY(), 1)), 2)), 1, 6, """")"),"30,48;30,37;30,77;31,4;31,11;31,56;32,37;32,72;33,13;33,43;33,5;33,78;33,6;33,75;33,5;32,86;32,75;32,63")</f>
        <v>30,48;30,37;30,77;31,4;31,11;31,56;32,37;32,72;33,13;33,43;33,5;33,78;33,6;33,75;33,5;32,86;32,75;32,63</v>
      </c>
    </row>
    <row r="171">
      <c r="A171" s="3" t="s">
        <v>353</v>
      </c>
      <c r="B171" s="4" t="s">
        <v>354</v>
      </c>
      <c r="C171" s="4">
        <f>IFERROR(__xludf.DUMMYFUNCTION("GOOGLEFINANCE($A171, C$2)"),61.28)</f>
        <v>61.28</v>
      </c>
      <c r="D171" s="4">
        <f>IFERROR(__xludf.DUMMYFUNCTION("GOOGLEFINANCE($A171, D$2)"),0.0)</f>
        <v>0</v>
      </c>
      <c r="E171" s="4">
        <f>IFERROR(__xludf.DUMMYFUNCTION("GOOGLEFINANCE($A171, E$2)"),4.97)</f>
        <v>4.97</v>
      </c>
      <c r="F171" s="4">
        <f>IFERROR(__xludf.DUMMYFUNCTION("GOOGLEFINANCE($A171, F$2)"),12.34)</f>
        <v>12.34</v>
      </c>
      <c r="G171" s="4">
        <f>IFERROR(__xludf.DUMMYFUNCTION("GOOGLEFINANCE($A171, G$2)"),61.89)</f>
        <v>61.89</v>
      </c>
      <c r="H171" s="4">
        <f>IFERROR(__xludf.DUMMYFUNCTION("GOOGLEFINANCE($A171, H$2)"),60.57)</f>
        <v>60.57</v>
      </c>
      <c r="I171" s="4" t="str">
        <f>IFERROR(__xludf.DUMMYFUNCTION("REPLACE(JOIN("";"", INDEX(TRANSPOSE(GOOGLEFINANCE($A171, $I$2, TODAY() - 30, TODAY(), 1)), 2)), 1, 6, """")"),"61,88;61,2;61,24;63,12;62,15;62,43;63,58;63,53;63,28;64,86;64,46;63,9;63,7;64,5;63,84;62,88;61,36;61,28")</f>
        <v>61,88;61,2;61,24;63,12;62,15;62,43;63,58;63,53;63,28;64,86;64,46;63,9;63,7;64,5;63,84;62,88;61,36;61,28</v>
      </c>
    </row>
    <row r="172">
      <c r="A172" s="3" t="s">
        <v>355</v>
      </c>
      <c r="B172" s="4" t="s">
        <v>356</v>
      </c>
      <c r="C172" s="4">
        <f>IFERROR(__xludf.DUMMYFUNCTION("GOOGLEFINANCE($A172, C$2)"),63.26)</f>
        <v>63.26</v>
      </c>
      <c r="D172" s="4">
        <f>IFERROR(__xludf.DUMMYFUNCTION("GOOGLEFINANCE($A172, D$2)"),0.0)</f>
        <v>0</v>
      </c>
      <c r="E172" s="4">
        <f>IFERROR(__xludf.DUMMYFUNCTION("GOOGLEFINANCE($A172, E$2)"),5.13)</f>
        <v>5.13</v>
      </c>
      <c r="F172" s="4">
        <f>IFERROR(__xludf.DUMMYFUNCTION("GOOGLEFINANCE($A172, F$2)"),12.34)</f>
        <v>12.34</v>
      </c>
      <c r="G172" s="4">
        <f>IFERROR(__xludf.DUMMYFUNCTION("GOOGLEFINANCE($A172, G$2)"),63.86)</f>
        <v>63.86</v>
      </c>
      <c r="H172" s="4">
        <f>IFERROR(__xludf.DUMMYFUNCTION("GOOGLEFINANCE($A172, H$2)"),62.18)</f>
        <v>62.18</v>
      </c>
      <c r="I172" s="4" t="str">
        <f>IFERROR(__xludf.DUMMYFUNCTION("REPLACE(JOIN("";"", INDEX(TRANSPOSE(GOOGLEFINANCE($A172, $I$2, TODAY() - 30, TODAY(), 1)), 2)), 1, 6, """")"),"65,31;63,66;64,85;66,16;65,28;65,4;66,2;66,03;67,34;67,93;67,8;66,9;66,3;67,17;65,89;65,12;63,09;63,26")</f>
        <v>65,31;63,66;64,85;66,16;65,28;65,4;66,2;66,03;67,34;67,93;67,8;66,9;66,3;67,17;65,89;65,12;63,09;63,26</v>
      </c>
    </row>
    <row r="173">
      <c r="A173" s="3" t="s">
        <v>357</v>
      </c>
      <c r="B173" s="4" t="s">
        <v>358</v>
      </c>
      <c r="C173" s="4">
        <f>IFERROR(__xludf.DUMMYFUNCTION("GOOGLEFINANCE($A173, C$2)"),488.0)</f>
        <v>488</v>
      </c>
      <c r="D173" s="4">
        <f>IFERROR(__xludf.DUMMYFUNCTION("GOOGLEFINANCE($A173, D$2)"),0.0)</f>
        <v>0</v>
      </c>
      <c r="E173" s="4" t="str">
        <f>IFERROR(__xludf.DUMMYFUNCTION("GOOGLEFINANCE($A173, E$2)"),"#N/A")</f>
        <v>#N/A</v>
      </c>
      <c r="F173" s="4" t="str">
        <f>IFERROR(__xludf.DUMMYFUNCTION("GOOGLEFINANCE($A173, F$2)"),"#N/A")</f>
        <v>#N/A</v>
      </c>
      <c r="G173" s="4" t="str">
        <f>IFERROR(__xludf.DUMMYFUNCTION("GOOGLEFINANCE($A173, G$2)"),"#N/A")</f>
        <v>#N/A</v>
      </c>
      <c r="H173" s="4" t="str">
        <f>IFERROR(__xludf.DUMMYFUNCTION("GOOGLEFINANCE($A173, H$2)"),"#N/A")</f>
        <v>#N/A</v>
      </c>
      <c r="I173" s="4" t="str">
        <f>IFERROR(__xludf.DUMMYFUNCTION("REPLACE(JOIN("";"", INDEX(TRANSPOSE(GOOGLEFINANCE($A173, $I$2, TODAY() - 30, TODAY(), 1)), 2)), 1, 6, """")"),"456,3;448,7;483;488")</f>
        <v>456,3;448,7;483;488</v>
      </c>
    </row>
    <row r="174">
      <c r="A174" s="3" t="s">
        <v>359</v>
      </c>
      <c r="B174" s="4" t="s">
        <v>360</v>
      </c>
      <c r="C174" s="4">
        <f>IFERROR(__xludf.DUMMYFUNCTION("GOOGLEFINANCE($A174, C$2)"),22.01)</f>
        <v>22.01</v>
      </c>
      <c r="D174" s="4">
        <f>IFERROR(__xludf.DUMMYFUNCTION("GOOGLEFINANCE($A174, D$2)"),0.0)</f>
        <v>0</v>
      </c>
      <c r="E174" s="4" t="str">
        <f>IFERROR(__xludf.DUMMYFUNCTION("GOOGLEFINANCE($A174, E$2)"),"#N/A")</f>
        <v>#N/A</v>
      </c>
      <c r="F174" s="4">
        <f>IFERROR(__xludf.DUMMYFUNCTION("GOOGLEFINANCE($A174, F$2)"),-1.32)</f>
        <v>-1.32</v>
      </c>
      <c r="G174" s="4">
        <f>IFERROR(__xludf.DUMMYFUNCTION("GOOGLEFINANCE($A174, G$2)"),22.2)</f>
        <v>22.2</v>
      </c>
      <c r="H174" s="4">
        <f>IFERROR(__xludf.DUMMYFUNCTION("GOOGLEFINANCE($A174, H$2)"),22.0)</f>
        <v>22</v>
      </c>
      <c r="I174" s="4" t="str">
        <f>IFERROR(__xludf.DUMMYFUNCTION("REPLACE(JOIN("";"", INDEX(TRANSPOSE(GOOGLEFINANCE($A174, $I$2, TODAY() - 30, TODAY(), 1)), 2)), 1, 6, """")"),"26,07;26;26;26,78;26;26;26,5;26,5;24,5;23,5;23,5;22,03;23;22,67;22,01")</f>
        <v>26,07;26;26;26,78;26;26;26,5;26,5;24,5;23,5;23,5;22,03;23;22,67;22,01</v>
      </c>
    </row>
    <row r="175">
      <c r="A175" s="3" t="s">
        <v>361</v>
      </c>
      <c r="B175" s="4" t="s">
        <v>362</v>
      </c>
      <c r="C175" s="4">
        <f>IFERROR(__xludf.DUMMYFUNCTION("GOOGLEFINANCE($A175, C$2)"),20.66)</f>
        <v>20.66</v>
      </c>
      <c r="D175" s="4">
        <f>IFERROR(__xludf.DUMMYFUNCTION("GOOGLEFINANCE($A175, D$2)"),0.0)</f>
        <v>0</v>
      </c>
      <c r="E175" s="4">
        <f>IFERROR(__xludf.DUMMYFUNCTION("GOOGLEFINANCE($A175, E$2)"),15.35)</f>
        <v>15.35</v>
      </c>
      <c r="F175" s="4">
        <f>IFERROR(__xludf.DUMMYFUNCTION("GOOGLEFINANCE($A175, F$2)"),1.35)</f>
        <v>1.35</v>
      </c>
      <c r="G175" s="4">
        <f>IFERROR(__xludf.DUMMYFUNCTION("GOOGLEFINANCE($A175, G$2)"),20.92)</f>
        <v>20.92</v>
      </c>
      <c r="H175" s="4">
        <f>IFERROR(__xludf.DUMMYFUNCTION("GOOGLEFINANCE($A175, H$2)"),20.43)</f>
        <v>20.43</v>
      </c>
      <c r="I175" s="4" t="str">
        <f>IFERROR(__xludf.DUMMYFUNCTION("REPLACE(JOIN("";"", INDEX(TRANSPOSE(GOOGLEFINANCE($A175, $I$2, TODAY() - 30, TODAY(), 1)), 2)), 1, 6, """")"),"19,04;19,25;19,27;19,48;19,04;19,44;19,48;19,64;19,39;19,52;19,68;19,49;19,41;20,28;20,15;20,13;20,6;20,66")</f>
        <v>19,04;19,25;19,27;19,48;19,04;19,44;19,48;19,64;19,39;19,52;19,68;19,49;19,41;20,28;20,15;20,13;20,6;20,66</v>
      </c>
    </row>
    <row r="176">
      <c r="A176" s="3" t="s">
        <v>363</v>
      </c>
      <c r="B176" s="4" t="s">
        <v>364</v>
      </c>
      <c r="C176" s="4">
        <f>IFERROR(__xludf.DUMMYFUNCTION("GOOGLEFINANCE($A176, C$2)"),239.5)</f>
        <v>239.5</v>
      </c>
      <c r="D176" s="4">
        <f>IFERROR(__xludf.DUMMYFUNCTION("GOOGLEFINANCE($A176, D$2)"),0.0)</f>
        <v>0</v>
      </c>
      <c r="E176" s="4" t="str">
        <f>IFERROR(__xludf.DUMMYFUNCTION("GOOGLEFINANCE($A176, E$2)"),"#N/A")</f>
        <v>#N/A</v>
      </c>
      <c r="F176" s="4" t="str">
        <f>IFERROR(__xludf.DUMMYFUNCTION("GOOGLEFINANCE($A176, F$2)"),"#N/A")</f>
        <v>#N/A</v>
      </c>
      <c r="G176" s="4" t="str">
        <f>IFERROR(__xludf.DUMMYFUNCTION("GOOGLEFINANCE($A176, G$2)"),"#N/A")</f>
        <v>#N/A</v>
      </c>
      <c r="H176" s="4" t="str">
        <f>IFERROR(__xludf.DUMMYFUNCTION("GOOGLEFINANCE($A176, H$2)"),"#N/A")</f>
        <v>#N/A</v>
      </c>
      <c r="I176" s="4" t="str">
        <f>IFERROR(__xludf.DUMMYFUNCTION("REPLACE(JOIN("";"", INDEX(TRANSPOSE(GOOGLEFINANCE($A176, $I$2, TODAY() - 30, TODAY(), 1)), 2)), 1, 6, """")"),"239,5")</f>
        <v>239,5</v>
      </c>
    </row>
    <row r="177">
      <c r="A177" s="3" t="s">
        <v>365</v>
      </c>
      <c r="B177" s="4" t="s">
        <v>366</v>
      </c>
      <c r="C177" s="4">
        <f>IFERROR(__xludf.DUMMYFUNCTION("GOOGLEFINANCE($A177, C$2)"),210.2)</f>
        <v>210.2</v>
      </c>
      <c r="D177" s="4">
        <f>IFERROR(__xludf.DUMMYFUNCTION("GOOGLEFINANCE($A177, D$2)"),0.0)</f>
        <v>0</v>
      </c>
      <c r="E177" s="4" t="str">
        <f>IFERROR(__xludf.DUMMYFUNCTION("GOOGLEFINANCE($A177, E$2)"),"#N/A")</f>
        <v>#N/A</v>
      </c>
      <c r="F177" s="4" t="str">
        <f>IFERROR(__xludf.DUMMYFUNCTION("GOOGLEFINANCE($A177, F$2)"),"#N/A")</f>
        <v>#N/A</v>
      </c>
      <c r="G177" s="4">
        <f>IFERROR(__xludf.DUMMYFUNCTION("GOOGLEFINANCE($A177, G$2)"),212.23)</f>
        <v>212.23</v>
      </c>
      <c r="H177" s="4">
        <f>IFERROR(__xludf.DUMMYFUNCTION("GOOGLEFINANCE($A177, H$2)"),210.2)</f>
        <v>210.2</v>
      </c>
      <c r="I177" s="4" t="str">
        <f>IFERROR(__xludf.DUMMYFUNCTION("REPLACE(JOIN("";"", INDEX(TRANSPOSE(GOOGLEFINANCE($A177, $I$2, TODAY() - 30, TODAY(), 1)), 2)), 1, 6, """")"),"173,55;172,41;178,55;171,5;170,55;177,25;181,49;191,5;190,6;197;203,3;199,5;207,3;200,6;210,2")</f>
        <v>173,55;172,41;178,55;171,5;170,55;177,25;181,49;191,5;190,6;197;203,3;199,5;207,3;200,6;210,2</v>
      </c>
    </row>
    <row r="178">
      <c r="A178" s="3" t="s">
        <v>367</v>
      </c>
      <c r="B178" s="4" t="s">
        <v>368</v>
      </c>
      <c r="C178" s="4">
        <f>IFERROR(__xludf.DUMMYFUNCTION("GOOGLEFINANCE($A178, C$2)"),5.81)</f>
        <v>5.81</v>
      </c>
      <c r="D178" s="4">
        <f>IFERROR(__xludf.DUMMYFUNCTION("GOOGLEFINANCE($A178, D$2)"),0.0)</f>
        <v>0</v>
      </c>
      <c r="E178" s="4">
        <f>IFERROR(__xludf.DUMMYFUNCTION("GOOGLEFINANCE($A178, E$2)"),10.29)</f>
        <v>10.29</v>
      </c>
      <c r="F178" s="4">
        <f>IFERROR(__xludf.DUMMYFUNCTION("GOOGLEFINANCE($A178, F$2)"),0.56)</f>
        <v>0.56</v>
      </c>
      <c r="G178" s="4">
        <f>IFERROR(__xludf.DUMMYFUNCTION("GOOGLEFINANCE($A178, G$2)"),5.9)</f>
        <v>5.9</v>
      </c>
      <c r="H178" s="4">
        <f>IFERROR(__xludf.DUMMYFUNCTION("GOOGLEFINANCE($A178, H$2)"),5.77)</f>
        <v>5.77</v>
      </c>
      <c r="I178" s="4" t="str">
        <f>IFERROR(__xludf.DUMMYFUNCTION("REPLACE(JOIN("";"", INDEX(TRANSPOSE(GOOGLEFINANCE($A178, $I$2, TODAY() - 30, TODAY(), 1)), 2)), 1, 6, """")"),"6,15;6;6,3;7,15;7,17;7,1;6,76;6,73;6,63;6,27;6,12;6;6,01;6,01;5,92;5,91;5,9;5,81")</f>
        <v>6,15;6;6,3;7,15;7,17;7,1;6,76;6,73;6,63;6,27;6,12;6;6,01;6,01;5,92;5,91;5,9;5,81</v>
      </c>
    </row>
    <row r="179">
      <c r="A179" s="3" t="s">
        <v>369</v>
      </c>
      <c r="B179" s="4" t="s">
        <v>370</v>
      </c>
      <c r="C179" s="4">
        <f>IFERROR(__xludf.DUMMYFUNCTION("GOOGLEFINANCE($A179, C$2)"),6.4)</f>
        <v>6.4</v>
      </c>
      <c r="D179" s="4">
        <f>IFERROR(__xludf.DUMMYFUNCTION("GOOGLEFINANCE($A179, D$2)"),0.0)</f>
        <v>0</v>
      </c>
      <c r="E179" s="4">
        <f>IFERROR(__xludf.DUMMYFUNCTION("GOOGLEFINANCE($A179, E$2)"),11.33)</f>
        <v>11.33</v>
      </c>
      <c r="F179" s="4">
        <f>IFERROR(__xludf.DUMMYFUNCTION("GOOGLEFINANCE($A179, F$2)"),0.56)</f>
        <v>0.56</v>
      </c>
      <c r="G179" s="4">
        <f>IFERROR(__xludf.DUMMYFUNCTION("GOOGLEFINANCE($A179, G$2)"),6.4)</f>
        <v>6.4</v>
      </c>
      <c r="H179" s="4">
        <f>IFERROR(__xludf.DUMMYFUNCTION("GOOGLEFINANCE($A179, H$2)"),6.4)</f>
        <v>6.4</v>
      </c>
      <c r="I179" s="4" t="str">
        <f>IFERROR(__xludf.DUMMYFUNCTION("REPLACE(JOIN("";"", INDEX(TRANSPOSE(GOOGLEFINANCE($A179, $I$2, TODAY() - 30, TODAY(), 1)), 2)), 1, 6, """")"),"6,41;6,33;6,43;6,31;6,45;6,34;6,4;6,3;6,26;6,35;6,28;6,28;6,26;6,34;6,32;6,49;6,4;6,4")</f>
        <v>6,41;6,33;6,43;6,31;6,45;6,34;6,4;6,3;6,26;6,35;6,28;6,28;6,26;6,34;6,32;6,49;6,4;6,4</v>
      </c>
    </row>
    <row r="180">
      <c r="A180" s="3" t="s">
        <v>371</v>
      </c>
      <c r="B180" s="4" t="s">
        <v>372</v>
      </c>
      <c r="C180" s="4">
        <f>IFERROR(__xludf.DUMMYFUNCTION("GOOGLEFINANCE($A180, C$2)"),45.21)</f>
        <v>45.21</v>
      </c>
      <c r="D180" s="4">
        <f>IFERROR(__xludf.DUMMYFUNCTION("GOOGLEFINANCE($A180, D$2)"),0.0)</f>
        <v>0</v>
      </c>
      <c r="E180" s="4">
        <f>IFERROR(__xludf.DUMMYFUNCTION("GOOGLEFINANCE($A180, E$2)"),10.86)</f>
        <v>10.86</v>
      </c>
      <c r="F180" s="4">
        <f>IFERROR(__xludf.DUMMYFUNCTION("GOOGLEFINANCE($A180, F$2)"),4.16)</f>
        <v>4.16</v>
      </c>
      <c r="G180" s="4" t="str">
        <f>IFERROR(__xludf.DUMMYFUNCTION("GOOGLEFINANCE($A180, G$2)"),"#N/A")</f>
        <v>#N/A</v>
      </c>
      <c r="H180" s="4" t="str">
        <f>IFERROR(__xludf.DUMMYFUNCTION("GOOGLEFINANCE($A180, H$2)"),"#N/A")</f>
        <v>#N/A</v>
      </c>
      <c r="I180" s="4" t="str">
        <f>IFERROR(__xludf.DUMMYFUNCTION("REPLACE(JOIN("";"", INDEX(TRANSPOSE(GOOGLEFINANCE($A180, $I$2, TODAY() - 30, TODAY(), 1)), 2)), 1, 6, """")"),"43,57;45,9;46,45;45,1;45,33;45,21")</f>
        <v>43,57;45,9;46,45;45,1;45,33;45,21</v>
      </c>
    </row>
    <row r="181">
      <c r="A181" s="3" t="s">
        <v>373</v>
      </c>
      <c r="B181" s="4" t="s">
        <v>374</v>
      </c>
      <c r="C181" s="4">
        <f>IFERROR(__xludf.DUMMYFUNCTION("GOOGLEFINANCE($A181, C$2)"),49.95)</f>
        <v>49.95</v>
      </c>
      <c r="D181" s="4">
        <f>IFERROR(__xludf.DUMMYFUNCTION("GOOGLEFINANCE($A181, D$2)"),0.0)</f>
        <v>0</v>
      </c>
      <c r="E181" s="4">
        <f>IFERROR(__xludf.DUMMYFUNCTION("GOOGLEFINANCE($A181, E$2)"),12.0)</f>
        <v>12</v>
      </c>
      <c r="F181" s="4">
        <f>IFERROR(__xludf.DUMMYFUNCTION("GOOGLEFINANCE($A181, F$2)"),4.16)</f>
        <v>4.16</v>
      </c>
      <c r="G181" s="4">
        <f>IFERROR(__xludf.DUMMYFUNCTION("GOOGLEFINANCE($A181, G$2)"),49.95)</f>
        <v>49.95</v>
      </c>
      <c r="H181" s="4">
        <f>IFERROR(__xludf.DUMMYFUNCTION("GOOGLEFINANCE($A181, H$2)"),49.31)</f>
        <v>49.31</v>
      </c>
      <c r="I181" s="4" t="str">
        <f>IFERROR(__xludf.DUMMYFUNCTION("REPLACE(JOIN("";"", INDEX(TRANSPOSE(GOOGLEFINANCE($A181, $I$2, TODAY() - 30, TODAY(), 1)), 2)), 1, 6, """")"),"45,97;44;43,19;43,98;44,64;44,91;45,4;45,2;46,98;47,72;46,98;47;46,55;47,49;48,56;48,95;49,76;49,95")</f>
        <v>45,97;44;43,19;43,98;44,64;44,91;45,4;45,2;46,98;47,72;46,98;47;46,55;47,49;48,56;48,95;49,76;49,95</v>
      </c>
    </row>
    <row r="182">
      <c r="A182" s="3" t="s">
        <v>375</v>
      </c>
      <c r="B182" s="4" t="s">
        <v>376</v>
      </c>
      <c r="C182" s="4">
        <f>IFERROR(__xludf.DUMMYFUNCTION("GOOGLEFINANCE($A182, C$2)"),48.93)</f>
        <v>48.93</v>
      </c>
      <c r="D182" s="4">
        <f>IFERROR(__xludf.DUMMYFUNCTION("GOOGLEFINANCE($A182, D$2)"),0.0)</f>
        <v>0</v>
      </c>
      <c r="E182" s="4">
        <f>IFERROR(__xludf.DUMMYFUNCTION("GOOGLEFINANCE($A182, E$2)"),11.75)</f>
        <v>11.75</v>
      </c>
      <c r="F182" s="4">
        <f>IFERROR(__xludf.DUMMYFUNCTION("GOOGLEFINANCE($A182, F$2)"),4.16)</f>
        <v>4.16</v>
      </c>
      <c r="G182" s="4">
        <f>IFERROR(__xludf.DUMMYFUNCTION("GOOGLEFINANCE($A182, G$2)"),48.99)</f>
        <v>48.99</v>
      </c>
      <c r="H182" s="4">
        <f>IFERROR(__xludf.DUMMYFUNCTION("GOOGLEFINANCE($A182, H$2)"),48.11)</f>
        <v>48.11</v>
      </c>
      <c r="I182" s="4" t="str">
        <f>IFERROR(__xludf.DUMMYFUNCTION("REPLACE(JOIN("";"", INDEX(TRANSPOSE(GOOGLEFINANCE($A182, $I$2, TODAY() - 30, TODAY(), 1)), 2)), 1, 6, """")"),"45,85;44,99;43,6;44,19;44,2;44,5;45;45,45;46,99;47,5;46,7;46,4;46,97;47,49;47,5;48;48,93")</f>
        <v>45,85;44,99;43,6;44,19;44,2;44,5;45;45,45;46,99;47,5;46,7;46,4;46,97;47,49;47,5;48;48,93</v>
      </c>
    </row>
    <row r="183">
      <c r="A183" s="3" t="s">
        <v>377</v>
      </c>
      <c r="B183" s="4" t="s">
        <v>378</v>
      </c>
      <c r="C183" s="4">
        <f>IFERROR(__xludf.DUMMYFUNCTION("GOOGLEFINANCE($A183, C$2)"),49.08)</f>
        <v>49.08</v>
      </c>
      <c r="D183" s="4">
        <f>IFERROR(__xludf.DUMMYFUNCTION("GOOGLEFINANCE($A183, D$2)"),0.0)</f>
        <v>0</v>
      </c>
      <c r="E183" s="4">
        <f>IFERROR(__xludf.DUMMYFUNCTION("GOOGLEFINANCE($A183, E$2)"),7.47)</f>
        <v>7.47</v>
      </c>
      <c r="F183" s="4">
        <f>IFERROR(__xludf.DUMMYFUNCTION("GOOGLEFINANCE($A183, F$2)"),6.57)</f>
        <v>6.57</v>
      </c>
      <c r="G183" s="4" t="str">
        <f>IFERROR(__xludf.DUMMYFUNCTION("GOOGLEFINANCE($A183, G$2)"),"#N/A")</f>
        <v>#N/A</v>
      </c>
      <c r="H183" s="4" t="str">
        <f>IFERROR(__xludf.DUMMYFUNCTION("GOOGLEFINANCE($A183, H$2)"),"#N/A")</f>
        <v>#N/A</v>
      </c>
      <c r="I183" s="4" t="str">
        <f>IFERROR(__xludf.DUMMYFUNCTION("REPLACE(JOIN("";"", INDEX(TRANSPOSE(GOOGLEFINANCE($A183, $I$2, TODAY() - 30, TODAY(), 1)), 2)), 1, 6, """")"),"#N/A")</f>
        <v>#N/A</v>
      </c>
    </row>
    <row r="184">
      <c r="A184" s="3" t="s">
        <v>379</v>
      </c>
      <c r="B184" s="4" t="s">
        <v>380</v>
      </c>
      <c r="C184" s="4">
        <f>IFERROR(__xludf.DUMMYFUNCTION("GOOGLEFINANCE($A184, C$2)"),50.39)</f>
        <v>50.39</v>
      </c>
      <c r="D184" s="4">
        <f>IFERROR(__xludf.DUMMYFUNCTION("GOOGLEFINANCE($A184, D$2)"),0.0)</f>
        <v>0</v>
      </c>
      <c r="E184" s="4">
        <f>IFERROR(__xludf.DUMMYFUNCTION("GOOGLEFINANCE($A184, E$2)"),7.67)</f>
        <v>7.67</v>
      </c>
      <c r="F184" s="4">
        <f>IFERROR(__xludf.DUMMYFUNCTION("GOOGLEFINANCE($A184, F$2)"),6.57)</f>
        <v>6.57</v>
      </c>
      <c r="G184" s="4" t="str">
        <f>IFERROR(__xludf.DUMMYFUNCTION("GOOGLEFINANCE($A184, G$2)"),"#N/A")</f>
        <v>#N/A</v>
      </c>
      <c r="H184" s="4" t="str">
        <f>IFERROR(__xludf.DUMMYFUNCTION("GOOGLEFINANCE($A184, H$2)"),"#N/A")</f>
        <v>#N/A</v>
      </c>
      <c r="I184" s="4" t="str">
        <f>IFERROR(__xludf.DUMMYFUNCTION("REPLACE(JOIN("";"", INDEX(TRANSPOSE(GOOGLEFINANCE($A184, $I$2, TODAY() - 30, TODAY(), 1)), 2)), 1, 6, """")"),"51,7;51;51;51;50,39")</f>
        <v>51,7;51;51;51;50,39</v>
      </c>
    </row>
    <row r="185">
      <c r="A185" s="3" t="s">
        <v>381</v>
      </c>
      <c r="B185" s="4" t="s">
        <v>382</v>
      </c>
      <c r="C185" s="4">
        <f>IFERROR(__xludf.DUMMYFUNCTION("GOOGLEFINANCE($A185, C$2)"),87.79)</f>
        <v>87.79</v>
      </c>
      <c r="D185" s="4">
        <f>IFERROR(__xludf.DUMMYFUNCTION("GOOGLEFINANCE($A185, D$2)"),0.0)</f>
        <v>0</v>
      </c>
      <c r="E185" s="4">
        <f>IFERROR(__xludf.DUMMYFUNCTION("GOOGLEFINANCE($A185, E$2)"),39.85)</f>
        <v>39.85</v>
      </c>
      <c r="F185" s="4">
        <f>IFERROR(__xludf.DUMMYFUNCTION("GOOGLEFINANCE($A185, F$2)"),2.2)</f>
        <v>2.2</v>
      </c>
      <c r="G185" s="4">
        <f>IFERROR(__xludf.DUMMYFUNCTION("GOOGLEFINANCE($A185, G$2)"),88.23)</f>
        <v>88.23</v>
      </c>
      <c r="H185" s="4">
        <f>IFERROR(__xludf.DUMMYFUNCTION("GOOGLEFINANCE($A185, H$2)"),85.62)</f>
        <v>85.62</v>
      </c>
      <c r="I185" s="4" t="str">
        <f>IFERROR(__xludf.DUMMYFUNCTION("REPLACE(JOIN("";"", INDEX(TRANSPOSE(GOOGLEFINANCE($A185, $I$2, TODAY() - 30, TODAY(), 1)), 2)), 1, 6, """")"),"77;75,75;77;77,15;75,06;76,88;78,58;78,95;79,93;78,74;85,49;83,58;83,95;86,4;87,59;87,44;86,7;87,79")</f>
        <v>77;75,75;77;77,15;75,06;76,88;78,58;78,95;79,93;78,74;85,49;83,58;83,95;86,4;87,59;87,44;86,7;87,79</v>
      </c>
    </row>
    <row r="186">
      <c r="A186" s="3" t="s">
        <v>383</v>
      </c>
      <c r="B186" s="4" t="s">
        <v>384</v>
      </c>
      <c r="C186" s="4">
        <f>IFERROR(__xludf.DUMMYFUNCTION("GOOGLEFINANCE($A186, C$2)"),49.29)</f>
        <v>49.29</v>
      </c>
      <c r="D186" s="4">
        <f>IFERROR(__xludf.DUMMYFUNCTION("GOOGLEFINANCE($A186, D$2)"),0.0)</f>
        <v>0</v>
      </c>
      <c r="E186" s="4" t="str">
        <f>IFERROR(__xludf.DUMMYFUNCTION("GOOGLEFINANCE($A186, E$2)"),"#N/A")</f>
        <v>#N/A</v>
      </c>
      <c r="F186" s="4" t="str">
        <f>IFERROR(__xludf.DUMMYFUNCTION("GOOGLEFINANCE($A186, F$2)"),"#N/A")</f>
        <v>#N/A</v>
      </c>
      <c r="G186" s="4">
        <f>IFERROR(__xludf.DUMMYFUNCTION("GOOGLEFINANCE($A186, G$2)"),50.8)</f>
        <v>50.8</v>
      </c>
      <c r="H186" s="4">
        <f>IFERROR(__xludf.DUMMYFUNCTION("GOOGLEFINANCE($A186, H$2)"),49.29)</f>
        <v>49.29</v>
      </c>
      <c r="I186" s="4" t="str">
        <f>IFERROR(__xludf.DUMMYFUNCTION("REPLACE(JOIN("";"", INDEX(TRANSPOSE(GOOGLEFINANCE($A186, $I$2, TODAY() - 30, TODAY(), 1)), 2)), 1, 6, """")"),"48,95;48,59;49,61;49,68;48,81;49,5;49,15;49,22;51,25;51,66;52,34;52,3;52;51,24;50,61;50,24;50,2;49,29")</f>
        <v>48,95;48,59;49,61;49,68;48,81;49,5;49,15;49,22;51,25;51,66;52,34;52,3;52;51,24;50,61;50,24;50,2;49,29</v>
      </c>
    </row>
    <row r="187">
      <c r="A187" s="3" t="s">
        <v>385</v>
      </c>
      <c r="B187" s="4" t="s">
        <v>386</v>
      </c>
      <c r="C187" s="4">
        <f>IFERROR(__xludf.DUMMYFUNCTION("GOOGLEFINANCE($A187, C$2)"),15.25)</f>
        <v>15.25</v>
      </c>
      <c r="D187" s="4">
        <f>IFERROR(__xludf.DUMMYFUNCTION("GOOGLEFINANCE($A187, D$2)"),0.0)</f>
        <v>0</v>
      </c>
      <c r="E187" s="4">
        <f>IFERROR(__xludf.DUMMYFUNCTION("GOOGLEFINANCE($A187, E$2)"),7.2)</f>
        <v>7.2</v>
      </c>
      <c r="F187" s="4">
        <f>IFERROR(__xludf.DUMMYFUNCTION("GOOGLEFINANCE($A187, F$2)"),2.12)</f>
        <v>2.12</v>
      </c>
      <c r="G187" s="4">
        <f>IFERROR(__xludf.DUMMYFUNCTION("GOOGLEFINANCE($A187, G$2)"),15.4)</f>
        <v>15.4</v>
      </c>
      <c r="H187" s="4">
        <f>IFERROR(__xludf.DUMMYFUNCTION("GOOGLEFINANCE($A187, H$2)"),15.13)</f>
        <v>15.13</v>
      </c>
      <c r="I187" s="4" t="str">
        <f>IFERROR(__xludf.DUMMYFUNCTION("REPLACE(JOIN("";"", INDEX(TRANSPOSE(GOOGLEFINANCE($A187, $I$2, TODAY() - 30, TODAY(), 1)), 2)), 1, 6, """")"),"15,48;15,28;15,43;15,92;15,51;15,79;15,93;15,99;15,76;15,97;15,83;16,08;15,74;16,08;15,88;15,82;15,33;15,25")</f>
        <v>15,48;15,28;15,43;15,92;15,51;15,79;15,93;15,99;15,76;15,97;15,83;16,08;15,74;16,08;15,88;15,82;15,33;15,25</v>
      </c>
    </row>
    <row r="188">
      <c r="A188" s="3" t="s">
        <v>387</v>
      </c>
      <c r="B188" s="4" t="s">
        <v>388</v>
      </c>
      <c r="C188" s="4">
        <f>IFERROR(__xludf.DUMMYFUNCTION("GOOGLEFINANCE($A188, C$2)"),35.26)</f>
        <v>35.26</v>
      </c>
      <c r="D188" s="4">
        <f>IFERROR(__xludf.DUMMYFUNCTION("GOOGLEFINANCE($A188, D$2)"),0.0)</f>
        <v>0</v>
      </c>
      <c r="E188" s="4">
        <f>IFERROR(__xludf.DUMMYFUNCTION("GOOGLEFINANCE($A188, E$2)"),43.86)</f>
        <v>43.86</v>
      </c>
      <c r="F188" s="4">
        <f>IFERROR(__xludf.DUMMYFUNCTION("GOOGLEFINANCE($A188, F$2)"),0.8)</f>
        <v>0.8</v>
      </c>
      <c r="G188" s="4">
        <f>IFERROR(__xludf.DUMMYFUNCTION("GOOGLEFINANCE($A188, G$2)"),35.26)</f>
        <v>35.26</v>
      </c>
      <c r="H188" s="4">
        <f>IFERROR(__xludf.DUMMYFUNCTION("GOOGLEFINANCE($A188, H$2)"),33.74)</f>
        <v>33.74</v>
      </c>
      <c r="I188" s="4" t="str">
        <f>IFERROR(__xludf.DUMMYFUNCTION("REPLACE(JOIN("";"", INDEX(TRANSPOSE(GOOGLEFINANCE($A188, $I$2, TODAY() - 30, TODAY(), 1)), 2)), 1, 6, """")"),"33,98;33;32,11;33,14;30,4;31,69;30,6;31,18;31,1;33,39;34,61;35,45;34,39;33,02;32,83;33,78;34,16;35,26")</f>
        <v>33,98;33;32,11;33,14;30,4;31,69;30,6;31,18;31,1;33,39;34,61;35,45;34,39;33,02;32,83;33,78;34,16;35,26</v>
      </c>
    </row>
    <row r="189">
      <c r="A189" s="3" t="s">
        <v>389</v>
      </c>
      <c r="B189" s="4" t="s">
        <v>390</v>
      </c>
      <c r="C189" s="4">
        <f>IFERROR(__xludf.DUMMYFUNCTION("GOOGLEFINANCE($A189, C$2)"),15.61)</f>
        <v>15.61</v>
      </c>
      <c r="D189" s="4">
        <f>IFERROR(__xludf.DUMMYFUNCTION("GOOGLEFINANCE($A189, D$2)"),0.0)</f>
        <v>0</v>
      </c>
      <c r="E189" s="4">
        <f>IFERROR(__xludf.DUMMYFUNCTION("GOOGLEFINANCE($A189, E$2)"),7.81)</f>
        <v>7.81</v>
      </c>
      <c r="F189" s="4">
        <f>IFERROR(__xludf.DUMMYFUNCTION("GOOGLEFINANCE($A189, F$2)"),2.0)</f>
        <v>2</v>
      </c>
      <c r="G189" s="4">
        <f>IFERROR(__xludf.DUMMYFUNCTION("GOOGLEFINANCE($A189, G$2)"),15.81)</f>
        <v>15.81</v>
      </c>
      <c r="H189" s="4">
        <f>IFERROR(__xludf.DUMMYFUNCTION("GOOGLEFINANCE($A189, H$2)"),15.61)</f>
        <v>15.61</v>
      </c>
      <c r="I189" s="4" t="str">
        <f>IFERROR(__xludf.DUMMYFUNCTION("REPLACE(JOIN("";"", INDEX(TRANSPOSE(GOOGLEFINANCE($A189, $I$2, TODAY() - 30, TODAY(), 1)), 2)), 1, 6, """")"),"16,1;15,94;16,2;16,39;16,38;16,48;16;15,61")</f>
        <v>16,1;15,94;16,2;16,39;16,38;16,48;16;15,61</v>
      </c>
    </row>
    <row r="190">
      <c r="A190" s="3" t="s">
        <v>391</v>
      </c>
      <c r="B190" s="4" t="s">
        <v>392</v>
      </c>
      <c r="C190" s="4">
        <f>IFERROR(__xludf.DUMMYFUNCTION("GOOGLEFINANCE($A190, C$2)"),16.2)</f>
        <v>16.2</v>
      </c>
      <c r="D190" s="4">
        <f>IFERROR(__xludf.DUMMYFUNCTION("GOOGLEFINANCE($A190, D$2)"),0.0)</f>
        <v>0</v>
      </c>
      <c r="E190" s="4">
        <f>IFERROR(__xludf.DUMMYFUNCTION("GOOGLEFINANCE($A190, E$2)"),8.1)</f>
        <v>8.1</v>
      </c>
      <c r="F190" s="4">
        <f>IFERROR(__xludf.DUMMYFUNCTION("GOOGLEFINANCE($A190, F$2)"),2.0)</f>
        <v>2</v>
      </c>
      <c r="G190" s="4">
        <f>IFERROR(__xludf.DUMMYFUNCTION("GOOGLEFINANCE($A190, G$2)"),16.2)</f>
        <v>16.2</v>
      </c>
      <c r="H190" s="4">
        <f>IFERROR(__xludf.DUMMYFUNCTION("GOOGLEFINANCE($A190, H$2)"),16.2)</f>
        <v>16.2</v>
      </c>
      <c r="I190" s="4" t="str">
        <f>IFERROR(__xludf.DUMMYFUNCTION("REPLACE(JOIN("";"", INDEX(TRANSPOSE(GOOGLEFINANCE($A190, $I$2, TODAY() - 30, TODAY(), 1)), 2)), 1, 6, """")"),"15,8;15,63;15,9;15,91;16,89;16,75;16,69;16,38;16,2")</f>
        <v>15,8;15,63;15,9;15,91;16,89;16,75;16,69;16,38;16,2</v>
      </c>
    </row>
    <row r="191">
      <c r="A191" s="3" t="s">
        <v>393</v>
      </c>
      <c r="B191" s="4" t="s">
        <v>394</v>
      </c>
      <c r="C191" s="4">
        <f>IFERROR(__xludf.DUMMYFUNCTION("GOOGLEFINANCE($A191, C$2)"),15.8)</f>
        <v>15.8</v>
      </c>
      <c r="D191" s="4">
        <f>IFERROR(__xludf.DUMMYFUNCTION("GOOGLEFINANCE($A191, D$2)"),0.0)</f>
        <v>0</v>
      </c>
      <c r="E191" s="4">
        <f>IFERROR(__xludf.DUMMYFUNCTION("GOOGLEFINANCE($A191, E$2)"),7.9)</f>
        <v>7.9</v>
      </c>
      <c r="F191" s="4">
        <f>IFERROR(__xludf.DUMMYFUNCTION("GOOGLEFINANCE($A191, F$2)"),2.0)</f>
        <v>2</v>
      </c>
      <c r="G191" s="4">
        <f>IFERROR(__xludf.DUMMYFUNCTION("GOOGLEFINANCE($A191, G$2)"),15.8)</f>
        <v>15.8</v>
      </c>
      <c r="H191" s="4">
        <f>IFERROR(__xludf.DUMMYFUNCTION("GOOGLEFINANCE($A191, H$2)"),15.8)</f>
        <v>15.8</v>
      </c>
      <c r="I191" s="4" t="str">
        <f>IFERROR(__xludf.DUMMYFUNCTION("REPLACE(JOIN("";"", INDEX(TRANSPOSE(GOOGLEFINANCE($A191, $I$2, TODAY() - 30, TODAY(), 1)), 2)), 1, 6, """")"),"15,81;16,29;16,39;16,39;16,39;16,05;15,6;16,1;16,2;16,2;15,82;15,8")</f>
        <v>15,81;16,29;16,39;16,39;16,39;16,05;15,6;16,1;16,2;16,2;15,82;15,8</v>
      </c>
    </row>
    <row r="192">
      <c r="A192" s="3" t="s">
        <v>395</v>
      </c>
      <c r="B192" s="4" t="s">
        <v>396</v>
      </c>
      <c r="C192" s="4">
        <f>IFERROR(__xludf.DUMMYFUNCTION("GOOGLEFINANCE($A192, C$2)"),238.2)</f>
        <v>238.2</v>
      </c>
      <c r="D192" s="4">
        <f>IFERROR(__xludf.DUMMYFUNCTION("GOOGLEFINANCE($A192, D$2)"),0.0)</f>
        <v>0</v>
      </c>
      <c r="E192" s="4" t="str">
        <f>IFERROR(__xludf.DUMMYFUNCTION("GOOGLEFINANCE($A192, E$2)"),"#N/A")</f>
        <v>#N/A</v>
      </c>
      <c r="F192" s="4" t="str">
        <f>IFERROR(__xludf.DUMMYFUNCTION("GOOGLEFINANCE($A192, F$2)"),"#N/A")</f>
        <v>#N/A</v>
      </c>
      <c r="G192" s="4" t="str">
        <f>IFERROR(__xludf.DUMMYFUNCTION("GOOGLEFINANCE($A192, G$2)"),"#N/A")</f>
        <v>#N/A</v>
      </c>
      <c r="H192" s="4" t="str">
        <f>IFERROR(__xludf.DUMMYFUNCTION("GOOGLEFINANCE($A192, H$2)"),"#N/A")</f>
        <v>#N/A</v>
      </c>
      <c r="I192" s="4" t="str">
        <f>IFERROR(__xludf.DUMMYFUNCTION("REPLACE(JOIN("";"", INDEX(TRANSPOSE(GOOGLEFINANCE($A192, $I$2, TODAY() - 30, TODAY(), 1)), 2)), 1, 6, """")"),"235,2;239;239;238,2")</f>
        <v>235,2;239;239;238,2</v>
      </c>
    </row>
    <row r="193">
      <c r="A193" s="3" t="s">
        <v>397</v>
      </c>
      <c r="B193" s="4" t="s">
        <v>398</v>
      </c>
      <c r="C193" s="4">
        <f>IFERROR(__xludf.DUMMYFUNCTION("GOOGLEFINANCE($A193, C$2)"),59.23)</f>
        <v>59.23</v>
      </c>
      <c r="D193" s="4">
        <f>IFERROR(__xludf.DUMMYFUNCTION("GOOGLEFINANCE($A193, D$2)"),0.0)</f>
        <v>0</v>
      </c>
      <c r="E193" s="4" t="str">
        <f>IFERROR(__xludf.DUMMYFUNCTION("GOOGLEFINANCE($A193, E$2)"),"#N/A")</f>
        <v>#N/A</v>
      </c>
      <c r="F193" s="4" t="str">
        <f>IFERROR(__xludf.DUMMYFUNCTION("GOOGLEFINANCE($A193, F$2)"),"#N/A")</f>
        <v>#N/A</v>
      </c>
      <c r="G193" s="4">
        <f>IFERROR(__xludf.DUMMYFUNCTION("GOOGLEFINANCE($A193, G$2)"),59.23)</f>
        <v>59.23</v>
      </c>
      <c r="H193" s="4">
        <f>IFERROR(__xludf.DUMMYFUNCTION("GOOGLEFINANCE($A193, H$2)"),57.45)</f>
        <v>57.45</v>
      </c>
      <c r="I193" s="4" t="str">
        <f>IFERROR(__xludf.DUMMYFUNCTION("REPLACE(JOIN("";"", INDEX(TRANSPOSE(GOOGLEFINANCE($A193, $I$2, TODAY() - 30, TODAY(), 1)), 2)), 1, 6, """")"),"56,18;54,37;53,54;54,87;53,13;53,29;53,44;54,81;56,5;56,31;57,01;56,77;57,21;56,43;57,25;58,59;57,8;59,23")</f>
        <v>56,18;54,37;53,54;54,87;53,13;53,29;53,44;54,81;56,5;56,31;57,01;56,77;57,21;56,43;57,25;58,59;57,8;59,23</v>
      </c>
    </row>
    <row r="194">
      <c r="A194" s="3" t="s">
        <v>399</v>
      </c>
      <c r="B194" s="4" t="s">
        <v>400</v>
      </c>
      <c r="C194" s="4">
        <f>IFERROR(__xludf.DUMMYFUNCTION("GOOGLEFINANCE($A194, C$2)"),26.3)</f>
        <v>26.3</v>
      </c>
      <c r="D194" s="4">
        <f>IFERROR(__xludf.DUMMYFUNCTION("GOOGLEFINANCE($A194, D$2)"),0.0)</f>
        <v>0</v>
      </c>
      <c r="E194" s="4">
        <f>IFERROR(__xludf.DUMMYFUNCTION("GOOGLEFINANCE($A194, E$2)"),1.21)</f>
        <v>1.21</v>
      </c>
      <c r="F194" s="4">
        <f>IFERROR(__xludf.DUMMYFUNCTION("GOOGLEFINANCE($A194, F$2)"),21.77)</f>
        <v>21.77</v>
      </c>
      <c r="G194" s="4">
        <f>IFERROR(__xludf.DUMMYFUNCTION("GOOGLEFINANCE($A194, G$2)"),27.32)</f>
        <v>27.32</v>
      </c>
      <c r="H194" s="4">
        <f>IFERROR(__xludf.DUMMYFUNCTION("GOOGLEFINANCE($A194, H$2)"),25.33)</f>
        <v>25.33</v>
      </c>
      <c r="I194" s="4" t="str">
        <f>IFERROR(__xludf.DUMMYFUNCTION("REPLACE(JOIN("";"", INDEX(TRANSPOSE(GOOGLEFINANCE($A194, $I$2, TODAY() - 30, TODAY(), 1)), 2)), 1, 6, """")"),"25,65;25;25,01;25,02;26,9;26,02;27,2;26,3;26,92;26,6;26,2;26,4;25,9;27;26,3")</f>
        <v>25,65;25;25,01;25,02;26,9;26,02;27,2;26,3;26,92;26,6;26,2;26,4;25,9;27;26,3</v>
      </c>
    </row>
    <row r="195">
      <c r="A195" s="3" t="s">
        <v>401</v>
      </c>
      <c r="B195" s="4" t="s">
        <v>402</v>
      </c>
      <c r="C195" s="4">
        <f>IFERROR(__xludf.DUMMYFUNCTION("GOOGLEFINANCE($A195, C$2)"),17.6)</f>
        <v>17.6</v>
      </c>
      <c r="D195" s="4">
        <f>IFERROR(__xludf.DUMMYFUNCTION("GOOGLEFINANCE($A195, D$2)"),0.0)</f>
        <v>0</v>
      </c>
      <c r="E195" s="4">
        <f>IFERROR(__xludf.DUMMYFUNCTION("GOOGLEFINANCE($A195, E$2)"),0.81)</f>
        <v>0.81</v>
      </c>
      <c r="F195" s="4">
        <f>IFERROR(__xludf.DUMMYFUNCTION("GOOGLEFINANCE($A195, F$2)"),21.77)</f>
        <v>21.77</v>
      </c>
      <c r="G195" s="4">
        <f>IFERROR(__xludf.DUMMYFUNCTION("GOOGLEFINANCE($A195, G$2)"),17.6)</f>
        <v>17.6</v>
      </c>
      <c r="H195" s="4">
        <f>IFERROR(__xludf.DUMMYFUNCTION("GOOGLEFINANCE($A195, H$2)"),17.51)</f>
        <v>17.51</v>
      </c>
      <c r="I195" s="4" t="str">
        <f>IFERROR(__xludf.DUMMYFUNCTION("REPLACE(JOIN("";"", INDEX(TRANSPOSE(GOOGLEFINANCE($A195, $I$2, TODAY() - 30, TODAY(), 1)), 2)), 1, 6, """")"),"17,89;17,15;16,61;17,5;18,1;18,2;18,09;18,01;18,25;18,9;18,3;18,44;18,2;18,1;17,8;18,4;17,3;17,6")</f>
        <v>17,89;17,15;16,61;17,5;18,1;18,2;18,09;18,01;18,25;18,9;18,3;18,44;18,2;18,1;17,8;18,4;17,3;17,6</v>
      </c>
    </row>
    <row r="196">
      <c r="A196" s="3" t="s">
        <v>403</v>
      </c>
      <c r="B196" s="4" t="s">
        <v>404</v>
      </c>
      <c r="C196" s="4">
        <f>IFERROR(__xludf.DUMMYFUNCTION("GOOGLEFINANCE($A196, C$2)"),11.58)</f>
        <v>11.58</v>
      </c>
      <c r="D196" s="4">
        <f>IFERROR(__xludf.DUMMYFUNCTION("GOOGLEFINANCE($A196, D$2)"),0.0)</f>
        <v>0</v>
      </c>
      <c r="E196" s="4" t="str">
        <f>IFERROR(__xludf.DUMMYFUNCTION("GOOGLEFINANCE($A196, E$2)"),"#N/A")</f>
        <v>#N/A</v>
      </c>
      <c r="F196" s="4">
        <f>IFERROR(__xludf.DUMMYFUNCTION("GOOGLEFINANCE($A196, F$2)"),-7.13)</f>
        <v>-7.13</v>
      </c>
      <c r="G196" s="4">
        <f>IFERROR(__xludf.DUMMYFUNCTION("GOOGLEFINANCE($A196, G$2)"),11.58)</f>
        <v>11.58</v>
      </c>
      <c r="H196" s="4">
        <f>IFERROR(__xludf.DUMMYFUNCTION("GOOGLEFINANCE($A196, H$2)"),11.05)</f>
        <v>11.05</v>
      </c>
      <c r="I196" s="4" t="str">
        <f>IFERROR(__xludf.DUMMYFUNCTION("REPLACE(JOIN("";"", INDEX(TRANSPOSE(GOOGLEFINANCE($A196, $I$2, TODAY() - 30, TODAY(), 1)), 2)), 1, 6, """")"),"11,3;11,7;11,9;12,2;12,6;12,89;12,5;12,35;12,2;11,79;11,8;10,94;10,94;11,58")</f>
        <v>11,3;11,7;11,9;12,2;12,6;12,89;12,5;12,35;12,2;11,79;11,8;10,94;10,94;11,58</v>
      </c>
    </row>
    <row r="197">
      <c r="A197" s="3" t="s">
        <v>405</v>
      </c>
      <c r="B197" s="4" t="s">
        <v>406</v>
      </c>
      <c r="C197" s="4">
        <f>IFERROR(__xludf.DUMMYFUNCTION("GOOGLEFINANCE($A197, C$2)"),5.6)</f>
        <v>5.6</v>
      </c>
      <c r="D197" s="4">
        <f>IFERROR(__xludf.DUMMYFUNCTION("GOOGLEFINANCE($A197, D$2)"),0.0)</f>
        <v>0</v>
      </c>
      <c r="E197" s="4" t="str">
        <f>IFERROR(__xludf.DUMMYFUNCTION("GOOGLEFINANCE($A197, E$2)"),"#N/A")</f>
        <v>#N/A</v>
      </c>
      <c r="F197" s="4">
        <f>IFERROR(__xludf.DUMMYFUNCTION("GOOGLEFINANCE($A197, F$2)"),-7.13)</f>
        <v>-7.13</v>
      </c>
      <c r="G197" s="4">
        <f>IFERROR(__xludf.DUMMYFUNCTION("GOOGLEFINANCE($A197, G$2)"),5.64)</f>
        <v>5.64</v>
      </c>
      <c r="H197" s="4">
        <f>IFERROR(__xludf.DUMMYFUNCTION("GOOGLEFINANCE($A197, H$2)"),5.4)</f>
        <v>5.4</v>
      </c>
      <c r="I197" s="4" t="str">
        <f>IFERROR(__xludf.DUMMYFUNCTION("REPLACE(JOIN("";"", INDEX(TRANSPOSE(GOOGLEFINANCE($A197, $I$2, TODAY() - 30, TODAY(), 1)), 2)), 1, 6, """")"),"5,64;5,59;5,65;5,65;5,65;5,65;5,65;5,8;5,64;5,6;5,48;5,37;5,3;5,54;5,36;5,63;5,43;5,6")</f>
        <v>5,64;5,59;5,65;5,65;5,65;5,65;5,65;5,8;5,64;5,6;5,48;5,37;5,3;5,54;5,36;5,63;5,43;5,6</v>
      </c>
    </row>
    <row r="198">
      <c r="A198" s="3" t="s">
        <v>407</v>
      </c>
      <c r="B198" s="4" t="s">
        <v>408</v>
      </c>
      <c r="C198" s="4">
        <f>IFERROR(__xludf.DUMMYFUNCTION("GOOGLEFINANCE($A198, C$2)"),3.33)</f>
        <v>3.33</v>
      </c>
      <c r="D198" s="4">
        <f>IFERROR(__xludf.DUMMYFUNCTION("GOOGLEFINANCE($A198, D$2)"),0.0)</f>
        <v>0</v>
      </c>
      <c r="E198" s="4">
        <f>IFERROR(__xludf.DUMMYFUNCTION("GOOGLEFINANCE($A198, E$2)"),44.48)</f>
        <v>44.48</v>
      </c>
      <c r="F198" s="4">
        <f>IFERROR(__xludf.DUMMYFUNCTION("GOOGLEFINANCE($A198, F$2)"),0.07)</f>
        <v>0.07</v>
      </c>
      <c r="G198" s="4">
        <f>IFERROR(__xludf.DUMMYFUNCTION("GOOGLEFINANCE($A198, G$2)"),3.6)</f>
        <v>3.6</v>
      </c>
      <c r="H198" s="4">
        <f>IFERROR(__xludf.DUMMYFUNCTION("GOOGLEFINANCE($A198, H$2)"),2.54)</f>
        <v>2.54</v>
      </c>
      <c r="I198" s="4" t="str">
        <f>IFERROR(__xludf.DUMMYFUNCTION("REPLACE(JOIN("";"", INDEX(TRANSPOSE(GOOGLEFINANCE($A198, $I$2, TODAY() - 30, TODAY(), 1)), 2)), 1, 6, """")"),"2,43;2,44;2,46;2,46;2,37;2,46;2,46;2,43;2,43;2,39;2,39;2,39;2,34;2,34;2,34;2,26;2,54;3,33")</f>
        <v>2,43;2,44;2,46;2,46;2,37;2,46;2,46;2,43;2,43;2,39;2,39;2,39;2,34;2,34;2,34;2,26;2,54;3,33</v>
      </c>
    </row>
    <row r="199">
      <c r="A199" s="3" t="s">
        <v>409</v>
      </c>
      <c r="B199" s="4" t="s">
        <v>410</v>
      </c>
      <c r="C199" s="4">
        <f>IFERROR(__xludf.DUMMYFUNCTION("GOOGLEFINANCE($A199, C$2)"),2.2)</f>
        <v>2.2</v>
      </c>
      <c r="D199" s="4">
        <f>IFERROR(__xludf.DUMMYFUNCTION("GOOGLEFINANCE($A199, D$2)"),0.0)</f>
        <v>0</v>
      </c>
      <c r="E199" s="4">
        <f>IFERROR(__xludf.DUMMYFUNCTION("GOOGLEFINANCE($A199, E$2)"),29.38)</f>
        <v>29.38</v>
      </c>
      <c r="F199" s="4">
        <f>IFERROR(__xludf.DUMMYFUNCTION("GOOGLEFINANCE($A199, F$2)"),0.07)</f>
        <v>0.07</v>
      </c>
      <c r="G199" s="4">
        <f>IFERROR(__xludf.DUMMYFUNCTION("GOOGLEFINANCE($A199, G$2)"),2.43)</f>
        <v>2.43</v>
      </c>
      <c r="H199" s="4">
        <f>IFERROR(__xludf.DUMMYFUNCTION("GOOGLEFINANCE($A199, H$2)"),1.95)</f>
        <v>1.95</v>
      </c>
      <c r="I199" s="4" t="str">
        <f>IFERROR(__xludf.DUMMYFUNCTION("REPLACE(JOIN("";"", INDEX(TRANSPOSE(GOOGLEFINANCE($A199, $I$2, TODAY() - 30, TODAY(), 1)), 2)), 1, 6, """")"),"1,88;1,9;1,89;1,91;1,91;1,93;1,92;1,93;1,93;1,92;1,91;1,91;1,92;1,9;1,93;1,9;1,92;2,2")</f>
        <v>1,88;1,9;1,89;1,91;1,91;1,93;1,92;1,93;1,93;1,92;1,91;1,91;1,92;1,9;1,93;1,9;1,92;2,2</v>
      </c>
    </row>
    <row r="200">
      <c r="A200" s="3" t="s">
        <v>411</v>
      </c>
      <c r="B200" s="4" t="s">
        <v>412</v>
      </c>
      <c r="C200" s="4">
        <f>IFERROR(__xludf.DUMMYFUNCTION("GOOGLEFINANCE($A200, C$2)"),399.0)</f>
        <v>399</v>
      </c>
      <c r="D200" s="4">
        <f>IFERROR(__xludf.DUMMYFUNCTION("GOOGLEFINANCE($A200, D$2)"),0.0)</f>
        <v>0</v>
      </c>
      <c r="E200" s="4" t="str">
        <f>IFERROR(__xludf.DUMMYFUNCTION("GOOGLEFINANCE($A200, E$2)"),"#N/A")</f>
        <v>#N/A</v>
      </c>
      <c r="F200" s="4" t="str">
        <f>IFERROR(__xludf.DUMMYFUNCTION("GOOGLEFINANCE($A200, F$2)"),"#N/A")</f>
        <v>#N/A</v>
      </c>
      <c r="G200" s="4">
        <f>IFERROR(__xludf.DUMMYFUNCTION("GOOGLEFINANCE($A200, G$2)"),399.0)</f>
        <v>399</v>
      </c>
      <c r="H200" s="4">
        <f>IFERROR(__xludf.DUMMYFUNCTION("GOOGLEFINANCE($A200, H$2)"),397.93)</f>
        <v>397.93</v>
      </c>
      <c r="I200" s="4" t="str">
        <f>IFERROR(__xludf.DUMMYFUNCTION("REPLACE(JOIN("";"", INDEX(TRANSPOSE(GOOGLEFINANCE($A200, $I$2, TODAY() - 30, TODAY(), 1)), 2)), 1, 6, """")"),"441,63;421;404,5;408;399")</f>
        <v>441,63;421;404,5;408;399</v>
      </c>
    </row>
    <row r="201">
      <c r="A201" s="3" t="s">
        <v>413</v>
      </c>
      <c r="B201" s="4" t="s">
        <v>414</v>
      </c>
      <c r="C201" s="4">
        <f>IFERROR(__xludf.DUMMYFUNCTION("GOOGLEFINANCE($A201, C$2)"),10.36)</f>
        <v>10.36</v>
      </c>
      <c r="D201" s="4">
        <f>IFERROR(__xludf.DUMMYFUNCTION("GOOGLEFINANCE($A201, D$2)"),0.0)</f>
        <v>0</v>
      </c>
      <c r="E201" s="4">
        <f>IFERROR(__xludf.DUMMYFUNCTION("GOOGLEFINANCE($A201, E$2)"),20.23)</f>
        <v>20.23</v>
      </c>
      <c r="F201" s="4">
        <f>IFERROR(__xludf.DUMMYFUNCTION("GOOGLEFINANCE($A201, F$2)"),0.51)</f>
        <v>0.51</v>
      </c>
      <c r="G201" s="4">
        <f>IFERROR(__xludf.DUMMYFUNCTION("GOOGLEFINANCE($A201, G$2)"),10.39)</f>
        <v>10.39</v>
      </c>
      <c r="H201" s="4">
        <f>IFERROR(__xludf.DUMMYFUNCTION("GOOGLEFINANCE($A201, H$2)"),10.08)</f>
        <v>10.08</v>
      </c>
      <c r="I201" s="4" t="str">
        <f>IFERROR(__xludf.DUMMYFUNCTION("REPLACE(JOIN("";"", INDEX(TRANSPOSE(GOOGLEFINANCE($A201, $I$2, TODAY() - 30, TODAY(), 1)), 2)), 1, 6, """")"),"11,04;11,05;11,05;11,08;10,8;11,05;11,16;11,39;11,12;11,19;11,16;10,78;10,77;10,8;10,54;10,44;10,15;10,36")</f>
        <v>11,04;11,05;11,05;11,08;10,8;11,05;11,16;11,39;11,12;11,19;11,16;10,78;10,77;10,8;10,54;10,44;10,15;10,36</v>
      </c>
    </row>
    <row r="202">
      <c r="A202" s="3" t="s">
        <v>415</v>
      </c>
      <c r="B202" s="4" t="s">
        <v>416</v>
      </c>
      <c r="C202" s="4">
        <f>IFERROR(__xludf.DUMMYFUNCTION("GOOGLEFINANCE($A202, C$2)"),18.64)</f>
        <v>18.64</v>
      </c>
      <c r="D202" s="4">
        <f>IFERROR(__xludf.DUMMYFUNCTION("GOOGLEFINANCE($A202, D$2)"),0.0)</f>
        <v>0</v>
      </c>
      <c r="E202" s="4" t="str">
        <f>IFERROR(__xludf.DUMMYFUNCTION("GOOGLEFINANCE($A202, E$2)"),"#N/A")</f>
        <v>#N/A</v>
      </c>
      <c r="F202" s="4">
        <f>IFERROR(__xludf.DUMMYFUNCTION("GOOGLEFINANCE($A202, F$2)"),-11.11)</f>
        <v>-11.11</v>
      </c>
      <c r="G202" s="4">
        <f>IFERROR(__xludf.DUMMYFUNCTION("GOOGLEFINANCE($A202, G$2)"),19.05)</f>
        <v>19.05</v>
      </c>
      <c r="H202" s="4">
        <f>IFERROR(__xludf.DUMMYFUNCTION("GOOGLEFINANCE($A202, H$2)"),18.52)</f>
        <v>18.52</v>
      </c>
      <c r="I202" s="4" t="str">
        <f>IFERROR(__xludf.DUMMYFUNCTION("REPLACE(JOIN("";"", INDEX(TRANSPOSE(GOOGLEFINANCE($A202, $I$2, TODAY() - 30, TODAY(), 1)), 2)), 1, 6, """")"),"18,3;17,44;18,02;19,24;19,04;19,24;19,97;19,52;20,11;19,97;19,87;19,67;19,23;18,85;19,9;19,5;19;18,64")</f>
        <v>18,3;17,44;18,02;19,24;19,04;19,24;19,97;19,52;20,11;19,97;19,87;19,67;19,23;18,85;19,9;19,5;19;18,64</v>
      </c>
    </row>
    <row r="203">
      <c r="A203" s="3" t="s">
        <v>417</v>
      </c>
      <c r="B203" s="4" t="s">
        <v>418</v>
      </c>
      <c r="C203" s="4">
        <f>IFERROR(__xludf.DUMMYFUNCTION("GOOGLEFINANCE($A203, C$2)"),191.94)</f>
        <v>191.94</v>
      </c>
      <c r="D203" s="4">
        <f>IFERROR(__xludf.DUMMYFUNCTION("GOOGLEFINANCE($A203, D$2)"),0.0)</f>
        <v>0</v>
      </c>
      <c r="E203" s="4" t="str">
        <f>IFERROR(__xludf.DUMMYFUNCTION("GOOGLEFINANCE($A203, E$2)"),"#N/A")</f>
        <v>#N/A</v>
      </c>
      <c r="F203" s="4" t="str">
        <f>IFERROR(__xludf.DUMMYFUNCTION("GOOGLEFINANCE($A203, F$2)"),"#N/A")</f>
        <v>#N/A</v>
      </c>
      <c r="G203" s="4">
        <f>IFERROR(__xludf.DUMMYFUNCTION("GOOGLEFINANCE($A203, G$2)"),191.94)</f>
        <v>191.94</v>
      </c>
      <c r="H203" s="4">
        <f>IFERROR(__xludf.DUMMYFUNCTION("GOOGLEFINANCE($A203, H$2)"),190.0)</f>
        <v>190</v>
      </c>
      <c r="I203" s="4" t="str">
        <f>IFERROR(__xludf.DUMMYFUNCTION("REPLACE(JOIN("";"", INDEX(TRANSPOSE(GOOGLEFINANCE($A203, $I$2, TODAY() - 30, TODAY(), 1)), 2)), 1, 6, """")"),"202,4;199,19;195,62;198,47;196,78;195,44;194,6;197,12;198,7;194,19;194,66;196,26;197,44;198,09;199,4;197,1;194,9;191,94")</f>
        <v>202,4;199,19;195,62;198,47;196,78;195,44;194,6;197,12;198,7;194,19;194,66;196,26;197,44;198,09;199,4;197,1;194,9;191,94</v>
      </c>
    </row>
    <row r="204">
      <c r="A204" s="3" t="s">
        <v>419</v>
      </c>
      <c r="B204" s="4" t="s">
        <v>420</v>
      </c>
      <c r="C204" s="4">
        <f>IFERROR(__xludf.DUMMYFUNCTION("GOOGLEFINANCE($A204, C$2)"),27.58)</f>
        <v>27.58</v>
      </c>
      <c r="D204" s="4">
        <f>IFERROR(__xludf.DUMMYFUNCTION("GOOGLEFINANCE($A204, D$2)"),0.0)</f>
        <v>0</v>
      </c>
      <c r="E204" s="4">
        <f>IFERROR(__xludf.DUMMYFUNCTION("GOOGLEFINANCE($A204, E$2)"),6.43)</f>
        <v>6.43</v>
      </c>
      <c r="F204" s="4">
        <f>IFERROR(__xludf.DUMMYFUNCTION("GOOGLEFINANCE($A204, F$2)"),4.29)</f>
        <v>4.29</v>
      </c>
      <c r="G204" s="4">
        <f>IFERROR(__xludf.DUMMYFUNCTION("GOOGLEFINANCE($A204, G$2)"),27.95)</f>
        <v>27.95</v>
      </c>
      <c r="H204" s="4">
        <f>IFERROR(__xludf.DUMMYFUNCTION("GOOGLEFINANCE($A204, H$2)"),27.29)</f>
        <v>27.29</v>
      </c>
      <c r="I204" s="4" t="str">
        <f>IFERROR(__xludf.DUMMYFUNCTION("REPLACE(JOIN("";"", INDEX(TRANSPOSE(GOOGLEFINANCE($A204, $I$2, TODAY() - 30, TODAY(), 1)), 2)), 1, 6, """")"),"26;25,54;25,62;26,65;25,63;26,42;27,1;28,14;27,86;27,44;28,75;28,08;27,65;28,03;28,35;28,21;27,88;27,58")</f>
        <v>26;25,54;25,62;26,65;25,63;26,42;27,1;28,14;27,86;27,44;28,75;28,08;27,65;28,03;28,35;28,21;27,88;27,58</v>
      </c>
    </row>
    <row r="205">
      <c r="A205" s="3" t="s">
        <v>421</v>
      </c>
      <c r="B205" s="4" t="s">
        <v>422</v>
      </c>
      <c r="C205" s="4">
        <f>IFERROR(__xludf.DUMMYFUNCTION("GOOGLEFINANCE($A205, C$2)"),158.0)</f>
        <v>158</v>
      </c>
      <c r="D205" s="4">
        <f>IFERROR(__xludf.DUMMYFUNCTION("GOOGLEFINANCE($A205, D$2)"),0.0)</f>
        <v>0</v>
      </c>
      <c r="E205" s="4" t="str">
        <f>IFERROR(__xludf.DUMMYFUNCTION("GOOGLEFINANCE($A205, E$2)"),"#N/A")</f>
        <v>#N/A</v>
      </c>
      <c r="F205" s="4">
        <f>IFERROR(__xludf.DUMMYFUNCTION("GOOGLEFINANCE($A205, F$2)"),-0.41)</f>
        <v>-0.41</v>
      </c>
      <c r="G205" s="4">
        <f>IFERROR(__xludf.DUMMYFUNCTION("GOOGLEFINANCE($A205, G$2)"),158.0)</f>
        <v>158</v>
      </c>
      <c r="H205" s="4">
        <f>IFERROR(__xludf.DUMMYFUNCTION("GOOGLEFINANCE($A205, H$2)"),158.0)</f>
        <v>158</v>
      </c>
      <c r="I205" s="4" t="str">
        <f>IFERROR(__xludf.DUMMYFUNCTION("REPLACE(JOIN("";"", INDEX(TRANSPOSE(GOOGLEFINANCE($A205, $I$2, TODAY() - 30, TODAY(), 1)), 2)), 1, 6, """")"),"128;150;177,99;182;172;173;166,99;168;168,99;170,1;161,04;168;155;159;163;167,9;158;158")</f>
        <v>128;150;177,99;182;172;173;166,99;168;168,99;170,1;161,04;168;155;159;163;167,9;158;158</v>
      </c>
    </row>
    <row r="206">
      <c r="A206" s="3" t="s">
        <v>423</v>
      </c>
      <c r="B206" s="4" t="s">
        <v>424</v>
      </c>
      <c r="C206" s="4">
        <f>IFERROR(__xludf.DUMMYFUNCTION("GOOGLEFINANCE($A206, C$2)"),62.8)</f>
        <v>62.8</v>
      </c>
      <c r="D206" s="4">
        <f>IFERROR(__xludf.DUMMYFUNCTION("GOOGLEFINANCE($A206, D$2)"),0.0)</f>
        <v>0</v>
      </c>
      <c r="E206" s="4" t="str">
        <f>IFERROR(__xludf.DUMMYFUNCTION("GOOGLEFINANCE($A206, E$2)"),"#N/A")</f>
        <v>#N/A</v>
      </c>
      <c r="F206" s="4" t="str">
        <f>IFERROR(__xludf.DUMMYFUNCTION("GOOGLEFINANCE($A206, F$2)"),"#N/A")</f>
        <v>#N/A</v>
      </c>
      <c r="G206" s="4">
        <f>IFERROR(__xludf.DUMMYFUNCTION("GOOGLEFINANCE($A206, G$2)"),62.8)</f>
        <v>62.8</v>
      </c>
      <c r="H206" s="4">
        <f>IFERROR(__xludf.DUMMYFUNCTION("GOOGLEFINANCE($A206, H$2)"),61.8)</f>
        <v>61.8</v>
      </c>
      <c r="I206" s="4" t="str">
        <f>IFERROR(__xludf.DUMMYFUNCTION("REPLACE(JOIN("";"", INDEX(TRANSPOSE(GOOGLEFINANCE($A206, $I$2, TODAY() - 30, TODAY(), 1)), 2)), 1, 6, """")"),"59,7;57;55,5;57,65;55,5;56,5;55,75;56,45;56,8;55,45;56,5;56,55;57,35;60,7;61;62,8")</f>
        <v>59,7;57;55,5;57,65;55,5;56,5;55,75;56,45;56,8;55,45;56,5;56,55;57,35;60,7;61;62,8</v>
      </c>
    </row>
    <row r="207">
      <c r="A207" s="3" t="s">
        <v>425</v>
      </c>
      <c r="B207" s="4" t="s">
        <v>426</v>
      </c>
      <c r="C207" s="4">
        <f>IFERROR(__xludf.DUMMYFUNCTION("GOOGLEFINANCE($A207, C$2)"),269.8)</f>
        <v>269.8</v>
      </c>
      <c r="D207" s="4">
        <f>IFERROR(__xludf.DUMMYFUNCTION("GOOGLEFINANCE($A207, D$2)"),0.0)</f>
        <v>0</v>
      </c>
      <c r="E207" s="4" t="str">
        <f>IFERROR(__xludf.DUMMYFUNCTION("GOOGLEFINANCE($A207, E$2)"),"#N/A")</f>
        <v>#N/A</v>
      </c>
      <c r="F207" s="4" t="str">
        <f>IFERROR(__xludf.DUMMYFUNCTION("GOOGLEFINANCE($A207, F$2)"),"#N/A")</f>
        <v>#N/A</v>
      </c>
      <c r="G207" s="4">
        <f>IFERROR(__xludf.DUMMYFUNCTION("GOOGLEFINANCE($A207, G$2)"),269.8)</f>
        <v>269.8</v>
      </c>
      <c r="H207" s="4">
        <f>IFERROR(__xludf.DUMMYFUNCTION("GOOGLEFINANCE($A207, H$2)"),269.8)</f>
        <v>269.8</v>
      </c>
      <c r="I207" s="4" t="str">
        <f>IFERROR(__xludf.DUMMYFUNCTION("REPLACE(JOIN("";"", INDEX(TRANSPOSE(GOOGLEFINANCE($A207, $I$2, TODAY() - 30, TODAY(), 1)), 2)), 1, 6, """")"),"203,5;211,8;230,7;238,5;225;221,4;272,2;269,8")</f>
        <v>203,5;211,8;230,7;238,5;225;221,4;272,2;269,8</v>
      </c>
    </row>
    <row r="208">
      <c r="A208" s="3" t="s">
        <v>427</v>
      </c>
      <c r="B208" s="4" t="s">
        <v>428</v>
      </c>
      <c r="C208" s="4">
        <f>IFERROR(__xludf.DUMMYFUNCTION("GOOGLEFINANCE($A208, C$2)"),374.0)</f>
        <v>374</v>
      </c>
      <c r="D208" s="4">
        <f>IFERROR(__xludf.DUMMYFUNCTION("GOOGLEFINANCE($A208, D$2)"),0.0)</f>
        <v>0</v>
      </c>
      <c r="E208" s="4" t="str">
        <f>IFERROR(__xludf.DUMMYFUNCTION("GOOGLEFINANCE($A208, E$2)"),"#N/A")</f>
        <v>#N/A</v>
      </c>
      <c r="F208" s="4" t="str">
        <f>IFERROR(__xludf.DUMMYFUNCTION("GOOGLEFINANCE($A208, F$2)"),"#N/A")</f>
        <v>#N/A</v>
      </c>
      <c r="G208" s="4" t="str">
        <f>IFERROR(__xludf.DUMMYFUNCTION("GOOGLEFINANCE($A208, G$2)"),"#N/A")</f>
        <v>#N/A</v>
      </c>
      <c r="H208" s="4" t="str">
        <f>IFERROR(__xludf.DUMMYFUNCTION("GOOGLEFINANCE($A208, H$2)"),"#N/A")</f>
        <v>#N/A</v>
      </c>
      <c r="I208" s="4" t="str">
        <f>IFERROR(__xludf.DUMMYFUNCTION("REPLACE(JOIN("";"", INDEX(TRANSPOSE(GOOGLEFINANCE($A208, $I$2, TODAY() - 30, TODAY(), 1)), 2)), 1, 6, """")"),"408,89;410;408;405,7;397,7;386,82;379,25;374")</f>
        <v>408,89;410;408;405,7;397,7;386,82;379,25;374</v>
      </c>
    </row>
    <row r="209">
      <c r="A209" s="3" t="s">
        <v>429</v>
      </c>
      <c r="B209" s="4" t="s">
        <v>430</v>
      </c>
      <c r="C209" s="4">
        <f>IFERROR(__xludf.DUMMYFUNCTION("GOOGLEFINANCE($A209, C$2)"),238.4)</f>
        <v>238.4</v>
      </c>
      <c r="D209" s="4">
        <f>IFERROR(__xludf.DUMMYFUNCTION("GOOGLEFINANCE($A209, D$2)"),0.0)</f>
        <v>0</v>
      </c>
      <c r="E209" s="4" t="str">
        <f>IFERROR(__xludf.DUMMYFUNCTION("GOOGLEFINANCE($A209, E$2)"),"#N/A")</f>
        <v>#N/A</v>
      </c>
      <c r="F209" s="4" t="str">
        <f>IFERROR(__xludf.DUMMYFUNCTION("GOOGLEFINANCE($A209, F$2)"),"#N/A")</f>
        <v>#N/A</v>
      </c>
      <c r="G209" s="4" t="str">
        <f>IFERROR(__xludf.DUMMYFUNCTION("GOOGLEFINANCE($A209, G$2)"),"#N/A")</f>
        <v>#N/A</v>
      </c>
      <c r="H209" s="4" t="str">
        <f>IFERROR(__xludf.DUMMYFUNCTION("GOOGLEFINANCE($A209, H$2)"),"#N/A")</f>
        <v>#N/A</v>
      </c>
      <c r="I209" s="4" t="str">
        <f>IFERROR(__xludf.DUMMYFUNCTION("REPLACE(JOIN("";"", INDEX(TRANSPOSE(GOOGLEFINANCE($A209, $I$2, TODAY() - 30, TODAY(), 1)), 2)), 1, 6, """")"),"218;209;209,7;213,2;209,5;206,31;207;211,3;221,6;222,2;230,4;232,4;228,5;234,4;240,8;238,4")</f>
        <v>218;209;209,7;213,2;209,5;206,31;207;211,3;221,6;222,2;230,4;232,4;228,5;234,4;240,8;238,4</v>
      </c>
    </row>
    <row r="210">
      <c r="A210" s="3" t="s">
        <v>431</v>
      </c>
      <c r="B210" s="4" t="s">
        <v>432</v>
      </c>
      <c r="C210" s="4">
        <f>IFERROR(__xludf.DUMMYFUNCTION("GOOGLEFINANCE($A210, C$2)"),897.0)</f>
        <v>897</v>
      </c>
      <c r="D210" s="4">
        <f>IFERROR(__xludf.DUMMYFUNCTION("GOOGLEFINANCE($A210, D$2)"),0.0)</f>
        <v>0</v>
      </c>
      <c r="E210" s="4" t="str">
        <f>IFERROR(__xludf.DUMMYFUNCTION("GOOGLEFINANCE($A210, E$2)"),"#N/A")</f>
        <v>#N/A</v>
      </c>
      <c r="F210" s="4" t="str">
        <f>IFERROR(__xludf.DUMMYFUNCTION("GOOGLEFINANCE($A210, F$2)"),"#N/A")</f>
        <v>#N/A</v>
      </c>
      <c r="G210" s="4">
        <f>IFERROR(__xludf.DUMMYFUNCTION("GOOGLEFINANCE($A210, G$2)"),900.9)</f>
        <v>900.9</v>
      </c>
      <c r="H210" s="4">
        <f>IFERROR(__xludf.DUMMYFUNCTION("GOOGLEFINANCE($A210, H$2)"),854.7)</f>
        <v>854.7</v>
      </c>
      <c r="I210" s="4" t="str">
        <f>IFERROR(__xludf.DUMMYFUNCTION("REPLACE(JOIN("";"", INDEX(TRANSPOSE(GOOGLEFINANCE($A210, $I$2, TODAY() - 30, TODAY(), 1)), 2)), 1, 6, """")"),"837,1;837,1;765;802,09;786,5;797,8;813,14;801,4;840;824,9;844,1;847,2;847,7;844,2;847,1;816,2;897")</f>
        <v>837,1;837,1;765;802,09;786,5;797,8;813,14;801,4;840;824,9;844,1;847,2;847,7;844,2;847,1;816,2;897</v>
      </c>
    </row>
    <row r="211">
      <c r="A211" s="3" t="s">
        <v>433</v>
      </c>
      <c r="B211" s="4" t="s">
        <v>434</v>
      </c>
      <c r="C211" s="4">
        <f>IFERROR(__xludf.DUMMYFUNCTION("GOOGLEFINANCE($A211, C$2)"),920.5)</f>
        <v>920.5</v>
      </c>
      <c r="D211" s="4">
        <f>IFERROR(__xludf.DUMMYFUNCTION("GOOGLEFINANCE($A211, D$2)"),0.0)</f>
        <v>0</v>
      </c>
      <c r="E211" s="4" t="str">
        <f>IFERROR(__xludf.DUMMYFUNCTION("GOOGLEFINANCE($A211, E$2)"),"#N/A")</f>
        <v>#N/A</v>
      </c>
      <c r="F211" s="4" t="str">
        <f>IFERROR(__xludf.DUMMYFUNCTION("GOOGLEFINANCE($A211, F$2)"),"#N/A")</f>
        <v>#N/A</v>
      </c>
      <c r="G211" s="4" t="str">
        <f>IFERROR(__xludf.DUMMYFUNCTION("GOOGLEFINANCE($A211, G$2)"),"#N/A")</f>
        <v>#N/A</v>
      </c>
      <c r="H211" s="4" t="str">
        <f>IFERROR(__xludf.DUMMYFUNCTION("GOOGLEFINANCE($A211, H$2)"),"#N/A")</f>
        <v>#N/A</v>
      </c>
      <c r="I211" s="4" t="str">
        <f>IFERROR(__xludf.DUMMYFUNCTION("REPLACE(JOIN("";"", INDEX(TRANSPOSE(GOOGLEFINANCE($A211, $I$2, TODAY() - 30, TODAY(), 1)), 2)), 1, 6, """")"),"866,6;866,6;880;894,3;889,6;909;920,5")</f>
        <v>866,6;866,6;880;894,3;889,6;909;920,5</v>
      </c>
    </row>
    <row r="212">
      <c r="A212" s="3" t="s">
        <v>435</v>
      </c>
      <c r="B212" s="4" t="s">
        <v>436</v>
      </c>
      <c r="C212" s="4">
        <f>IFERROR(__xludf.DUMMYFUNCTION("GOOGLEFINANCE($A212, C$2)"),547.0)</f>
        <v>547</v>
      </c>
      <c r="D212" s="4">
        <f>IFERROR(__xludf.DUMMYFUNCTION("GOOGLEFINANCE($A212, D$2)"),0.0)</f>
        <v>0</v>
      </c>
      <c r="E212" s="4" t="str">
        <f>IFERROR(__xludf.DUMMYFUNCTION("GOOGLEFINANCE($A212, E$2)"),"#N/A")</f>
        <v>#N/A</v>
      </c>
      <c r="F212" s="4" t="str">
        <f>IFERROR(__xludf.DUMMYFUNCTION("GOOGLEFINANCE($A212, F$2)"),"#N/A")</f>
        <v>#N/A</v>
      </c>
      <c r="G212" s="4">
        <f>IFERROR(__xludf.DUMMYFUNCTION("GOOGLEFINANCE($A212, G$2)"),547.5)</f>
        <v>547.5</v>
      </c>
      <c r="H212" s="4">
        <f>IFERROR(__xludf.DUMMYFUNCTION("GOOGLEFINANCE($A212, H$2)"),547.0)</f>
        <v>547</v>
      </c>
      <c r="I212" s="4" t="str">
        <f>IFERROR(__xludf.DUMMYFUNCTION("REPLACE(JOIN("";"", INDEX(TRANSPOSE(GOOGLEFINANCE($A212, $I$2, TODAY() - 30, TODAY(), 1)), 2)), 1, 6, """")"),"563,9;553,2;545,2;540;539,15;527;523,5;525;527,6;524,1;533;545,7;543,9;535;547,5;547")</f>
        <v>563,9;553,2;545,2;540;539,15;527;523,5;525;527,6;524,1;533;545,7;543,9;535;547,5;547</v>
      </c>
    </row>
    <row r="213">
      <c r="A213" s="3" t="s">
        <v>437</v>
      </c>
      <c r="B213" s="4" t="s">
        <v>438</v>
      </c>
      <c r="C213" s="4">
        <f>IFERROR(__xludf.DUMMYFUNCTION("GOOGLEFINANCE($A213, C$2)"),314.9)</f>
        <v>314.9</v>
      </c>
      <c r="D213" s="4">
        <f>IFERROR(__xludf.DUMMYFUNCTION("GOOGLEFINANCE($A213, D$2)"),0.0)</f>
        <v>0</v>
      </c>
      <c r="E213" s="4" t="str">
        <f>IFERROR(__xludf.DUMMYFUNCTION("GOOGLEFINANCE($A213, E$2)"),"#N/A")</f>
        <v>#N/A</v>
      </c>
      <c r="F213" s="4" t="str">
        <f>IFERROR(__xludf.DUMMYFUNCTION("GOOGLEFINANCE($A213, F$2)"),"#N/A")</f>
        <v>#N/A</v>
      </c>
      <c r="G213" s="4">
        <f>IFERROR(__xludf.DUMMYFUNCTION("GOOGLEFINANCE($A213, G$2)"),317.4)</f>
        <v>317.4</v>
      </c>
      <c r="H213" s="4">
        <f>IFERROR(__xludf.DUMMYFUNCTION("GOOGLEFINANCE($A213, H$2)"),314.9)</f>
        <v>314.9</v>
      </c>
      <c r="I213" s="4" t="str">
        <f>IFERROR(__xludf.DUMMYFUNCTION("REPLACE(JOIN("";"", INDEX(TRANSPOSE(GOOGLEFINANCE($A213, $I$2, TODAY() - 30, TODAY(), 1)), 2)), 1, 6, """")"),"323,4;311,7;304,5;310,4;327,9;331,39;331,1;318,5;325,9;317;316,02;319,9;321;325,5;321,9;314,9")</f>
        <v>323,4;311,7;304,5;310,4;327,9;331,39;331,1;318,5;325,9;317;316,02;319,9;321;325,5;321,9;314,9</v>
      </c>
    </row>
    <row r="214">
      <c r="A214" s="3" t="s">
        <v>439</v>
      </c>
      <c r="B214" s="4" t="s">
        <v>440</v>
      </c>
      <c r="C214" s="4">
        <f>IFERROR(__xludf.DUMMYFUNCTION("GOOGLEFINANCE($A214, C$2)"),14.35)</f>
        <v>14.35</v>
      </c>
      <c r="D214" s="4">
        <f>IFERROR(__xludf.DUMMYFUNCTION("GOOGLEFINANCE($A214, D$2)"),0.0)</f>
        <v>0</v>
      </c>
      <c r="E214" s="4">
        <f>IFERROR(__xludf.DUMMYFUNCTION("GOOGLEFINANCE($A214, E$2)"),21.25)</f>
        <v>21.25</v>
      </c>
      <c r="F214" s="4">
        <f>IFERROR(__xludf.DUMMYFUNCTION("GOOGLEFINANCE($A214, F$2)"),0.68)</f>
        <v>0.68</v>
      </c>
      <c r="G214" s="4">
        <f>IFERROR(__xludf.DUMMYFUNCTION("GOOGLEFINANCE($A214, G$2)"),14.43)</f>
        <v>14.43</v>
      </c>
      <c r="H214" s="4">
        <f>IFERROR(__xludf.DUMMYFUNCTION("GOOGLEFINANCE($A214, H$2)"),13.85)</f>
        <v>13.85</v>
      </c>
      <c r="I214" s="4" t="str">
        <f>IFERROR(__xludf.DUMMYFUNCTION("REPLACE(JOIN("";"", INDEX(TRANSPOSE(GOOGLEFINANCE($A214, $I$2, TODAY() - 30, TODAY(), 1)), 2)), 1, 6, """")"),"13,52;13,38;13,37;14,09;13,91;14,15;14,38;14,76;14,53;14,42;14,7;14,68;14,26;14,44;14,25;14,21;13,95;14,35")</f>
        <v>13,52;13,38;13,37;14,09;13,91;14,15;14,38;14,76;14,53;14,42;14,7;14,68;14,26;14,44;14,25;14,21;13,95;14,35</v>
      </c>
    </row>
    <row r="215">
      <c r="A215" s="3" t="s">
        <v>441</v>
      </c>
      <c r="B215" s="4" t="s">
        <v>442</v>
      </c>
      <c r="C215" s="4">
        <f>IFERROR(__xludf.DUMMYFUNCTION("GOOGLEFINANCE($A215, C$2)"),65.75)</f>
        <v>65.75</v>
      </c>
      <c r="D215" s="4">
        <f>IFERROR(__xludf.DUMMYFUNCTION("GOOGLEFINANCE($A215, D$2)"),0.0)</f>
        <v>0</v>
      </c>
      <c r="E215" s="4" t="str">
        <f>IFERROR(__xludf.DUMMYFUNCTION("GOOGLEFINANCE($A215, E$2)"),"#N/A")</f>
        <v>#N/A</v>
      </c>
      <c r="F215" s="4" t="str">
        <f>IFERROR(__xludf.DUMMYFUNCTION("GOOGLEFINANCE($A215, F$2)"),"#N/A")</f>
        <v>#N/A</v>
      </c>
      <c r="G215" s="4">
        <f>IFERROR(__xludf.DUMMYFUNCTION("GOOGLEFINANCE($A215, G$2)"),66.83)</f>
        <v>66.83</v>
      </c>
      <c r="H215" s="4">
        <f>IFERROR(__xludf.DUMMYFUNCTION("GOOGLEFINANCE($A215, H$2)"),65.75)</f>
        <v>65.75</v>
      </c>
      <c r="I215" s="4" t="str">
        <f>IFERROR(__xludf.DUMMYFUNCTION("REPLACE(JOIN("";"", INDEX(TRANSPOSE(GOOGLEFINANCE($A215, $I$2, TODAY() - 30, TODAY(), 1)), 2)), 1, 6, """")"),"63,09;60,47;58,75;62,66;61,99;62,2;63,1;63;66;64,77;67,99;67,66;68;68,47;67,9;66;66,4;65,75")</f>
        <v>63,09;60,47;58,75;62,66;61,99;62,2;63,1;63;66;64,77;67,99;67,66;68;68,47;67,9;66;66,4;65,75</v>
      </c>
    </row>
    <row r="216">
      <c r="A216" s="3" t="s">
        <v>443</v>
      </c>
      <c r="B216" s="4" t="s">
        <v>444</v>
      </c>
      <c r="C216" s="4">
        <f>IFERROR(__xludf.DUMMYFUNCTION("GOOGLEFINANCE($A216, C$2)"),281.5)</f>
        <v>281.5</v>
      </c>
      <c r="D216" s="4">
        <f>IFERROR(__xludf.DUMMYFUNCTION("GOOGLEFINANCE($A216, D$2)"),0.0)</f>
        <v>0</v>
      </c>
      <c r="E216" s="4" t="str">
        <f>IFERROR(__xludf.DUMMYFUNCTION("GOOGLEFINANCE($A216, E$2)"),"#N/A")</f>
        <v>#N/A</v>
      </c>
      <c r="F216" s="4" t="str">
        <f>IFERROR(__xludf.DUMMYFUNCTION("GOOGLEFINANCE($A216, F$2)"),"#N/A")</f>
        <v>#N/A</v>
      </c>
      <c r="G216" s="4" t="str">
        <f>IFERROR(__xludf.DUMMYFUNCTION("GOOGLEFINANCE($A216, G$2)"),"#N/A")</f>
        <v>#N/A</v>
      </c>
      <c r="H216" s="4" t="str">
        <f>IFERROR(__xludf.DUMMYFUNCTION("GOOGLEFINANCE($A216, H$2)"),"#N/A")</f>
        <v>#N/A</v>
      </c>
      <c r="I216" s="4" t="str">
        <f>IFERROR(__xludf.DUMMYFUNCTION("REPLACE(JOIN("";"", INDEX(TRANSPOSE(GOOGLEFINANCE($A216, $I$2, TODAY() - 30, TODAY(), 1)), 2)), 1, 6, """")"),"288,6;280,8;280,3;275,7;275,7;281,5")</f>
        <v>288,6;280,8;280,3;275,7;275,7;281,5</v>
      </c>
    </row>
    <row r="217">
      <c r="A217" s="3" t="s">
        <v>445</v>
      </c>
      <c r="B217" s="4" t="s">
        <v>446</v>
      </c>
      <c r="C217" s="4">
        <f>IFERROR(__xludf.DUMMYFUNCTION("GOOGLEFINANCE($A217, C$2)"),0.9)</f>
        <v>0.9</v>
      </c>
      <c r="D217" s="4">
        <f>IFERROR(__xludf.DUMMYFUNCTION("GOOGLEFINANCE($A217, D$2)"),0.0)</f>
        <v>0</v>
      </c>
      <c r="E217" s="4" t="str">
        <f>IFERROR(__xludf.DUMMYFUNCTION("GOOGLEFINANCE($A217, E$2)"),"#N/A")</f>
        <v>#N/A</v>
      </c>
      <c r="F217" s="4">
        <f>IFERROR(__xludf.DUMMYFUNCTION("GOOGLEFINANCE($A217, F$2)"),-1.51)</f>
        <v>-1.51</v>
      </c>
      <c r="G217" s="4">
        <f>IFERROR(__xludf.DUMMYFUNCTION("GOOGLEFINANCE($A217, G$2)"),0.92)</f>
        <v>0.92</v>
      </c>
      <c r="H217" s="4">
        <f>IFERROR(__xludf.DUMMYFUNCTION("GOOGLEFINANCE($A217, H$2)"),0.89)</f>
        <v>0.89</v>
      </c>
      <c r="I217" s="4" t="str">
        <f>IFERROR(__xludf.DUMMYFUNCTION("REPLACE(JOIN("";"", INDEX(TRANSPOSE(GOOGLEFINANCE($A217, $I$2, TODAY() - 30, TODAY(), 1)), 2)), 1, 6, """")"),"1,01;0,91;0,87;0,99;0,97;0,95;1,04;1,03;1;1,02;0,99;0,96;0,9;0,9;0,91;0,94;0,9;0,9")</f>
        <v>1,01;0,91;0,87;0,99;0,97;0,95;1,04;1,03;1;1,02;0,99;0,96;0,9;0,9;0,91;0,94;0,9;0,9</v>
      </c>
    </row>
    <row r="218">
      <c r="A218" s="3" t="s">
        <v>447</v>
      </c>
      <c r="B218" s="4" t="s">
        <v>448</v>
      </c>
      <c r="C218" s="4">
        <f>IFERROR(__xludf.DUMMYFUNCTION("GOOGLEFINANCE($A218, C$2)"),10.55)</f>
        <v>10.55</v>
      </c>
      <c r="D218" s="4">
        <f>IFERROR(__xludf.DUMMYFUNCTION("GOOGLEFINANCE($A218, D$2)"),0.0)</f>
        <v>0</v>
      </c>
      <c r="E218" s="4" t="str">
        <f>IFERROR(__xludf.DUMMYFUNCTION("GOOGLEFINANCE($A218, E$2)"),"#N/A")</f>
        <v>#N/A</v>
      </c>
      <c r="F218" s="4">
        <f>IFERROR(__xludf.DUMMYFUNCTION("GOOGLEFINANCE($A218, F$2)"),-0.15)</f>
        <v>-0.15</v>
      </c>
      <c r="G218" s="4">
        <f>IFERROR(__xludf.DUMMYFUNCTION("GOOGLEFINANCE($A218, G$2)"),11.25)</f>
        <v>11.25</v>
      </c>
      <c r="H218" s="4">
        <f>IFERROR(__xludf.DUMMYFUNCTION("GOOGLEFINANCE($A218, H$2)"),10.55)</f>
        <v>10.55</v>
      </c>
      <c r="I218" s="4" t="str">
        <f>IFERROR(__xludf.DUMMYFUNCTION("REPLACE(JOIN("";"", INDEX(TRANSPOSE(GOOGLEFINANCE($A218, $I$2, TODAY() - 30, TODAY(), 1)), 2)), 1, 6, """")"),"11,71;11,7;11,53;11,68;11,5;11,7;11,83;11,88;11,73;11,91;11,79;11,7;11,5;11,2;11,16;11;10,99;10,55")</f>
        <v>11,71;11,7;11,53;11,68;11,5;11,7;11,83;11,88;11,73;11,91;11,79;11,7;11,5;11,2;11,16;11;10,99;10,55</v>
      </c>
    </row>
    <row r="219">
      <c r="A219" s="3" t="s">
        <v>449</v>
      </c>
      <c r="B219" s="4" t="s">
        <v>450</v>
      </c>
      <c r="C219" s="4">
        <f>IFERROR(__xludf.DUMMYFUNCTION("GOOGLEFINANCE($A219, C$2)"),30.36)</f>
        <v>30.36</v>
      </c>
      <c r="D219" s="4">
        <f>IFERROR(__xludf.DUMMYFUNCTION("GOOGLEFINANCE($A219, D$2)"),0.0)</f>
        <v>0</v>
      </c>
      <c r="E219" s="4">
        <f>IFERROR(__xludf.DUMMYFUNCTION("GOOGLEFINANCE($A219, E$2)"),65.46)</f>
        <v>65.46</v>
      </c>
      <c r="F219" s="4">
        <f>IFERROR(__xludf.DUMMYFUNCTION("GOOGLEFINANCE($A219, F$2)"),0.46)</f>
        <v>0.46</v>
      </c>
      <c r="G219" s="4">
        <f>IFERROR(__xludf.DUMMYFUNCTION("GOOGLEFINANCE($A219, G$2)"),31.39)</f>
        <v>31.39</v>
      </c>
      <c r="H219" s="4">
        <f>IFERROR(__xludf.DUMMYFUNCTION("GOOGLEFINANCE($A219, H$2)"),30.0)</f>
        <v>30</v>
      </c>
      <c r="I219" s="4" t="str">
        <f>IFERROR(__xludf.DUMMYFUNCTION("REPLACE(JOIN("";"", INDEX(TRANSPOSE(GOOGLEFINANCE($A219, $I$2, TODAY() - 30, TODAY(), 1)), 2)), 1, 6, """")"),"37,5;37,5;34,94;35,2;32;30,91;34,99;33,8;33,4;33,4;32,59;30,36")</f>
        <v>37,5;37,5;34,94;35,2;32;30,91;34,99;33,8;33,4;33,4;32,59;30,36</v>
      </c>
    </row>
    <row r="220">
      <c r="A220" s="3" t="s">
        <v>451</v>
      </c>
      <c r="B220" s="4" t="s">
        <v>452</v>
      </c>
      <c r="C220" s="4">
        <f>IFERROR(__xludf.DUMMYFUNCTION("GOOGLEFINANCE($A220, C$2)"),5.15)</f>
        <v>5.15</v>
      </c>
      <c r="D220" s="4">
        <f>IFERROR(__xludf.DUMMYFUNCTION("GOOGLEFINANCE($A220, D$2)"),0.0)</f>
        <v>0</v>
      </c>
      <c r="E220" s="4">
        <f>IFERROR(__xludf.DUMMYFUNCTION("GOOGLEFINANCE($A220, E$2)"),11.1)</f>
        <v>11.1</v>
      </c>
      <c r="F220" s="4">
        <f>IFERROR(__xludf.DUMMYFUNCTION("GOOGLEFINANCE($A220, F$2)"),0.46)</f>
        <v>0.46</v>
      </c>
      <c r="G220" s="4">
        <f>IFERROR(__xludf.DUMMYFUNCTION("GOOGLEFINANCE($A220, G$2)"),5.22)</f>
        <v>5.22</v>
      </c>
      <c r="H220" s="4">
        <f>IFERROR(__xludf.DUMMYFUNCTION("GOOGLEFINANCE($A220, H$2)"),5.07)</f>
        <v>5.07</v>
      </c>
      <c r="I220" s="4" t="str">
        <f>IFERROR(__xludf.DUMMYFUNCTION("REPLACE(JOIN("";"", INDEX(TRANSPOSE(GOOGLEFINANCE($A220, $I$2, TODAY() - 30, TODAY(), 1)), 2)), 1, 6, """")"),"5,69;5,58;5,64;5,58;5,5;5,33;5,29;5,4;5,26;5,28;5,19;5,19;5,11;5,18;5;5,21;5,1;5,15")</f>
        <v>5,69;5,58;5,64;5,58;5,5;5,33;5,29;5,4;5,26;5,28;5,19;5,19;5,11;5,18;5;5,21;5,1;5,15</v>
      </c>
    </row>
    <row r="221">
      <c r="A221" s="3" t="s">
        <v>453</v>
      </c>
      <c r="B221" s="4" t="s">
        <v>454</v>
      </c>
      <c r="C221" s="4">
        <f>IFERROR(__xludf.DUMMYFUNCTION("GOOGLEFINANCE($A221, C$2)"),9.2)</f>
        <v>9.2</v>
      </c>
      <c r="D221" s="4">
        <f>IFERROR(__xludf.DUMMYFUNCTION("GOOGLEFINANCE($A221, D$2)"),0.0)</f>
        <v>0</v>
      </c>
      <c r="E221" s="4" t="str">
        <f>IFERROR(__xludf.DUMMYFUNCTION("GOOGLEFINANCE($A221, E$2)"),"#N/A")</f>
        <v>#N/A</v>
      </c>
      <c r="F221" s="4">
        <f>IFERROR(__xludf.DUMMYFUNCTION("GOOGLEFINANCE($A221, F$2)"),-0.26)</f>
        <v>-0.26</v>
      </c>
      <c r="G221" s="4">
        <f>IFERROR(__xludf.DUMMYFUNCTION("GOOGLEFINANCE($A221, G$2)"),9.2)</f>
        <v>9.2</v>
      </c>
      <c r="H221" s="4">
        <f>IFERROR(__xludf.DUMMYFUNCTION("GOOGLEFINANCE($A221, H$2)"),8.5)</f>
        <v>8.5</v>
      </c>
      <c r="I221" s="4" t="str">
        <f>IFERROR(__xludf.DUMMYFUNCTION("REPLACE(JOIN("";"", INDEX(TRANSPOSE(GOOGLEFINANCE($A221, $I$2, TODAY() - 30, TODAY(), 1)), 2)), 1, 6, """")"),"10,95;10,41;9,58;9,59;9,25;10,1;9,85;9,87;9,84;9,88;9,86;10,1;9,72;9,68;9,76;9,76;9,45;9,2")</f>
        <v>10,95;10,41;9,58;9,59;9,25;10,1;9,85;9,87;9,84;9,88;9,86;10,1;9,72;9,68;9,76;9,76;9,45;9,2</v>
      </c>
    </row>
    <row r="222">
      <c r="A222" s="3" t="s">
        <v>455</v>
      </c>
      <c r="B222" s="4" t="s">
        <v>456</v>
      </c>
      <c r="C222" s="4">
        <f>IFERROR(__xludf.DUMMYFUNCTION("GOOGLEFINANCE($A222, C$2)"),18.3)</f>
        <v>18.3</v>
      </c>
      <c r="D222" s="4">
        <f>IFERROR(__xludf.DUMMYFUNCTION("GOOGLEFINANCE($A222, D$2)"),0.0)</f>
        <v>0</v>
      </c>
      <c r="E222" s="4">
        <f>IFERROR(__xludf.DUMMYFUNCTION("GOOGLEFINANCE($A222, E$2)"),28.02)</f>
        <v>28.02</v>
      </c>
      <c r="F222" s="4">
        <f>IFERROR(__xludf.DUMMYFUNCTION("GOOGLEFINANCE($A222, F$2)"),0.65)</f>
        <v>0.65</v>
      </c>
      <c r="G222" s="4">
        <f>IFERROR(__xludf.DUMMYFUNCTION("GOOGLEFINANCE($A222, G$2)"),18.41)</f>
        <v>18.41</v>
      </c>
      <c r="H222" s="4">
        <f>IFERROR(__xludf.DUMMYFUNCTION("GOOGLEFINANCE($A222, H$2)"),18.0)</f>
        <v>18</v>
      </c>
      <c r="I222" s="4" t="str">
        <f>IFERROR(__xludf.DUMMYFUNCTION("REPLACE(JOIN("";"", INDEX(TRANSPOSE(GOOGLEFINANCE($A222, $I$2, TODAY() - 30, TODAY(), 1)), 2)), 1, 6, """")"),"19,41;19,85;20,26;19,81;19,87;20,62;20,6;20,62;20,77;21,6;21,32;20,45;19,21;18,96;18,9;18,6;18,35;18,3")</f>
        <v>19,41;19,85;20,26;19,81;19,87;20,62;20,6;20,62;20,77;21,6;21,32;20,45;19,21;18,96;18,9;18,6;18,35;18,3</v>
      </c>
    </row>
    <row r="223">
      <c r="A223" s="3" t="s">
        <v>457</v>
      </c>
      <c r="B223" s="4" t="s">
        <v>458</v>
      </c>
      <c r="C223" s="4">
        <f>IFERROR(__xludf.DUMMYFUNCTION("GOOGLEFINANCE($A223, C$2)"),479.0)</f>
        <v>479</v>
      </c>
      <c r="D223" s="4">
        <f>IFERROR(__xludf.DUMMYFUNCTION("GOOGLEFINANCE($A223, D$2)"),0.0)</f>
        <v>0</v>
      </c>
      <c r="E223" s="4" t="str">
        <f>IFERROR(__xludf.DUMMYFUNCTION("GOOGLEFINANCE($A223, E$2)"),"#N/A")</f>
        <v>#N/A</v>
      </c>
      <c r="F223" s="4" t="str">
        <f>IFERROR(__xludf.DUMMYFUNCTION("GOOGLEFINANCE($A223, F$2)"),"#N/A")</f>
        <v>#N/A</v>
      </c>
      <c r="G223" s="4">
        <f>IFERROR(__xludf.DUMMYFUNCTION("GOOGLEFINANCE($A223, G$2)"),487.5)</f>
        <v>487.5</v>
      </c>
      <c r="H223" s="4">
        <f>IFERROR(__xludf.DUMMYFUNCTION("GOOGLEFINANCE($A223, H$2)"),479.0)</f>
        <v>479</v>
      </c>
      <c r="I223" s="4" t="str">
        <f>IFERROR(__xludf.DUMMYFUNCTION("REPLACE(JOIN("";"", INDEX(TRANSPOSE(GOOGLEFINANCE($A223, $I$2, TODAY() - 30, TODAY(), 1)), 2)), 1, 6, """")"),"499;508,1;499;506;491;481;489;479")</f>
        <v>499;508,1;499;506;491;481;489;479</v>
      </c>
    </row>
    <row r="224">
      <c r="A224" s="3" t="s">
        <v>459</v>
      </c>
      <c r="B224" s="4" t="s">
        <v>460</v>
      </c>
      <c r="C224" s="4">
        <f>IFERROR(__xludf.DUMMYFUNCTION("GOOGLEFINANCE($A224, C$2)"),575.0)</f>
        <v>575</v>
      </c>
      <c r="D224" s="4">
        <f>IFERROR(__xludf.DUMMYFUNCTION("GOOGLEFINANCE($A224, D$2)"),0.0)</f>
        <v>0</v>
      </c>
      <c r="E224" s="4" t="str">
        <f>IFERROR(__xludf.DUMMYFUNCTION("GOOGLEFINANCE($A224, E$2)"),"#N/A")</f>
        <v>#N/A</v>
      </c>
      <c r="F224" s="4" t="str">
        <f>IFERROR(__xludf.DUMMYFUNCTION("GOOGLEFINANCE($A224, F$2)"),"#N/A")</f>
        <v>#N/A</v>
      </c>
      <c r="G224" s="4" t="str">
        <f>IFERROR(__xludf.DUMMYFUNCTION("GOOGLEFINANCE($A224, G$2)"),"#N/A")</f>
        <v>#N/A</v>
      </c>
      <c r="H224" s="4" t="str">
        <f>IFERROR(__xludf.DUMMYFUNCTION("GOOGLEFINANCE($A224, H$2)"),"#N/A")</f>
        <v>#N/A</v>
      </c>
      <c r="I224" s="4" t="str">
        <f>IFERROR(__xludf.DUMMYFUNCTION("REPLACE(JOIN("";"", INDEX(TRANSPOSE(GOOGLEFINANCE($A224, $I$2, TODAY() - 30, TODAY(), 1)), 2)), 1, 6, """")"),"586,3;598,9;575")</f>
        <v>586,3;598,9;575</v>
      </c>
    </row>
    <row r="225">
      <c r="A225" s="3" t="s">
        <v>461</v>
      </c>
      <c r="B225" s="4" t="s">
        <v>462</v>
      </c>
      <c r="C225" s="4">
        <f>IFERROR(__xludf.DUMMYFUNCTION("GOOGLEFINANCE($A225, C$2)"),285.95)</f>
        <v>285.95</v>
      </c>
      <c r="D225" s="4">
        <f>IFERROR(__xludf.DUMMYFUNCTION("GOOGLEFINANCE($A225, D$2)"),0.0)</f>
        <v>0</v>
      </c>
      <c r="E225" s="4" t="str">
        <f>IFERROR(__xludf.DUMMYFUNCTION("GOOGLEFINANCE($A225, E$2)"),"#N/A")</f>
        <v>#N/A</v>
      </c>
      <c r="F225" s="4" t="str">
        <f>IFERROR(__xludf.DUMMYFUNCTION("GOOGLEFINANCE($A225, F$2)"),"#N/A")</f>
        <v>#N/A</v>
      </c>
      <c r="G225" s="4">
        <f>IFERROR(__xludf.DUMMYFUNCTION("GOOGLEFINANCE($A225, G$2)"),285.95)</f>
        <v>285.95</v>
      </c>
      <c r="H225" s="4">
        <f>IFERROR(__xludf.DUMMYFUNCTION("GOOGLEFINANCE($A225, H$2)"),285.95)</f>
        <v>285.95</v>
      </c>
      <c r="I225" s="4" t="str">
        <f>IFERROR(__xludf.DUMMYFUNCTION("REPLACE(JOIN("";"", INDEX(TRANSPOSE(GOOGLEFINANCE($A225, $I$2, TODAY() - 30, TODAY(), 1)), 2)), 1, 6, """")"),"289,39;280,62;281,11;287,79;288,82;284,39;283,05;279,3;286;291,71;286,01;285,95")</f>
        <v>289,39;280,62;281,11;287,79;288,82;284,39;283,05;279,3;286;291,71;286,01;285,95</v>
      </c>
    </row>
    <row r="226">
      <c r="A226" s="3" t="s">
        <v>463</v>
      </c>
      <c r="B226" s="4" t="s">
        <v>464</v>
      </c>
      <c r="C226" s="4">
        <f>IFERROR(__xludf.DUMMYFUNCTION("GOOGLEFINANCE($A226, C$2)"),398.0)</f>
        <v>398</v>
      </c>
      <c r="D226" s="4">
        <f>IFERROR(__xludf.DUMMYFUNCTION("GOOGLEFINANCE($A226, D$2)"),0.0)</f>
        <v>0</v>
      </c>
      <c r="E226" s="4" t="str">
        <f>IFERROR(__xludf.DUMMYFUNCTION("GOOGLEFINANCE($A226, E$2)"),"#N/A")</f>
        <v>#N/A</v>
      </c>
      <c r="F226" s="4" t="str">
        <f>IFERROR(__xludf.DUMMYFUNCTION("GOOGLEFINANCE($A226, F$2)"),"#N/A")</f>
        <v>#N/A</v>
      </c>
      <c r="G226" s="4">
        <f>IFERROR(__xludf.DUMMYFUNCTION("GOOGLEFINANCE($A226, G$2)"),405.12)</f>
        <v>405.12</v>
      </c>
      <c r="H226" s="4">
        <f>IFERROR(__xludf.DUMMYFUNCTION("GOOGLEFINANCE($A226, H$2)"),394.5)</f>
        <v>394.5</v>
      </c>
      <c r="I226" s="4" t="str">
        <f>IFERROR(__xludf.DUMMYFUNCTION("REPLACE(JOIN("";"", INDEX(TRANSPOSE(GOOGLEFINANCE($A226, $I$2, TODAY() - 30, TODAY(), 1)), 2)), 1, 6, """")"),"400,1;394;395,7;394,89;392,5;397;400,29;377,7;375,3;381;381,1;394,7;388,2;397,5;394,5;396,3;400,2;398")</f>
        <v>400,1;394;395,7;394,89;392,5;397;400,29;377,7;375,3;381;381,1;394,7;388,2;397,5;394,5;396,3;400,2;398</v>
      </c>
    </row>
    <row r="227">
      <c r="A227" s="3" t="s">
        <v>465</v>
      </c>
      <c r="B227" s="4" t="s">
        <v>466</v>
      </c>
      <c r="C227" s="4">
        <f>IFERROR(__xludf.DUMMYFUNCTION("GOOGLEFINANCE($A227, C$2)"),13.38)</f>
        <v>13.38</v>
      </c>
      <c r="D227" s="4">
        <f>IFERROR(__xludf.DUMMYFUNCTION("GOOGLEFINANCE($A227, D$2)"),0.0)</f>
        <v>0</v>
      </c>
      <c r="E227" s="4">
        <f>IFERROR(__xludf.DUMMYFUNCTION("GOOGLEFINANCE($A227, E$2)"),14.34)</f>
        <v>14.34</v>
      </c>
      <c r="F227" s="4">
        <f>IFERROR(__xludf.DUMMYFUNCTION("GOOGLEFINANCE($A227, F$2)"),0.93)</f>
        <v>0.93</v>
      </c>
      <c r="G227" s="4">
        <f>IFERROR(__xludf.DUMMYFUNCTION("GOOGLEFINANCE($A227, G$2)"),13.96)</f>
        <v>13.96</v>
      </c>
      <c r="H227" s="4">
        <f>IFERROR(__xludf.DUMMYFUNCTION("GOOGLEFINANCE($A227, H$2)"),13.38)</f>
        <v>13.38</v>
      </c>
      <c r="I227" s="4" t="str">
        <f>IFERROR(__xludf.DUMMYFUNCTION("REPLACE(JOIN("";"", INDEX(TRANSPOSE(GOOGLEFINANCE($A227, $I$2, TODAY() - 30, TODAY(), 1)), 2)), 1, 6, """")"),"15,55;15,73;15,4;15,18;15;15,37;15,14;15,28;15;15,45;14,9;14,66;14,45;14,5;14,13;13,94;13,89;13,38")</f>
        <v>15,55;15,73;15,4;15,18;15;15,37;15,14;15,28;15;15,45;14,9;14,66;14,45;14,5;14,13;13,94;13,89;13,38</v>
      </c>
    </row>
    <row r="228">
      <c r="A228" s="3" t="s">
        <v>467</v>
      </c>
      <c r="B228" s="4" t="s">
        <v>468</v>
      </c>
      <c r="C228" s="4">
        <f>IFERROR(__xludf.DUMMYFUNCTION("GOOGLEFINANCE($A228, C$2)"),4.94)</f>
        <v>4.94</v>
      </c>
      <c r="D228" s="4">
        <f>IFERROR(__xludf.DUMMYFUNCTION("GOOGLEFINANCE($A228, D$2)"),0.0)</f>
        <v>0</v>
      </c>
      <c r="E228" s="4">
        <f>IFERROR(__xludf.DUMMYFUNCTION("GOOGLEFINANCE($A228, E$2)"),5.3)</f>
        <v>5.3</v>
      </c>
      <c r="F228" s="4">
        <f>IFERROR(__xludf.DUMMYFUNCTION("GOOGLEFINANCE($A228, F$2)"),0.93)</f>
        <v>0.93</v>
      </c>
      <c r="G228" s="4">
        <f>IFERROR(__xludf.DUMMYFUNCTION("GOOGLEFINANCE($A228, G$2)"),4.97)</f>
        <v>4.97</v>
      </c>
      <c r="H228" s="4">
        <f>IFERROR(__xludf.DUMMYFUNCTION("GOOGLEFINANCE($A228, H$2)"),4.93)</f>
        <v>4.93</v>
      </c>
      <c r="I228" s="4" t="str">
        <f>IFERROR(__xludf.DUMMYFUNCTION("REPLACE(JOIN("";"", INDEX(TRANSPOSE(GOOGLEFINANCE($A228, $I$2, TODAY() - 30, TODAY(), 1)), 2)), 1, 6, """")"),"5;4,99;4,99;4,95;4,93;5,01;5,09;5,05;5,01;5,06;5,03;5,05;4,98;4,95;4,97;5,02;4,93;4,94")</f>
        <v>5;4,99;4,99;4,95;4,93;5,01;5,09;5,05;5,01;5,06;5,03;5,05;4,98;4,95;4,97;5,02;4,93;4,94</v>
      </c>
    </row>
    <row r="229">
      <c r="A229" s="3" t="s">
        <v>469</v>
      </c>
      <c r="B229" s="4" t="s">
        <v>470</v>
      </c>
      <c r="C229" s="4">
        <f>IFERROR(__xludf.DUMMYFUNCTION("GOOGLEFINANCE($A229, C$2)"),167.34)</f>
        <v>167.34</v>
      </c>
      <c r="D229" s="4">
        <f>IFERROR(__xludf.DUMMYFUNCTION("GOOGLEFINANCE($A229, D$2)"),0.0)</f>
        <v>0</v>
      </c>
      <c r="E229" s="4" t="str">
        <f>IFERROR(__xludf.DUMMYFUNCTION("GOOGLEFINANCE($A229, E$2)"),"#N/A")</f>
        <v>#N/A</v>
      </c>
      <c r="F229" s="4" t="str">
        <f>IFERROR(__xludf.DUMMYFUNCTION("GOOGLEFINANCE($A229, F$2)"),"#N/A")</f>
        <v>#N/A</v>
      </c>
      <c r="G229" s="4">
        <f>IFERROR(__xludf.DUMMYFUNCTION("GOOGLEFINANCE($A229, G$2)"),171.59)</f>
        <v>171.59</v>
      </c>
      <c r="H229" s="4">
        <f>IFERROR(__xludf.DUMMYFUNCTION("GOOGLEFINANCE($A229, H$2)"),167.34)</f>
        <v>167.34</v>
      </c>
      <c r="I229" s="4" t="str">
        <f>IFERROR(__xludf.DUMMYFUNCTION("REPLACE(JOIN("";"", INDEX(TRANSPOSE(GOOGLEFINANCE($A229, $I$2, TODAY() - 30, TODAY(), 1)), 2)), 1, 6, """")"),"153,98;157,31;157,92;152,97;154,3;159,99;153,3;156,6;165,49;167,75;171,5;167,75;167,6;166,8;169,09;171,28;170,72;167,34")</f>
        <v>153,98;157,31;157,92;152,97;154,3;159,99;153,3;156,6;165,49;167,75;171,5;167,75;167,6;166,8;169,09;171,28;170,72;167,34</v>
      </c>
    </row>
    <row r="230">
      <c r="A230" s="3" t="s">
        <v>471</v>
      </c>
      <c r="B230" s="4" t="s">
        <v>472</v>
      </c>
      <c r="C230" s="4">
        <f>IFERROR(__xludf.DUMMYFUNCTION("GOOGLEFINANCE($A230, C$2)"),12.07)</f>
        <v>12.07</v>
      </c>
      <c r="D230" s="4">
        <f>IFERROR(__xludf.DUMMYFUNCTION("GOOGLEFINANCE($A230, D$2)"),0.0)</f>
        <v>0</v>
      </c>
      <c r="E230" s="4">
        <f>IFERROR(__xludf.DUMMYFUNCTION("GOOGLEFINANCE($A230, E$2)"),23.54)</f>
        <v>23.54</v>
      </c>
      <c r="F230" s="4">
        <f>IFERROR(__xludf.DUMMYFUNCTION("GOOGLEFINANCE($A230, F$2)"),0.51)</f>
        <v>0.51</v>
      </c>
      <c r="G230" s="4">
        <f>IFERROR(__xludf.DUMMYFUNCTION("GOOGLEFINANCE($A230, G$2)"),12.12)</f>
        <v>12.12</v>
      </c>
      <c r="H230" s="4">
        <f>IFERROR(__xludf.DUMMYFUNCTION("GOOGLEFINANCE($A230, H$2)"),11.91)</f>
        <v>11.91</v>
      </c>
      <c r="I230" s="4" t="str">
        <f>IFERROR(__xludf.DUMMYFUNCTION("REPLACE(JOIN("";"", INDEX(TRANSPOSE(GOOGLEFINANCE($A230, $I$2, TODAY() - 30, TODAY(), 1)), 2)), 1, 6, """")"),"12,52;12,16;12,51;12,91;12,13;12,22;12,53;12,75;12,54;12,5;12,74;12,49;12,22;12,37;12,5;12,35;12,03;12,07")</f>
        <v>12,52;12,16;12,51;12,91;12,13;12,22;12,53;12,75;12,54;12,5;12,74;12,49;12,22;12,37;12,5;12,35;12,03;12,07</v>
      </c>
    </row>
    <row r="231">
      <c r="A231" s="3" t="s">
        <v>473</v>
      </c>
      <c r="B231" s="4" t="s">
        <v>474</v>
      </c>
      <c r="C231" s="4">
        <f>IFERROR(__xludf.DUMMYFUNCTION("GOOGLEFINANCE($A231, C$2)"),44.41)</f>
        <v>44.41</v>
      </c>
      <c r="D231" s="4">
        <f>IFERROR(__xludf.DUMMYFUNCTION("GOOGLEFINANCE($A231, D$2)"),0.0)</f>
        <v>0</v>
      </c>
      <c r="E231" s="4">
        <f>IFERROR(__xludf.DUMMYFUNCTION("GOOGLEFINANCE($A231, E$2)"),12.95)</f>
        <v>12.95</v>
      </c>
      <c r="F231" s="4">
        <f>IFERROR(__xludf.DUMMYFUNCTION("GOOGLEFINANCE($A231, F$2)"),3.43)</f>
        <v>3.43</v>
      </c>
      <c r="G231" s="4">
        <f>IFERROR(__xludf.DUMMYFUNCTION("GOOGLEFINANCE($A231, G$2)"),44.65)</f>
        <v>44.65</v>
      </c>
      <c r="H231" s="4">
        <f>IFERROR(__xludf.DUMMYFUNCTION("GOOGLEFINANCE($A231, H$2)"),44.05)</f>
        <v>44.05</v>
      </c>
      <c r="I231" s="4" t="str">
        <f>IFERROR(__xludf.DUMMYFUNCTION("REPLACE(JOIN("";"", INDEX(TRANSPOSE(GOOGLEFINANCE($A231, $I$2, TODAY() - 30, TODAY(), 1)), 2)), 1, 6, """")"),"43,33;42,73;43,08;43,86;42,96;43,78;44,25;45;45,12;45,12;45,02;44,87;45,1;45,82;45,9;44,58;44,4;44,41")</f>
        <v>43,33;42,73;43,08;43,86;42,96;43,78;44,25;45;45,12;45,12;45,02;44,87;45,1;45,82;45,9;44,58;44,4;44,41</v>
      </c>
    </row>
    <row r="232">
      <c r="A232" s="3" t="s">
        <v>475</v>
      </c>
      <c r="B232" s="4" t="s">
        <v>476</v>
      </c>
      <c r="C232" s="4">
        <f>IFERROR(__xludf.DUMMYFUNCTION("GOOGLEFINANCE($A232, C$2)"),38.99)</f>
        <v>38.99</v>
      </c>
      <c r="D232" s="4">
        <f>IFERROR(__xludf.DUMMYFUNCTION("GOOGLEFINANCE($A232, D$2)"),0.0)</f>
        <v>0</v>
      </c>
      <c r="E232" s="4">
        <f>IFERROR(__xludf.DUMMYFUNCTION("GOOGLEFINANCE($A232, E$2)"),12.76)</f>
        <v>12.76</v>
      </c>
      <c r="F232" s="4">
        <f>IFERROR(__xludf.DUMMYFUNCTION("GOOGLEFINANCE($A232, F$2)"),3.06)</f>
        <v>3.06</v>
      </c>
      <c r="G232" s="4" t="str">
        <f>IFERROR(__xludf.DUMMYFUNCTION("GOOGLEFINANCE($A232, G$2)"),"#N/A")</f>
        <v>#N/A</v>
      </c>
      <c r="H232" s="4" t="str">
        <f>IFERROR(__xludf.DUMMYFUNCTION("GOOGLEFINANCE($A232, H$2)"),"#N/A")</f>
        <v>#N/A</v>
      </c>
      <c r="I232" s="4" t="str">
        <f>IFERROR(__xludf.DUMMYFUNCTION("REPLACE(JOIN("";"", INDEX(TRANSPOSE(GOOGLEFINANCE($A232, $I$2, TODAY() - 30, TODAY(), 1)), 2)), 1, 6, """")"),"37,01;37,01;37;37;38,99")</f>
        <v>37,01;37,01;37;37;38,99</v>
      </c>
    </row>
    <row r="233">
      <c r="A233" s="3" t="s">
        <v>477</v>
      </c>
      <c r="B233" s="4" t="s">
        <v>478</v>
      </c>
      <c r="C233" s="4">
        <f>IFERROR(__xludf.DUMMYFUNCTION("GOOGLEFINANCE($A233, C$2)"),24.01)</f>
        <v>24.01</v>
      </c>
      <c r="D233" s="4">
        <f>IFERROR(__xludf.DUMMYFUNCTION("GOOGLEFINANCE($A233, D$2)"),0.0)</f>
        <v>0</v>
      </c>
      <c r="E233" s="4">
        <f>IFERROR(__xludf.DUMMYFUNCTION("GOOGLEFINANCE($A233, E$2)"),7.86)</f>
        <v>7.86</v>
      </c>
      <c r="F233" s="4">
        <f>IFERROR(__xludf.DUMMYFUNCTION("GOOGLEFINANCE($A233, F$2)"),3.06)</f>
        <v>3.06</v>
      </c>
      <c r="G233" s="4" t="str">
        <f>IFERROR(__xludf.DUMMYFUNCTION("GOOGLEFINANCE($A233, G$2)"),"#N/A")</f>
        <v>#N/A</v>
      </c>
      <c r="H233" s="4" t="str">
        <f>IFERROR(__xludf.DUMMYFUNCTION("GOOGLEFINANCE($A233, H$2)"),"#N/A")</f>
        <v>#N/A</v>
      </c>
      <c r="I233" s="4" t="str">
        <f>IFERROR(__xludf.DUMMYFUNCTION("REPLACE(JOIN("";"", INDEX(TRANSPOSE(GOOGLEFINANCE($A233, $I$2, TODAY() - 30, TODAY(), 1)), 2)), 1, 6, """")"),"24;24;24;23,08;23,08;23,9;23,79;24;24;25;24,01")</f>
        <v>24;24;24;23,08;23,08;23,9;23,79;24;24;25;24,01</v>
      </c>
    </row>
    <row r="234">
      <c r="A234" s="3" t="s">
        <v>479</v>
      </c>
      <c r="B234" s="4" t="s">
        <v>480</v>
      </c>
      <c r="C234" s="4">
        <f>IFERROR(__xludf.DUMMYFUNCTION("GOOGLEFINANCE($A234, C$2)"),783.65)</f>
        <v>783.65</v>
      </c>
      <c r="D234" s="4">
        <f>IFERROR(__xludf.DUMMYFUNCTION("GOOGLEFINANCE($A234, D$2)"),0.0)</f>
        <v>0</v>
      </c>
      <c r="E234" s="4" t="str">
        <f>IFERROR(__xludf.DUMMYFUNCTION("GOOGLEFINANCE($A234, E$2)"),"#N/A")</f>
        <v>#N/A</v>
      </c>
      <c r="F234" s="4" t="str">
        <f>IFERROR(__xludf.DUMMYFUNCTION("GOOGLEFINANCE($A234, F$2)"),"#N/A")</f>
        <v>#N/A</v>
      </c>
      <c r="G234" s="4" t="str">
        <f>IFERROR(__xludf.DUMMYFUNCTION("GOOGLEFINANCE($A234, G$2)"),"#N/A")</f>
        <v>#N/A</v>
      </c>
      <c r="H234" s="4" t="str">
        <f>IFERROR(__xludf.DUMMYFUNCTION("GOOGLEFINANCE($A234, H$2)"),"#N/A")</f>
        <v>#N/A</v>
      </c>
      <c r="I234" s="4" t="str">
        <f>IFERROR(__xludf.DUMMYFUNCTION("REPLACE(JOIN("";"", INDEX(TRANSPOSE(GOOGLEFINANCE($A234, $I$2, TODAY() - 30, TODAY(), 1)), 2)), 1, 6, """")"),"666;672,9;732;755,34;748,9;766,89;789,25;783,65")</f>
        <v>666;672,9;732;755,34;748,9;766,89;789,25;783,65</v>
      </c>
    </row>
    <row r="235">
      <c r="A235" s="3" t="s">
        <v>481</v>
      </c>
      <c r="B235" s="4" t="s">
        <v>482</v>
      </c>
      <c r="C235" s="4">
        <f>IFERROR(__xludf.DUMMYFUNCTION("GOOGLEFINANCE($A235, C$2)"),29.11)</f>
        <v>29.11</v>
      </c>
      <c r="D235" s="4">
        <f>IFERROR(__xludf.DUMMYFUNCTION("GOOGLEFINANCE($A235, D$2)"),0.0)</f>
        <v>0</v>
      </c>
      <c r="E235" s="4">
        <f>IFERROR(__xludf.DUMMYFUNCTION("GOOGLEFINANCE($A235, E$2)"),6.43)</f>
        <v>6.43</v>
      </c>
      <c r="F235" s="4">
        <f>IFERROR(__xludf.DUMMYFUNCTION("GOOGLEFINANCE($A235, F$2)"),4.53)</f>
        <v>4.53</v>
      </c>
      <c r="G235" s="4">
        <f>IFERROR(__xludf.DUMMYFUNCTION("GOOGLEFINANCE($A235, G$2)"),29.59)</f>
        <v>29.59</v>
      </c>
      <c r="H235" s="4">
        <f>IFERROR(__xludf.DUMMYFUNCTION("GOOGLEFINANCE($A235, H$2)"),28.81)</f>
        <v>28.81</v>
      </c>
      <c r="I235" s="4" t="str">
        <f>IFERROR(__xludf.DUMMYFUNCTION("REPLACE(JOIN("";"", INDEX(TRANSPOSE(GOOGLEFINANCE($A235, $I$2, TODAY() - 30, TODAY(), 1)), 2)), 1, 6, """")"),"30,24;27,31;28,14;29,23;28,69;30,83;31,33;31,72;29,85;29,8;29,69;29,83;29,27;29,68;30,04;30,05;29,5;29,11")</f>
        <v>30,24;27,31;28,14;29,23;28,69;30,83;31,33;31,72;29,85;29,8;29,69;29,83;29,27;29,68;30,04;30,05;29,5;29,11</v>
      </c>
    </row>
    <row r="236">
      <c r="A236" s="3" t="s">
        <v>483</v>
      </c>
      <c r="B236" s="4" t="s">
        <v>484</v>
      </c>
      <c r="C236" s="4">
        <f>IFERROR(__xludf.DUMMYFUNCTION("GOOGLEFINANCE($A236, C$2)"),59.01)</f>
        <v>59.01</v>
      </c>
      <c r="D236" s="4">
        <f>IFERROR(__xludf.DUMMYFUNCTION("GOOGLEFINANCE($A236, D$2)"),0.0)</f>
        <v>0</v>
      </c>
      <c r="E236" s="4">
        <f>IFERROR(__xludf.DUMMYFUNCTION("GOOGLEFINANCE($A236, E$2)"),13.04)</f>
        <v>13.04</v>
      </c>
      <c r="F236" s="4">
        <f>IFERROR(__xludf.DUMMYFUNCTION("GOOGLEFINANCE($A236, F$2)"),4.53)</f>
        <v>4.53</v>
      </c>
      <c r="G236" s="4">
        <f>IFERROR(__xludf.DUMMYFUNCTION("GOOGLEFINANCE($A236, G$2)"),59.01)</f>
        <v>59.01</v>
      </c>
      <c r="H236" s="4">
        <f>IFERROR(__xludf.DUMMYFUNCTION("GOOGLEFINANCE($A236, H$2)"),59.0)</f>
        <v>59</v>
      </c>
      <c r="I236" s="4" t="str">
        <f>IFERROR(__xludf.DUMMYFUNCTION("REPLACE(JOIN("";"", INDEX(TRANSPOSE(GOOGLEFINANCE($A236, $I$2, TODAY() - 30, TODAY(), 1)), 2)), 1, 6, """")"),"45,9;60,78;65;68,2;73,86;73,86;71;67;64,54;59,01")</f>
        <v>45,9;60,78;65;68,2;73,86;73,86;71;67;64,54;59,01</v>
      </c>
    </row>
    <row r="237">
      <c r="A237" s="3" t="s">
        <v>485</v>
      </c>
      <c r="B237" s="4" t="s">
        <v>486</v>
      </c>
      <c r="C237" s="4">
        <f>IFERROR(__xludf.DUMMYFUNCTION("GOOGLEFINANCE($A237, C$2)"),29.29)</f>
        <v>29.29</v>
      </c>
      <c r="D237" s="4">
        <f>IFERROR(__xludf.DUMMYFUNCTION("GOOGLEFINANCE($A237, D$2)"),0.0)</f>
        <v>0</v>
      </c>
      <c r="E237" s="4">
        <f>IFERROR(__xludf.DUMMYFUNCTION("GOOGLEFINANCE($A237, E$2)"),6.47)</f>
        <v>6.47</v>
      </c>
      <c r="F237" s="4">
        <f>IFERROR(__xludf.DUMMYFUNCTION("GOOGLEFINANCE($A237, F$2)"),4.53)</f>
        <v>4.53</v>
      </c>
      <c r="G237" s="4">
        <f>IFERROR(__xludf.DUMMYFUNCTION("GOOGLEFINANCE($A237, G$2)"),30.0)</f>
        <v>30</v>
      </c>
      <c r="H237" s="4">
        <f>IFERROR(__xludf.DUMMYFUNCTION("GOOGLEFINANCE($A237, H$2)"),29.06)</f>
        <v>29.06</v>
      </c>
      <c r="I237" s="4" t="str">
        <f>IFERROR(__xludf.DUMMYFUNCTION("REPLACE(JOIN("";"", INDEX(TRANSPOSE(GOOGLEFINANCE($A237, $I$2, TODAY() - 30, TODAY(), 1)), 2)), 1, 6, """")"),"30,58;28,5;28,94;29,77;28,74;31,32;32,32;32,88;30,9;30,87;30,39;30,32;29,76;29,97;30,21;30,18;29,7;29,29")</f>
        <v>30,58;28,5;28,94;29,77;28,74;31,32;32,32;32,88;30,9;30,87;30,39;30,32;29,76;29,97;30,21;30,18;29,7;29,29</v>
      </c>
    </row>
    <row r="238">
      <c r="A238" s="3" t="s">
        <v>487</v>
      </c>
      <c r="B238" s="4" t="s">
        <v>488</v>
      </c>
      <c r="C238" s="4">
        <f>IFERROR(__xludf.DUMMYFUNCTION("GOOGLEFINANCE($A238, C$2)"),57.5)</f>
        <v>57.5</v>
      </c>
      <c r="D238" s="4">
        <f>IFERROR(__xludf.DUMMYFUNCTION("GOOGLEFINANCE($A238, D$2)"),0.0)</f>
        <v>0</v>
      </c>
      <c r="E238" s="4">
        <f>IFERROR(__xludf.DUMMYFUNCTION("GOOGLEFINANCE($A238, E$2)"),18.95)</f>
        <v>18.95</v>
      </c>
      <c r="F238" s="4">
        <f>IFERROR(__xludf.DUMMYFUNCTION("GOOGLEFINANCE($A238, F$2)"),3.03)</f>
        <v>3.03</v>
      </c>
      <c r="G238" s="4">
        <f>IFERROR(__xludf.DUMMYFUNCTION("GOOGLEFINANCE($A238, G$2)"),57.79)</f>
        <v>57.79</v>
      </c>
      <c r="H238" s="4">
        <f>IFERROR(__xludf.DUMMYFUNCTION("GOOGLEFINANCE($A238, H$2)"),57.0)</f>
        <v>57</v>
      </c>
      <c r="I238" s="4" t="str">
        <f>IFERROR(__xludf.DUMMYFUNCTION("REPLACE(JOIN("";"", INDEX(TRANSPOSE(GOOGLEFINANCE($A238, $I$2, TODAY() - 30, TODAY(), 1)), 2)), 1, 6, """")"),"62,99;59,85;59,3;61,5;60,98;61,51;58,32;59,81;57,5;60;59,43;59,04;59,99;59,2;59,47;58,48;58;57,5")</f>
        <v>62,99;59,85;59,3;61,5;60,98;61,51;58,32;59,81;57,5;60;59,43;59,04;59,99;59,2;59,47;58,48;58;57,5</v>
      </c>
    </row>
    <row r="239">
      <c r="A239" s="3" t="s">
        <v>489</v>
      </c>
      <c r="B239" s="4" t="s">
        <v>490</v>
      </c>
      <c r="C239" s="4">
        <f>IFERROR(__xludf.DUMMYFUNCTION("GOOGLEFINANCE($A239, C$2)"),11.62)</f>
        <v>11.62</v>
      </c>
      <c r="D239" s="4">
        <f>IFERROR(__xludf.DUMMYFUNCTION("GOOGLEFINANCE($A239, D$2)"),0.0)</f>
        <v>0</v>
      </c>
      <c r="E239" s="4" t="str">
        <f>IFERROR(__xludf.DUMMYFUNCTION("GOOGLEFINANCE($A239, E$2)"),"#N/A")</f>
        <v>#N/A</v>
      </c>
      <c r="F239" s="4">
        <f>IFERROR(__xludf.DUMMYFUNCTION("GOOGLEFINANCE($A239, F$2)"),-6.08)</f>
        <v>-6.08</v>
      </c>
      <c r="G239" s="4">
        <f>IFERROR(__xludf.DUMMYFUNCTION("GOOGLEFINANCE($A239, G$2)"),11.73)</f>
        <v>11.73</v>
      </c>
      <c r="H239" s="4">
        <f>IFERROR(__xludf.DUMMYFUNCTION("GOOGLEFINANCE($A239, H$2)"),10.99)</f>
        <v>10.99</v>
      </c>
      <c r="I239" s="4" t="str">
        <f>IFERROR(__xludf.DUMMYFUNCTION("REPLACE(JOIN("";"", INDEX(TRANSPOSE(GOOGLEFINANCE($A239, $I$2, TODAY() - 30, TODAY(), 1)), 2)), 1, 6, """")"),"8,66;8,65;8,83;9,13;8,79;8,93;9,53;9,64;9,45;9,47;9,63;9,63;9,67;10,02;10,08;11,5;11,3;11,62")</f>
        <v>8,66;8,65;8,83;9,13;8,79;8,93;9,53;9,64;9,45;9,47;9,63;9,63;9,67;10,02;10,08;11,5;11,3;11,62</v>
      </c>
    </row>
    <row r="240">
      <c r="A240" s="3" t="s">
        <v>491</v>
      </c>
      <c r="B240" s="4" t="s">
        <v>492</v>
      </c>
      <c r="C240" s="4">
        <f>IFERROR(__xludf.DUMMYFUNCTION("GOOGLEFINANCE($A240, C$2)"),12.76)</f>
        <v>12.76</v>
      </c>
      <c r="D240" s="4">
        <f>IFERROR(__xludf.DUMMYFUNCTION("GOOGLEFINANCE($A240, D$2)"),0.0)</f>
        <v>0</v>
      </c>
      <c r="E240" s="4">
        <f>IFERROR(__xludf.DUMMYFUNCTION("GOOGLEFINANCE($A240, E$2)"),9.67)</f>
        <v>9.67</v>
      </c>
      <c r="F240" s="4">
        <f>IFERROR(__xludf.DUMMYFUNCTION("GOOGLEFINANCE($A240, F$2)"),1.32)</f>
        <v>1.32</v>
      </c>
      <c r="G240" s="4">
        <f>IFERROR(__xludf.DUMMYFUNCTION("GOOGLEFINANCE($A240, G$2)"),13.08)</f>
        <v>13.08</v>
      </c>
      <c r="H240" s="4">
        <f>IFERROR(__xludf.DUMMYFUNCTION("GOOGLEFINANCE($A240, H$2)"),12.66)</f>
        <v>12.66</v>
      </c>
      <c r="I240" s="4" t="str">
        <f>IFERROR(__xludf.DUMMYFUNCTION("REPLACE(JOIN("";"", INDEX(TRANSPOSE(GOOGLEFINANCE($A240, $I$2, TODAY() - 30, TODAY(), 1)), 2)), 1, 6, """")"),"11,67;11,59;11,43;11,77;11,45;11,77;12,05;12,25;12,11;12,32;12,3;12,45;12,24;12,87;12,86;13,58;12,97;12,76")</f>
        <v>11,67;11,59;11,43;11,77;11,45;11,77;12,05;12,25;12,11;12,32;12,3;12,45;12,24;12,87;12,86;13,58;12,97;12,76</v>
      </c>
    </row>
    <row r="241">
      <c r="A241" s="3" t="s">
        <v>493</v>
      </c>
      <c r="B241" s="4" t="s">
        <v>494</v>
      </c>
      <c r="C241" s="4">
        <f>IFERROR(__xludf.DUMMYFUNCTION("GOOGLEFINANCE($A241, C$2)"),18.63)</f>
        <v>18.63</v>
      </c>
      <c r="D241" s="4">
        <f>IFERROR(__xludf.DUMMYFUNCTION("GOOGLEFINANCE($A241, D$2)"),0.0)</f>
        <v>0</v>
      </c>
      <c r="E241" s="4">
        <f>IFERROR(__xludf.DUMMYFUNCTION("GOOGLEFINANCE($A241, E$2)"),8.65)</f>
        <v>8.65</v>
      </c>
      <c r="F241" s="4">
        <f>IFERROR(__xludf.DUMMYFUNCTION("GOOGLEFINANCE($A241, F$2)"),2.15)</f>
        <v>2.15</v>
      </c>
      <c r="G241" s="4">
        <f>IFERROR(__xludf.DUMMYFUNCTION("GOOGLEFINANCE($A241, G$2)"),18.85)</f>
        <v>18.85</v>
      </c>
      <c r="H241" s="4">
        <f>IFERROR(__xludf.DUMMYFUNCTION("GOOGLEFINANCE($A241, H$2)"),18.57)</f>
        <v>18.57</v>
      </c>
      <c r="I241" s="4" t="str">
        <f>IFERROR(__xludf.DUMMYFUNCTION("REPLACE(JOIN("";"", INDEX(TRANSPOSE(GOOGLEFINANCE($A241, $I$2, TODAY() - 30, TODAY(), 1)), 2)), 1, 6, """")"),"19,46;19,19;19,3;19,86;19,29;19,5;19,83;19,91;19,9;19,66;19,5;19,36;19,01;19,02;18,92;18,76;18,66;18,63")</f>
        <v>19,46;19,19;19,3;19,86;19,29;19,5;19,83;19,91;19,9;19,66;19,5;19,36;19,01;19,02;18,92;18,76;18,66;18,63</v>
      </c>
    </row>
    <row r="242">
      <c r="A242" s="3" t="s">
        <v>495</v>
      </c>
      <c r="B242" s="4" t="s">
        <v>496</v>
      </c>
      <c r="C242" s="4">
        <f>IFERROR(__xludf.DUMMYFUNCTION("GOOGLEFINANCE($A242, C$2)"),69.45)</f>
        <v>69.45</v>
      </c>
      <c r="D242" s="4">
        <f>IFERROR(__xludf.DUMMYFUNCTION("GOOGLEFINANCE($A242, D$2)"),0.0)</f>
        <v>0</v>
      </c>
      <c r="E242" s="4">
        <f>IFERROR(__xludf.DUMMYFUNCTION("GOOGLEFINANCE($A242, E$2)"),32.11)</f>
        <v>32.11</v>
      </c>
      <c r="F242" s="4">
        <f>IFERROR(__xludf.DUMMYFUNCTION("GOOGLEFINANCE($A242, F$2)"),2.16)</f>
        <v>2.16</v>
      </c>
      <c r="G242" s="4">
        <f>IFERROR(__xludf.DUMMYFUNCTION("GOOGLEFINANCE($A242, G$2)"),70.25)</f>
        <v>70.25</v>
      </c>
      <c r="H242" s="4">
        <f>IFERROR(__xludf.DUMMYFUNCTION("GOOGLEFINANCE($A242, H$2)"),68.38)</f>
        <v>68.38</v>
      </c>
      <c r="I242" s="4" t="str">
        <f>IFERROR(__xludf.DUMMYFUNCTION("REPLACE(JOIN("";"", INDEX(TRANSPOSE(GOOGLEFINANCE($A242, $I$2, TODAY() - 30, TODAY(), 1)), 2)), 1, 6, """")"),"64,13;63,9;64;65,74;62,6;71,06;72;73,08;72,93;73,75;74,45;74,01;72,83;72,75;72,25;69,86;69,72;69,45")</f>
        <v>64,13;63,9;64;65,74;62,6;71,06;72;73,08;72,93;73,75;74,45;74,01;72,83;72,75;72,25;69,86;69,72;69,45</v>
      </c>
    </row>
    <row r="243">
      <c r="A243" s="3" t="s">
        <v>497</v>
      </c>
      <c r="B243" s="4" t="s">
        <v>498</v>
      </c>
      <c r="C243" s="4">
        <f>IFERROR(__xludf.DUMMYFUNCTION("GOOGLEFINANCE($A243, C$2)"),49.39)</f>
        <v>49.39</v>
      </c>
      <c r="D243" s="4">
        <f>IFERROR(__xludf.DUMMYFUNCTION("GOOGLEFINANCE($A243, D$2)"),0.0)</f>
        <v>0</v>
      </c>
      <c r="E243" s="4">
        <f>IFERROR(__xludf.DUMMYFUNCTION("GOOGLEFINANCE($A243, E$2)"),10.75)</f>
        <v>10.75</v>
      </c>
      <c r="F243" s="4">
        <f>IFERROR(__xludf.DUMMYFUNCTION("GOOGLEFINANCE($A243, F$2)"),4.6)</f>
        <v>4.6</v>
      </c>
      <c r="G243" s="4">
        <f>IFERROR(__xludf.DUMMYFUNCTION("GOOGLEFINANCE($A243, G$2)"),49.89)</f>
        <v>49.89</v>
      </c>
      <c r="H243" s="4">
        <f>IFERROR(__xludf.DUMMYFUNCTION("GOOGLEFINANCE($A243, H$2)"),49.05)</f>
        <v>49.05</v>
      </c>
      <c r="I243" s="4" t="str">
        <f>IFERROR(__xludf.DUMMYFUNCTION("REPLACE(JOIN("";"", INDEX(TRANSPOSE(GOOGLEFINANCE($A243, $I$2, TODAY() - 30, TODAY(), 1)), 2)), 1, 6, """")"),"47,66;47,67;49,56;50,69;49,25;49,4;50,78;52;50,76;50,11;50,78;51,25;50,62;51,11;51,14;50,56;49,56;49,39")</f>
        <v>47,66;47,67;49,56;50,69;49,25;49,4;50,78;52;50,76;50,11;50,78;51,25;50,62;51,11;51,14;50,56;49,56;49,39</v>
      </c>
    </row>
    <row r="244">
      <c r="A244" s="3" t="s">
        <v>499</v>
      </c>
      <c r="B244" s="4" t="s">
        <v>500</v>
      </c>
      <c r="C244" s="4">
        <f>IFERROR(__xludf.DUMMYFUNCTION("GOOGLEFINANCE($A244, C$2)"),18.98)</f>
        <v>18.98</v>
      </c>
      <c r="D244" s="4">
        <f>IFERROR(__xludf.DUMMYFUNCTION("GOOGLEFINANCE($A244, D$2)"),0.0)</f>
        <v>0</v>
      </c>
      <c r="E244" s="4">
        <f>IFERROR(__xludf.DUMMYFUNCTION("GOOGLEFINANCE($A244, E$2)"),4.13)</f>
        <v>4.13</v>
      </c>
      <c r="F244" s="4">
        <f>IFERROR(__xludf.DUMMYFUNCTION("GOOGLEFINANCE($A244, F$2)"),4.6)</f>
        <v>4.6</v>
      </c>
      <c r="G244" s="4">
        <f>IFERROR(__xludf.DUMMYFUNCTION("GOOGLEFINANCE($A244, G$2)"),19.35)</f>
        <v>19.35</v>
      </c>
      <c r="H244" s="4">
        <f>IFERROR(__xludf.DUMMYFUNCTION("GOOGLEFINANCE($A244, H$2)"),18.78)</f>
        <v>18.78</v>
      </c>
      <c r="I244" s="4" t="str">
        <f>IFERROR(__xludf.DUMMYFUNCTION("REPLACE(JOIN("";"", INDEX(TRANSPOSE(GOOGLEFINANCE($A244, $I$2, TODAY() - 30, TODAY(), 1)), 2)), 1, 6, """")"),"15,36;15,91;16,82;17,8;17,33;17,23;17,56;18,8;18,11;17,86;18,1;18,61;18,26;18,72;19,47;19,3;18,84;18,98")</f>
        <v>15,36;15,91;16,82;17,8;17,33;17,23;17,56;18,8;18,11;17,86;18,1;18,61;18,26;18,72;19,47;19,3;18,84;18,98</v>
      </c>
    </row>
    <row r="245">
      <c r="A245" s="3" t="s">
        <v>501</v>
      </c>
      <c r="B245" s="4" t="s">
        <v>502</v>
      </c>
      <c r="C245" s="4">
        <f>IFERROR(__xludf.DUMMYFUNCTION("GOOGLEFINANCE($A245, C$2)"),7.58)</f>
        <v>7.58</v>
      </c>
      <c r="D245" s="4">
        <f>IFERROR(__xludf.DUMMYFUNCTION("GOOGLEFINANCE($A245, D$2)"),0.0)</f>
        <v>0</v>
      </c>
      <c r="E245" s="4">
        <f>IFERROR(__xludf.DUMMYFUNCTION("GOOGLEFINANCE($A245, E$2)"),1.65)</f>
        <v>1.65</v>
      </c>
      <c r="F245" s="4">
        <f>IFERROR(__xludf.DUMMYFUNCTION("GOOGLEFINANCE($A245, F$2)"),4.6)</f>
        <v>4.6</v>
      </c>
      <c r="G245" s="4">
        <f>IFERROR(__xludf.DUMMYFUNCTION("GOOGLEFINANCE($A245, G$2)"),7.65)</f>
        <v>7.65</v>
      </c>
      <c r="H245" s="4">
        <f>IFERROR(__xludf.DUMMYFUNCTION("GOOGLEFINANCE($A245, H$2)"),7.55)</f>
        <v>7.55</v>
      </c>
      <c r="I245" s="4" t="str">
        <f>IFERROR(__xludf.DUMMYFUNCTION("REPLACE(JOIN("";"", INDEX(TRANSPOSE(GOOGLEFINANCE($A245, $I$2, TODAY() - 30, TODAY(), 1)), 2)), 1, 6, """")"),"8,07;7,88;8,08;8,32;8;7,98;8,1;8,39;8,06;8,05;8,17;8,12;8,04;8,02;7,95;7,67;7,54;7,58")</f>
        <v>8,07;7,88;8,08;8,32;8;7,98;8,1;8,39;8,06;8,05;8,17;8,12;8,04;8,02;7,95;7,67;7,54;7,58</v>
      </c>
    </row>
    <row r="246">
      <c r="A246" s="3" t="s">
        <v>503</v>
      </c>
      <c r="B246" s="4" t="s">
        <v>504</v>
      </c>
      <c r="C246" s="4">
        <f>IFERROR(__xludf.DUMMYFUNCTION("GOOGLEFINANCE($A246, C$2)"),15.88)</f>
        <v>15.88</v>
      </c>
      <c r="D246" s="4">
        <f>IFERROR(__xludf.DUMMYFUNCTION("GOOGLEFINANCE($A246, D$2)"),0.0)</f>
        <v>0</v>
      </c>
      <c r="E246" s="4" t="str">
        <f>IFERROR(__xludf.DUMMYFUNCTION("GOOGLEFINANCE($A246, E$2)"),"#N/A")</f>
        <v>#N/A</v>
      </c>
      <c r="F246" s="4">
        <f>IFERROR(__xludf.DUMMYFUNCTION("GOOGLEFINANCE($A246, F$2)"),-0.29)</f>
        <v>-0.29</v>
      </c>
      <c r="G246" s="4">
        <f>IFERROR(__xludf.DUMMYFUNCTION("GOOGLEFINANCE($A246, G$2)"),16.61)</f>
        <v>16.61</v>
      </c>
      <c r="H246" s="4">
        <f>IFERROR(__xludf.DUMMYFUNCTION("GOOGLEFINANCE($A246, H$2)"),15.75)</f>
        <v>15.75</v>
      </c>
      <c r="I246" s="4" t="str">
        <f>IFERROR(__xludf.DUMMYFUNCTION("REPLACE(JOIN("";"", INDEX(TRANSPOSE(GOOGLEFINANCE($A246, $I$2, TODAY() - 30, TODAY(), 1)), 2)), 1, 6, """")"),"16,06;16,04;15,82;16,4;15,85;16,75;17,64;19;20,9;19,54;18,16;19,22;17,75;17,89;17,5;16,31;16,46;15,88")</f>
        <v>16,06;16,04;15,82;16,4;15,85;16,75;17,64;19;20,9;19,54;18,16;19,22;17,75;17,89;17,5;16,31;16,46;15,88</v>
      </c>
    </row>
    <row r="247">
      <c r="A247" s="3" t="s">
        <v>505</v>
      </c>
      <c r="B247" s="4" t="s">
        <v>506</v>
      </c>
      <c r="C247" s="4">
        <f>IFERROR(__xludf.DUMMYFUNCTION("GOOGLEFINANCE($A247, C$2)"),29.85)</f>
        <v>29.85</v>
      </c>
      <c r="D247" s="4">
        <f>IFERROR(__xludf.DUMMYFUNCTION("GOOGLEFINANCE($A247, D$2)"),0.0)</f>
        <v>0</v>
      </c>
      <c r="E247" s="4">
        <f>IFERROR(__xludf.DUMMYFUNCTION("GOOGLEFINANCE($A247, E$2)"),11.2)</f>
        <v>11.2</v>
      </c>
      <c r="F247" s="4">
        <f>IFERROR(__xludf.DUMMYFUNCTION("GOOGLEFINANCE($A247, F$2)"),2.66)</f>
        <v>2.66</v>
      </c>
      <c r="G247" s="4">
        <f>IFERROR(__xludf.DUMMYFUNCTION("GOOGLEFINANCE($A247, G$2)"),29.85)</f>
        <v>29.85</v>
      </c>
      <c r="H247" s="4">
        <f>IFERROR(__xludf.DUMMYFUNCTION("GOOGLEFINANCE($A247, H$2)"),29.1)</f>
        <v>29.1</v>
      </c>
      <c r="I247" s="4" t="str">
        <f>IFERROR(__xludf.DUMMYFUNCTION("REPLACE(JOIN("";"", INDEX(TRANSPOSE(GOOGLEFINANCE($A247, $I$2, TODAY() - 30, TODAY(), 1)), 2)), 1, 6, """")"),"29,9;29,9;29,9;29,9;29,9;29,9;29,9;29,85;29,85")</f>
        <v>29,9;29,9;29,9;29,9;29,9;29,9;29,9;29,85;29,85</v>
      </c>
    </row>
    <row r="248">
      <c r="A248" s="3" t="s">
        <v>507</v>
      </c>
      <c r="B248" s="4" t="s">
        <v>508</v>
      </c>
      <c r="C248" s="4">
        <f>IFERROR(__xludf.DUMMYFUNCTION("GOOGLEFINANCE($A248, C$2)"),34.0)</f>
        <v>34</v>
      </c>
      <c r="D248" s="4">
        <f>IFERROR(__xludf.DUMMYFUNCTION("GOOGLEFINANCE($A248, D$2)"),0.0)</f>
        <v>0</v>
      </c>
      <c r="E248" s="4">
        <f>IFERROR(__xludf.DUMMYFUNCTION("GOOGLEFINANCE($A248, E$2)"),12.76)</f>
        <v>12.76</v>
      </c>
      <c r="F248" s="4">
        <f>IFERROR(__xludf.DUMMYFUNCTION("GOOGLEFINANCE($A248, F$2)"),2.66)</f>
        <v>2.66</v>
      </c>
      <c r="G248" s="4" t="str">
        <f>IFERROR(__xludf.DUMMYFUNCTION("GOOGLEFINANCE($A248, G$2)"),"#N/A")</f>
        <v>#N/A</v>
      </c>
      <c r="H248" s="4" t="str">
        <f>IFERROR(__xludf.DUMMYFUNCTION("GOOGLEFINANCE($A248, H$2)"),"#N/A")</f>
        <v>#N/A</v>
      </c>
      <c r="I248" s="4" t="str">
        <f>IFERROR(__xludf.DUMMYFUNCTION("REPLACE(JOIN("";"", INDEX(TRANSPOSE(GOOGLEFINANCE($A248, $I$2, TODAY() - 30, TODAY(), 1)), 2)), 1, 6, """")"),"34;34")</f>
        <v>34;34</v>
      </c>
    </row>
    <row r="249">
      <c r="A249" s="3" t="s">
        <v>509</v>
      </c>
      <c r="B249" s="4" t="s">
        <v>510</v>
      </c>
      <c r="C249" s="4">
        <f>IFERROR(__xludf.DUMMYFUNCTION("GOOGLEFINANCE($A249, C$2)"),46.18)</f>
        <v>46.18</v>
      </c>
      <c r="D249" s="4">
        <f>IFERROR(__xludf.DUMMYFUNCTION("GOOGLEFINANCE($A249, D$2)"),0.0)</f>
        <v>0</v>
      </c>
      <c r="E249" s="4" t="str">
        <f>IFERROR(__xludf.DUMMYFUNCTION("GOOGLEFINANCE($A249, E$2)"),"#N/A")</f>
        <v>#N/A</v>
      </c>
      <c r="F249" s="4" t="str">
        <f>IFERROR(__xludf.DUMMYFUNCTION("GOOGLEFINANCE($A249, F$2)"),"#N/A")</f>
        <v>#N/A</v>
      </c>
      <c r="G249" s="4">
        <f>IFERROR(__xludf.DUMMYFUNCTION("GOOGLEFINANCE($A249, G$2)"),47.4)</f>
        <v>47.4</v>
      </c>
      <c r="H249" s="4">
        <f>IFERROR(__xludf.DUMMYFUNCTION("GOOGLEFINANCE($A249, H$2)"),45.88)</f>
        <v>45.88</v>
      </c>
      <c r="I249" s="4" t="str">
        <f>IFERROR(__xludf.DUMMYFUNCTION("REPLACE(JOIN("";"", INDEX(TRANSPOSE(GOOGLEFINANCE($A249, $I$2, TODAY() - 30, TODAY(), 1)), 2)), 1, 6, """")"),"49,44;49,08;49,55;50,31;50,35;51,4;51,65;50,9;50,91;50,95;50,11;50,5;50,8;48,45;47,3;47,04;46,48;46,18")</f>
        <v>49,44;49,08;49,55;50,31;50,35;51,4;51,65;50,9;50,91;50,95;50,11;50,5;50,8;48,45;47,3;47,04;46,48;46,18</v>
      </c>
    </row>
    <row r="250">
      <c r="A250" s="3" t="s">
        <v>511</v>
      </c>
      <c r="B250" s="4" t="s">
        <v>512</v>
      </c>
      <c r="C250" s="4">
        <f>IFERROR(__xludf.DUMMYFUNCTION("GOOGLEFINANCE($A250, C$2)"),3.4)</f>
        <v>3.4</v>
      </c>
      <c r="D250" s="4">
        <f>IFERROR(__xludf.DUMMYFUNCTION("GOOGLEFINANCE($A250, D$2)"),0.0)</f>
        <v>0</v>
      </c>
      <c r="E250" s="4" t="str">
        <f>IFERROR(__xludf.DUMMYFUNCTION("GOOGLEFINANCE($A250, E$2)"),"#N/A")</f>
        <v>#N/A</v>
      </c>
      <c r="F250" s="4" t="str">
        <f>IFERROR(__xludf.DUMMYFUNCTION("GOOGLEFINANCE($A250, F$2)"),"#N/A")</f>
        <v>#N/A</v>
      </c>
      <c r="G250" s="4">
        <f>IFERROR(__xludf.DUMMYFUNCTION("GOOGLEFINANCE($A250, G$2)"),3.54)</f>
        <v>3.54</v>
      </c>
      <c r="H250" s="4">
        <f>IFERROR(__xludf.DUMMYFUNCTION("GOOGLEFINANCE($A250, H$2)"),3.3)</f>
        <v>3.3</v>
      </c>
      <c r="I250" s="4" t="str">
        <f>IFERROR(__xludf.DUMMYFUNCTION("REPLACE(JOIN("";"", INDEX(TRANSPOSE(GOOGLEFINANCE($A250, $I$2, TODAY() - 30, TODAY(), 1)), 2)), 1, 6, """")"),"3,52;3,47;3,5;3,57;3,5;3,57;3,51;3,54;3,47;3,49;3,53;3,54;3,42;3,46;3,43;3,44;3,44;3,37")</f>
        <v>3,52;3,47;3,5;3,57;3,5;3,57;3,51;3,54;3,47;3,49;3,53;3,54;3,42;3,46;3,43;3,44;3,44;3,37</v>
      </c>
    </row>
    <row r="251">
      <c r="A251" s="3" t="s">
        <v>513</v>
      </c>
      <c r="B251" s="4" t="s">
        <v>514</v>
      </c>
      <c r="C251" s="4">
        <f>IFERROR(__xludf.DUMMYFUNCTION("GOOGLEFINANCE($A251, C$2)"),5.12)</f>
        <v>5.12</v>
      </c>
      <c r="D251" s="4">
        <f>IFERROR(__xludf.DUMMYFUNCTION("GOOGLEFINANCE($A251, D$2)"),0.0)</f>
        <v>0</v>
      </c>
      <c r="E251" s="4" t="str">
        <f>IFERROR(__xludf.DUMMYFUNCTION("GOOGLEFINANCE($A251, E$2)"),"#N/A")</f>
        <v>#N/A</v>
      </c>
      <c r="F251" s="4" t="str">
        <f>IFERROR(__xludf.DUMMYFUNCTION("GOOGLEFINANCE($A251, F$2)"),"#N/A")</f>
        <v>#N/A</v>
      </c>
      <c r="G251" s="4">
        <f>IFERROR(__xludf.DUMMYFUNCTION("GOOGLEFINANCE($A251, G$2)"),5.13)</f>
        <v>5.13</v>
      </c>
      <c r="H251" s="4">
        <f>IFERROR(__xludf.DUMMYFUNCTION("GOOGLEFINANCE($A251, H$2)"),5.12)</f>
        <v>5.12</v>
      </c>
      <c r="I251" s="4" t="str">
        <f>IFERROR(__xludf.DUMMYFUNCTION("REPLACE(JOIN("";"", INDEX(TRANSPOSE(GOOGLEFINANCE($A251, $I$2, TODAY() - 30, TODAY(), 1)), 2)), 1, 6, """")"),"8;4,43;4,8;5,33")</f>
        <v>8;4,43;4,8;5,33</v>
      </c>
    </row>
    <row r="252">
      <c r="A252" s="3" t="s">
        <v>515</v>
      </c>
      <c r="B252" s="4" t="s">
        <v>516</v>
      </c>
      <c r="C252" s="4">
        <f>IFERROR(__xludf.DUMMYFUNCTION("GOOGLEFINANCE($A252, C$2)"),5.35)</f>
        <v>5.35</v>
      </c>
      <c r="D252" s="4">
        <f>IFERROR(__xludf.DUMMYFUNCTION("GOOGLEFINANCE($A252, D$2)"),0.0)</f>
        <v>0</v>
      </c>
      <c r="E252" s="4" t="str">
        <f>IFERROR(__xludf.DUMMYFUNCTION("GOOGLEFINANCE($A252, E$2)"),"#N/A")</f>
        <v>#N/A</v>
      </c>
      <c r="F252" s="4" t="str">
        <f>IFERROR(__xludf.DUMMYFUNCTION("GOOGLEFINANCE($A252, F$2)"),"#N/A")</f>
        <v>#N/A</v>
      </c>
      <c r="G252" s="4" t="str">
        <f>IFERROR(__xludf.DUMMYFUNCTION("GOOGLEFINANCE($A252, G$2)"),"#N/A")</f>
        <v>#N/A</v>
      </c>
      <c r="H252" s="4" t="str">
        <f>IFERROR(__xludf.DUMMYFUNCTION("GOOGLEFINANCE($A252, H$2)"),"#N/A")</f>
        <v>#N/A</v>
      </c>
      <c r="I252" s="4" t="str">
        <f>IFERROR(__xludf.DUMMYFUNCTION("REPLACE(JOIN("";"", INDEX(TRANSPOSE(GOOGLEFINANCE($A252, $I$2, TODAY() - 30, TODAY(), 1)), 2)), 1, 6, """")"),"5,14;5,4;4,92;4,9;5,05;5,41;5,41")</f>
        <v>5,14;5,4;4,92;4,9;5,05;5,41;5,41</v>
      </c>
    </row>
    <row r="253">
      <c r="A253" s="3" t="s">
        <v>517</v>
      </c>
      <c r="B253" s="4" t="s">
        <v>518</v>
      </c>
      <c r="C253" s="4">
        <f>IFERROR(__xludf.DUMMYFUNCTION("GOOGLEFINANCE($A253, C$2)"),22.64)</f>
        <v>22.64</v>
      </c>
      <c r="D253" s="4">
        <f>IFERROR(__xludf.DUMMYFUNCTION("GOOGLEFINANCE($A253, D$2)"),0.0)</f>
        <v>0</v>
      </c>
      <c r="E253" s="4">
        <f>IFERROR(__xludf.DUMMYFUNCTION("GOOGLEFINANCE($A253, E$2)"),7.93)</f>
        <v>7.93</v>
      </c>
      <c r="F253" s="4">
        <f>IFERROR(__xludf.DUMMYFUNCTION("GOOGLEFINANCE($A253, F$2)"),2.86)</f>
        <v>2.86</v>
      </c>
      <c r="G253" s="4">
        <f>IFERROR(__xludf.DUMMYFUNCTION("GOOGLEFINANCE($A253, G$2)"),23.27)</f>
        <v>23.27</v>
      </c>
      <c r="H253" s="4">
        <f>IFERROR(__xludf.DUMMYFUNCTION("GOOGLEFINANCE($A253, H$2)"),22.6)</f>
        <v>22.6</v>
      </c>
      <c r="I253" s="4" t="str">
        <f>IFERROR(__xludf.DUMMYFUNCTION("REPLACE(JOIN("";"", INDEX(TRANSPOSE(GOOGLEFINANCE($A253, $I$2, TODAY() - 30, TODAY(), 1)), 2)), 1, 6, """")"),"22;21,87;22,18;22,75;22,52;22,6;22,82;23,24;23,32;23,49;23,34;23,51;23,31;23,39;23,56;22,95;22,99;22,64")</f>
        <v>22;21,87;22,18;22,75;22,52;22,6;22,82;23,24;23,32;23,49;23,34;23,51;23,31;23,39;23,56;22,95;22,99;22,64</v>
      </c>
    </row>
    <row r="254">
      <c r="A254" s="3" t="s">
        <v>519</v>
      </c>
      <c r="B254" s="4" t="s">
        <v>520</v>
      </c>
      <c r="C254" s="4">
        <f>IFERROR(__xludf.DUMMYFUNCTION("GOOGLEFINANCE($A254, C$2)"),26.0)</f>
        <v>26</v>
      </c>
      <c r="D254" s="4">
        <f>IFERROR(__xludf.DUMMYFUNCTION("GOOGLEFINANCE($A254, D$2)"),0.0)</f>
        <v>0</v>
      </c>
      <c r="E254" s="4" t="str">
        <f>IFERROR(__xludf.DUMMYFUNCTION("GOOGLEFINANCE($A254, E$2)"),"#N/A")</f>
        <v>#N/A</v>
      </c>
      <c r="F254" s="4">
        <f>IFERROR(__xludf.DUMMYFUNCTION("GOOGLEFINANCE($A254, F$2)"),-29.0)</f>
        <v>-29</v>
      </c>
      <c r="G254" s="4" t="str">
        <f>IFERROR(__xludf.DUMMYFUNCTION("GOOGLEFINANCE($A254, G$2)"),"#N/A")</f>
        <v>#N/A</v>
      </c>
      <c r="H254" s="4" t="str">
        <f>IFERROR(__xludf.DUMMYFUNCTION("GOOGLEFINANCE($A254, H$2)"),"#N/A")</f>
        <v>#N/A</v>
      </c>
      <c r="I254" s="4" t="str">
        <f>IFERROR(__xludf.DUMMYFUNCTION("REPLACE(JOIN("";"", INDEX(TRANSPOSE(GOOGLEFINANCE($A254, $I$2, TODAY() - 30, TODAY(), 1)), 2)), 1, 6, """")"),"26,51;27,01;27,32;26,42;26,74;26,42;26;26,01;26")</f>
        <v>26,51;27,01;27,32;26,42;26,74;26,42;26;26,01;26</v>
      </c>
    </row>
    <row r="255">
      <c r="A255" s="3" t="s">
        <v>521</v>
      </c>
      <c r="B255" s="4" t="s">
        <v>522</v>
      </c>
      <c r="C255" s="4">
        <f>IFERROR(__xludf.DUMMYFUNCTION("GOOGLEFINANCE($A255, C$2)"),12.23)</f>
        <v>12.23</v>
      </c>
      <c r="D255" s="4">
        <f>IFERROR(__xludf.DUMMYFUNCTION("GOOGLEFINANCE($A255, D$2)"),0.0)</f>
        <v>0</v>
      </c>
      <c r="E255" s="4">
        <f>IFERROR(__xludf.DUMMYFUNCTION("GOOGLEFINANCE($A255, E$2)"),13.54)</f>
        <v>13.54</v>
      </c>
      <c r="F255" s="4">
        <f>IFERROR(__xludf.DUMMYFUNCTION("GOOGLEFINANCE($A255, F$2)"),0.9)</f>
        <v>0.9</v>
      </c>
      <c r="G255" s="4">
        <f>IFERROR(__xludf.DUMMYFUNCTION("GOOGLEFINANCE($A255, G$2)"),12.5)</f>
        <v>12.5</v>
      </c>
      <c r="H255" s="4">
        <f>IFERROR(__xludf.DUMMYFUNCTION("GOOGLEFINANCE($A255, H$2)"),12.1)</f>
        <v>12.1</v>
      </c>
      <c r="I255" s="4" t="str">
        <f>IFERROR(__xludf.DUMMYFUNCTION("REPLACE(JOIN("";"", INDEX(TRANSPOSE(GOOGLEFINANCE($A255, $I$2, TODAY() - 30, TODAY(), 1)), 2)), 1, 6, """")"),"13,92;13,52;12,65;12,78;12,66;13,1;13,24;13,25;12,96;13;13,29;13,32;12,86;12,69;12,55;12,51;12,1;12,23")</f>
        <v>13,92;13,52;12,65;12,78;12,66;13,1;13,24;13,25;12,96;13;13,29;13,32;12,86;12,69;12,55;12,51;12,1;12,23</v>
      </c>
    </row>
    <row r="256">
      <c r="A256" s="3" t="s">
        <v>523</v>
      </c>
      <c r="B256" s="4" t="s">
        <v>524</v>
      </c>
      <c r="C256" s="4">
        <f>IFERROR(__xludf.DUMMYFUNCTION("GOOGLEFINANCE($A256, C$2)"),21.49)</f>
        <v>21.49</v>
      </c>
      <c r="D256" s="4">
        <f>IFERROR(__xludf.DUMMYFUNCTION("GOOGLEFINANCE($A256, D$2)"),0.0)</f>
        <v>0</v>
      </c>
      <c r="E256" s="4">
        <f>IFERROR(__xludf.DUMMYFUNCTION("GOOGLEFINANCE($A256, E$2)"),15.68)</f>
        <v>15.68</v>
      </c>
      <c r="F256" s="4">
        <f>IFERROR(__xludf.DUMMYFUNCTION("GOOGLEFINANCE($A256, F$2)"),1.37)</f>
        <v>1.37</v>
      </c>
      <c r="G256" s="4">
        <f>IFERROR(__xludf.DUMMYFUNCTION("GOOGLEFINANCE($A256, G$2)"),21.49)</f>
        <v>21.49</v>
      </c>
      <c r="H256" s="4">
        <f>IFERROR(__xludf.DUMMYFUNCTION("GOOGLEFINANCE($A256, H$2)"),20.65)</f>
        <v>20.65</v>
      </c>
      <c r="I256" s="4" t="str">
        <f>IFERROR(__xludf.DUMMYFUNCTION("REPLACE(JOIN("";"", INDEX(TRANSPOSE(GOOGLEFINANCE($A256, $I$2, TODAY() - 30, TODAY(), 1)), 2)), 1, 6, """")"),"21,95;21,82;22,19;22,33;21,91;21,83;21,8;21,61;20,99;21,92;21,22;21,13;20,42;21,36;21,62;21,99;21,2;21,49")</f>
        <v>21,95;21,82;22,19;22,33;21,91;21,83;21,8;21,61;20,99;21,92;21,22;21,13;20,42;21,36;21,62;21,99;21,2;21,49</v>
      </c>
    </row>
    <row r="257">
      <c r="A257" s="3" t="s">
        <v>525</v>
      </c>
      <c r="B257" s="4" t="s">
        <v>526</v>
      </c>
      <c r="C257" s="4">
        <f>IFERROR(__xludf.DUMMYFUNCTION("GOOGLEFINANCE($A257, C$2)"),7.71)</f>
        <v>7.71</v>
      </c>
      <c r="D257" s="4">
        <f>IFERROR(__xludf.DUMMYFUNCTION("GOOGLEFINANCE($A257, D$2)"),0.0)</f>
        <v>0</v>
      </c>
      <c r="E257" s="4">
        <f>IFERROR(__xludf.DUMMYFUNCTION("GOOGLEFINANCE($A257, E$2)"),5.62)</f>
        <v>5.62</v>
      </c>
      <c r="F257" s="4">
        <f>IFERROR(__xludf.DUMMYFUNCTION("GOOGLEFINANCE($A257, F$2)"),1.37)</f>
        <v>1.37</v>
      </c>
      <c r="G257" s="4">
        <f>IFERROR(__xludf.DUMMYFUNCTION("GOOGLEFINANCE($A257, G$2)"),7.79)</f>
        <v>7.79</v>
      </c>
      <c r="H257" s="4">
        <f>IFERROR(__xludf.DUMMYFUNCTION("GOOGLEFINANCE($A257, H$2)"),7.5)</f>
        <v>7.5</v>
      </c>
      <c r="I257" s="4" t="str">
        <f>IFERROR(__xludf.DUMMYFUNCTION("REPLACE(JOIN("";"", INDEX(TRANSPOSE(GOOGLEFINANCE($A257, $I$2, TODAY() - 30, TODAY(), 1)), 2)), 1, 6, """")"),"7,27;7,02;7,2;7,25;7,07;7,28;7,39;7,38;7,49;8,05;7,77;7,6;7,5;7,26;7,48;7,67;7,67;7,71")</f>
        <v>7,27;7,02;7,2;7,25;7,07;7,28;7,39;7,38;7,49;8,05;7,77;7,6;7,5;7,26;7,48;7,67;7,67;7,71</v>
      </c>
    </row>
    <row r="258">
      <c r="A258" s="3" t="s">
        <v>527</v>
      </c>
      <c r="B258" s="4" t="s">
        <v>528</v>
      </c>
      <c r="C258" s="4">
        <f>IFERROR(__xludf.DUMMYFUNCTION("GOOGLEFINANCE($A258, C$2)"),11.15)</f>
        <v>11.15</v>
      </c>
      <c r="D258" s="4">
        <f>IFERROR(__xludf.DUMMYFUNCTION("GOOGLEFINANCE($A258, D$2)"),0.0)</f>
        <v>0</v>
      </c>
      <c r="E258" s="4">
        <f>IFERROR(__xludf.DUMMYFUNCTION("GOOGLEFINANCE($A258, E$2)"),17.51)</f>
        <v>17.51</v>
      </c>
      <c r="F258" s="4">
        <f>IFERROR(__xludf.DUMMYFUNCTION("GOOGLEFINANCE($A258, F$2)"),0.64)</f>
        <v>0.64</v>
      </c>
      <c r="G258" s="4">
        <f>IFERROR(__xludf.DUMMYFUNCTION("GOOGLEFINANCE($A258, G$2)"),11.26)</f>
        <v>11.26</v>
      </c>
      <c r="H258" s="4">
        <f>IFERROR(__xludf.DUMMYFUNCTION("GOOGLEFINANCE($A258, H$2)"),11.02)</f>
        <v>11.02</v>
      </c>
      <c r="I258" s="4" t="str">
        <f>IFERROR(__xludf.DUMMYFUNCTION("REPLACE(JOIN("";"", INDEX(TRANSPOSE(GOOGLEFINANCE($A258, $I$2, TODAY() - 30, TODAY(), 1)), 2)), 1, 6, """")"),"10,87;11,01;11,06;11,48;11,34;11,48;11,91;12,12;12,05;12,4;12,15;12,03;11,56;11,63;11,75;11,28;11,13;11,15")</f>
        <v>10,87;11,01;11,06;11,48;11,34;11,48;11,91;12,12;12,05;12,4;12,15;12,03;11,56;11,63;11,75;11,28;11,13;11,15</v>
      </c>
    </row>
    <row r="259">
      <c r="A259" s="3" t="s">
        <v>529</v>
      </c>
      <c r="B259" s="4" t="s">
        <v>530</v>
      </c>
      <c r="C259" s="4">
        <f>IFERROR(__xludf.DUMMYFUNCTION("GOOGLEFINANCE($A259, C$2)"),381.0)</f>
        <v>381</v>
      </c>
      <c r="D259" s="4">
        <f>IFERROR(__xludf.DUMMYFUNCTION("GOOGLEFINANCE($A259, D$2)"),0.0)</f>
        <v>0</v>
      </c>
      <c r="E259" s="4" t="str">
        <f>IFERROR(__xludf.DUMMYFUNCTION("GOOGLEFINANCE($A259, E$2)"),"#N/A")</f>
        <v>#N/A</v>
      </c>
      <c r="F259" s="4" t="str">
        <f>IFERROR(__xludf.DUMMYFUNCTION("GOOGLEFINANCE($A259, F$2)"),"#N/A")</f>
        <v>#N/A</v>
      </c>
      <c r="G259" s="4" t="str">
        <f>IFERROR(__xludf.DUMMYFUNCTION("GOOGLEFINANCE($A259, G$2)"),"#N/A")</f>
        <v>#N/A</v>
      </c>
      <c r="H259" s="4" t="str">
        <f>IFERROR(__xludf.DUMMYFUNCTION("GOOGLEFINANCE($A259, H$2)"),"#N/A")</f>
        <v>#N/A</v>
      </c>
      <c r="I259" s="4" t="str">
        <f>IFERROR(__xludf.DUMMYFUNCTION("REPLACE(JOIN("";"", INDEX(TRANSPOSE(GOOGLEFINANCE($A259, $I$2, TODAY() - 30, TODAY(), 1)), 2)), 1, 6, """")"),"335,8;349;349,8;381")</f>
        <v>335,8;349;349,8;381</v>
      </c>
    </row>
    <row r="260">
      <c r="A260" s="3" t="s">
        <v>531</v>
      </c>
      <c r="B260" s="4" t="s">
        <v>532</v>
      </c>
      <c r="C260" s="4">
        <f>IFERROR(__xludf.DUMMYFUNCTION("GOOGLEFINANCE($A260, C$2)"),34.94)</f>
        <v>34.94</v>
      </c>
      <c r="D260" s="4">
        <f>IFERROR(__xludf.DUMMYFUNCTION("GOOGLEFINANCE($A260, D$2)"),0.0)</f>
        <v>0</v>
      </c>
      <c r="E260" s="4">
        <f>IFERROR(__xludf.DUMMYFUNCTION("GOOGLEFINANCE($A260, E$2)"),21.26)</f>
        <v>21.26</v>
      </c>
      <c r="F260" s="4">
        <f>IFERROR(__xludf.DUMMYFUNCTION("GOOGLEFINANCE($A260, F$2)"),1.64)</f>
        <v>1.64</v>
      </c>
      <c r="G260" s="4">
        <f>IFERROR(__xludf.DUMMYFUNCTION("GOOGLEFINANCE($A260, G$2)"),35.13)</f>
        <v>35.13</v>
      </c>
      <c r="H260" s="4">
        <f>IFERROR(__xludf.DUMMYFUNCTION("GOOGLEFINANCE($A260, H$2)"),34.56)</f>
        <v>34.56</v>
      </c>
      <c r="I260" s="4" t="str">
        <f>IFERROR(__xludf.DUMMYFUNCTION("REPLACE(JOIN("";"", INDEX(TRANSPOSE(GOOGLEFINANCE($A260, $I$2, TODAY() - 30, TODAY(), 1)), 2)), 1, 6, """")"),"36,14;35,4;36,68;37,94;36,68;37,93;38,69;39,18;38,65;38,2;38,12;36,84;35,4;35,71;35,7;35,1;34,85;34,94")</f>
        <v>36,14;35,4;36,68;37,94;36,68;37,93;38,69;39,18;38,65;38,2;38,12;36,84;35,4;35,71;35,7;35,1;34,85;34,94</v>
      </c>
    </row>
    <row r="261">
      <c r="A261" s="3" t="s">
        <v>533</v>
      </c>
      <c r="B261" s="4" t="s">
        <v>534</v>
      </c>
      <c r="C261" s="4">
        <f>IFERROR(__xludf.DUMMYFUNCTION("GOOGLEFINANCE($A261, C$2)"),44.25)</f>
        <v>44.25</v>
      </c>
      <c r="D261" s="4">
        <f>IFERROR(__xludf.DUMMYFUNCTION("GOOGLEFINANCE($A261, D$2)"),0.0)</f>
        <v>0</v>
      </c>
      <c r="E261" s="4" t="str">
        <f>IFERROR(__xludf.DUMMYFUNCTION("GOOGLEFINANCE($A261, E$2)"),"#N/A")</f>
        <v>#N/A</v>
      </c>
      <c r="F261" s="4" t="str">
        <f>IFERROR(__xludf.DUMMYFUNCTION("GOOGLEFINANCE($A261, F$2)"),"#N/A")</f>
        <v>#N/A</v>
      </c>
      <c r="G261" s="4">
        <f>IFERROR(__xludf.DUMMYFUNCTION("GOOGLEFINANCE($A261, G$2)"),44.7)</f>
        <v>44.7</v>
      </c>
      <c r="H261" s="4">
        <f>IFERROR(__xludf.DUMMYFUNCTION("GOOGLEFINANCE($A261, H$2)"),44.25)</f>
        <v>44.25</v>
      </c>
      <c r="I261" s="4" t="str">
        <f>IFERROR(__xludf.DUMMYFUNCTION("REPLACE(JOIN("";"", INDEX(TRANSPOSE(GOOGLEFINANCE($A261, $I$2, TODAY() - 30, TODAY(), 1)), 2)), 1, 6, """")"),"44,5;43,26;41,66;42,84;42,57;44,17;44,63;44,2;45;44,41;43,94;44,22;44,8;45,42;45,58;45,14;45,52;44,25")</f>
        <v>44,5;43,26;41,66;42,84;42,57;44,17;44,63;44,2;45;44,41;43,94;44,22;44,8;45,42;45,58;45,14;45,52;44,25</v>
      </c>
    </row>
    <row r="262">
      <c r="A262" s="3" t="s">
        <v>535</v>
      </c>
      <c r="B262" s="4" t="s">
        <v>536</v>
      </c>
      <c r="C262" s="4">
        <f>IFERROR(__xludf.DUMMYFUNCTION("GOOGLEFINANCE($A262, C$2)"),253.86)</f>
        <v>253.86</v>
      </c>
      <c r="D262" s="4">
        <f>IFERROR(__xludf.DUMMYFUNCTION("GOOGLEFINANCE($A262, D$2)"),1.0)</f>
        <v>1</v>
      </c>
      <c r="E262" s="4" t="str">
        <f>IFERROR(__xludf.DUMMYFUNCTION("GOOGLEFINANCE($A262, E$2)"),"#N/A")</f>
        <v>#N/A</v>
      </c>
      <c r="F262" s="4" t="str">
        <f>IFERROR(__xludf.DUMMYFUNCTION("GOOGLEFINANCE($A262, F$2)"),"#N/A")</f>
        <v>#N/A</v>
      </c>
      <c r="G262" s="4" t="str">
        <f>IFERROR(__xludf.DUMMYFUNCTION("GOOGLEFINANCE($A262, G$2)"),"#N/A")</f>
        <v>#N/A</v>
      </c>
      <c r="H262" s="4" t="str">
        <f>IFERROR(__xludf.DUMMYFUNCTION("GOOGLEFINANCE($A262, H$2)"),"#N/A")</f>
        <v>#N/A</v>
      </c>
      <c r="I262" s="4" t="str">
        <f>IFERROR(__xludf.DUMMYFUNCTION("REPLACE(JOIN("";"", INDEX(TRANSPOSE(GOOGLEFINANCE($A262, $I$2, TODAY() - 30, TODAY(), 1)), 2)), 1, 6, """")"),"253,86")</f>
        <v>253,86</v>
      </c>
    </row>
    <row r="263">
      <c r="A263" s="3" t="s">
        <v>537</v>
      </c>
      <c r="B263" s="4" t="s">
        <v>538</v>
      </c>
      <c r="C263" s="4">
        <f>IFERROR(__xludf.DUMMYFUNCTION("GOOGLEFINANCE($A263, C$2)"),50.33)</f>
        <v>50.33</v>
      </c>
      <c r="D263" s="4">
        <f>IFERROR(__xludf.DUMMYFUNCTION("GOOGLEFINANCE($A263, D$2)"),0.0)</f>
        <v>0</v>
      </c>
      <c r="E263" s="4" t="str">
        <f>IFERROR(__xludf.DUMMYFUNCTION("GOOGLEFINANCE($A263, E$2)"),"#N/A")</f>
        <v>#N/A</v>
      </c>
      <c r="F263" s="4" t="str">
        <f>IFERROR(__xludf.DUMMYFUNCTION("GOOGLEFINANCE($A263, F$2)"),"#N/A")</f>
        <v>#N/A</v>
      </c>
      <c r="G263" s="4">
        <f>IFERROR(__xludf.DUMMYFUNCTION("GOOGLEFINANCE($A263, G$2)"),52.49)</f>
        <v>52.49</v>
      </c>
      <c r="H263" s="4">
        <f>IFERROR(__xludf.DUMMYFUNCTION("GOOGLEFINANCE($A263, H$2)"),50.3)</f>
        <v>50.3</v>
      </c>
      <c r="I263" s="4" t="str">
        <f>IFERROR(__xludf.DUMMYFUNCTION("REPLACE(JOIN("";"", INDEX(TRANSPOSE(GOOGLEFINANCE($A263, $I$2, TODAY() - 30, TODAY(), 1)), 2)), 1, 6, """")"),"53,82;54,6;52,6;51,69;51;51,54;51,3;51,25;51,98;51,9;51,2;52,76;52,49;52,35;51,9;52,48;51,9;50,33")</f>
        <v>53,82;54,6;52,6;51,69;51;51,54;51,3;51,25;51,98;51,9;51,2;52,76;52,49;52,35;51,9;52,48;51,9;50,33</v>
      </c>
    </row>
    <row r="264">
      <c r="A264" s="3" t="s">
        <v>539</v>
      </c>
      <c r="B264" s="4" t="s">
        <v>540</v>
      </c>
      <c r="C264" s="4">
        <f>IFERROR(__xludf.DUMMYFUNCTION("GOOGLEFINANCE($A264, C$2)"),201.0)</f>
        <v>201</v>
      </c>
      <c r="D264" s="4">
        <f>IFERROR(__xludf.DUMMYFUNCTION("GOOGLEFINANCE($A264, D$2)"),0.0)</f>
        <v>0</v>
      </c>
      <c r="E264" s="4" t="str">
        <f>IFERROR(__xludf.DUMMYFUNCTION("GOOGLEFINANCE($A264, E$2)"),"#N/A")</f>
        <v>#N/A</v>
      </c>
      <c r="F264" s="4" t="str">
        <f>IFERROR(__xludf.DUMMYFUNCTION("GOOGLEFINANCE($A264, F$2)"),"#N/A")</f>
        <v>#N/A</v>
      </c>
      <c r="G264" s="4">
        <f>IFERROR(__xludf.DUMMYFUNCTION("GOOGLEFINANCE($A264, G$2)"),201.1)</f>
        <v>201.1</v>
      </c>
      <c r="H264" s="4">
        <f>IFERROR(__xludf.DUMMYFUNCTION("GOOGLEFINANCE($A264, H$2)"),194.61)</f>
        <v>194.61</v>
      </c>
      <c r="I264" s="4" t="str">
        <f>IFERROR(__xludf.DUMMYFUNCTION("REPLACE(JOIN("";"", INDEX(TRANSPOSE(GOOGLEFINANCE($A264, $I$2, TODAY() - 30, TODAY(), 1)), 2)), 1, 6, """")"),"167,3;145,23;139;151,36;147,19;154,87;151,21;155,7;160,81;171,47;171,1;170,73;168,28;167,9;168,98;185,09;186,25;201")</f>
        <v>167,3;145,23;139;151,36;147,19;154,87;151,21;155,7;160,81;171,47;171,1;170,73;168,28;167,9;168,98;185,09;186,25;201</v>
      </c>
    </row>
    <row r="265">
      <c r="A265" s="3" t="s">
        <v>541</v>
      </c>
      <c r="B265" s="4" t="s">
        <v>542</v>
      </c>
      <c r="C265" s="4">
        <f>IFERROR(__xludf.DUMMYFUNCTION("GOOGLEFINANCE($A265, C$2)"),62.3)</f>
        <v>62.3</v>
      </c>
      <c r="D265" s="4">
        <f>IFERROR(__xludf.DUMMYFUNCTION("GOOGLEFINANCE($A265, D$2)"),0.0)</f>
        <v>0</v>
      </c>
      <c r="E265" s="4" t="str">
        <f>IFERROR(__xludf.DUMMYFUNCTION("GOOGLEFINANCE($A265, E$2)"),"#N/A")</f>
        <v>#N/A</v>
      </c>
      <c r="F265" s="4" t="str">
        <f>IFERROR(__xludf.DUMMYFUNCTION("GOOGLEFINANCE($A265, F$2)"),"#N/A")</f>
        <v>#N/A</v>
      </c>
      <c r="G265" s="4">
        <f>IFERROR(__xludf.DUMMYFUNCTION("GOOGLEFINANCE($A265, G$2)"),62.6)</f>
        <v>62.6</v>
      </c>
      <c r="H265" s="4">
        <f>IFERROR(__xludf.DUMMYFUNCTION("GOOGLEFINANCE($A265, H$2)"),61.9)</f>
        <v>61.9</v>
      </c>
      <c r="I265" s="4" t="str">
        <f>IFERROR(__xludf.DUMMYFUNCTION("REPLACE(JOIN("";"", INDEX(TRANSPOSE(GOOGLEFINANCE($A265, $I$2, TODAY() - 30, TODAY(), 1)), 2)), 1, 6, """")"),"63,1;60,15;57,95;58,1;57,85;59,5;58,5;60,05;62,2;61,7;61,4;64,2;63,1;61,5;61,5;62,55;61,9;62,3")</f>
        <v>63,1;60,15;57,95;58,1;57,85;59,5;58,5;60,05;62,2;61,7;61,4;64,2;63,1;61,5;61,5;62,55;61,9;62,3</v>
      </c>
    </row>
    <row r="266">
      <c r="A266" s="3" t="s">
        <v>543</v>
      </c>
      <c r="B266" s="4" t="s">
        <v>544</v>
      </c>
      <c r="C266" s="4">
        <f>IFERROR(__xludf.DUMMYFUNCTION("GOOGLEFINANCE($A266, C$2)"),1378.0)</f>
        <v>1378</v>
      </c>
      <c r="D266" s="4">
        <f>IFERROR(__xludf.DUMMYFUNCTION("GOOGLEFINANCE($A266, D$2)"),0.0)</f>
        <v>0</v>
      </c>
      <c r="E266" s="4" t="str">
        <f>IFERROR(__xludf.DUMMYFUNCTION("GOOGLEFINANCE($A266, E$2)"),"#N/A")</f>
        <v>#N/A</v>
      </c>
      <c r="F266" s="4" t="str">
        <f>IFERROR(__xludf.DUMMYFUNCTION("GOOGLEFINANCE($A266, F$2)"),"#N/A")</f>
        <v>#N/A</v>
      </c>
      <c r="G266" s="4">
        <f>IFERROR(__xludf.DUMMYFUNCTION("GOOGLEFINANCE($A266, G$2)"),1392.21)</f>
        <v>1392.21</v>
      </c>
      <c r="H266" s="4">
        <f>IFERROR(__xludf.DUMMYFUNCTION("GOOGLEFINANCE($A266, H$2)"),1378.0)</f>
        <v>1378</v>
      </c>
      <c r="I266" s="4" t="str">
        <f>IFERROR(__xludf.DUMMYFUNCTION("REPLACE(JOIN("";"", INDEX(TRANSPOSE(GOOGLEFINANCE($A266, $I$2, TODAY() - 30, TODAY(), 1)), 2)), 1, 6, """")"),"1391,8;1340,5;1316;1325,3;1295,5;1305,1;1307,1;1296;1349,8;1369,9;1382;1391,4;1406,74;1362;1397;1449,53;1397;1378")</f>
        <v>1391,8;1340,5;1316;1325,3;1295,5;1305,1;1307,1;1296;1349,8;1369,9;1382;1391,4;1406,74;1362;1397;1449,53;1397;1378</v>
      </c>
    </row>
    <row r="267">
      <c r="A267" s="3" t="s">
        <v>545</v>
      </c>
      <c r="B267" s="4" t="s">
        <v>546</v>
      </c>
      <c r="C267" s="4">
        <f>IFERROR(__xludf.DUMMYFUNCTION("GOOGLEFINANCE($A267, C$2)"),38.01)</f>
        <v>38.01</v>
      </c>
      <c r="D267" s="4">
        <f>IFERROR(__xludf.DUMMYFUNCTION("GOOGLEFINANCE($A267, D$2)"),0.0)</f>
        <v>0</v>
      </c>
      <c r="E267" s="4">
        <f>IFERROR(__xludf.DUMMYFUNCTION("GOOGLEFINANCE($A267, E$2)"),103.51)</f>
        <v>103.51</v>
      </c>
      <c r="F267" s="4">
        <f>IFERROR(__xludf.DUMMYFUNCTION("GOOGLEFINANCE($A267, F$2)"),0.37)</f>
        <v>0.37</v>
      </c>
      <c r="G267" s="4">
        <f>IFERROR(__xludf.DUMMYFUNCTION("GOOGLEFINANCE($A267, G$2)"),38.01)</f>
        <v>38.01</v>
      </c>
      <c r="H267" s="4">
        <f>IFERROR(__xludf.DUMMYFUNCTION("GOOGLEFINANCE($A267, H$2)"),37.9)</f>
        <v>37.9</v>
      </c>
      <c r="I267" s="4" t="str">
        <f>IFERROR(__xludf.DUMMYFUNCTION("REPLACE(JOIN("";"", INDEX(TRANSPOSE(GOOGLEFINANCE($A267, $I$2, TODAY() - 30, TODAY(), 1)), 2)), 1, 6, """")"),"32,61;32;33;30,21;33;34;37,85;37,85;37,84;37,34;37,34;37,37;38,01")</f>
        <v>32,61;32;33;30,21;33;34;37,85;37,85;37,84;37,34;37,34;37,37;38,01</v>
      </c>
    </row>
    <row r="268">
      <c r="A268" s="3" t="s">
        <v>547</v>
      </c>
      <c r="B268" s="4" t="s">
        <v>548</v>
      </c>
      <c r="C268" s="4">
        <f>IFERROR(__xludf.DUMMYFUNCTION("GOOGLEFINANCE($A268, C$2)"),25.57)</f>
        <v>25.57</v>
      </c>
      <c r="D268" s="4">
        <f>IFERROR(__xludf.DUMMYFUNCTION("GOOGLEFINANCE($A268, D$2)"),0.0)</f>
        <v>0</v>
      </c>
      <c r="E268" s="4">
        <f>IFERROR(__xludf.DUMMYFUNCTION("GOOGLEFINANCE($A268, E$2)"),69.64)</f>
        <v>69.64</v>
      </c>
      <c r="F268" s="4">
        <f>IFERROR(__xludf.DUMMYFUNCTION("GOOGLEFINANCE($A268, F$2)"),0.37)</f>
        <v>0.37</v>
      </c>
      <c r="G268" s="4">
        <f>IFERROR(__xludf.DUMMYFUNCTION("GOOGLEFINANCE($A268, G$2)"),25.75)</f>
        <v>25.75</v>
      </c>
      <c r="H268" s="4">
        <f>IFERROR(__xludf.DUMMYFUNCTION("GOOGLEFINANCE($A268, H$2)"),24.78)</f>
        <v>24.78</v>
      </c>
      <c r="I268" s="4" t="str">
        <f>IFERROR(__xludf.DUMMYFUNCTION("REPLACE(JOIN("";"", INDEX(TRANSPOSE(GOOGLEFINANCE($A268, $I$2, TODAY() - 30, TODAY(), 1)), 2)), 1, 6, """")"),"23,39;22,34;21,7;21,47;21,27;21,47;21,53;21,2;21,77;22,47;23,29;22,9;22,1;22,92;23,24;23,79;24,72;25,57")</f>
        <v>23,39;22,34;21,7;21,47;21,27;21,47;21,53;21,2;21,77;22,47;23,29;22,9;22,1;22,92;23,24;23,79;24,72;25,57</v>
      </c>
    </row>
    <row r="269">
      <c r="A269" s="3" t="s">
        <v>549</v>
      </c>
      <c r="B269" s="4" t="s">
        <v>550</v>
      </c>
      <c r="C269" s="4">
        <f>IFERROR(__xludf.DUMMYFUNCTION("GOOGLEFINANCE($A269, C$2)"),172.49)</f>
        <v>172.49</v>
      </c>
      <c r="D269" s="4">
        <f>IFERROR(__xludf.DUMMYFUNCTION("GOOGLEFINANCE($A269, D$2)"),0.0)</f>
        <v>0</v>
      </c>
      <c r="E269" s="4" t="str">
        <f>IFERROR(__xludf.DUMMYFUNCTION("GOOGLEFINANCE($A269, E$2)"),"#N/A")</f>
        <v>#N/A</v>
      </c>
      <c r="F269" s="4" t="str">
        <f>IFERROR(__xludf.DUMMYFUNCTION("GOOGLEFINANCE($A269, F$2)"),"#N/A")</f>
        <v>#N/A</v>
      </c>
      <c r="G269" s="4" t="str">
        <f>IFERROR(__xludf.DUMMYFUNCTION("GOOGLEFINANCE($A269, G$2)"),"#N/A")</f>
        <v>#N/A</v>
      </c>
      <c r="H269" s="4" t="str">
        <f>IFERROR(__xludf.DUMMYFUNCTION("GOOGLEFINANCE($A269, H$2)"),"#N/A")</f>
        <v>#N/A</v>
      </c>
      <c r="I269" s="4" t="str">
        <f>IFERROR(__xludf.DUMMYFUNCTION("REPLACE(JOIN("";"", INDEX(TRANSPOSE(GOOGLEFINANCE($A269, $I$2, TODAY() - 30, TODAY(), 1)), 2)), 1, 6, """")"),"#N/A")</f>
        <v>#N/A</v>
      </c>
    </row>
    <row r="270">
      <c r="A270" s="3" t="s">
        <v>551</v>
      </c>
      <c r="B270" s="4" t="s">
        <v>552</v>
      </c>
      <c r="C270" s="4">
        <f>IFERROR(__xludf.DUMMYFUNCTION("GOOGLEFINANCE($A270, C$2)"),4.63)</f>
        <v>4.63</v>
      </c>
      <c r="D270" s="4">
        <f>IFERROR(__xludf.DUMMYFUNCTION("GOOGLEFINANCE($A270, D$2)"),0.0)</f>
        <v>0</v>
      </c>
      <c r="E270" s="4">
        <f>IFERROR(__xludf.DUMMYFUNCTION("GOOGLEFINANCE($A270, E$2)"),0.38)</f>
        <v>0.38</v>
      </c>
      <c r="F270" s="4">
        <f>IFERROR(__xludf.DUMMYFUNCTION("GOOGLEFINANCE($A270, F$2)"),12.16)</f>
        <v>12.16</v>
      </c>
      <c r="G270" s="4">
        <f>IFERROR(__xludf.DUMMYFUNCTION("GOOGLEFINANCE($A270, G$2)"),4.74)</f>
        <v>4.74</v>
      </c>
      <c r="H270" s="4">
        <f>IFERROR(__xludf.DUMMYFUNCTION("GOOGLEFINANCE($A270, H$2)"),4.35)</f>
        <v>4.35</v>
      </c>
      <c r="I270" s="4" t="str">
        <f>IFERROR(__xludf.DUMMYFUNCTION("REPLACE(JOIN("";"", INDEX(TRANSPOSE(GOOGLEFINANCE($A270, $I$2, TODAY() - 30, TODAY(), 1)), 2)), 1, 6, """")"),"4,37;4,09;4,07;4,14;3,9;3,97;4,35;4,32;4,26;4,14;4,19;4,16;4,04;4,13;4,02;4,18;4,48;4,63")</f>
        <v>4,37;4,09;4,07;4,14;3,9;3,97;4,35;4,32;4,26;4,14;4,19;4,16;4,04;4,13;4,02;4,18;4,48;4,63</v>
      </c>
    </row>
    <row r="271">
      <c r="A271" s="3" t="s">
        <v>553</v>
      </c>
      <c r="B271" s="4" t="s">
        <v>554</v>
      </c>
      <c r="C271" s="4">
        <f>IFERROR(__xludf.DUMMYFUNCTION("GOOGLEFINANCE($A271, C$2)"),27.71)</f>
        <v>27.71</v>
      </c>
      <c r="D271" s="4">
        <f>IFERROR(__xludf.DUMMYFUNCTION("GOOGLEFINANCE($A271, D$2)"),0.0)</f>
        <v>0</v>
      </c>
      <c r="E271" s="4">
        <f>IFERROR(__xludf.DUMMYFUNCTION("GOOGLEFINANCE($A271, E$2)"),51.14)</f>
        <v>51.14</v>
      </c>
      <c r="F271" s="4">
        <f>IFERROR(__xludf.DUMMYFUNCTION("GOOGLEFINANCE($A271, F$2)"),0.54)</f>
        <v>0.54</v>
      </c>
      <c r="G271" s="4">
        <f>IFERROR(__xludf.DUMMYFUNCTION("GOOGLEFINANCE($A271, G$2)"),27.8)</f>
        <v>27.8</v>
      </c>
      <c r="H271" s="4">
        <f>IFERROR(__xludf.DUMMYFUNCTION("GOOGLEFINANCE($A271, H$2)"),27.37)</f>
        <v>27.37</v>
      </c>
      <c r="I271" s="4" t="str">
        <f>IFERROR(__xludf.DUMMYFUNCTION("REPLACE(JOIN("";"", INDEX(TRANSPOSE(GOOGLEFINANCE($A271, $I$2, TODAY() - 30, TODAY(), 1)), 2)), 1, 6, """")"),"26,67;26,72;26,4;26,89;26,26;27,28;28,7;28,34;27,95;28,16;27,96;27,71;27,5;28,09;28,31;28,21;27,6;27,71")</f>
        <v>26,67;26,72;26,4;26,89;26,26;27,28;28,7;28,34;27,95;28,16;27,96;27,71;27,5;28,09;28,31;28,21;27,6;27,71</v>
      </c>
    </row>
    <row r="272">
      <c r="A272" s="3" t="s">
        <v>555</v>
      </c>
      <c r="B272" s="4" t="s">
        <v>556</v>
      </c>
      <c r="C272" s="4">
        <f>IFERROR(__xludf.DUMMYFUNCTION("GOOGLEFINANCE($A272, C$2)"),353.5)</f>
        <v>353.5</v>
      </c>
      <c r="D272" s="4">
        <f>IFERROR(__xludf.DUMMYFUNCTION("GOOGLEFINANCE($A272, D$2)"),0.0)</f>
        <v>0</v>
      </c>
      <c r="E272" s="4" t="str">
        <f>IFERROR(__xludf.DUMMYFUNCTION("GOOGLEFINANCE($A272, E$2)"),"#N/A")</f>
        <v>#N/A</v>
      </c>
      <c r="F272" s="4" t="str">
        <f>IFERROR(__xludf.DUMMYFUNCTION("GOOGLEFINANCE($A272, F$2)"),"#N/A")</f>
        <v>#N/A</v>
      </c>
      <c r="G272" s="4" t="str">
        <f>IFERROR(__xludf.DUMMYFUNCTION("GOOGLEFINANCE($A272, G$2)"),"#N/A")</f>
        <v>#N/A</v>
      </c>
      <c r="H272" s="4" t="str">
        <f>IFERROR(__xludf.DUMMYFUNCTION("GOOGLEFINANCE($A272, H$2)"),"#N/A")</f>
        <v>#N/A</v>
      </c>
      <c r="I272" s="4" t="str">
        <f>IFERROR(__xludf.DUMMYFUNCTION("REPLACE(JOIN("";"", INDEX(TRANSPOSE(GOOGLEFINANCE($A272, $I$2, TODAY() - 30, TODAY(), 1)), 2)), 1, 6, """")"),"340;355;353,5")</f>
        <v>340;355;353,5</v>
      </c>
    </row>
    <row r="273">
      <c r="A273" s="3" t="s">
        <v>557</v>
      </c>
      <c r="B273" s="4" t="s">
        <v>558</v>
      </c>
      <c r="C273" s="4">
        <f>IFERROR(__xludf.DUMMYFUNCTION("GOOGLEFINANCE($A273, C$2)"),201.0)</f>
        <v>201</v>
      </c>
      <c r="D273" s="4">
        <f>IFERROR(__xludf.DUMMYFUNCTION("GOOGLEFINANCE($A273, D$2)"),0.0)</f>
        <v>0</v>
      </c>
      <c r="E273" s="4" t="str">
        <f>IFERROR(__xludf.DUMMYFUNCTION("GOOGLEFINANCE($A273, E$2)"),"#N/A")</f>
        <v>#N/A</v>
      </c>
      <c r="F273" s="4" t="str">
        <f>IFERROR(__xludf.DUMMYFUNCTION("GOOGLEFINANCE($A273, F$2)"),"#N/A")</f>
        <v>#N/A</v>
      </c>
      <c r="G273" s="4" t="str">
        <f>IFERROR(__xludf.DUMMYFUNCTION("GOOGLEFINANCE($A273, G$2)"),"#N/A")</f>
        <v>#N/A</v>
      </c>
      <c r="H273" s="4" t="str">
        <f>IFERROR(__xludf.DUMMYFUNCTION("GOOGLEFINANCE($A273, H$2)"),"#N/A")</f>
        <v>#N/A</v>
      </c>
      <c r="I273" s="4" t="str">
        <f>IFERROR(__xludf.DUMMYFUNCTION("REPLACE(JOIN("";"", INDEX(TRANSPOSE(GOOGLEFINANCE($A273, $I$2, TODAY() - 30, TODAY(), 1)), 2)), 1, 6, """")"),"221,8;187,7;185,8;184,5;182,29;182,45;185,1;189,3;199,3;201")</f>
        <v>221,8;187,7;185,8;184,5;182,29;182,45;185,1;189,3;199,3;201</v>
      </c>
    </row>
    <row r="274">
      <c r="A274" s="3" t="s">
        <v>559</v>
      </c>
      <c r="B274" s="4" t="s">
        <v>560</v>
      </c>
      <c r="C274" s="4">
        <f>IFERROR(__xludf.DUMMYFUNCTION("GOOGLEFINANCE($A274, C$2)"),384.75)</f>
        <v>384.75</v>
      </c>
      <c r="D274" s="4">
        <f>IFERROR(__xludf.DUMMYFUNCTION("GOOGLEFINANCE($A274, D$2)"),0.0)</f>
        <v>0</v>
      </c>
      <c r="E274" s="4" t="str">
        <f>IFERROR(__xludf.DUMMYFUNCTION("GOOGLEFINANCE($A274, E$2)"),"#N/A")</f>
        <v>#N/A</v>
      </c>
      <c r="F274" s="4" t="str">
        <f>IFERROR(__xludf.DUMMYFUNCTION("GOOGLEFINANCE($A274, F$2)"),"#N/A")</f>
        <v>#N/A</v>
      </c>
      <c r="G274" s="4">
        <f>IFERROR(__xludf.DUMMYFUNCTION("GOOGLEFINANCE($A274, G$2)"),384.75)</f>
        <v>384.75</v>
      </c>
      <c r="H274" s="4">
        <f>IFERROR(__xludf.DUMMYFUNCTION("GOOGLEFINANCE($A274, H$2)"),381.5)</f>
        <v>381.5</v>
      </c>
      <c r="I274" s="4" t="str">
        <f>IFERROR(__xludf.DUMMYFUNCTION("REPLACE(JOIN("";"", INDEX(TRANSPOSE(GOOGLEFINANCE($A274, $I$2, TODAY() - 30, TODAY(), 1)), 2)), 1, 6, """")"),"396,3;392;391,45;373;373,6;372,9;372,89;374;378,7;380;372,9;382,9;345;384,75")</f>
        <v>396,3;392;391,45;373;373,6;372,9;372,89;374;378,7;380;372,9;382,9;345;384,75</v>
      </c>
    </row>
    <row r="275">
      <c r="A275" s="3" t="s">
        <v>561</v>
      </c>
      <c r="B275" s="4" t="s">
        <v>562</v>
      </c>
      <c r="C275" s="4">
        <f>IFERROR(__xludf.DUMMYFUNCTION("GOOGLEFINANCE($A275, C$2)"),174.1)</f>
        <v>174.1</v>
      </c>
      <c r="D275" s="4">
        <f>IFERROR(__xludf.DUMMYFUNCTION("GOOGLEFINANCE($A275, D$2)"),0.0)</f>
        <v>0</v>
      </c>
      <c r="E275" s="4" t="str">
        <f>IFERROR(__xludf.DUMMYFUNCTION("GOOGLEFINANCE($A275, E$2)"),"#N/A")</f>
        <v>#N/A</v>
      </c>
      <c r="F275" s="4" t="str">
        <f>IFERROR(__xludf.DUMMYFUNCTION("GOOGLEFINANCE($A275, F$2)"),"#N/A")</f>
        <v>#N/A</v>
      </c>
      <c r="G275" s="4" t="str">
        <f>IFERROR(__xludf.DUMMYFUNCTION("GOOGLEFINANCE($A275, G$2)"),"#N/A")</f>
        <v>#N/A</v>
      </c>
      <c r="H275" s="4" t="str">
        <f>IFERROR(__xludf.DUMMYFUNCTION("GOOGLEFINANCE($A275, H$2)"),"#N/A")</f>
        <v>#N/A</v>
      </c>
      <c r="I275" s="4" t="str">
        <f>IFERROR(__xludf.DUMMYFUNCTION("REPLACE(JOIN("";"", INDEX(TRANSPOSE(GOOGLEFINANCE($A275, $I$2, TODAY() - 30, TODAY(), 1)), 2)), 1, 6, """")"),"160,35;185,3;186,35;163,91;161,94;165,1;171,3;174,85;174,1")</f>
        <v>160,35;185,3;186,35;163,91;161,94;165,1;171,3;174,85;174,1</v>
      </c>
    </row>
    <row r="276">
      <c r="A276" s="3" t="s">
        <v>563</v>
      </c>
      <c r="B276" s="4" t="s">
        <v>564</v>
      </c>
      <c r="C276" s="4">
        <f>IFERROR(__xludf.DUMMYFUNCTION("GOOGLEFINANCE($A276, C$2)"),12.43)</f>
        <v>12.43</v>
      </c>
      <c r="D276" s="4">
        <f>IFERROR(__xludf.DUMMYFUNCTION("GOOGLEFINANCE($A276, D$2)"),0.0)</f>
        <v>0</v>
      </c>
      <c r="E276" s="4">
        <f>IFERROR(__xludf.DUMMYFUNCTION("GOOGLEFINANCE($A276, E$2)"),46.9)</f>
        <v>46.9</v>
      </c>
      <c r="F276" s="4">
        <f>IFERROR(__xludf.DUMMYFUNCTION("GOOGLEFINANCE($A276, F$2)"),0.27)</f>
        <v>0.27</v>
      </c>
      <c r="G276" s="4">
        <f>IFERROR(__xludf.DUMMYFUNCTION("GOOGLEFINANCE($A276, G$2)"),12.65)</f>
        <v>12.65</v>
      </c>
      <c r="H276" s="4">
        <f>IFERROR(__xludf.DUMMYFUNCTION("GOOGLEFINANCE($A276, H$2)"),12.25)</f>
        <v>12.25</v>
      </c>
      <c r="I276" s="4" t="str">
        <f>IFERROR(__xludf.DUMMYFUNCTION("REPLACE(JOIN("";"", INDEX(TRANSPOSE(GOOGLEFINANCE($A276, $I$2, TODAY() - 30, TODAY(), 1)), 2)), 1, 6, """")"),"10,24;10,44;10,34;10,44;10,44;10,6;11,3;11,54;11,7;11,35;11,57;11,62;11,97;11,95;11,93;11,99;12,19;12,43")</f>
        <v>10,24;10,44;10,34;10,44;10,44;10,6;11,3;11,54;11,7;11,35;11,57;11,62;11,97;11,95;11,93;11,99;12,19;12,43</v>
      </c>
    </row>
    <row r="277">
      <c r="A277" s="3" t="s">
        <v>565</v>
      </c>
      <c r="B277" s="4" t="s">
        <v>566</v>
      </c>
      <c r="C277" s="4">
        <f>IFERROR(__xludf.DUMMYFUNCTION("GOOGLEFINANCE($A277, C$2)"),86.0)</f>
        <v>86</v>
      </c>
      <c r="D277" s="4">
        <f>IFERROR(__xludf.DUMMYFUNCTION("GOOGLEFINANCE($A277, D$2)"),0.0)</f>
        <v>0</v>
      </c>
      <c r="E277" s="4" t="str">
        <f>IFERROR(__xludf.DUMMYFUNCTION("GOOGLEFINANCE($A277, E$2)"),"#N/A")</f>
        <v>#N/A</v>
      </c>
      <c r="F277" s="4">
        <f>IFERROR(__xludf.DUMMYFUNCTION("GOOGLEFINANCE($A277, F$2)"),-33.84)</f>
        <v>-33.84</v>
      </c>
      <c r="G277" s="4" t="str">
        <f>IFERROR(__xludf.DUMMYFUNCTION("GOOGLEFINANCE($A277, G$2)"),"#N/A")</f>
        <v>#N/A</v>
      </c>
      <c r="H277" s="4" t="str">
        <f>IFERROR(__xludf.DUMMYFUNCTION("GOOGLEFINANCE($A277, H$2)"),"#N/A")</f>
        <v>#N/A</v>
      </c>
      <c r="I277" s="4" t="str">
        <f>IFERROR(__xludf.DUMMYFUNCTION("REPLACE(JOIN("";"", INDEX(TRANSPOSE(GOOGLEFINANCE($A277, $I$2, TODAY() - 30, TODAY(), 1)), 2)), 1, 6, """")"),"93,49;86")</f>
        <v>93,49;86</v>
      </c>
    </row>
    <row r="278">
      <c r="A278" s="3" t="s">
        <v>567</v>
      </c>
      <c r="B278" s="4" t="s">
        <v>568</v>
      </c>
      <c r="C278" s="4">
        <f>IFERROR(__xludf.DUMMYFUNCTION("GOOGLEFINANCE($A278, C$2)"),5.69)</f>
        <v>5.69</v>
      </c>
      <c r="D278" s="4">
        <f>IFERROR(__xludf.DUMMYFUNCTION("GOOGLEFINANCE($A278, D$2)"),0.0)</f>
        <v>0</v>
      </c>
      <c r="E278" s="4">
        <f>IFERROR(__xludf.DUMMYFUNCTION("GOOGLEFINANCE($A278, E$2)"),3.38)</f>
        <v>3.38</v>
      </c>
      <c r="F278" s="4">
        <f>IFERROR(__xludf.DUMMYFUNCTION("GOOGLEFINANCE($A278, F$2)"),1.68)</f>
        <v>1.68</v>
      </c>
      <c r="G278" s="4">
        <f>IFERROR(__xludf.DUMMYFUNCTION("GOOGLEFINANCE($A278, G$2)"),5.69)</f>
        <v>5.69</v>
      </c>
      <c r="H278" s="4">
        <f>IFERROR(__xludf.DUMMYFUNCTION("GOOGLEFINANCE($A278, H$2)"),5.0)</f>
        <v>5</v>
      </c>
      <c r="I278" s="4" t="str">
        <f>IFERROR(__xludf.DUMMYFUNCTION("REPLACE(JOIN("";"", INDEX(TRANSPOSE(GOOGLEFINANCE($A278, $I$2, TODAY() - 30, TODAY(), 1)), 2)), 1, 6, """")"),"5,71;5,52;5,17;5,13;5,08;5,12;5,1;5,22;5,17;5,15;5,16;5;4,99;4,99;5,01;4,99;4,99;5,69")</f>
        <v>5,71;5,52;5,17;5,13;5,08;5,12;5,1;5,22;5,17;5,15;5,16;5;4,99;4,99;5,01;4,99;4,99;5,69</v>
      </c>
    </row>
    <row r="279">
      <c r="A279" s="3" t="s">
        <v>569</v>
      </c>
      <c r="B279" s="4" t="s">
        <v>570</v>
      </c>
      <c r="C279" s="4">
        <f>IFERROR(__xludf.DUMMYFUNCTION("GOOGLEFINANCE($A279, C$2)"),50.6)</f>
        <v>50.6</v>
      </c>
      <c r="D279" s="4">
        <f>IFERROR(__xludf.DUMMYFUNCTION("GOOGLEFINANCE($A279, D$2)"),0.0)</f>
        <v>0</v>
      </c>
      <c r="E279" s="4" t="str">
        <f>IFERROR(__xludf.DUMMYFUNCTION("GOOGLEFINANCE($A279, E$2)"),"#N/A")</f>
        <v>#N/A</v>
      </c>
      <c r="F279" s="4" t="str">
        <f>IFERROR(__xludf.DUMMYFUNCTION("GOOGLEFINANCE($A279, F$2)"),"#N/A")</f>
        <v>#N/A</v>
      </c>
      <c r="G279" s="4" t="str">
        <f>IFERROR(__xludf.DUMMYFUNCTION("GOOGLEFINANCE($A279, G$2)"),"#N/A")</f>
        <v>#N/A</v>
      </c>
      <c r="H279" s="4" t="str">
        <f>IFERROR(__xludf.DUMMYFUNCTION("GOOGLEFINANCE($A279, H$2)"),"#N/A")</f>
        <v>#N/A</v>
      </c>
      <c r="I279" s="4" t="str">
        <f>IFERROR(__xludf.DUMMYFUNCTION("REPLACE(JOIN("";"", INDEX(TRANSPOSE(GOOGLEFINANCE($A279, $I$2, TODAY() - 30, TODAY(), 1)), 2)), 1, 6, """")"),"53,7;50,39;49,89;49,57;50,44;50,11;48,95;50,94;50,54;50,03;50,6")</f>
        <v>53,7;50,39;49,89;49,57;50,44;50,11;48,95;50,94;50,54;50,03;50,6</v>
      </c>
    </row>
    <row r="280">
      <c r="A280" s="3" t="s">
        <v>571</v>
      </c>
      <c r="B280" s="4" t="s">
        <v>572</v>
      </c>
      <c r="C280" s="4">
        <f>IFERROR(__xludf.DUMMYFUNCTION("GOOGLEFINANCE($A280, C$2)"),885.0)</f>
        <v>885</v>
      </c>
      <c r="D280" s="4">
        <f>IFERROR(__xludf.DUMMYFUNCTION("GOOGLEFINANCE($A280, D$2)"),0.0)</f>
        <v>0</v>
      </c>
      <c r="E280" s="4" t="str">
        <f>IFERROR(__xludf.DUMMYFUNCTION("GOOGLEFINANCE($A280, E$2)"),"#N/A")</f>
        <v>#N/A</v>
      </c>
      <c r="F280" s="4" t="str">
        <f>IFERROR(__xludf.DUMMYFUNCTION("GOOGLEFINANCE($A280, F$2)"),"#N/A")</f>
        <v>#N/A</v>
      </c>
      <c r="G280" s="4" t="str">
        <f>IFERROR(__xludf.DUMMYFUNCTION("GOOGLEFINANCE($A280, G$2)"),"#N/A")</f>
        <v>#N/A</v>
      </c>
      <c r="H280" s="4" t="str">
        <f>IFERROR(__xludf.DUMMYFUNCTION("GOOGLEFINANCE($A280, H$2)"),"#N/A")</f>
        <v>#N/A</v>
      </c>
      <c r="I280" s="4" t="str">
        <f>IFERROR(__xludf.DUMMYFUNCTION("REPLACE(JOIN("";"", INDEX(TRANSPOSE(GOOGLEFINANCE($A280, $I$2, TODAY() - 30, TODAY(), 1)), 2)), 1, 6, """")"),"818,7;809,01;849;818,2;809,5;802,4;814;809,4;844;859,55;848,18;869,7;880;885")</f>
        <v>818,7;809,01;849;818,2;809,5;802,4;814;809,4;844;859,55;848,18;869,7;880;885</v>
      </c>
    </row>
    <row r="281">
      <c r="A281" s="3" t="s">
        <v>573</v>
      </c>
      <c r="B281" s="4" t="s">
        <v>574</v>
      </c>
      <c r="C281" s="4">
        <f>IFERROR(__xludf.DUMMYFUNCTION("GOOGLEFINANCE($A281, C$2)"),39.0)</f>
        <v>39</v>
      </c>
      <c r="D281" s="4">
        <f>IFERROR(__xludf.DUMMYFUNCTION("GOOGLEFINANCE($A281, D$2)"),0.0)</f>
        <v>0</v>
      </c>
      <c r="E281" s="4">
        <f>IFERROR(__xludf.DUMMYFUNCTION("GOOGLEFINANCE($A281, E$2)"),15.24)</f>
        <v>15.24</v>
      </c>
      <c r="F281" s="4">
        <f>IFERROR(__xludf.DUMMYFUNCTION("GOOGLEFINANCE($A281, F$2)"),2.56)</f>
        <v>2.56</v>
      </c>
      <c r="G281" s="4">
        <f>IFERROR(__xludf.DUMMYFUNCTION("GOOGLEFINANCE($A281, G$2)"),39.21)</f>
        <v>39.21</v>
      </c>
      <c r="H281" s="4">
        <f>IFERROR(__xludf.DUMMYFUNCTION("GOOGLEFINANCE($A281, H$2)"),39.0)</f>
        <v>39</v>
      </c>
      <c r="I281" s="4" t="str">
        <f>IFERROR(__xludf.DUMMYFUNCTION("REPLACE(JOIN("";"", INDEX(TRANSPOSE(GOOGLEFINANCE($A281, $I$2, TODAY() - 30, TODAY(), 1)), 2)), 1, 6, """")"),"40,83;41,3;40,3;40,13;40,4;40;39,52;39,26;39,59;39,2;39,3;39,2;39;39")</f>
        <v>40,83;41,3;40,3;40,13;40,4;40;39,52;39,26;39,59;39,2;39,3;39,2;39;39</v>
      </c>
    </row>
    <row r="282">
      <c r="A282" s="3" t="s">
        <v>575</v>
      </c>
      <c r="B282" s="4" t="s">
        <v>576</v>
      </c>
      <c r="C282" s="4">
        <f>IFERROR(__xludf.DUMMYFUNCTION("GOOGLEFINANCE($A282, C$2)"),38.5)</f>
        <v>38.5</v>
      </c>
      <c r="D282" s="4">
        <f>IFERROR(__xludf.DUMMYFUNCTION("GOOGLEFINANCE($A282, D$2)"),0.0)</f>
        <v>0</v>
      </c>
      <c r="E282" s="4">
        <f>IFERROR(__xludf.DUMMYFUNCTION("GOOGLEFINANCE($A282, E$2)"),15.05)</f>
        <v>15.05</v>
      </c>
      <c r="F282" s="4">
        <f>IFERROR(__xludf.DUMMYFUNCTION("GOOGLEFINANCE($A282, F$2)"),2.56)</f>
        <v>2.56</v>
      </c>
      <c r="G282" s="4">
        <f>IFERROR(__xludf.DUMMYFUNCTION("GOOGLEFINANCE($A282, G$2)"),38.65)</f>
        <v>38.65</v>
      </c>
      <c r="H282" s="4">
        <f>IFERROR(__xludf.DUMMYFUNCTION("GOOGLEFINANCE($A282, H$2)"),38.1)</f>
        <v>38.1</v>
      </c>
      <c r="I282" s="4" t="str">
        <f>IFERROR(__xludf.DUMMYFUNCTION("REPLACE(JOIN("";"", INDEX(TRANSPOSE(GOOGLEFINANCE($A282, $I$2, TODAY() - 30, TODAY(), 1)), 2)), 1, 6, """")"),"43;40,45;40,07;40;39,9;39,7;39,7;39,7;39,6;39,5;39,36;39,35;39,2;39,23;39,74;39,05;38,49;38,5")</f>
        <v>43;40,45;40,07;40;39,9;39,7;39,7;39,7;39,6;39,5;39,36;39,35;39,2;39,23;39,74;39,05;38,49;38,5</v>
      </c>
    </row>
    <row r="283">
      <c r="A283" s="3" t="s">
        <v>577</v>
      </c>
      <c r="B283" s="4" t="s">
        <v>578</v>
      </c>
      <c r="C283" s="4">
        <f>IFERROR(__xludf.DUMMYFUNCTION("GOOGLEFINANCE($A283, C$2)"),5.73)</f>
        <v>5.73</v>
      </c>
      <c r="D283" s="4">
        <f>IFERROR(__xludf.DUMMYFUNCTION("GOOGLEFINANCE($A283, D$2)"),0.0)</f>
        <v>0</v>
      </c>
      <c r="E283" s="4" t="str">
        <f>IFERROR(__xludf.DUMMYFUNCTION("GOOGLEFINANCE($A283, E$2)"),"#N/A")</f>
        <v>#N/A</v>
      </c>
      <c r="F283" s="4">
        <f>IFERROR(__xludf.DUMMYFUNCTION("GOOGLEFINANCE($A283, F$2)"),-0.08)</f>
        <v>-0.08</v>
      </c>
      <c r="G283" s="4">
        <f>IFERROR(__xludf.DUMMYFUNCTION("GOOGLEFINANCE($A283, G$2)"),5.85)</f>
        <v>5.85</v>
      </c>
      <c r="H283" s="4">
        <f>IFERROR(__xludf.DUMMYFUNCTION("GOOGLEFINANCE($A283, H$2)"),5.61)</f>
        <v>5.61</v>
      </c>
      <c r="I283" s="4" t="str">
        <f>IFERROR(__xludf.DUMMYFUNCTION("REPLACE(JOIN("";"", INDEX(TRANSPOSE(GOOGLEFINANCE($A283, $I$2, TODAY() - 30, TODAY(), 1)), 2)), 1, 6, """")"),"4,35;4,34;4,23;4,52;4,53;4,89;4,82;5,42;5,39;5,32;5,91;5,86;5,69;5,62;5,71;5,86;5,71;5,73")</f>
        <v>4,35;4,34;4,23;4,52;4,53;4,89;4,82;5,42;5,39;5,32;5,91;5,86;5,69;5,62;5,71;5,86;5,71;5,73</v>
      </c>
    </row>
    <row r="284">
      <c r="A284" s="3" t="s">
        <v>579</v>
      </c>
      <c r="B284" s="4" t="s">
        <v>580</v>
      </c>
      <c r="C284" s="4">
        <f>IFERROR(__xludf.DUMMYFUNCTION("GOOGLEFINANCE($A284, C$2)"),20.7)</f>
        <v>20.7</v>
      </c>
      <c r="D284" s="4">
        <f>IFERROR(__xludf.DUMMYFUNCTION("GOOGLEFINANCE($A284, D$2)"),0.0)</f>
        <v>0</v>
      </c>
      <c r="E284" s="4">
        <f>IFERROR(__xludf.DUMMYFUNCTION("GOOGLEFINANCE($A284, E$2)"),24.84)</f>
        <v>24.84</v>
      </c>
      <c r="F284" s="4">
        <f>IFERROR(__xludf.DUMMYFUNCTION("GOOGLEFINANCE($A284, F$2)"),0.83)</f>
        <v>0.83</v>
      </c>
      <c r="G284" s="4">
        <f>IFERROR(__xludf.DUMMYFUNCTION("GOOGLEFINANCE($A284, G$2)"),20.8)</f>
        <v>20.8</v>
      </c>
      <c r="H284" s="4">
        <f>IFERROR(__xludf.DUMMYFUNCTION("GOOGLEFINANCE($A284, H$2)"),20.01)</f>
        <v>20.01</v>
      </c>
      <c r="I284" s="4" t="str">
        <f>IFERROR(__xludf.DUMMYFUNCTION("REPLACE(JOIN("";"", INDEX(TRANSPOSE(GOOGLEFINANCE($A284, $I$2, TODAY() - 30, TODAY(), 1)), 2)), 1, 6, """")"),"21,19;20,16;20,06;20,75;19,75;19,6;19,43;19,91;19,7;20,39;20,55;20,51;19,97;20,2;20,26;20,35;20,33;20,7")</f>
        <v>21,19;20,16;20,06;20,75;19,75;19,6;19,43;19,91;19,7;20,39;20,55;20,51;19,97;20,2;20,26;20,35;20,33;20,7</v>
      </c>
    </row>
    <row r="285">
      <c r="A285" s="3" t="s">
        <v>581</v>
      </c>
      <c r="B285" s="4" t="s">
        <v>582</v>
      </c>
      <c r="C285" s="4">
        <f>IFERROR(__xludf.DUMMYFUNCTION("GOOGLEFINANCE($A285, C$2)"),24.9)</f>
        <v>24.9</v>
      </c>
      <c r="D285" s="4">
        <f>IFERROR(__xludf.DUMMYFUNCTION("GOOGLEFINANCE($A285, D$2)"),0.0)</f>
        <v>0</v>
      </c>
      <c r="E285" s="4">
        <f>IFERROR(__xludf.DUMMYFUNCTION("GOOGLEFINANCE($A285, E$2)"),29.88)</f>
        <v>29.88</v>
      </c>
      <c r="F285" s="4">
        <f>IFERROR(__xludf.DUMMYFUNCTION("GOOGLEFINANCE($A285, F$2)"),0.83)</f>
        <v>0.83</v>
      </c>
      <c r="G285" s="4">
        <f>IFERROR(__xludf.DUMMYFUNCTION("GOOGLEFINANCE($A285, G$2)"),24.98)</f>
        <v>24.98</v>
      </c>
      <c r="H285" s="4">
        <f>IFERROR(__xludf.DUMMYFUNCTION("GOOGLEFINANCE($A285, H$2)"),24.14)</f>
        <v>24.14</v>
      </c>
      <c r="I285" s="4" t="str">
        <f>IFERROR(__xludf.DUMMYFUNCTION("REPLACE(JOIN("";"", INDEX(TRANSPOSE(GOOGLEFINANCE($A285, $I$2, TODAY() - 30, TODAY(), 1)), 2)), 1, 6, """")"),"25,36;24,05;23,66;24,29;23,25;23,24;22,97;23,53;23,19;24,2;24;24,15;23,57;24,11;24,11;24,46;24,39;24,9")</f>
        <v>25,36;24,05;23,66;24,29;23,25;23,24;22,97;23,53;23,19;24,2;24;24,15;23,57;24,11;24,11;24,46;24,39;24,9</v>
      </c>
    </row>
    <row r="286">
      <c r="A286" s="3" t="s">
        <v>583</v>
      </c>
      <c r="B286" s="4" t="s">
        <v>584</v>
      </c>
      <c r="C286" s="4">
        <f>IFERROR(__xludf.DUMMYFUNCTION("GOOGLEFINANCE($A286, C$2)"),173.84)</f>
        <v>173.84</v>
      </c>
      <c r="D286" s="4">
        <f>IFERROR(__xludf.DUMMYFUNCTION("GOOGLEFINANCE($A286, D$2)"),0.0)</f>
        <v>0</v>
      </c>
      <c r="E286" s="4" t="str">
        <f>IFERROR(__xludf.DUMMYFUNCTION("GOOGLEFINANCE($A286, E$2)"),"#N/A")</f>
        <v>#N/A</v>
      </c>
      <c r="F286" s="4" t="str">
        <f>IFERROR(__xludf.DUMMYFUNCTION("GOOGLEFINANCE($A286, F$2)"),"#N/A")</f>
        <v>#N/A</v>
      </c>
      <c r="G286" s="4">
        <f>IFERROR(__xludf.DUMMYFUNCTION("GOOGLEFINANCE($A286, G$2)"),175.4)</f>
        <v>175.4</v>
      </c>
      <c r="H286" s="4">
        <f>IFERROR(__xludf.DUMMYFUNCTION("GOOGLEFINANCE($A286, H$2)"),173.84)</f>
        <v>173.84</v>
      </c>
      <c r="I286" s="4" t="str">
        <f>IFERROR(__xludf.DUMMYFUNCTION("REPLACE(JOIN("";"", INDEX(TRANSPOSE(GOOGLEFINANCE($A286, $I$2, TODAY() - 30, TODAY(), 1)), 2)), 1, 6, """")"),"183,3;179,55;178,45;179,55;179,8;175,05;174,55;178,05;187,35;181,65;181,35;182,1;178,6;179,75;175,8;173,84")</f>
        <v>183,3;179,55;178,45;179,55;179,8;175,05;174,55;178,05;187,35;181,65;181,35;182,1;178,6;179,75;175,8;173,84</v>
      </c>
    </row>
    <row r="287">
      <c r="A287" s="3" t="s">
        <v>585</v>
      </c>
      <c r="B287" s="4" t="s">
        <v>586</v>
      </c>
      <c r="C287" s="4">
        <f>IFERROR(__xludf.DUMMYFUNCTION("GOOGLEFINANCE($A287, C$2)"),8.35)</f>
        <v>8.35</v>
      </c>
      <c r="D287" s="4">
        <f>IFERROR(__xludf.DUMMYFUNCTION("GOOGLEFINANCE($A287, D$2)"),0.0)</f>
        <v>0</v>
      </c>
      <c r="E287" s="4">
        <f>IFERROR(__xludf.DUMMYFUNCTION("GOOGLEFINANCE($A287, E$2)"),29.31)</f>
        <v>29.31</v>
      </c>
      <c r="F287" s="4">
        <f>IFERROR(__xludf.DUMMYFUNCTION("GOOGLEFINANCE($A287, F$2)"),0.28)</f>
        <v>0.28</v>
      </c>
      <c r="G287" s="4">
        <f>IFERROR(__xludf.DUMMYFUNCTION("GOOGLEFINANCE($A287, G$2)"),8.48)</f>
        <v>8.48</v>
      </c>
      <c r="H287" s="4">
        <f>IFERROR(__xludf.DUMMYFUNCTION("GOOGLEFINANCE($A287, H$2)"),8.3)</f>
        <v>8.3</v>
      </c>
      <c r="I287" s="4" t="str">
        <f>IFERROR(__xludf.DUMMYFUNCTION("REPLACE(JOIN("";"", INDEX(TRANSPOSE(GOOGLEFINANCE($A287, $I$2, TODAY() - 30, TODAY(), 1)), 2)), 1, 6, """")"),"8,88;8,96;8,66;8,69;8,43;8,43;8,36;8,39;8,61;8,56;8,33;8,39;8,25;8,49;8,56;8,41;8,41;8,35")</f>
        <v>8,88;8,96;8,66;8,69;8,43;8,43;8,36;8,39;8,61;8,56;8,33;8,39;8,25;8,49;8,56;8,41;8,41;8,35</v>
      </c>
    </row>
    <row r="288">
      <c r="A288" s="3" t="s">
        <v>587</v>
      </c>
      <c r="B288" s="4" t="s">
        <v>588</v>
      </c>
      <c r="C288" s="4">
        <f>IFERROR(__xludf.DUMMYFUNCTION("GOOGLEFINANCE($A288, C$2)"),70.91)</f>
        <v>70.91</v>
      </c>
      <c r="D288" s="4">
        <f>IFERROR(__xludf.DUMMYFUNCTION("GOOGLEFINANCE($A288, D$2)"),0.0)</f>
        <v>0</v>
      </c>
      <c r="E288" s="4" t="str">
        <f>IFERROR(__xludf.DUMMYFUNCTION("GOOGLEFINANCE($A288, E$2)"),"#N/A")</f>
        <v>#N/A</v>
      </c>
      <c r="F288" s="4" t="str">
        <f>IFERROR(__xludf.DUMMYFUNCTION("GOOGLEFINANCE($A288, F$2)"),"#N/A")</f>
        <v>#N/A</v>
      </c>
      <c r="G288" s="4">
        <f>IFERROR(__xludf.DUMMYFUNCTION("GOOGLEFINANCE($A288, G$2)"),71.56)</f>
        <v>71.56</v>
      </c>
      <c r="H288" s="4">
        <f>IFERROR(__xludf.DUMMYFUNCTION("GOOGLEFINANCE($A288, H$2)"),70.71)</f>
        <v>70.71</v>
      </c>
      <c r="I288" s="4" t="str">
        <f>IFERROR(__xludf.DUMMYFUNCTION("REPLACE(JOIN("";"", INDEX(TRANSPOSE(GOOGLEFINANCE($A288, $I$2, TODAY() - 30, TODAY(), 1)), 2)), 1, 6, """")"),"75,67;68,85;66,38;69,58;69,62;70,04;70,83;73,02;73,21;73,95;76,4;75,49;72,9;71,75;72,14;71,51;71,4;70,91")</f>
        <v>75,67;68,85;66,38;69,58;69,62;70,04;70,83;73,02;73,21;73,95;76,4;75,49;72,9;71,75;72,14;71,51;71,4;70,91</v>
      </c>
    </row>
    <row r="289">
      <c r="A289" s="3" t="s">
        <v>589</v>
      </c>
      <c r="B289" s="4" t="s">
        <v>590</v>
      </c>
      <c r="C289" s="4">
        <f>IFERROR(__xludf.DUMMYFUNCTION("GOOGLEFINANCE($A289, C$2)"),93.13)</f>
        <v>93.13</v>
      </c>
      <c r="D289" s="4">
        <f>IFERROR(__xludf.DUMMYFUNCTION("GOOGLEFINANCE($A289, D$2)"),0.0)</f>
        <v>0</v>
      </c>
      <c r="E289" s="4">
        <f>IFERROR(__xludf.DUMMYFUNCTION("GOOGLEFINANCE($A289, E$2)"),79.45)</f>
        <v>79.45</v>
      </c>
      <c r="F289" s="4">
        <f>IFERROR(__xludf.DUMMYFUNCTION("GOOGLEFINANCE($A289, F$2)"),1.17)</f>
        <v>1.17</v>
      </c>
      <c r="G289" s="4">
        <f>IFERROR(__xludf.DUMMYFUNCTION("GOOGLEFINANCE($A289, G$2)"),93.86)</f>
        <v>93.86</v>
      </c>
      <c r="H289" s="4">
        <f>IFERROR(__xludf.DUMMYFUNCTION("GOOGLEFINANCE($A289, H$2)"),90.64)</f>
        <v>90.64</v>
      </c>
      <c r="I289" s="4" t="str">
        <f>IFERROR(__xludf.DUMMYFUNCTION("REPLACE(JOIN("";"", INDEX(TRANSPOSE(GOOGLEFINANCE($A289, $I$2, TODAY() - 30, TODAY(), 1)), 2)), 1, 6, """")"),"97,54;98,56;94,21;97,72;94,5;96,57;97,89;97,53;97,13;98,73;98,07;95,9;93,38;96,48;95,09;95,5;92,31;93,13")</f>
        <v>97,54;98,56;94,21;97,72;94,5;96,57;97,89;97,53;97,13;98,73;98,07;95,9;93,38;96,48;95,09;95,5;92,31;93,13</v>
      </c>
    </row>
    <row r="290">
      <c r="A290" s="3" t="s">
        <v>591</v>
      </c>
      <c r="B290" s="4" t="s">
        <v>592</v>
      </c>
      <c r="C290" s="4">
        <f>IFERROR(__xludf.DUMMYFUNCTION("GOOGLEFINANCE($A290, C$2)"),9.88)</f>
        <v>9.88</v>
      </c>
      <c r="D290" s="4">
        <f>IFERROR(__xludf.DUMMYFUNCTION("GOOGLEFINANCE($A290, D$2)"),0.0)</f>
        <v>0</v>
      </c>
      <c r="E290" s="4">
        <f>IFERROR(__xludf.DUMMYFUNCTION("GOOGLEFINANCE($A290, E$2)"),20.18)</f>
        <v>20.18</v>
      </c>
      <c r="F290" s="4">
        <f>IFERROR(__xludf.DUMMYFUNCTION("GOOGLEFINANCE($A290, F$2)"),0.49)</f>
        <v>0.49</v>
      </c>
      <c r="G290" s="4">
        <f>IFERROR(__xludf.DUMMYFUNCTION("GOOGLEFINANCE($A290, G$2)"),9.9)</f>
        <v>9.9</v>
      </c>
      <c r="H290" s="4">
        <f>IFERROR(__xludf.DUMMYFUNCTION("GOOGLEFINANCE($A290, H$2)"),9.76)</f>
        <v>9.76</v>
      </c>
      <c r="I290" s="4" t="str">
        <f>IFERROR(__xludf.DUMMYFUNCTION("REPLACE(JOIN("";"", INDEX(TRANSPOSE(GOOGLEFINANCE($A290, $I$2, TODAY() - 30, TODAY(), 1)), 2)), 1, 6, """")"),"10,2;9,79;9,59;9,81;9,54;9,54;9,52;9,65;9,56;9,8;9,83;9,94;9,73;9,75;9,71;9,82;9,82;9,88")</f>
        <v>10,2;9,79;9,59;9,81;9,54;9,54;9,52;9,65;9,56;9,8;9,83;9,94;9,73;9,75;9,71;9,82;9,82;9,88</v>
      </c>
    </row>
    <row r="291">
      <c r="A291" s="3" t="s">
        <v>593</v>
      </c>
      <c r="B291" s="4" t="s">
        <v>594</v>
      </c>
      <c r="C291" s="4">
        <f>IFERROR(__xludf.DUMMYFUNCTION("GOOGLEFINANCE($A291, C$2)"),11.28)</f>
        <v>11.28</v>
      </c>
      <c r="D291" s="4">
        <f>IFERROR(__xludf.DUMMYFUNCTION("GOOGLEFINANCE($A291, D$2)"),0.0)</f>
        <v>0</v>
      </c>
      <c r="E291" s="4">
        <f>IFERROR(__xludf.DUMMYFUNCTION("GOOGLEFINANCE($A291, E$2)"),23.04)</f>
        <v>23.04</v>
      </c>
      <c r="F291" s="4">
        <f>IFERROR(__xludf.DUMMYFUNCTION("GOOGLEFINANCE($A291, F$2)"),0.49)</f>
        <v>0.49</v>
      </c>
      <c r="G291" s="4">
        <f>IFERROR(__xludf.DUMMYFUNCTION("GOOGLEFINANCE($A291, G$2)"),11.29)</f>
        <v>11.29</v>
      </c>
      <c r="H291" s="4">
        <f>IFERROR(__xludf.DUMMYFUNCTION("GOOGLEFINANCE($A291, H$2)"),10.96)</f>
        <v>10.96</v>
      </c>
      <c r="I291" s="4" t="str">
        <f>IFERROR(__xludf.DUMMYFUNCTION("REPLACE(JOIN("";"", INDEX(TRANSPOSE(GOOGLEFINANCE($A291, $I$2, TODAY() - 30, TODAY(), 1)), 2)), 1, 6, """")"),"11,59;10,92;10,77;10,98;10,58;10,67;10,52;10,82;10,62;11,02;10,91;11,07;10,77;10,97;10,95;11,18;11,07;11,28")</f>
        <v>11,59;10,92;10,77;10,98;10,58;10,67;10,52;10,82;10,62;11,02;10,91;11,07;10,77;10,97;10,95;11,18;11,07;11,28</v>
      </c>
    </row>
    <row r="292">
      <c r="A292" s="3" t="s">
        <v>595</v>
      </c>
      <c r="B292" s="4" t="s">
        <v>596</v>
      </c>
      <c r="C292" s="4">
        <f>IFERROR(__xludf.DUMMYFUNCTION("GOOGLEFINANCE($A292, C$2)"),74.91)</f>
        <v>74.91</v>
      </c>
      <c r="D292" s="4">
        <f>IFERROR(__xludf.DUMMYFUNCTION("GOOGLEFINANCE($A292, D$2)"),0.0)</f>
        <v>0</v>
      </c>
      <c r="E292" s="4" t="str">
        <f>IFERROR(__xludf.DUMMYFUNCTION("GOOGLEFINANCE($A292, E$2)"),"#N/A")</f>
        <v>#N/A</v>
      </c>
      <c r="F292" s="4" t="str">
        <f>IFERROR(__xludf.DUMMYFUNCTION("GOOGLEFINANCE($A292, F$2)"),"#N/A")</f>
        <v>#N/A</v>
      </c>
      <c r="G292" s="4">
        <f>IFERROR(__xludf.DUMMYFUNCTION("GOOGLEFINANCE($A292, G$2)"),77.76)</f>
        <v>77.76</v>
      </c>
      <c r="H292" s="4">
        <f>IFERROR(__xludf.DUMMYFUNCTION("GOOGLEFINANCE($A292, H$2)"),74.91)</f>
        <v>74.91</v>
      </c>
      <c r="I292" s="4" t="str">
        <f>IFERROR(__xludf.DUMMYFUNCTION("REPLACE(JOIN("";"", INDEX(TRANSPOSE(GOOGLEFINANCE($A292, $I$2, TODAY() - 30, TODAY(), 1)), 2)), 1, 6, """")"),"69,36;68,5;65,79;67,75;67,19;69,09;70,11;75;74,08;75;74,55;75,59;74,98;74,58;75,3;77;76,91;74,91")</f>
        <v>69,36;68,5;65,79;67,75;67,19;69,09;70,11;75;74,08;75;74,55;75,59;74,98;74,58;75,3;77;76,91;74,91</v>
      </c>
    </row>
    <row r="293">
      <c r="A293" s="3" t="s">
        <v>597</v>
      </c>
      <c r="B293" s="4" t="s">
        <v>596</v>
      </c>
      <c r="C293" s="4">
        <f>IFERROR(__xludf.DUMMYFUNCTION("GOOGLEFINANCE($A293, C$2)"),75.85)</f>
        <v>75.85</v>
      </c>
      <c r="D293" s="4">
        <f>IFERROR(__xludf.DUMMYFUNCTION("GOOGLEFINANCE($A293, D$2)"),0.0)</f>
        <v>0</v>
      </c>
      <c r="E293" s="4" t="str">
        <f>IFERROR(__xludf.DUMMYFUNCTION("GOOGLEFINANCE($A293, E$2)"),"#N/A")</f>
        <v>#N/A</v>
      </c>
      <c r="F293" s="4" t="str">
        <f>IFERROR(__xludf.DUMMYFUNCTION("GOOGLEFINANCE($A293, F$2)"),"#N/A")</f>
        <v>#N/A</v>
      </c>
      <c r="G293" s="4">
        <f>IFERROR(__xludf.DUMMYFUNCTION("GOOGLEFINANCE($A293, G$2)"),77.05)</f>
        <v>77.05</v>
      </c>
      <c r="H293" s="4">
        <f>IFERROR(__xludf.DUMMYFUNCTION("GOOGLEFINANCE($A293, H$2)"),75.6)</f>
        <v>75.6</v>
      </c>
      <c r="I293" s="4" t="str">
        <f>IFERROR(__xludf.DUMMYFUNCTION("REPLACE(JOIN("";"", INDEX(TRANSPOSE(GOOGLEFINANCE($A293, $I$2, TODAY() - 30, TODAY(), 1)), 2)), 1, 6, """")"),"69,67;68,81;65,49;67,51;67,41;69,44;69,5;74,81;75,02;75,3;74,83;75,16;75,28;74,97;75,78;76,95;77,3;75,85")</f>
        <v>69,67;68,81;65,49;67,51;67,41;69,44;69,5;74,81;75,02;75,3;74,83;75,16;75,28;74,97;75,78;76,95;77,3;75,85</v>
      </c>
    </row>
    <row r="294">
      <c r="A294" s="3" t="s">
        <v>598</v>
      </c>
      <c r="B294" s="4" t="s">
        <v>599</v>
      </c>
      <c r="C294" s="4">
        <f>IFERROR(__xludf.DUMMYFUNCTION("GOOGLEFINANCE($A294, C$2)"),23.79)</f>
        <v>23.79</v>
      </c>
      <c r="D294" s="4">
        <f>IFERROR(__xludf.DUMMYFUNCTION("GOOGLEFINANCE($A294, D$2)"),0.0)</f>
        <v>0</v>
      </c>
      <c r="E294" s="4" t="str">
        <f>IFERROR(__xludf.DUMMYFUNCTION("GOOGLEFINANCE($A294, E$2)"),"#N/A")</f>
        <v>#N/A</v>
      </c>
      <c r="F294" s="4">
        <f>IFERROR(__xludf.DUMMYFUNCTION("GOOGLEFINANCE($A294, F$2)"),-30.1)</f>
        <v>-30.1</v>
      </c>
      <c r="G294" s="4">
        <f>IFERROR(__xludf.DUMMYFUNCTION("GOOGLEFINANCE($A294, G$2)"),24.14)</f>
        <v>24.14</v>
      </c>
      <c r="H294" s="4">
        <f>IFERROR(__xludf.DUMMYFUNCTION("GOOGLEFINANCE($A294, H$2)"),23.41)</f>
        <v>23.41</v>
      </c>
      <c r="I294" s="4" t="str">
        <f>IFERROR(__xludf.DUMMYFUNCTION("REPLACE(JOIN("";"", INDEX(TRANSPOSE(GOOGLEFINANCE($A294, $I$2, TODAY() - 30, TODAY(), 1)), 2)), 1, 6, """")"),"22,95;22,21;23,01;24,61;23,95;24,82;25,37;25;25,23;25,09;25,76;25;24,26;24,11;24,14;24,23;23,57;23,79")</f>
        <v>22,95;22,21;23,01;24,61;23,95;24,82;25,37;25;25,23;25,09;25,76;25;24,26;24,11;24,14;24,23;23,57;23,79</v>
      </c>
    </row>
    <row r="295">
      <c r="A295" s="3" t="s">
        <v>600</v>
      </c>
      <c r="B295" s="4" t="s">
        <v>601</v>
      </c>
      <c r="C295" s="4">
        <f>IFERROR(__xludf.DUMMYFUNCTION("GOOGLEFINANCE($A295, C$2)"),68.0)</f>
        <v>68</v>
      </c>
      <c r="D295" s="4">
        <f>IFERROR(__xludf.DUMMYFUNCTION("GOOGLEFINANCE($A295, D$2)"),0.0)</f>
        <v>0</v>
      </c>
      <c r="E295" s="4">
        <f>IFERROR(__xludf.DUMMYFUNCTION("GOOGLEFINANCE($A295, E$2)"),26.62)</f>
        <v>26.62</v>
      </c>
      <c r="F295" s="4">
        <f>IFERROR(__xludf.DUMMYFUNCTION("GOOGLEFINANCE($A295, F$2)"),2.55)</f>
        <v>2.55</v>
      </c>
      <c r="G295" s="4" t="str">
        <f>IFERROR(__xludf.DUMMYFUNCTION("GOOGLEFINANCE($A295, G$2)"),"#N/A")</f>
        <v>#N/A</v>
      </c>
      <c r="H295" s="4" t="str">
        <f>IFERROR(__xludf.DUMMYFUNCTION("GOOGLEFINANCE($A295, H$2)"),"#N/A")</f>
        <v>#N/A</v>
      </c>
      <c r="I295" s="4" t="str">
        <f>IFERROR(__xludf.DUMMYFUNCTION("REPLACE(JOIN("";"", INDEX(TRANSPOSE(GOOGLEFINANCE($A295, $I$2, TODAY() - 30, TODAY(), 1)), 2)), 1, 6, """")"),"100;92;70,84;58,57;66;72,99;78,99;70;68")</f>
        <v>100;92;70,84;58,57;66;72,99;78,99;70;68</v>
      </c>
    </row>
    <row r="296">
      <c r="A296" s="3" t="s">
        <v>602</v>
      </c>
      <c r="B296" s="4" t="s">
        <v>603</v>
      </c>
      <c r="C296" s="4">
        <f>IFERROR(__xludf.DUMMYFUNCTION("GOOGLEFINANCE($A296, C$2)"),23.8)</f>
        <v>23.8</v>
      </c>
      <c r="D296" s="4">
        <f>IFERROR(__xludf.DUMMYFUNCTION("GOOGLEFINANCE($A296, D$2)"),0.0)</f>
        <v>0</v>
      </c>
      <c r="E296" s="4">
        <f>IFERROR(__xludf.DUMMYFUNCTION("GOOGLEFINANCE($A296, E$2)"),7.59)</f>
        <v>7.59</v>
      </c>
      <c r="F296" s="4">
        <f>IFERROR(__xludf.DUMMYFUNCTION("GOOGLEFINANCE($A296, F$2)"),3.13)</f>
        <v>3.13</v>
      </c>
      <c r="G296" s="4">
        <f>IFERROR(__xludf.DUMMYFUNCTION("GOOGLEFINANCE($A296, G$2)"),24.3)</f>
        <v>24.3</v>
      </c>
      <c r="H296" s="4">
        <f>IFERROR(__xludf.DUMMYFUNCTION("GOOGLEFINANCE($A296, H$2)"),23.41)</f>
        <v>23.41</v>
      </c>
      <c r="I296" s="4" t="str">
        <f>IFERROR(__xludf.DUMMYFUNCTION("REPLACE(JOIN("";"", INDEX(TRANSPOSE(GOOGLEFINANCE($A296, $I$2, TODAY() - 30, TODAY(), 1)), 2)), 1, 6, """")"),"23,31;23,24;22,45;22,58;21,36;22;24,19;24,62;23,46;23,98;23,79;23,44;22,6;22,3;23;23,15;24;23,8")</f>
        <v>23,31;23,24;22,45;22,58;21,36;22;24,19;24,62;23,46;23,98;23,79;23,44;22,6;22,3;23;23,15;24;23,8</v>
      </c>
    </row>
    <row r="297">
      <c r="A297" s="3" t="s">
        <v>604</v>
      </c>
      <c r="B297" s="4" t="s">
        <v>605</v>
      </c>
      <c r="C297" s="4">
        <f>IFERROR(__xludf.DUMMYFUNCTION("GOOGLEFINANCE($A297, C$2)"),25.4)</f>
        <v>25.4</v>
      </c>
      <c r="D297" s="4">
        <f>IFERROR(__xludf.DUMMYFUNCTION("GOOGLEFINANCE($A297, D$2)"),0.0)</f>
        <v>0</v>
      </c>
      <c r="E297" s="4">
        <f>IFERROR(__xludf.DUMMYFUNCTION("GOOGLEFINANCE($A297, E$2)"),8.11)</f>
        <v>8.11</v>
      </c>
      <c r="F297" s="4">
        <f>IFERROR(__xludf.DUMMYFUNCTION("GOOGLEFINANCE($A297, F$2)"),3.13)</f>
        <v>3.13</v>
      </c>
      <c r="G297" s="4">
        <f>IFERROR(__xludf.DUMMYFUNCTION("GOOGLEFINANCE($A297, G$2)"),25.4)</f>
        <v>25.4</v>
      </c>
      <c r="H297" s="4">
        <f>IFERROR(__xludf.DUMMYFUNCTION("GOOGLEFINANCE($A297, H$2)"),25.4)</f>
        <v>25.4</v>
      </c>
      <c r="I297" s="4" t="str">
        <f>IFERROR(__xludf.DUMMYFUNCTION("REPLACE(JOIN("";"", INDEX(TRANSPOSE(GOOGLEFINANCE($A297, $I$2, TODAY() - 30, TODAY(), 1)), 2)), 1, 6, """")"),"26,5;26,5;26;26;26;26,5;26,02;26,7;25,15;24,9;25,5;25,4")</f>
        <v>26,5;26,5;26;26;26;26,5;26,02;26,7;25,15;24,9;25,5;25,4</v>
      </c>
    </row>
    <row r="298">
      <c r="A298" s="3" t="s">
        <v>606</v>
      </c>
      <c r="B298" s="4" t="s">
        <v>607</v>
      </c>
      <c r="C298" s="4">
        <f>IFERROR(__xludf.DUMMYFUNCTION("GOOGLEFINANCE($A298, C$2)"),3.85)</f>
        <v>3.85</v>
      </c>
      <c r="D298" s="4">
        <f>IFERROR(__xludf.DUMMYFUNCTION("GOOGLEFINANCE($A298, D$2)"),0.0)</f>
        <v>0</v>
      </c>
      <c r="E298" s="4" t="str">
        <f>IFERROR(__xludf.DUMMYFUNCTION("GOOGLEFINANCE($A298, E$2)"),"#N/A")</f>
        <v>#N/A</v>
      </c>
      <c r="F298" s="4">
        <f>IFERROR(__xludf.DUMMYFUNCTION("GOOGLEFINANCE($A298, F$2)"),-3.66)</f>
        <v>-3.66</v>
      </c>
      <c r="G298" s="4">
        <f>IFERROR(__xludf.DUMMYFUNCTION("GOOGLEFINANCE($A298, G$2)"),3.85)</f>
        <v>3.85</v>
      </c>
      <c r="H298" s="4">
        <f>IFERROR(__xludf.DUMMYFUNCTION("GOOGLEFINANCE($A298, H$2)"),3.78)</f>
        <v>3.78</v>
      </c>
      <c r="I298" s="4" t="str">
        <f>IFERROR(__xludf.DUMMYFUNCTION("REPLACE(JOIN("";"", INDEX(TRANSPOSE(GOOGLEFINANCE($A298, $I$2, TODAY() - 30, TODAY(), 1)), 2)), 1, 6, """")"),"3,8;3,72;3,81;3,86;3,72;3,81;3,9;3,91;3,94;3,9;3,91;3,85;3,84;3,78;3,89;3,95;3,8;3,85")</f>
        <v>3,8;3,72;3,81;3,86;3,72;3,81;3,9;3,91;3,94;3,9;3,91;3,85;3,84;3,78;3,89;3,95;3,8;3,85</v>
      </c>
    </row>
    <row r="299">
      <c r="A299" s="3" t="s">
        <v>608</v>
      </c>
      <c r="B299" s="4" t="s">
        <v>609</v>
      </c>
      <c r="C299" s="4">
        <f>IFERROR(__xludf.DUMMYFUNCTION("GOOGLEFINANCE($A299, C$2)"),128.4)</f>
        <v>128.4</v>
      </c>
      <c r="D299" s="4">
        <f>IFERROR(__xludf.DUMMYFUNCTION("GOOGLEFINANCE($A299, D$2)"),0.0)</f>
        <v>0</v>
      </c>
      <c r="E299" s="4" t="str">
        <f>IFERROR(__xludf.DUMMYFUNCTION("GOOGLEFINANCE($A299, E$2)"),"#N/A")</f>
        <v>#N/A</v>
      </c>
      <c r="F299" s="4" t="str">
        <f>IFERROR(__xludf.DUMMYFUNCTION("GOOGLEFINANCE($A299, F$2)"),"#N/A")</f>
        <v>#N/A</v>
      </c>
      <c r="G299" s="4">
        <f>IFERROR(__xludf.DUMMYFUNCTION("GOOGLEFINANCE($A299, G$2)"),128.4)</f>
        <v>128.4</v>
      </c>
      <c r="H299" s="4">
        <f>IFERROR(__xludf.DUMMYFUNCTION("GOOGLEFINANCE($A299, H$2)"),125.8)</f>
        <v>125.8</v>
      </c>
      <c r="I299" s="4" t="str">
        <f>IFERROR(__xludf.DUMMYFUNCTION("REPLACE(JOIN("";"", INDEX(TRANSPOSE(GOOGLEFINANCE($A299, $I$2, TODAY() - 30, TODAY(), 1)), 2)), 1, 6, """")"),"115,8;112,15;121,45;121,45;118,55;128;121,99;125,8;128,4")</f>
        <v>115,8;112,15;121,45;121,45;118,55;128;121,99;125,8;128,4</v>
      </c>
    </row>
    <row r="300">
      <c r="A300" s="3" t="s">
        <v>610</v>
      </c>
      <c r="B300" s="4" t="s">
        <v>611</v>
      </c>
      <c r="C300" s="4">
        <f>IFERROR(__xludf.DUMMYFUNCTION("GOOGLEFINANCE($A300, C$2)"),7.69)</f>
        <v>7.69</v>
      </c>
      <c r="D300" s="4">
        <f>IFERROR(__xludf.DUMMYFUNCTION("GOOGLEFINANCE($A300, D$2)"),0.0)</f>
        <v>0</v>
      </c>
      <c r="E300" s="4">
        <f>IFERROR(__xludf.DUMMYFUNCTION("GOOGLEFINANCE($A300, E$2)"),22.67)</f>
        <v>22.67</v>
      </c>
      <c r="F300" s="4">
        <f>IFERROR(__xludf.DUMMYFUNCTION("GOOGLEFINANCE($A300, F$2)"),0.34)</f>
        <v>0.34</v>
      </c>
      <c r="G300" s="4">
        <f>IFERROR(__xludf.DUMMYFUNCTION("GOOGLEFINANCE($A300, G$2)"),7.81)</f>
        <v>7.81</v>
      </c>
      <c r="H300" s="4">
        <f>IFERROR(__xludf.DUMMYFUNCTION("GOOGLEFINANCE($A300, H$2)"),7.67)</f>
        <v>7.67</v>
      </c>
      <c r="I300" s="4" t="str">
        <f>IFERROR(__xludf.DUMMYFUNCTION("REPLACE(JOIN("";"", INDEX(TRANSPOSE(GOOGLEFINANCE($A300, $I$2, TODAY() - 30, TODAY(), 1)), 2)), 1, 6, """")"),"7,76;7,75;7,7;7,9;7,71;7,73;7,85;7,72;7,72;7,78;7,58;7,59;7,44;7,81;7,88;7,89;7,77;7,69")</f>
        <v>7,76;7,75;7,7;7,9;7,71;7,73;7,85;7,72;7,72;7,78;7,58;7,59;7,44;7,81;7,88;7,89;7,77;7,69</v>
      </c>
    </row>
    <row r="301">
      <c r="A301" s="3" t="s">
        <v>612</v>
      </c>
      <c r="B301" s="4" t="s">
        <v>613</v>
      </c>
      <c r="C301" s="4">
        <f>IFERROR(__xludf.DUMMYFUNCTION("GOOGLEFINANCE($A301, C$2)"),170.7)</f>
        <v>170.7</v>
      </c>
      <c r="D301" s="4">
        <f>IFERROR(__xludf.DUMMYFUNCTION("GOOGLEFINANCE($A301, D$2)"),0.0)</f>
        <v>0</v>
      </c>
      <c r="E301" s="4" t="str">
        <f>IFERROR(__xludf.DUMMYFUNCTION("GOOGLEFINANCE($A301, E$2)"),"#N/A")</f>
        <v>#N/A</v>
      </c>
      <c r="F301" s="4" t="str">
        <f>IFERROR(__xludf.DUMMYFUNCTION("GOOGLEFINANCE($A301, F$2)"),"#N/A")</f>
        <v>#N/A</v>
      </c>
      <c r="G301" s="4">
        <f>IFERROR(__xludf.DUMMYFUNCTION("GOOGLEFINANCE($A301, G$2)"),170.7)</f>
        <v>170.7</v>
      </c>
      <c r="H301" s="4">
        <f>IFERROR(__xludf.DUMMYFUNCTION("GOOGLEFINANCE($A301, H$2)"),168.2)</f>
        <v>168.2</v>
      </c>
      <c r="I301" s="4" t="str">
        <f>IFERROR(__xludf.DUMMYFUNCTION("REPLACE(JOIN("";"", INDEX(TRANSPOSE(GOOGLEFINANCE($A301, $I$2, TODAY() - 30, TODAY(), 1)), 2)), 1, 6, """")"),"158,62;151,5;148,3;150,5;149,19;149,81;154,41;154,86;160,2;157,96;160,75;161,8;164,25;162;164,2;170;169,3;170,7")</f>
        <v>158,62;151,5;148,3;150,5;149,19;149,81;154,41;154,86;160,2;157,96;160,75;161,8;164,25;162;164,2;170;169,3;170,7</v>
      </c>
    </row>
    <row r="302">
      <c r="A302" s="3" t="s">
        <v>614</v>
      </c>
      <c r="B302" s="4" t="s">
        <v>615</v>
      </c>
      <c r="C302" s="4">
        <f>IFERROR(__xludf.DUMMYFUNCTION("GOOGLEFINANCE($A302, C$2)"),51.8)</f>
        <v>51.8</v>
      </c>
      <c r="D302" s="4">
        <f>IFERROR(__xludf.DUMMYFUNCTION("GOOGLEFINANCE($A302, D$2)"),0.0)</f>
        <v>0</v>
      </c>
      <c r="E302" s="4" t="str">
        <f>IFERROR(__xludf.DUMMYFUNCTION("GOOGLEFINANCE($A302, E$2)"),"#N/A")</f>
        <v>#N/A</v>
      </c>
      <c r="F302" s="4">
        <f>IFERROR(__xludf.DUMMYFUNCTION("GOOGLEFINANCE($A302, F$2)"),-287.57)</f>
        <v>-287.57</v>
      </c>
      <c r="G302" s="4" t="str">
        <f>IFERROR(__xludf.DUMMYFUNCTION("GOOGLEFINANCE($A302, G$2)"),"#N/A")</f>
        <v>#N/A</v>
      </c>
      <c r="H302" s="4" t="str">
        <f>IFERROR(__xludf.DUMMYFUNCTION("GOOGLEFINANCE($A302, H$2)"),"#N/A")</f>
        <v>#N/A</v>
      </c>
      <c r="I302" s="4" t="str">
        <f>IFERROR(__xludf.DUMMYFUNCTION("REPLACE(JOIN("";"", INDEX(TRANSPOSE(GOOGLEFINANCE($A302, $I$2, TODAY() - 30, TODAY(), 1)), 2)), 1, 6, """")"),"50,24;50,73;55;51,31;53;53;54;54;53,2;52,1;52,01;51,8")</f>
        <v>50,24;50,73;55;51,31;53;53;54;54;53,2;52,1;52,01;51,8</v>
      </c>
    </row>
    <row r="303">
      <c r="A303" s="3" t="s">
        <v>616</v>
      </c>
      <c r="B303" s="4" t="s">
        <v>617</v>
      </c>
      <c r="C303" s="4">
        <f>IFERROR(__xludf.DUMMYFUNCTION("GOOGLEFINANCE($A303, C$2)"),13.94)</f>
        <v>13.94</v>
      </c>
      <c r="D303" s="4">
        <f>IFERROR(__xludf.DUMMYFUNCTION("GOOGLEFINANCE($A303, D$2)"),0.0)</f>
        <v>0</v>
      </c>
      <c r="E303" s="4">
        <f>IFERROR(__xludf.DUMMYFUNCTION("GOOGLEFINANCE($A303, E$2)"),153.36)</f>
        <v>153.36</v>
      </c>
      <c r="F303" s="4">
        <f>IFERROR(__xludf.DUMMYFUNCTION("GOOGLEFINANCE($A303, F$2)"),0.09)</f>
        <v>0.09</v>
      </c>
      <c r="G303" s="4">
        <f>IFERROR(__xludf.DUMMYFUNCTION("GOOGLEFINANCE($A303, G$2)"),14.21)</f>
        <v>14.21</v>
      </c>
      <c r="H303" s="4">
        <f>IFERROR(__xludf.DUMMYFUNCTION("GOOGLEFINANCE($A303, H$2)"),13.84)</f>
        <v>13.84</v>
      </c>
      <c r="I303" s="4" t="str">
        <f>IFERROR(__xludf.DUMMYFUNCTION("REPLACE(JOIN("";"", INDEX(TRANSPOSE(GOOGLEFINANCE($A303, $I$2, TODAY() - 30, TODAY(), 1)), 2)), 1, 6, """")"),"14,05;14,32;14,53;15,5;14,95;15,1;15,07;15,16;15,15;14,91;14,78;14,7;14,34;14,57;14,59;14,35;14,06;13,94")</f>
        <v>14,05;14,32;14,53;15,5;14,95;15,1;15,07;15,16;15,15;14,91;14,78;14,7;14,34;14,57;14,59;14,35;14,06;13,94</v>
      </c>
    </row>
    <row r="304">
      <c r="A304" s="3" t="s">
        <v>618</v>
      </c>
      <c r="B304" s="4" t="s">
        <v>619</v>
      </c>
      <c r="C304" s="4">
        <f>IFERROR(__xludf.DUMMYFUNCTION("GOOGLEFINANCE($A304, C$2)"),3.05)</f>
        <v>3.05</v>
      </c>
      <c r="D304" s="4">
        <f>IFERROR(__xludf.DUMMYFUNCTION("GOOGLEFINANCE($A304, D$2)"),0.0)</f>
        <v>0</v>
      </c>
      <c r="E304" s="4">
        <f>IFERROR(__xludf.DUMMYFUNCTION("GOOGLEFINANCE($A304, E$2)"),7.5)</f>
        <v>7.5</v>
      </c>
      <c r="F304" s="4">
        <f>IFERROR(__xludf.DUMMYFUNCTION("GOOGLEFINANCE($A304, F$2)"),0.41)</f>
        <v>0.41</v>
      </c>
      <c r="G304" s="4">
        <f>IFERROR(__xludf.DUMMYFUNCTION("GOOGLEFINANCE($A304, G$2)"),3.2)</f>
        <v>3.2</v>
      </c>
      <c r="H304" s="4">
        <f>IFERROR(__xludf.DUMMYFUNCTION("GOOGLEFINANCE($A304, H$2)"),3.05)</f>
        <v>3.05</v>
      </c>
      <c r="I304" s="4" t="str">
        <f>IFERROR(__xludf.DUMMYFUNCTION("REPLACE(JOIN("";"", INDEX(TRANSPOSE(GOOGLEFINANCE($A304, $I$2, TODAY() - 30, TODAY(), 1)), 2)), 1, 6, """")"),"3,12;3,18;3,11;3,26;3,21;3,22;3,24;3,24;3,12;3,12;3,17;3,24;3,19;3,23;3,22;3,13;3,12;3,05")</f>
        <v>3,12;3,18;3,11;3,26;3,21;3,22;3,24;3,24;3,12;3,12;3,17;3,24;3,19;3,23;3,22;3,13;3,12;3,05</v>
      </c>
    </row>
    <row r="305">
      <c r="A305" s="3" t="s">
        <v>620</v>
      </c>
      <c r="B305" s="4" t="s">
        <v>621</v>
      </c>
      <c r="C305" s="4">
        <f>IFERROR(__xludf.DUMMYFUNCTION("GOOGLEFINANCE($A305, C$2)"),1.92)</f>
        <v>1.92</v>
      </c>
      <c r="D305" s="4">
        <f>IFERROR(__xludf.DUMMYFUNCTION("GOOGLEFINANCE($A305, D$2)"),0.0)</f>
        <v>0</v>
      </c>
      <c r="E305" s="4">
        <f>IFERROR(__xludf.DUMMYFUNCTION("GOOGLEFINANCE($A305, E$2)"),4.72)</f>
        <v>4.72</v>
      </c>
      <c r="F305" s="4">
        <f>IFERROR(__xludf.DUMMYFUNCTION("GOOGLEFINANCE($A305, F$2)"),0.41)</f>
        <v>0.41</v>
      </c>
      <c r="G305" s="4">
        <f>IFERROR(__xludf.DUMMYFUNCTION("GOOGLEFINANCE($A305, G$2)"),1.96)</f>
        <v>1.96</v>
      </c>
      <c r="H305" s="4">
        <f>IFERROR(__xludf.DUMMYFUNCTION("GOOGLEFINANCE($A305, H$2)"),1.91)</f>
        <v>1.91</v>
      </c>
      <c r="I305" s="4" t="str">
        <f>IFERROR(__xludf.DUMMYFUNCTION("REPLACE(JOIN("";"", INDEX(TRANSPOSE(GOOGLEFINANCE($A305, $I$2, TODAY() - 30, TODAY(), 1)), 2)), 1, 6, """")"),"1,89;1,83;1,78;1,84;1,79;1,84;1,86;1,87;1,84;1,9;1,94;1,99;1,95;1,97;1,97;1,96;1,92;1,92")</f>
        <v>1,89;1,83;1,78;1,84;1,79;1,84;1,86;1,87;1,84;1,9;1,94;1,99;1,95;1,97;1,97;1,96;1,92;1,92</v>
      </c>
    </row>
    <row r="306">
      <c r="A306" s="3" t="s">
        <v>622</v>
      </c>
      <c r="B306" s="4" t="s">
        <v>623</v>
      </c>
      <c r="C306" s="4">
        <f>IFERROR(__xludf.DUMMYFUNCTION("GOOGLEFINANCE($A306, C$2)"),106.21)</f>
        <v>106.21</v>
      </c>
      <c r="D306" s="4">
        <f>IFERROR(__xludf.DUMMYFUNCTION("GOOGLEFINANCE($A306, D$2)"),0.0)</f>
        <v>0</v>
      </c>
      <c r="E306" s="4" t="str">
        <f>IFERROR(__xludf.DUMMYFUNCTION("GOOGLEFINANCE($A306, E$2)"),"#N/A")</f>
        <v>#N/A</v>
      </c>
      <c r="F306" s="4" t="str">
        <f>IFERROR(__xludf.DUMMYFUNCTION("GOOGLEFINANCE($A306, F$2)"),"#N/A")</f>
        <v>#N/A</v>
      </c>
      <c r="G306" s="4" t="str">
        <f>IFERROR(__xludf.DUMMYFUNCTION("GOOGLEFINANCE($A306, G$2)"),"#N/A")</f>
        <v>#N/A</v>
      </c>
      <c r="H306" s="4" t="str">
        <f>IFERROR(__xludf.DUMMYFUNCTION("GOOGLEFINANCE($A306, H$2)"),"#N/A")</f>
        <v>#N/A</v>
      </c>
      <c r="I306" s="4" t="str">
        <f>IFERROR(__xludf.DUMMYFUNCTION("REPLACE(JOIN("";"", INDEX(TRANSPOSE(GOOGLEFINANCE($A306, $I$2, TODAY() - 30, TODAY(), 1)), 2)), 1, 6, """")"),"102,8;95,25;97,65;97,1;97,15;102;103,7;107,52;108,81;109,15;104,6;107,8;111;106,21")</f>
        <v>102,8;95,25;97,65;97,1;97,15;102;103,7;107,52;108,81;109,15;104,6;107,8;111;106,21</v>
      </c>
    </row>
    <row r="307">
      <c r="A307" s="3" t="s">
        <v>624</v>
      </c>
      <c r="B307" s="4" t="s">
        <v>625</v>
      </c>
      <c r="C307" s="4">
        <f>IFERROR(__xludf.DUMMYFUNCTION("GOOGLEFINANCE($A307, C$2)"),17.24)</f>
        <v>17.24</v>
      </c>
      <c r="D307" s="4">
        <f>IFERROR(__xludf.DUMMYFUNCTION("GOOGLEFINANCE($A307, D$2)"),0.0)</f>
        <v>0</v>
      </c>
      <c r="E307" s="4">
        <f>IFERROR(__xludf.DUMMYFUNCTION("GOOGLEFINANCE($A307, E$2)"),70.91)</f>
        <v>70.91</v>
      </c>
      <c r="F307" s="4">
        <f>IFERROR(__xludf.DUMMYFUNCTION("GOOGLEFINANCE($A307, F$2)"),0.24)</f>
        <v>0.24</v>
      </c>
      <c r="G307" s="4">
        <f>IFERROR(__xludf.DUMMYFUNCTION("GOOGLEFINANCE($A307, G$2)"),17.24)</f>
        <v>17.24</v>
      </c>
      <c r="H307" s="4">
        <f>IFERROR(__xludf.DUMMYFUNCTION("GOOGLEFINANCE($A307, H$2)"),16.46)</f>
        <v>16.46</v>
      </c>
      <c r="I307" s="4" t="str">
        <f>IFERROR(__xludf.DUMMYFUNCTION("REPLACE(JOIN("";"", INDEX(TRANSPOSE(GOOGLEFINANCE($A307, $I$2, TODAY() - 30, TODAY(), 1)), 2)), 1, 6, """")"),"17,38;17,9;17,23;17,84;17,17;17,51;17,76;17,69;17,82;17,85;18,07;17,7;17,24;17,62;17,2;17,2;16,92;17,24")</f>
        <v>17,38;17,9;17,23;17,84;17,17;17,51;17,76;17,69;17,82;17,85;18,07;17,7;17,24;17,62;17,2;17,2;16,92;17,24</v>
      </c>
    </row>
    <row r="308">
      <c r="A308" s="3" t="s">
        <v>626</v>
      </c>
      <c r="B308" s="4" t="s">
        <v>627</v>
      </c>
      <c r="C308" s="4">
        <f>IFERROR(__xludf.DUMMYFUNCTION("GOOGLEFINANCE($A308, C$2)"),9.46)</f>
        <v>9.46</v>
      </c>
      <c r="D308" s="4">
        <f>IFERROR(__xludf.DUMMYFUNCTION("GOOGLEFINANCE($A308, D$2)"),0.0)</f>
        <v>0</v>
      </c>
      <c r="E308" s="4" t="str">
        <f>IFERROR(__xludf.DUMMYFUNCTION("GOOGLEFINANCE($A308, E$2)"),"#N/A")</f>
        <v>#N/A</v>
      </c>
      <c r="F308" s="4">
        <f>IFERROR(__xludf.DUMMYFUNCTION("GOOGLEFINANCE($A308, F$2)"),-0.12)</f>
        <v>-0.12</v>
      </c>
      <c r="G308" s="4">
        <f>IFERROR(__xludf.DUMMYFUNCTION("GOOGLEFINANCE($A308, G$2)"),9.73)</f>
        <v>9.73</v>
      </c>
      <c r="H308" s="4">
        <f>IFERROR(__xludf.DUMMYFUNCTION("GOOGLEFINANCE($A308, H$2)"),9.42)</f>
        <v>9.42</v>
      </c>
      <c r="I308" s="4" t="str">
        <f>IFERROR(__xludf.DUMMYFUNCTION("REPLACE(JOIN("";"", INDEX(TRANSPOSE(GOOGLEFINANCE($A308, $I$2, TODAY() - 30, TODAY(), 1)), 2)), 1, 6, """")"),"9,72;9,49;9,72;10,36;10,11;10,28;10,59;10,82;10,73;10,68;10,73;10,57;10,13;10,07;10,1;9,93;9,65;9,46")</f>
        <v>9,72;9,49;9,72;10,36;10,11;10,28;10,59;10,82;10,73;10,68;10,73;10,57;10,13;10,07;10,1;9,93;9,65;9,46</v>
      </c>
    </row>
    <row r="309">
      <c r="A309" s="3" t="s">
        <v>628</v>
      </c>
      <c r="B309" s="4" t="s">
        <v>629</v>
      </c>
      <c r="C309" s="4">
        <f>IFERROR(__xludf.DUMMYFUNCTION("GOOGLEFINANCE($A309, C$2)"),6.7)</f>
        <v>6.7</v>
      </c>
      <c r="D309" s="4">
        <f>IFERROR(__xludf.DUMMYFUNCTION("GOOGLEFINANCE($A309, D$2)"),0.0)</f>
        <v>0</v>
      </c>
      <c r="E309" s="4" t="str">
        <f>IFERROR(__xludf.DUMMYFUNCTION("GOOGLEFINANCE($A309, E$2)"),"#N/A")</f>
        <v>#N/A</v>
      </c>
      <c r="F309" s="4">
        <f>IFERROR(__xludf.DUMMYFUNCTION("GOOGLEFINANCE($A309, F$2)"),-0.21)</f>
        <v>-0.21</v>
      </c>
      <c r="G309" s="4">
        <f>IFERROR(__xludf.DUMMYFUNCTION("GOOGLEFINANCE($A309, G$2)"),6.75)</f>
        <v>6.75</v>
      </c>
      <c r="H309" s="4">
        <f>IFERROR(__xludf.DUMMYFUNCTION("GOOGLEFINANCE($A309, H$2)"),6.54)</f>
        <v>6.54</v>
      </c>
      <c r="I309" s="4" t="str">
        <f>IFERROR(__xludf.DUMMYFUNCTION("REPLACE(JOIN("";"", INDEX(TRANSPOSE(GOOGLEFINANCE($A309, $I$2, TODAY() - 30, TODAY(), 1)), 2)), 1, 6, """")"),"7,25;6,96;6,94;6,97;6,7;6,79;6,77;6,72;6,66;6,64;6,5;6,4;6,32;6,44;6,48;6,52;6,6;6,7")</f>
        <v>7,25;6,96;6,94;6,97;6,7;6,79;6,77;6,72;6,66;6,64;6,5;6,4;6,32;6,44;6,48;6,52;6,6;6,7</v>
      </c>
    </row>
    <row r="310">
      <c r="A310" s="3" t="s">
        <v>630</v>
      </c>
      <c r="B310" s="4" t="s">
        <v>631</v>
      </c>
      <c r="C310" s="4">
        <f>IFERROR(__xludf.DUMMYFUNCTION("GOOGLEFINANCE($A310, C$2)"),30.0)</f>
        <v>30</v>
      </c>
      <c r="D310" s="4">
        <f>IFERROR(__xludf.DUMMYFUNCTION("GOOGLEFINANCE($A310, D$2)"),0.0)</f>
        <v>0</v>
      </c>
      <c r="E310" s="4" t="str">
        <f>IFERROR(__xludf.DUMMYFUNCTION("GOOGLEFINANCE($A310, E$2)"),"#N/A")</f>
        <v>#N/A</v>
      </c>
      <c r="F310" s="4">
        <f>IFERROR(__xludf.DUMMYFUNCTION("GOOGLEFINANCE($A310, F$2)"),-1.58)</f>
        <v>-1.58</v>
      </c>
      <c r="G310" s="4" t="str">
        <f>IFERROR(__xludf.DUMMYFUNCTION("GOOGLEFINANCE($A310, G$2)"),"#N/A")</f>
        <v>#N/A</v>
      </c>
      <c r="H310" s="4" t="str">
        <f>IFERROR(__xludf.DUMMYFUNCTION("GOOGLEFINANCE($A310, H$2)"),"#N/A")</f>
        <v>#N/A</v>
      </c>
      <c r="I310" s="4" t="str">
        <f>IFERROR(__xludf.DUMMYFUNCTION("REPLACE(JOIN("";"", INDEX(TRANSPOSE(GOOGLEFINANCE($A310, $I$2, TODAY() - 30, TODAY(), 1)), 2)), 1, 6, """")"),"25,5;25,02;29,6;28,61;28,61;30;28,61;31;30")</f>
        <v>25,5;25,02;29,6;28,61;28,61;30;28,61;31;30</v>
      </c>
    </row>
    <row r="311">
      <c r="A311" s="3" t="s">
        <v>632</v>
      </c>
      <c r="B311" s="4" t="s">
        <v>633</v>
      </c>
      <c r="C311" s="4">
        <f>IFERROR(__xludf.DUMMYFUNCTION("GOOGLEFINANCE($A311, C$2)"),9.77)</f>
        <v>9.77</v>
      </c>
      <c r="D311" s="4">
        <f>IFERROR(__xludf.DUMMYFUNCTION("GOOGLEFINANCE($A311, D$2)"),0.0)</f>
        <v>0</v>
      </c>
      <c r="E311" s="4">
        <f>IFERROR(__xludf.DUMMYFUNCTION("GOOGLEFINANCE($A311, E$2)"),11.95)</f>
        <v>11.95</v>
      </c>
      <c r="F311" s="4">
        <f>IFERROR(__xludf.DUMMYFUNCTION("GOOGLEFINANCE($A311, F$2)"),0.82)</f>
        <v>0.82</v>
      </c>
      <c r="G311" s="4">
        <f>IFERROR(__xludf.DUMMYFUNCTION("GOOGLEFINANCE($A311, G$2)"),9.78)</f>
        <v>9.78</v>
      </c>
      <c r="H311" s="4">
        <f>IFERROR(__xludf.DUMMYFUNCTION("GOOGLEFINANCE($A311, H$2)"),9.66)</f>
        <v>9.66</v>
      </c>
      <c r="I311" s="4" t="str">
        <f>IFERROR(__xludf.DUMMYFUNCTION("REPLACE(JOIN("";"", INDEX(TRANSPOSE(GOOGLEFINANCE($A311, $I$2, TODAY() - 30, TODAY(), 1)), 2)), 1, 6, """")"),"10,46;10,31;10;10,3;10,3;10,59;10,37;10,32;10;10;9,79;10,15;10,15;9,85;9,9;9,71;9,77")</f>
        <v>10,46;10,31;10;10,3;10,3;10,59;10,37;10,32;10;10;9,79;10,15;10,15;9,85;9,9;9,71;9,77</v>
      </c>
    </row>
    <row r="312">
      <c r="A312" s="3" t="s">
        <v>634</v>
      </c>
      <c r="B312" s="4" t="s">
        <v>635</v>
      </c>
      <c r="C312" s="4">
        <f>IFERROR(__xludf.DUMMYFUNCTION("GOOGLEFINANCE($A312, C$2)"),16.65)</f>
        <v>16.65</v>
      </c>
      <c r="D312" s="4">
        <f>IFERROR(__xludf.DUMMYFUNCTION("GOOGLEFINANCE($A312, D$2)"),0.0)</f>
        <v>0</v>
      </c>
      <c r="E312" s="4">
        <f>IFERROR(__xludf.DUMMYFUNCTION("GOOGLEFINANCE($A312, E$2)"),7.8)</f>
        <v>7.8</v>
      </c>
      <c r="F312" s="4">
        <f>IFERROR(__xludf.DUMMYFUNCTION("GOOGLEFINANCE($A312, F$2)"),2.13)</f>
        <v>2.13</v>
      </c>
      <c r="G312" s="4">
        <f>IFERROR(__xludf.DUMMYFUNCTION("GOOGLEFINANCE($A312, G$2)"),16.93)</f>
        <v>16.93</v>
      </c>
      <c r="H312" s="4">
        <f>IFERROR(__xludf.DUMMYFUNCTION("GOOGLEFINANCE($A312, H$2)"),16.44)</f>
        <v>16.44</v>
      </c>
      <c r="I312" s="4" t="str">
        <f>IFERROR(__xludf.DUMMYFUNCTION("REPLACE(JOIN("";"", INDEX(TRANSPOSE(GOOGLEFINANCE($A312, $I$2, TODAY() - 30, TODAY(), 1)), 2)), 1, 6, """")"),"16,79;16,69;16,89;17,64;17,26;17,26;17,96;17,85;17,8;17,77;17,58;17,22;16,88;17,09;17,13;17,02;16,77;16,65")</f>
        <v>16,79;16,69;16,89;17,64;17,26;17,26;17,96;17,85;17,8;17,77;17,58;17,22;16,88;17,09;17,13;17,02;16,77;16,65</v>
      </c>
    </row>
    <row r="313">
      <c r="A313" s="3" t="s">
        <v>636</v>
      </c>
      <c r="B313" s="4" t="s">
        <v>637</v>
      </c>
      <c r="C313" s="4">
        <f>IFERROR(__xludf.DUMMYFUNCTION("GOOGLEFINANCE($A313, C$2)"),54.0)</f>
        <v>54</v>
      </c>
      <c r="D313" s="4">
        <f>IFERROR(__xludf.DUMMYFUNCTION("GOOGLEFINANCE($A313, D$2)"),0.0)</f>
        <v>0</v>
      </c>
      <c r="E313" s="4" t="str">
        <f>IFERROR(__xludf.DUMMYFUNCTION("GOOGLEFINANCE($A313, E$2)"),"#N/A")</f>
        <v>#N/A</v>
      </c>
      <c r="F313" s="4" t="str">
        <f>IFERROR(__xludf.DUMMYFUNCTION("GOOGLEFINANCE($A313, F$2)"),"#N/A")</f>
        <v>#N/A</v>
      </c>
      <c r="G313" s="4">
        <f>IFERROR(__xludf.DUMMYFUNCTION("GOOGLEFINANCE($A313, G$2)"),55.2)</f>
        <v>55.2</v>
      </c>
      <c r="H313" s="4">
        <f>IFERROR(__xludf.DUMMYFUNCTION("GOOGLEFINANCE($A313, H$2)"),53.87)</f>
        <v>53.87</v>
      </c>
      <c r="I313" s="4" t="str">
        <f>IFERROR(__xludf.DUMMYFUNCTION("REPLACE(JOIN("";"", INDEX(TRANSPOSE(GOOGLEFINANCE($A313, $I$2, TODAY() - 30, TODAY(), 1)), 2)), 1, 6, """")"),"56;55,46;52,99;54,14;52,91;52,56;52,26;52,6;54,81;53,5;53,64;53,38;53,54;53,33;53,31;54,45;55,2;54")</f>
        <v>56;55,46;52,99;54,14;52,91;52,56;52,26;52,6;54,81;53,5;53,64;53,38;53,54;53,33;53,31;54,45;55,2;54</v>
      </c>
    </row>
    <row r="314">
      <c r="A314" s="3" t="s">
        <v>638</v>
      </c>
      <c r="B314" s="4" t="s">
        <v>639</v>
      </c>
      <c r="C314" s="4">
        <f>IFERROR(__xludf.DUMMYFUNCTION("GOOGLEFINANCE($A314, C$2)"),1105.75)</f>
        <v>1105.75</v>
      </c>
      <c r="D314" s="4">
        <f>IFERROR(__xludf.DUMMYFUNCTION("GOOGLEFINANCE($A314, D$2)"),0.0)</f>
        <v>0</v>
      </c>
      <c r="E314" s="4" t="str">
        <f>IFERROR(__xludf.DUMMYFUNCTION("GOOGLEFINANCE($A314, E$2)"),"#N/A")</f>
        <v>#N/A</v>
      </c>
      <c r="F314" s="4" t="str">
        <f>IFERROR(__xludf.DUMMYFUNCTION("GOOGLEFINANCE($A314, F$2)"),"#N/A")</f>
        <v>#N/A</v>
      </c>
      <c r="G314" s="4">
        <f>IFERROR(__xludf.DUMMYFUNCTION("GOOGLEFINANCE($A314, G$2)"),1109.03)</f>
        <v>1109.03</v>
      </c>
      <c r="H314" s="4">
        <f>IFERROR(__xludf.DUMMYFUNCTION("GOOGLEFINANCE($A314, H$2)"),1105.75)</f>
        <v>1105.75</v>
      </c>
      <c r="I314" s="4" t="str">
        <f>IFERROR(__xludf.DUMMYFUNCTION("REPLACE(JOIN("";"", INDEX(TRANSPOSE(GOOGLEFINANCE($A314, $I$2, TODAY() - 30, TODAY(), 1)), 2)), 1, 6, """")"),"1115,67;1084,87;1071,83;1072,8;1074,57;1071,07;1070,12;1090,2;1093,1;1087,67;1092,95;1109,03;1105,75")</f>
        <v>1115,67;1084,87;1071,83;1072,8;1074,57;1071,07;1070,12;1090,2;1093,1;1087,67;1092,95;1109,03;1105,75</v>
      </c>
    </row>
    <row r="315">
      <c r="A315" s="3" t="s">
        <v>640</v>
      </c>
      <c r="B315" s="4" t="s">
        <v>641</v>
      </c>
      <c r="C315" s="4">
        <f>IFERROR(__xludf.DUMMYFUNCTION("GOOGLEFINANCE($A315, C$2)"),154.5)</f>
        <v>154.5</v>
      </c>
      <c r="D315" s="4">
        <f>IFERROR(__xludf.DUMMYFUNCTION("GOOGLEFINANCE($A315, D$2)"),0.0)</f>
        <v>0</v>
      </c>
      <c r="E315" s="4" t="str">
        <f>IFERROR(__xludf.DUMMYFUNCTION("GOOGLEFINANCE($A315, E$2)"),"#N/A")</f>
        <v>#N/A</v>
      </c>
      <c r="F315" s="4" t="str">
        <f>IFERROR(__xludf.DUMMYFUNCTION("GOOGLEFINANCE($A315, F$2)"),"#N/A")</f>
        <v>#N/A</v>
      </c>
      <c r="G315" s="4">
        <f>IFERROR(__xludf.DUMMYFUNCTION("GOOGLEFINANCE($A315, G$2)"),155.24)</f>
        <v>155.24</v>
      </c>
      <c r="H315" s="4">
        <f>IFERROR(__xludf.DUMMYFUNCTION("GOOGLEFINANCE($A315, H$2)"),154.0)</f>
        <v>154</v>
      </c>
      <c r="I315" s="4" t="str">
        <f>IFERROR(__xludf.DUMMYFUNCTION("REPLACE(JOIN("";"", INDEX(TRANSPOSE(GOOGLEFINANCE($A315, $I$2, TODAY() - 30, TODAY(), 1)), 2)), 1, 6, """")"),"150,95;146,75;145,75;147,25;145,32;145,32;143,8;147,2;151,4;151,3;153,55;159,6;158,35;159,3;157,3;158;155,7;154,5")</f>
        <v>150,95;146,75;145,75;147,25;145,32;145,32;143,8;147,2;151,4;151,3;153,55;159,6;158,35;159,3;157,3;158;155,7;154,5</v>
      </c>
    </row>
    <row r="316">
      <c r="A316" s="3" t="s">
        <v>642</v>
      </c>
      <c r="B316" s="4" t="s">
        <v>643</v>
      </c>
      <c r="C316" s="4">
        <f>IFERROR(__xludf.DUMMYFUNCTION("GOOGLEFINANCE($A316, C$2)"),2.64)</f>
        <v>2.64</v>
      </c>
      <c r="D316" s="4">
        <f>IFERROR(__xludf.DUMMYFUNCTION("GOOGLEFINANCE($A316, D$2)"),0.0)</f>
        <v>0</v>
      </c>
      <c r="E316" s="4" t="str">
        <f>IFERROR(__xludf.DUMMYFUNCTION("GOOGLEFINANCE($A316, E$2)"),"#N/A")</f>
        <v>#N/A</v>
      </c>
      <c r="F316" s="4">
        <f>IFERROR(__xludf.DUMMYFUNCTION("GOOGLEFINANCE($A316, F$2)"),-9.36)</f>
        <v>-9.36</v>
      </c>
      <c r="G316" s="4">
        <f>IFERROR(__xludf.DUMMYFUNCTION("GOOGLEFINANCE($A316, G$2)"),2.64)</f>
        <v>2.64</v>
      </c>
      <c r="H316" s="4">
        <f>IFERROR(__xludf.DUMMYFUNCTION("GOOGLEFINANCE($A316, H$2)"),2.58)</f>
        <v>2.58</v>
      </c>
      <c r="I316" s="4" t="str">
        <f>IFERROR(__xludf.DUMMYFUNCTION("REPLACE(JOIN("";"", INDEX(TRANSPOSE(GOOGLEFINANCE($A316, $I$2, TODAY() - 30, TODAY(), 1)), 2)), 1, 6, """")"),"2,73;2,67;2,67;2,63;2,64;2,64;2,67;2,64;2,68;2,65;2,7;2,6;2,64;2,65;2,65;2,66;2,65;2,64")</f>
        <v>2,73;2,67;2,67;2,63;2,64;2,64;2,67;2,64;2,68;2,65;2,7;2,6;2,64;2,65;2,65;2,66;2,65;2,64</v>
      </c>
    </row>
    <row r="317">
      <c r="A317" s="3" t="s">
        <v>644</v>
      </c>
      <c r="B317" s="4" t="s">
        <v>645</v>
      </c>
      <c r="C317" s="4">
        <f>IFERROR(__xludf.DUMMYFUNCTION("GOOGLEFINANCE($A317, C$2)"),144.9)</f>
        <v>144.9</v>
      </c>
      <c r="D317" s="4">
        <f>IFERROR(__xludf.DUMMYFUNCTION("GOOGLEFINANCE($A317, D$2)"),0.0)</f>
        <v>0</v>
      </c>
      <c r="E317" s="4" t="str">
        <f>IFERROR(__xludf.DUMMYFUNCTION("GOOGLEFINANCE($A317, E$2)"),"#N/A")</f>
        <v>#N/A</v>
      </c>
      <c r="F317" s="4" t="str">
        <f>IFERROR(__xludf.DUMMYFUNCTION("GOOGLEFINANCE($A317, F$2)"),"#N/A")</f>
        <v>#N/A</v>
      </c>
      <c r="G317" s="4">
        <f>IFERROR(__xludf.DUMMYFUNCTION("GOOGLEFINANCE($A317, G$2)"),145.2)</f>
        <v>145.2</v>
      </c>
      <c r="H317" s="4">
        <f>IFERROR(__xludf.DUMMYFUNCTION("GOOGLEFINANCE($A317, H$2)"),144.76)</f>
        <v>144.76</v>
      </c>
      <c r="I317" s="4" t="str">
        <f>IFERROR(__xludf.DUMMYFUNCTION("REPLACE(JOIN("";"", INDEX(TRANSPOSE(GOOGLEFINANCE($A317, $I$2, TODAY() - 30, TODAY(), 1)), 2)), 1, 6, """")"),"136,95;135,65;136,1;134,3;132,25;135,65;141,37;147,9;144,9")</f>
        <v>136,95;135,65;136,1;134,3;132,25;135,65;141,37;147,9;144,9</v>
      </c>
    </row>
    <row r="318">
      <c r="A318" s="3" t="s">
        <v>646</v>
      </c>
      <c r="B318" s="4" t="s">
        <v>647</v>
      </c>
      <c r="C318" s="4">
        <f>IFERROR(__xludf.DUMMYFUNCTION("GOOGLEFINANCE($A318, C$2)"),157.75)</f>
        <v>157.75</v>
      </c>
      <c r="D318" s="4">
        <f>IFERROR(__xludf.DUMMYFUNCTION("GOOGLEFINANCE($A318, D$2)"),0.59)</f>
        <v>0.59</v>
      </c>
      <c r="E318" s="4" t="str">
        <f>IFERROR(__xludf.DUMMYFUNCTION("GOOGLEFINANCE($A318, E$2)"),"#N/A")</f>
        <v>#N/A</v>
      </c>
      <c r="F318" s="4" t="str">
        <f>IFERROR(__xludf.DUMMYFUNCTION("GOOGLEFINANCE($A318, F$2)"),"#N/A")</f>
        <v>#N/A</v>
      </c>
      <c r="G318" s="4" t="str">
        <f>IFERROR(__xludf.DUMMYFUNCTION("GOOGLEFINANCE($A318, G$2)"),"#N/A")</f>
        <v>#N/A</v>
      </c>
      <c r="H318" s="4" t="str">
        <f>IFERROR(__xludf.DUMMYFUNCTION("GOOGLEFINANCE($A318, H$2)"),"#N/A")</f>
        <v>#N/A</v>
      </c>
      <c r="I318" s="4" t="str">
        <f>IFERROR(__xludf.DUMMYFUNCTION("REPLACE(JOIN("";"", INDEX(TRANSPOSE(GOOGLEFINANCE($A318, $I$2, TODAY() - 30, TODAY(), 1)), 2)), 1, 6, """")"),"159,9288;160,1801;158,6216")</f>
        <v>159,9288;160,1801;158,6216</v>
      </c>
    </row>
    <row r="319">
      <c r="A319" s="3" t="s">
        <v>648</v>
      </c>
      <c r="B319" s="4" t="s">
        <v>649</v>
      </c>
      <c r="C319" s="4">
        <f>IFERROR(__xludf.DUMMYFUNCTION("GOOGLEFINANCE($A319, C$2)"),34.42)</f>
        <v>34.42</v>
      </c>
      <c r="D319" s="4">
        <f>IFERROR(__xludf.DUMMYFUNCTION("GOOGLEFINANCE($A319, D$2)"),0.0)</f>
        <v>0</v>
      </c>
      <c r="E319" s="4">
        <f>IFERROR(__xludf.DUMMYFUNCTION("GOOGLEFINANCE($A319, E$2)"),17.97)</f>
        <v>17.97</v>
      </c>
      <c r="F319" s="4">
        <f>IFERROR(__xludf.DUMMYFUNCTION("GOOGLEFINANCE($A319, F$2)"),1.92)</f>
        <v>1.92</v>
      </c>
      <c r="G319" s="4">
        <f>IFERROR(__xludf.DUMMYFUNCTION("GOOGLEFINANCE($A319, G$2)"),34.78)</f>
        <v>34.78</v>
      </c>
      <c r="H319" s="4">
        <f>IFERROR(__xludf.DUMMYFUNCTION("GOOGLEFINANCE($A319, H$2)"),33.73)</f>
        <v>33.73</v>
      </c>
      <c r="I319" s="4" t="str">
        <f>IFERROR(__xludf.DUMMYFUNCTION("REPLACE(JOIN("";"", INDEX(TRANSPOSE(GOOGLEFINANCE($A319, $I$2, TODAY() - 30, TODAY(), 1)), 2)), 1, 6, """")"),"34,65;34,24;33,32;34,2;32,29;33,06;33,25;33,02;33,21;33;33,02;32,81;32,76;33,83;33,82;33,93;33,99;34,42")</f>
        <v>34,65;34,24;33,32;34,2;32,29;33,06;33,25;33,02;33,21;33;33,02;32,81;32,76;33,83;33,82;33,93;33,99;34,42</v>
      </c>
    </row>
    <row r="320">
      <c r="A320" s="3" t="s">
        <v>650</v>
      </c>
      <c r="B320" s="4" t="s">
        <v>651</v>
      </c>
      <c r="C320" s="4">
        <f>IFERROR(__xludf.DUMMYFUNCTION("GOOGLEFINANCE($A320, C$2)"),63.28)</f>
        <v>63.28</v>
      </c>
      <c r="D320" s="4">
        <f>IFERROR(__xludf.DUMMYFUNCTION("GOOGLEFINANCE($A320, D$2)"),0.0)</f>
        <v>0</v>
      </c>
      <c r="E320" s="4" t="str">
        <f>IFERROR(__xludf.DUMMYFUNCTION("GOOGLEFINANCE($A320, E$2)"),"#N/A")</f>
        <v>#N/A</v>
      </c>
      <c r="F320" s="4" t="str">
        <f>IFERROR(__xludf.DUMMYFUNCTION("GOOGLEFINANCE($A320, F$2)"),"#N/A")</f>
        <v>#N/A</v>
      </c>
      <c r="G320" s="4" t="str">
        <f>IFERROR(__xludf.DUMMYFUNCTION("GOOGLEFINANCE($A320, G$2)"),"#N/A")</f>
        <v>#N/A</v>
      </c>
      <c r="H320" s="4" t="str">
        <f>IFERROR(__xludf.DUMMYFUNCTION("GOOGLEFINANCE($A320, H$2)"),"#N/A")</f>
        <v>#N/A</v>
      </c>
      <c r="I320" s="4" t="str">
        <f>IFERROR(__xludf.DUMMYFUNCTION("REPLACE(JOIN("";"", INDEX(TRANSPOSE(GOOGLEFINANCE($A320, $I$2, TODAY() - 30, TODAY(), 1)), 2)), 1, 6, """")"),"58,68;60,75;59,54;60,6;61;59,96;59,65;61,3;62,79;63,28")</f>
        <v>58,68;60,75;59,54;60,6;61;59,96;59,65;61,3;62,79;63,28</v>
      </c>
    </row>
    <row r="321">
      <c r="A321" s="3" t="s">
        <v>652</v>
      </c>
      <c r="B321" s="4" t="s">
        <v>653</v>
      </c>
      <c r="C321" s="4">
        <f>IFERROR(__xludf.DUMMYFUNCTION("GOOGLEFINANCE($A321, C$2)"),643.5)</f>
        <v>643.5</v>
      </c>
      <c r="D321" s="4">
        <f>IFERROR(__xludf.DUMMYFUNCTION("GOOGLEFINANCE($A321, D$2)"),0.0)</f>
        <v>0</v>
      </c>
      <c r="E321" s="4" t="str">
        <f>IFERROR(__xludf.DUMMYFUNCTION("GOOGLEFINANCE($A321, E$2)"),"#N/A")</f>
        <v>#N/A</v>
      </c>
      <c r="F321" s="4" t="str">
        <f>IFERROR(__xludf.DUMMYFUNCTION("GOOGLEFINANCE($A321, F$2)"),"#N/A")</f>
        <v>#N/A</v>
      </c>
      <c r="G321" s="4">
        <f>IFERROR(__xludf.DUMMYFUNCTION("GOOGLEFINANCE($A321, G$2)"),658.81)</f>
        <v>658.81</v>
      </c>
      <c r="H321" s="4">
        <f>IFERROR(__xludf.DUMMYFUNCTION("GOOGLEFINANCE($A321, H$2)"),642.0)</f>
        <v>642</v>
      </c>
      <c r="I321" s="4" t="str">
        <f>IFERROR(__xludf.DUMMYFUNCTION("REPLACE(JOIN("";"", INDEX(TRANSPOSE(GOOGLEFINANCE($A321, $I$2, TODAY() - 30, TODAY(), 1)), 2)), 1, 6, """")"),"653,4;649,6;661;652,7;652;660,3;643,4;642;654,7;648;658;663,7;653,9;654;649;651;643,5")</f>
        <v>653,4;649,6;661;652,7;652;660,3;643,4;642;654,7;648;658;663,7;653,9;654;649;651;643,5</v>
      </c>
    </row>
    <row r="322">
      <c r="A322" s="3" t="s">
        <v>654</v>
      </c>
      <c r="B322" s="4" t="s">
        <v>655</v>
      </c>
      <c r="C322" s="4">
        <f>IFERROR(__xludf.DUMMYFUNCTION("GOOGLEFINANCE($A322, C$2)"),16.99)</f>
        <v>16.99</v>
      </c>
      <c r="D322" s="4">
        <f>IFERROR(__xludf.DUMMYFUNCTION("GOOGLEFINANCE($A322, D$2)"),0.0)</f>
        <v>0</v>
      </c>
      <c r="E322" s="4" t="str">
        <f>IFERROR(__xludf.DUMMYFUNCTION("GOOGLEFINANCE($A322, E$2)"),"#N/A")</f>
        <v>#N/A</v>
      </c>
      <c r="F322" s="4">
        <f>IFERROR(__xludf.DUMMYFUNCTION("GOOGLEFINANCE($A322, F$2)"),-7.29)</f>
        <v>-7.29</v>
      </c>
      <c r="G322" s="4">
        <f>IFERROR(__xludf.DUMMYFUNCTION("GOOGLEFINANCE($A322, G$2)"),17.4)</f>
        <v>17.4</v>
      </c>
      <c r="H322" s="4">
        <f>IFERROR(__xludf.DUMMYFUNCTION("GOOGLEFINANCE($A322, H$2)"),16.95)</f>
        <v>16.95</v>
      </c>
      <c r="I322" s="4" t="str">
        <f>IFERROR(__xludf.DUMMYFUNCTION("REPLACE(JOIN("";"", INDEX(TRANSPOSE(GOOGLEFINANCE($A322, $I$2, TODAY() - 30, TODAY(), 1)), 2)), 1, 6, """")"),"14;14,01;13,85;14,4;14;14,09;13,81;14,22;14,39;17,28;17,97;17,54;17,1;18,3;17,93;17,51;16,97;16,99")</f>
        <v>14;14,01;13,85;14,4;14;14,09;13,81;14,22;14,39;17,28;17,97;17,54;17,1;18,3;17,93;17,51;16,97;16,99</v>
      </c>
    </row>
    <row r="323">
      <c r="A323" s="3" t="s">
        <v>656</v>
      </c>
      <c r="B323" s="4" t="s">
        <v>657</v>
      </c>
      <c r="C323" s="4">
        <f>IFERROR(__xludf.DUMMYFUNCTION("GOOGLEFINANCE($A323, C$2)"),34.0)</f>
        <v>34</v>
      </c>
      <c r="D323" s="4">
        <f>IFERROR(__xludf.DUMMYFUNCTION("GOOGLEFINANCE($A323, D$2)"),0.0)</f>
        <v>0</v>
      </c>
      <c r="E323" s="4">
        <f>IFERROR(__xludf.DUMMYFUNCTION("GOOGLEFINANCE($A323, E$2)"),25.94)</f>
        <v>25.94</v>
      </c>
      <c r="F323" s="4">
        <f>IFERROR(__xludf.DUMMYFUNCTION("GOOGLEFINANCE($A323, F$2)"),1.31)</f>
        <v>1.31</v>
      </c>
      <c r="G323" s="4">
        <f>IFERROR(__xludf.DUMMYFUNCTION("GOOGLEFINANCE($A323, G$2)"),34.33)</f>
        <v>34.33</v>
      </c>
      <c r="H323" s="4">
        <f>IFERROR(__xludf.DUMMYFUNCTION("GOOGLEFINANCE($A323, H$2)"),33.61)</f>
        <v>33.61</v>
      </c>
      <c r="I323" s="4" t="str">
        <f>IFERROR(__xludf.DUMMYFUNCTION("REPLACE(JOIN("";"", INDEX(TRANSPOSE(GOOGLEFINANCE($A323, $I$2, TODAY() - 30, TODAY(), 1)), 2)), 1, 6, """")"),"32,65;33,19;33,08;35,47;34,31;34,72;34,98;36,39;35,63;35,19;35,5;34,96;34,43;34,48;35;34,36;33,96;34")</f>
        <v>32,65;33,19;33,08;35,47;34,31;34,72;34,98;36,39;35,63;35,19;35,5;34,96;34,43;34,48;35;34,36;33,96;34</v>
      </c>
    </row>
    <row r="324">
      <c r="A324" s="3" t="s">
        <v>658</v>
      </c>
      <c r="B324" s="4" t="s">
        <v>659</v>
      </c>
      <c r="C324" s="4">
        <f>IFERROR(__xludf.DUMMYFUNCTION("GOOGLEFINANCE($A324, C$2)"),30.0)</f>
        <v>30</v>
      </c>
      <c r="D324" s="4">
        <f>IFERROR(__xludf.DUMMYFUNCTION("GOOGLEFINANCE($A324, D$2)"),0.0)</f>
        <v>0</v>
      </c>
      <c r="E324" s="4" t="str">
        <f>IFERROR(__xludf.DUMMYFUNCTION("GOOGLEFINANCE($A324, E$2)"),"#N/A")</f>
        <v>#N/A</v>
      </c>
      <c r="F324" s="4">
        <f>IFERROR(__xludf.DUMMYFUNCTION("GOOGLEFINANCE($A324, F$2)"),-53.24)</f>
        <v>-53.24</v>
      </c>
      <c r="G324" s="4">
        <f>IFERROR(__xludf.DUMMYFUNCTION("GOOGLEFINANCE($A324, G$2)"),31.1)</f>
        <v>31.1</v>
      </c>
      <c r="H324" s="4">
        <f>IFERROR(__xludf.DUMMYFUNCTION("GOOGLEFINANCE($A324, H$2)"),29.7)</f>
        <v>29.7</v>
      </c>
      <c r="I324" s="4" t="str">
        <f>IFERROR(__xludf.DUMMYFUNCTION("REPLACE(JOIN("";"", INDEX(TRANSPOSE(GOOGLEFINANCE($A324, $I$2, TODAY() - 30, TODAY(), 1)), 2)), 1, 6, """")"),"27,61;25,7;22,56;22,7;22;23;26,69;28,9;30,9;30;30,5;31;30,69;29,12;30,25;30,4;30,39;30")</f>
        <v>27,61;25,7;22,56;22,7;22;23;26,69;28,9;30,9;30;30,5;31;30,69;29,12;30,25;30,4;30,39;30</v>
      </c>
    </row>
    <row r="325">
      <c r="A325" s="3" t="s">
        <v>660</v>
      </c>
      <c r="B325" s="4" t="s">
        <v>661</v>
      </c>
      <c r="C325" s="4">
        <f>IFERROR(__xludf.DUMMYFUNCTION("GOOGLEFINANCE($A325, C$2)"),27.8)</f>
        <v>27.8</v>
      </c>
      <c r="D325" s="4">
        <f>IFERROR(__xludf.DUMMYFUNCTION("GOOGLEFINANCE($A325, D$2)"),0.0)</f>
        <v>0</v>
      </c>
      <c r="E325" s="4" t="str">
        <f>IFERROR(__xludf.DUMMYFUNCTION("GOOGLEFINANCE($A325, E$2)"),"#N/A")</f>
        <v>#N/A</v>
      </c>
      <c r="F325" s="4">
        <f>IFERROR(__xludf.DUMMYFUNCTION("GOOGLEFINANCE($A325, F$2)"),-53.24)</f>
        <v>-53.24</v>
      </c>
      <c r="G325" s="4">
        <f>IFERROR(__xludf.DUMMYFUNCTION("GOOGLEFINANCE($A325, G$2)"),27.99)</f>
        <v>27.99</v>
      </c>
      <c r="H325" s="4">
        <f>IFERROR(__xludf.DUMMYFUNCTION("GOOGLEFINANCE($A325, H$2)"),27.25)</f>
        <v>27.25</v>
      </c>
      <c r="I325" s="4" t="str">
        <f>IFERROR(__xludf.DUMMYFUNCTION("REPLACE(JOIN("";"", INDEX(TRANSPOSE(GOOGLEFINANCE($A325, $I$2, TODAY() - 30, TODAY(), 1)), 2)), 1, 6, """")"),"24,43;23,98;21,85;21,37;20;20,95;23;26,07;29,19;27,63;28,95;29;27,9;27,89;28,11;27,85;27,8;27,8")</f>
        <v>24,43;23,98;21,85;21,37;20;20,95;23;26,07;29,19;27,63;28,95;29;27,9;27,89;28,11;27,85;27,8;27,8</v>
      </c>
    </row>
    <row r="326">
      <c r="A326" s="3" t="s">
        <v>662</v>
      </c>
      <c r="B326" s="4" t="s">
        <v>663</v>
      </c>
      <c r="C326" s="4">
        <f>IFERROR(__xludf.DUMMYFUNCTION("GOOGLEFINANCE($A326, C$2)"),557.0)</f>
        <v>557</v>
      </c>
      <c r="D326" s="4">
        <f>IFERROR(__xludf.DUMMYFUNCTION("GOOGLEFINANCE($A326, D$2)"),0.0)</f>
        <v>0</v>
      </c>
      <c r="E326" s="4" t="str">
        <f>IFERROR(__xludf.DUMMYFUNCTION("GOOGLEFINANCE($A326, E$2)"),"#N/A")</f>
        <v>#N/A</v>
      </c>
      <c r="F326" s="4" t="str">
        <f>IFERROR(__xludf.DUMMYFUNCTION("GOOGLEFINANCE($A326, F$2)"),"#N/A")</f>
        <v>#N/A</v>
      </c>
      <c r="G326" s="4">
        <f>IFERROR(__xludf.DUMMYFUNCTION("GOOGLEFINANCE($A326, G$2)"),557.0)</f>
        <v>557</v>
      </c>
      <c r="H326" s="4">
        <f>IFERROR(__xludf.DUMMYFUNCTION("GOOGLEFINANCE($A326, H$2)"),557.0)</f>
        <v>557</v>
      </c>
      <c r="I326" s="4" t="str">
        <f>IFERROR(__xludf.DUMMYFUNCTION("REPLACE(JOIN("";"", INDEX(TRANSPOSE(GOOGLEFINANCE($A326, $I$2, TODAY() - 30, TODAY(), 1)), 2)), 1, 6, """")"),"516;510,9;504;511,8;516;511,3;529,1;521,1;518,71;527,5;536;547;552,99;565,2;559,28;557")</f>
        <v>516;510,9;504;511,8;516;511,3;529,1;521,1;518,71;527,5;536;547;552,99;565,2;559,28;557</v>
      </c>
    </row>
    <row r="327">
      <c r="A327" s="3" t="s">
        <v>664</v>
      </c>
      <c r="B327" s="4" t="s">
        <v>665</v>
      </c>
      <c r="C327" s="4">
        <f>IFERROR(__xludf.DUMMYFUNCTION("GOOGLEFINANCE($A327, C$2)"),6.39)</f>
        <v>6.39</v>
      </c>
      <c r="D327" s="4">
        <f>IFERROR(__xludf.DUMMYFUNCTION("GOOGLEFINANCE($A327, D$2)"),0.0)</f>
        <v>0</v>
      </c>
      <c r="E327" s="4" t="str">
        <f>IFERROR(__xludf.DUMMYFUNCTION("GOOGLEFINANCE($A327, E$2)"),"#N/A")</f>
        <v>#N/A</v>
      </c>
      <c r="F327" s="4">
        <f>IFERROR(__xludf.DUMMYFUNCTION("GOOGLEFINANCE($A327, F$2)"),-0.83)</f>
        <v>-0.83</v>
      </c>
      <c r="G327" s="4">
        <f>IFERROR(__xludf.DUMMYFUNCTION("GOOGLEFINANCE($A327, G$2)"),6.48)</f>
        <v>6.48</v>
      </c>
      <c r="H327" s="4">
        <f>IFERROR(__xludf.DUMMYFUNCTION("GOOGLEFINANCE($A327, H$2)"),6.23)</f>
        <v>6.23</v>
      </c>
      <c r="I327" s="4" t="str">
        <f>IFERROR(__xludf.DUMMYFUNCTION("REPLACE(JOIN("";"", INDEX(TRANSPOSE(GOOGLEFINANCE($A327, $I$2, TODAY() - 30, TODAY(), 1)), 2)), 1, 6, """")"),"6,92;6,53;6,53;7,67;7,2;7,33;7,24;7,29;7,12;6,91;6,72;6,65;6,58;6,55;6,64;6,77;6,65;6,39")</f>
        <v>6,92;6,53;6,53;7,67;7,2;7,33;7,24;7,29;7,12;6,91;6,72;6,65;6,58;6,55;6,64;6,77;6,65;6,39</v>
      </c>
    </row>
    <row r="328">
      <c r="A328" s="3" t="s">
        <v>666</v>
      </c>
      <c r="B328" s="4" t="s">
        <v>667</v>
      </c>
      <c r="C328" s="4">
        <f>IFERROR(__xludf.DUMMYFUNCTION("GOOGLEFINANCE($A328, C$2)"),56.78)</f>
        <v>56.78</v>
      </c>
      <c r="D328" s="4">
        <f>IFERROR(__xludf.DUMMYFUNCTION("GOOGLEFINANCE($A328, D$2)"),0.0)</f>
        <v>0</v>
      </c>
      <c r="E328" s="4" t="str">
        <f>IFERROR(__xludf.DUMMYFUNCTION("GOOGLEFINANCE($A328, E$2)"),"#N/A")</f>
        <v>#N/A</v>
      </c>
      <c r="F328" s="4" t="str">
        <f>IFERROR(__xludf.DUMMYFUNCTION("GOOGLEFINANCE($A328, F$2)"),"#N/A")</f>
        <v>#N/A</v>
      </c>
      <c r="G328" s="4">
        <f>IFERROR(__xludf.DUMMYFUNCTION("GOOGLEFINANCE($A328, G$2)"),56.89)</f>
        <v>56.89</v>
      </c>
      <c r="H328" s="4">
        <f>IFERROR(__xludf.DUMMYFUNCTION("GOOGLEFINANCE($A328, H$2)"),55.52)</f>
        <v>55.52</v>
      </c>
      <c r="I328" s="4" t="str">
        <f>IFERROR(__xludf.DUMMYFUNCTION("REPLACE(JOIN("";"", INDEX(TRANSPOSE(GOOGLEFINANCE($A328, $I$2, TODAY() - 30, TODAY(), 1)), 2)), 1, 6, """")"),"51,9;49,45;48,38;50,8;48,88;50,68;50,74;51,84;53,17;52,37;52,86;52,94;52,81;54,25;55,47;56,12;56,12;56,78")</f>
        <v>51,9;49,45;48,38;50,8;48,88;50,68;50,74;51,84;53,17;52,37;52,86;52,94;52,81;54,25;55,47;56,12;56,12;56,78</v>
      </c>
    </row>
    <row r="329">
      <c r="A329" s="3" t="s">
        <v>668</v>
      </c>
      <c r="B329" s="4" t="s">
        <v>669</v>
      </c>
      <c r="C329" s="4">
        <f>IFERROR(__xludf.DUMMYFUNCTION("GOOGLEFINANCE($A329, C$2)"),11.34)</f>
        <v>11.34</v>
      </c>
      <c r="D329" s="4">
        <f>IFERROR(__xludf.DUMMYFUNCTION("GOOGLEFINANCE($A329, D$2)"),0.0)</f>
        <v>0</v>
      </c>
      <c r="E329" s="4">
        <f>IFERROR(__xludf.DUMMYFUNCTION("GOOGLEFINANCE($A329, E$2)"),13.94)</f>
        <v>13.94</v>
      </c>
      <c r="F329" s="4">
        <f>IFERROR(__xludf.DUMMYFUNCTION("GOOGLEFINANCE($A329, F$2)"),0.81)</f>
        <v>0.81</v>
      </c>
      <c r="G329" s="4">
        <f>IFERROR(__xludf.DUMMYFUNCTION("GOOGLEFINANCE($A329, G$2)"),11.4)</f>
        <v>11.4</v>
      </c>
      <c r="H329" s="4">
        <f>IFERROR(__xludf.DUMMYFUNCTION("GOOGLEFINANCE($A329, H$2)"),11.31)</f>
        <v>11.31</v>
      </c>
      <c r="I329" s="4" t="str">
        <f>IFERROR(__xludf.DUMMYFUNCTION("REPLACE(JOIN("";"", INDEX(TRANSPOSE(GOOGLEFINANCE($A329, $I$2, TODAY() - 30, TODAY(), 1)), 2)), 1, 6, """")"),"11,69;11,55;11,58;11,79;11,62;11,65;11,85;11,79;11,72;11,77;11,59;11,61;11,46;11,49;11,43;11,42;11,38;11,34")</f>
        <v>11,69;11,55;11,58;11,79;11,62;11,65;11,85;11,79;11,72;11,77;11,59;11,61;11,46;11,49;11,43;11,42;11,38;11,34</v>
      </c>
    </row>
    <row r="330">
      <c r="A330" s="3" t="s">
        <v>670</v>
      </c>
      <c r="B330" s="4" t="s">
        <v>671</v>
      </c>
      <c r="C330" s="4">
        <f>IFERROR(__xludf.DUMMYFUNCTION("GOOGLEFINANCE($A330, C$2)"),10.25)</f>
        <v>10.25</v>
      </c>
      <c r="D330" s="4">
        <f>IFERROR(__xludf.DUMMYFUNCTION("GOOGLEFINANCE($A330, D$2)"),0.0)</f>
        <v>0</v>
      </c>
      <c r="E330" s="4">
        <f>IFERROR(__xludf.DUMMYFUNCTION("GOOGLEFINANCE($A330, E$2)"),12.6)</f>
        <v>12.6</v>
      </c>
      <c r="F330" s="4">
        <f>IFERROR(__xludf.DUMMYFUNCTION("GOOGLEFINANCE($A330, F$2)"),0.81)</f>
        <v>0.81</v>
      </c>
      <c r="G330" s="4">
        <f>IFERROR(__xludf.DUMMYFUNCTION("GOOGLEFINANCE($A330, G$2)"),10.43)</f>
        <v>10.43</v>
      </c>
      <c r="H330" s="4">
        <f>IFERROR(__xludf.DUMMYFUNCTION("GOOGLEFINANCE($A330, H$2)"),10.23)</f>
        <v>10.23</v>
      </c>
      <c r="I330" s="4" t="str">
        <f>IFERROR(__xludf.DUMMYFUNCTION("REPLACE(JOIN("";"", INDEX(TRANSPOSE(GOOGLEFINANCE($A330, $I$2, TODAY() - 30, TODAY(), 1)), 2)), 1, 6, """")"),"10,88;10,62;10,55;10,97;10,61;10,79;10,81;10,82;10,82;10,76;10,6;10,69;10,62;10,64;10,6;10,54;10,35;10,25")</f>
        <v>10,88;10,62;10,55;10,97;10,61;10,79;10,81;10,82;10,82;10,76;10,6;10,69;10,62;10,64;10,6;10,54;10,35;10,25</v>
      </c>
    </row>
    <row r="331">
      <c r="A331" s="3" t="s">
        <v>672</v>
      </c>
      <c r="B331" s="4" t="s">
        <v>673</v>
      </c>
      <c r="C331" s="4">
        <f>IFERROR(__xludf.DUMMYFUNCTION("GOOGLEFINANCE($A331, C$2)"),24.96)</f>
        <v>24.96</v>
      </c>
      <c r="D331" s="4">
        <f>IFERROR(__xludf.DUMMYFUNCTION("GOOGLEFINANCE($A331, D$2)"),0.0)</f>
        <v>0</v>
      </c>
      <c r="E331" s="4">
        <f>IFERROR(__xludf.DUMMYFUNCTION("GOOGLEFINANCE($A331, E$2)"),12.95)</f>
        <v>12.95</v>
      </c>
      <c r="F331" s="4">
        <f>IFERROR(__xludf.DUMMYFUNCTION("GOOGLEFINANCE($A331, F$2)"),1.93)</f>
        <v>1.93</v>
      </c>
      <c r="G331" s="4">
        <f>IFERROR(__xludf.DUMMYFUNCTION("GOOGLEFINANCE($A331, G$2)"),25.36)</f>
        <v>25.36</v>
      </c>
      <c r="H331" s="4">
        <f>IFERROR(__xludf.DUMMYFUNCTION("GOOGLEFINANCE($A331, H$2)"),24.84)</f>
        <v>24.84</v>
      </c>
      <c r="I331" s="4" t="str">
        <f>IFERROR(__xludf.DUMMYFUNCTION("REPLACE(JOIN("";"", INDEX(TRANSPOSE(GOOGLEFINANCE($A331, $I$2, TODAY() - 30, TODAY(), 1)), 2)), 1, 6, """")"),"26,09;25,49;25,5;26,57;25,82;26,32;25,93;25,84;25,73;25,61;25,14;25,29;25,13;25,14;25,11;25,18;25,16;24,96")</f>
        <v>26,09;25,49;25,5;26,57;25,82;26,32;25,93;25,84;25,73;25,61;25,14;25,29;25,13;25,14;25,11;25,18;25,16;24,96</v>
      </c>
    </row>
    <row r="332">
      <c r="A332" s="3" t="s">
        <v>674</v>
      </c>
      <c r="B332" s="4" t="s">
        <v>675</v>
      </c>
      <c r="C332" s="4">
        <f>IFERROR(__xludf.DUMMYFUNCTION("GOOGLEFINANCE($A332, C$2)"),27.62)</f>
        <v>27.62</v>
      </c>
      <c r="D332" s="4">
        <f>IFERROR(__xludf.DUMMYFUNCTION("GOOGLEFINANCE($A332, D$2)"),0.0)</f>
        <v>0</v>
      </c>
      <c r="E332" s="4">
        <f>IFERROR(__xludf.DUMMYFUNCTION("GOOGLEFINANCE($A332, E$2)"),14.33)</f>
        <v>14.33</v>
      </c>
      <c r="F332" s="4">
        <f>IFERROR(__xludf.DUMMYFUNCTION("GOOGLEFINANCE($A332, F$2)"),1.93)</f>
        <v>1.93</v>
      </c>
      <c r="G332" s="4">
        <f>IFERROR(__xludf.DUMMYFUNCTION("GOOGLEFINANCE($A332, G$2)"),28.2)</f>
        <v>28.2</v>
      </c>
      <c r="H332" s="4">
        <f>IFERROR(__xludf.DUMMYFUNCTION("GOOGLEFINANCE($A332, H$2)"),27.34)</f>
        <v>27.34</v>
      </c>
      <c r="I332" s="4" t="str">
        <f>IFERROR(__xludf.DUMMYFUNCTION("REPLACE(JOIN("";"", INDEX(TRANSPOSE(GOOGLEFINANCE($A332, $I$2, TODAY() - 30, TODAY(), 1)), 2)), 1, 6, """")"),"29,27;28,25;28,27;29,39;28,34;29,08;28,46;28,32;28,2;28,08;27,56;27,89;27,69;27,69;27,76;28,11;27,91;27,62")</f>
        <v>29,27;28,25;28,27;29,39;28,34;29,08;28,46;28,32;28,2;28,08;27,56;27,89;27,69;27,69;27,76;28,11;27,91;27,62</v>
      </c>
    </row>
    <row r="333">
      <c r="A333" s="3" t="s">
        <v>676</v>
      </c>
      <c r="B333" s="4" t="s">
        <v>677</v>
      </c>
      <c r="C333" s="4">
        <f>IFERROR(__xludf.DUMMYFUNCTION("GOOGLEFINANCE($A333, C$2)"),2.4)</f>
        <v>2.4</v>
      </c>
      <c r="D333" s="4">
        <f>IFERROR(__xludf.DUMMYFUNCTION("GOOGLEFINANCE($A333, D$2)"),0.0)</f>
        <v>0</v>
      </c>
      <c r="E333" s="4" t="str">
        <f>IFERROR(__xludf.DUMMYFUNCTION("GOOGLEFINANCE($A333, E$2)"),"#N/A")</f>
        <v>#N/A</v>
      </c>
      <c r="F333" s="4">
        <f>IFERROR(__xludf.DUMMYFUNCTION("GOOGLEFINANCE($A333, F$2)"),-0.9)</f>
        <v>-0.9</v>
      </c>
      <c r="G333" s="4">
        <f>IFERROR(__xludf.DUMMYFUNCTION("GOOGLEFINANCE($A333, G$2)"),2.43)</f>
        <v>2.43</v>
      </c>
      <c r="H333" s="4">
        <f>IFERROR(__xludf.DUMMYFUNCTION("GOOGLEFINANCE($A333, H$2)"),2.39)</f>
        <v>2.39</v>
      </c>
      <c r="I333" s="4" t="str">
        <f>IFERROR(__xludf.DUMMYFUNCTION("REPLACE(JOIN("";"", INDEX(TRANSPOSE(GOOGLEFINANCE($A333, $I$2, TODAY() - 30, TODAY(), 1)), 2)), 1, 6, """")"),"2,41;2,5;2,49;2,46;2,46;2,47;2,48;2,46;2,45;2,45;2,54;2,54;2,53;2,46;2,45;2,44;2,39;2,4")</f>
        <v>2,41;2,5;2,49;2,46;2,46;2,47;2,48;2,46;2,45;2,45;2,54;2,54;2,53;2,46;2,45;2,44;2,39;2,4</v>
      </c>
    </row>
    <row r="334">
      <c r="A334" s="3" t="s">
        <v>678</v>
      </c>
      <c r="B334" s="4" t="s">
        <v>679</v>
      </c>
      <c r="C334" s="4">
        <f>IFERROR(__xludf.DUMMYFUNCTION("GOOGLEFINANCE($A334, C$2)"),1.3)</f>
        <v>1.3</v>
      </c>
      <c r="D334" s="4">
        <f>IFERROR(__xludf.DUMMYFUNCTION("GOOGLEFINANCE($A334, D$2)"),0.0)</f>
        <v>0</v>
      </c>
      <c r="E334" s="4" t="str">
        <f>IFERROR(__xludf.DUMMYFUNCTION("GOOGLEFINANCE($A334, E$2)"),"#N/A")</f>
        <v>#N/A</v>
      </c>
      <c r="F334" s="4">
        <f>IFERROR(__xludf.DUMMYFUNCTION("GOOGLEFINANCE($A334, F$2)"),-0.9)</f>
        <v>-0.9</v>
      </c>
      <c r="G334" s="4">
        <f>IFERROR(__xludf.DUMMYFUNCTION("GOOGLEFINANCE($A334, G$2)"),1.32)</f>
        <v>1.32</v>
      </c>
      <c r="H334" s="4">
        <f>IFERROR(__xludf.DUMMYFUNCTION("GOOGLEFINANCE($A334, H$2)"),1.26)</f>
        <v>1.26</v>
      </c>
      <c r="I334" s="4" t="str">
        <f>IFERROR(__xludf.DUMMYFUNCTION("REPLACE(JOIN("";"", INDEX(TRANSPOSE(GOOGLEFINANCE($A334, $I$2, TODAY() - 30, TODAY(), 1)), 2)), 1, 6, """")"),"1,31;1,32;1,33;1,33;1,31;1,33;1,33;1,32;1,33;1,32;1,32;1,31;1,31;1,33;1,31;1,31;1,3;1,3")</f>
        <v>1,31;1,32;1,33;1,33;1,31;1,33;1,33;1,32;1,33;1,32;1,32;1,31;1,31;1,33;1,31;1,31;1,3;1,3</v>
      </c>
    </row>
    <row r="335">
      <c r="A335" s="3" t="s">
        <v>680</v>
      </c>
      <c r="B335" s="4" t="s">
        <v>681</v>
      </c>
      <c r="C335" s="4">
        <f>IFERROR(__xludf.DUMMYFUNCTION("GOOGLEFINANCE($A335, C$2)"),26.52)</f>
        <v>26.52</v>
      </c>
      <c r="D335" s="4">
        <f>IFERROR(__xludf.DUMMYFUNCTION("GOOGLEFINANCE($A335, D$2)"),0.0)</f>
        <v>0</v>
      </c>
      <c r="E335" s="4">
        <f>IFERROR(__xludf.DUMMYFUNCTION("GOOGLEFINANCE($A335, E$2)"),23.49)</f>
        <v>23.49</v>
      </c>
      <c r="F335" s="4">
        <f>IFERROR(__xludf.DUMMYFUNCTION("GOOGLEFINANCE($A335, F$2)"),1.13)</f>
        <v>1.13</v>
      </c>
      <c r="G335" s="4">
        <f>IFERROR(__xludf.DUMMYFUNCTION("GOOGLEFINANCE($A335, G$2)"),27.48)</f>
        <v>27.48</v>
      </c>
      <c r="H335" s="4">
        <f>IFERROR(__xludf.DUMMYFUNCTION("GOOGLEFINANCE($A335, H$2)"),26.43)</f>
        <v>26.43</v>
      </c>
      <c r="I335" s="4" t="str">
        <f>IFERROR(__xludf.DUMMYFUNCTION("REPLACE(JOIN("";"", INDEX(TRANSPOSE(GOOGLEFINANCE($A335, $I$2, TODAY() - 30, TODAY(), 1)), 2)), 1, 6, """")"),"24,51;24,14;23,88;24,3;24,18;24,23;24,52;24,83;25,1;25,15;25,6;25,66;25,45;26,48;26,83;27,64;27,07;26,52")</f>
        <v>24,51;24,14;23,88;24,3;24,18;24,23;24,52;24,83;25,1;25,15;25,6;25,66;25,45;26,48;26,83;27,64;27,07;26,52</v>
      </c>
    </row>
    <row r="336">
      <c r="A336" s="3" t="s">
        <v>682</v>
      </c>
      <c r="B336" s="4" t="s">
        <v>683</v>
      </c>
      <c r="C336" s="4">
        <f>IFERROR(__xludf.DUMMYFUNCTION("GOOGLEFINANCE($A336, C$2)"),571.01)</f>
        <v>571.01</v>
      </c>
      <c r="D336" s="4">
        <f>IFERROR(__xludf.DUMMYFUNCTION("GOOGLEFINANCE($A336, D$2)"),0.0)</f>
        <v>0</v>
      </c>
      <c r="E336" s="4" t="str">
        <f>IFERROR(__xludf.DUMMYFUNCTION("GOOGLEFINANCE($A336, E$2)"),"#N/A")</f>
        <v>#N/A</v>
      </c>
      <c r="F336" s="4" t="str">
        <f>IFERROR(__xludf.DUMMYFUNCTION("GOOGLEFINANCE($A336, F$2)"),"#N/A")</f>
        <v>#N/A</v>
      </c>
      <c r="G336" s="4">
        <f>IFERROR(__xludf.DUMMYFUNCTION("GOOGLEFINANCE($A336, G$2)"),578.29)</f>
        <v>578.29</v>
      </c>
      <c r="H336" s="4">
        <f>IFERROR(__xludf.DUMMYFUNCTION("GOOGLEFINANCE($A336, H$2)"),570.6)</f>
        <v>570.6</v>
      </c>
      <c r="I336" s="4" t="str">
        <f>IFERROR(__xludf.DUMMYFUNCTION("REPLACE(JOIN("";"", INDEX(TRANSPOSE(GOOGLEFINANCE($A336, $I$2, TODAY() - 30, TODAY(), 1)), 2)), 1, 6, """")"),"520;519,58;490,5;500,29;491,31;496,5;510,9;516,99;514,99;519;508,8;523,64;533,42;532,88;534,28;579,5;576,49;571,01")</f>
        <v>520;519,58;490,5;500,29;491,31;496,5;510,9;516,99;514,99;519;508,8;523,64;533,42;532,88;534,28;579,5;576,49;571,01</v>
      </c>
    </row>
    <row r="337">
      <c r="A337" s="3" t="s">
        <v>684</v>
      </c>
      <c r="B337" s="4" t="s">
        <v>685</v>
      </c>
      <c r="C337" s="4">
        <f>IFERROR(__xludf.DUMMYFUNCTION("GOOGLEFINANCE($A337, C$2)"),7.2)</f>
        <v>7.2</v>
      </c>
      <c r="D337" s="4">
        <f>IFERROR(__xludf.DUMMYFUNCTION("GOOGLEFINANCE($A337, D$2)"),0.0)</f>
        <v>0</v>
      </c>
      <c r="E337" s="4">
        <f>IFERROR(__xludf.DUMMYFUNCTION("GOOGLEFINANCE($A337, E$2)"),6.97)</f>
        <v>6.97</v>
      </c>
      <c r="F337" s="4">
        <f>IFERROR(__xludf.DUMMYFUNCTION("GOOGLEFINANCE($A337, F$2)"),1.03)</f>
        <v>1.03</v>
      </c>
      <c r="G337" s="4">
        <f>IFERROR(__xludf.DUMMYFUNCTION("GOOGLEFINANCE($A337, G$2)"),7.4)</f>
        <v>7.4</v>
      </c>
      <c r="H337" s="4">
        <f>IFERROR(__xludf.DUMMYFUNCTION("GOOGLEFINANCE($A337, H$2)"),7.16)</f>
        <v>7.16</v>
      </c>
      <c r="I337" s="4" t="str">
        <f>IFERROR(__xludf.DUMMYFUNCTION("REPLACE(JOIN("";"", INDEX(TRANSPOSE(GOOGLEFINANCE($A337, $I$2, TODAY() - 30, TODAY(), 1)), 2)), 1, 6, """")"),"7,06;7,04;7,05;7,33;7,22;7,33;7,61;7,88;7,63;7,59;7,58;7,35;7,08;7,23;7,2;7,15;7,42;7,2")</f>
        <v>7,06;7,04;7,05;7,33;7,22;7,33;7,61;7,88;7,63;7,59;7,58;7,35;7,08;7,23;7,2;7,15;7,42;7,2</v>
      </c>
    </row>
    <row r="338">
      <c r="A338" s="3" t="s">
        <v>686</v>
      </c>
      <c r="B338" s="4" t="s">
        <v>687</v>
      </c>
      <c r="C338" s="4">
        <f>IFERROR(__xludf.DUMMYFUNCTION("GOOGLEFINANCE($A338, C$2)"),59.0)</f>
        <v>59</v>
      </c>
      <c r="D338" s="4">
        <f>IFERROR(__xludf.DUMMYFUNCTION("GOOGLEFINANCE($A338, D$2)"),0.24)</f>
        <v>0.24</v>
      </c>
      <c r="E338" s="4" t="str">
        <f>IFERROR(__xludf.DUMMYFUNCTION("GOOGLEFINANCE($A338, E$2)"),"#N/A")</f>
        <v>#N/A</v>
      </c>
      <c r="F338" s="4" t="str">
        <f>IFERROR(__xludf.DUMMYFUNCTION("GOOGLEFINANCE($A338, F$2)"),"#N/A")</f>
        <v>#N/A</v>
      </c>
      <c r="G338" s="4">
        <f>IFERROR(__xludf.DUMMYFUNCTION("GOOGLEFINANCE($A338, G$2)"),60.6)</f>
        <v>60.6</v>
      </c>
      <c r="H338" s="4">
        <f>IFERROR(__xludf.DUMMYFUNCTION("GOOGLEFINANCE($A338, H$2)"),58.9)</f>
        <v>58.9</v>
      </c>
      <c r="I338" s="4" t="str">
        <f>IFERROR(__xludf.DUMMYFUNCTION("REPLACE(JOIN("";"", INDEX(TRANSPOSE(GOOGLEFINANCE($A338, $I$2, TODAY() - 30, TODAY(), 1)), 2)), 1, 6, """")"),"60,33;62;60,6;61,41;59,7;59,25;58,11;57,82;59,45;59,12;59,04;59,78;60;59,63;59,94;59,96;60,24;59")</f>
        <v>60,33;62;60,6;61,41;59,7;59,25;58,11;57,82;59,45;59,12;59,04;59,78;60;59,63;59,94;59,96;60,24;59</v>
      </c>
    </row>
    <row r="339">
      <c r="A339" s="3" t="s">
        <v>688</v>
      </c>
      <c r="B339" s="4" t="s">
        <v>689</v>
      </c>
      <c r="C339" s="4">
        <f>IFERROR(__xludf.DUMMYFUNCTION("GOOGLEFINANCE($A339, C$2)"),34.68)</f>
        <v>34.68</v>
      </c>
      <c r="D339" s="4">
        <f>IFERROR(__xludf.DUMMYFUNCTION("GOOGLEFINANCE($A339, D$2)"),0.0)</f>
        <v>0</v>
      </c>
      <c r="E339" s="4">
        <f>IFERROR(__xludf.DUMMYFUNCTION("GOOGLEFINANCE($A339, E$2)"),7.65)</f>
        <v>7.65</v>
      </c>
      <c r="F339" s="4">
        <f>IFERROR(__xludf.DUMMYFUNCTION("GOOGLEFINANCE($A339, F$2)"),4.53)</f>
        <v>4.53</v>
      </c>
      <c r="G339" s="4" t="str">
        <f>IFERROR(__xludf.DUMMYFUNCTION("GOOGLEFINANCE($A339, G$2)"),"#N/A")</f>
        <v>#N/A</v>
      </c>
      <c r="H339" s="4" t="str">
        <f>IFERROR(__xludf.DUMMYFUNCTION("GOOGLEFINANCE($A339, H$2)"),"#N/A")</f>
        <v>#N/A</v>
      </c>
      <c r="I339" s="4" t="str">
        <f>IFERROR(__xludf.DUMMYFUNCTION("REPLACE(JOIN("";"", INDEX(TRANSPOSE(GOOGLEFINANCE($A339, $I$2, TODAY() - 30, TODAY(), 1)), 2)), 1, 6, """")"),"36;36,43;35,5;35,9;35;34,6;34,68")</f>
        <v>36;36,43;35,5;35,9;35;34,6;34,68</v>
      </c>
    </row>
    <row r="340">
      <c r="A340" s="3" t="s">
        <v>690</v>
      </c>
      <c r="B340" s="4" t="s">
        <v>691</v>
      </c>
      <c r="C340" s="4">
        <f>IFERROR(__xludf.DUMMYFUNCTION("GOOGLEFINANCE($A340, C$2)"),80.08)</f>
        <v>80.08</v>
      </c>
      <c r="D340" s="4">
        <f>IFERROR(__xludf.DUMMYFUNCTION("GOOGLEFINANCE($A340, D$2)"),0.0)</f>
        <v>0</v>
      </c>
      <c r="E340" s="4" t="str">
        <f>IFERROR(__xludf.DUMMYFUNCTION("GOOGLEFINANCE($A340, E$2)"),"#N/A")</f>
        <v>#N/A</v>
      </c>
      <c r="F340" s="4" t="str">
        <f>IFERROR(__xludf.DUMMYFUNCTION("GOOGLEFINANCE($A340, F$2)"),"#N/A")</f>
        <v>#N/A</v>
      </c>
      <c r="G340" s="4">
        <f>IFERROR(__xludf.DUMMYFUNCTION("GOOGLEFINANCE($A340, G$2)"),80.4)</f>
        <v>80.4</v>
      </c>
      <c r="H340" s="4">
        <f>IFERROR(__xludf.DUMMYFUNCTION("GOOGLEFINANCE($A340, H$2)"),78.85)</f>
        <v>78.85</v>
      </c>
      <c r="I340" s="4" t="str">
        <f>IFERROR(__xludf.DUMMYFUNCTION("REPLACE(JOIN("";"", INDEX(TRANSPOSE(GOOGLEFINANCE($A340, $I$2, TODAY() - 30, TODAY(), 1)), 2)), 1, 6, """")"),"73,56;70,87;69,15;70,83;70,67;71,03;71,9;72,82;75,4;74,47;75,29;75,18;75,26;74,65;76,25;78,66;79,26;80,08")</f>
        <v>73,56;70,87;69,15;70,83;70,67;71,03;71,9;72,82;75,4;74,47;75,29;75,18;75,26;74,65;76,25;78,66;79,26;80,08</v>
      </c>
    </row>
    <row r="341">
      <c r="A341" s="3" t="s">
        <v>692</v>
      </c>
      <c r="B341" s="4" t="s">
        <v>693</v>
      </c>
      <c r="C341" s="4">
        <f>IFERROR(__xludf.DUMMYFUNCTION("GOOGLEFINANCE($A341, C$2)"),23.32)</f>
        <v>23.32</v>
      </c>
      <c r="D341" s="4">
        <f>IFERROR(__xludf.DUMMYFUNCTION("GOOGLEFINANCE($A341, D$2)"),0.0)</f>
        <v>0</v>
      </c>
      <c r="E341" s="4">
        <f>IFERROR(__xludf.DUMMYFUNCTION("GOOGLEFINANCE($A341, E$2)"),21.85)</f>
        <v>21.85</v>
      </c>
      <c r="F341" s="4">
        <f>IFERROR(__xludf.DUMMYFUNCTION("GOOGLEFINANCE($A341, F$2)"),1.07)</f>
        <v>1.07</v>
      </c>
      <c r="G341" s="4">
        <f>IFERROR(__xludf.DUMMYFUNCTION("GOOGLEFINANCE($A341, G$2)"),23.71)</f>
        <v>23.71</v>
      </c>
      <c r="H341" s="4">
        <f>IFERROR(__xludf.DUMMYFUNCTION("GOOGLEFINANCE($A341, H$2)"),23.26)</f>
        <v>23.26</v>
      </c>
      <c r="I341" s="4" t="str">
        <f>IFERROR(__xludf.DUMMYFUNCTION("REPLACE(JOIN("";"", INDEX(TRANSPOSE(GOOGLEFINANCE($A341, $I$2, TODAY() - 30, TODAY(), 1)), 2)), 1, 6, """")"),"23,08;23,5;23,2;24,92;24,33;24,6;24,7;25,12;25,19;24,95;25,71;25,16;24,45;24,61;24,66;23,82;23,52;23,32")</f>
        <v>23,08;23,5;23,2;24,92;24,33;24,6;24,7;25,12;25,19;24,95;25,71;25,16;24,45;24,61;24,66;23,82;23,52;23,32</v>
      </c>
    </row>
    <row r="342">
      <c r="A342" s="3" t="s">
        <v>694</v>
      </c>
      <c r="B342" s="4" t="s">
        <v>695</v>
      </c>
      <c r="C342" s="4">
        <f>IFERROR(__xludf.DUMMYFUNCTION("GOOGLEFINANCE($A342, C$2)"),9.44)</f>
        <v>9.44</v>
      </c>
      <c r="D342" s="4">
        <f>IFERROR(__xludf.DUMMYFUNCTION("GOOGLEFINANCE($A342, D$2)"),0.0)</f>
        <v>0</v>
      </c>
      <c r="E342" s="4">
        <f>IFERROR(__xludf.DUMMYFUNCTION("GOOGLEFINANCE($A342, E$2)"),8.24)</f>
        <v>8.24</v>
      </c>
      <c r="F342" s="4">
        <f>IFERROR(__xludf.DUMMYFUNCTION("GOOGLEFINANCE($A342, F$2)"),1.15)</f>
        <v>1.15</v>
      </c>
      <c r="G342" s="4">
        <f>IFERROR(__xludf.DUMMYFUNCTION("GOOGLEFINANCE($A342, G$2)"),9.59)</f>
        <v>9.59</v>
      </c>
      <c r="H342" s="4">
        <f>IFERROR(__xludf.DUMMYFUNCTION("GOOGLEFINANCE($A342, H$2)"),9.35)</f>
        <v>9.35</v>
      </c>
      <c r="I342" s="4" t="str">
        <f>IFERROR(__xludf.DUMMYFUNCTION("REPLACE(JOIN("";"", INDEX(TRANSPOSE(GOOGLEFINANCE($A342, $I$2, TODAY() - 30, TODAY(), 1)), 2)), 1, 6, """")"),"9,09;8,79;9,4;9,35;9,36;9,62;9,8;9,95;10;9,8;9,85;9,4;9,39;9,53;9,56;9,48;9,51;9,37")</f>
        <v>9,09;8,79;9,4;9,35;9,36;9,62;9,8;9,95;10;9,8;9,85;9,4;9,39;9,53;9,56;9,48;9,51;9,37</v>
      </c>
    </row>
    <row r="343">
      <c r="A343" s="3" t="s">
        <v>696</v>
      </c>
      <c r="B343" s="4" t="s">
        <v>697</v>
      </c>
      <c r="C343" s="4">
        <f>IFERROR(__xludf.DUMMYFUNCTION("GOOGLEFINANCE($A343, C$2)"),44.15)</f>
        <v>44.15</v>
      </c>
      <c r="D343" s="4">
        <f>IFERROR(__xludf.DUMMYFUNCTION("GOOGLEFINANCE($A343, D$2)"),0.0)</f>
        <v>0</v>
      </c>
      <c r="E343" s="4">
        <f>IFERROR(__xludf.DUMMYFUNCTION("GOOGLEFINANCE($A343, E$2)"),17.08)</f>
        <v>17.08</v>
      </c>
      <c r="F343" s="4">
        <f>IFERROR(__xludf.DUMMYFUNCTION("GOOGLEFINANCE($A343, F$2)"),2.58)</f>
        <v>2.58</v>
      </c>
      <c r="G343" s="4">
        <f>IFERROR(__xludf.DUMMYFUNCTION("GOOGLEFINANCE($A343, G$2)"),44.15)</f>
        <v>44.15</v>
      </c>
      <c r="H343" s="4">
        <f>IFERROR(__xludf.DUMMYFUNCTION("GOOGLEFINANCE($A343, H$2)"),43.27)</f>
        <v>43.27</v>
      </c>
      <c r="I343" s="4" t="str">
        <f>IFERROR(__xludf.DUMMYFUNCTION("REPLACE(JOIN("";"", INDEX(TRANSPOSE(GOOGLEFINANCE($A343, $I$2, TODAY() - 30, TODAY(), 1)), 2)), 1, 6, """")"),"36,9;36,87;37,49;37,6;37,16;38;39,04;38,5;38,3;37,81;37,9;38;43,98;44,2;43,96;44,2;43,89;44,15")</f>
        <v>36,9;36,87;37,49;37,6;37,16;38;39,04;38,5;38,3;37,81;37,9;38;43,98;44,2;43,96;44,2;43,89;44,15</v>
      </c>
    </row>
    <row r="344">
      <c r="A344" s="3" t="s">
        <v>698</v>
      </c>
      <c r="B344" s="4" t="s">
        <v>699</v>
      </c>
      <c r="C344" s="4">
        <f>IFERROR(__xludf.DUMMYFUNCTION("GOOGLEFINANCE($A344, C$2)"),51.0)</f>
        <v>51</v>
      </c>
      <c r="D344" s="4">
        <f>IFERROR(__xludf.DUMMYFUNCTION("GOOGLEFINANCE($A344, D$2)"),0.0)</f>
        <v>0</v>
      </c>
      <c r="E344" s="4" t="str">
        <f>IFERROR(__xludf.DUMMYFUNCTION("GOOGLEFINANCE($A344, E$2)"),"#N/A")</f>
        <v>#N/A</v>
      </c>
      <c r="F344" s="4" t="str">
        <f>IFERROR(__xludf.DUMMYFUNCTION("GOOGLEFINANCE($A344, F$2)"),"#N/A")</f>
        <v>#N/A</v>
      </c>
      <c r="G344" s="4">
        <f>IFERROR(__xludf.DUMMYFUNCTION("GOOGLEFINANCE($A344, G$2)"),52.72)</f>
        <v>52.72</v>
      </c>
      <c r="H344" s="4">
        <f>IFERROR(__xludf.DUMMYFUNCTION("GOOGLEFINANCE($A344, H$2)"),49.95)</f>
        <v>49.95</v>
      </c>
      <c r="I344" s="4" t="str">
        <f>IFERROR(__xludf.DUMMYFUNCTION("REPLACE(JOIN("";"", INDEX(TRANSPOSE(GOOGLEFINANCE($A344, $I$2, TODAY() - 30, TODAY(), 1)), 2)), 1, 6, """")"),"45,13;45,38;47,19;46,35;45,99;45,5;44,62;44,67;45,12;45,6;45,57;45,4;45,72;47,85;47,62;50,2;52,65;51")</f>
        <v>45,13;45,38;47,19;46,35;45,99;45,5;44,62;44,67;45,12;45,6;45,57;45,4;45,72;47,85;47,62;50,2;52,65;51</v>
      </c>
    </row>
    <row r="345">
      <c r="A345" s="3" t="s">
        <v>700</v>
      </c>
      <c r="B345" s="4" t="s">
        <v>701</v>
      </c>
      <c r="C345" s="4">
        <f>IFERROR(__xludf.DUMMYFUNCTION("GOOGLEFINANCE($A345, C$2)"),6.45)</f>
        <v>6.45</v>
      </c>
      <c r="D345" s="4">
        <f>IFERROR(__xludf.DUMMYFUNCTION("GOOGLEFINANCE($A345, D$2)"),0.0)</f>
        <v>0</v>
      </c>
      <c r="E345" s="4" t="str">
        <f>IFERROR(__xludf.DUMMYFUNCTION("GOOGLEFINANCE($A345, E$2)"),"#N/A")</f>
        <v>#N/A</v>
      </c>
      <c r="F345" s="4">
        <f>IFERROR(__xludf.DUMMYFUNCTION("GOOGLEFINANCE($A345, F$2)"),-2.27)</f>
        <v>-2.27</v>
      </c>
      <c r="G345" s="4">
        <f>IFERROR(__xludf.DUMMYFUNCTION("GOOGLEFINANCE($A345, G$2)"),6.55)</f>
        <v>6.55</v>
      </c>
      <c r="H345" s="4">
        <f>IFERROR(__xludf.DUMMYFUNCTION("GOOGLEFINANCE($A345, H$2)"),6.12)</f>
        <v>6.12</v>
      </c>
      <c r="I345" s="4" t="str">
        <f>IFERROR(__xludf.DUMMYFUNCTION("REPLACE(JOIN("";"", INDEX(TRANSPOSE(GOOGLEFINANCE($A345, $I$2, TODAY() - 30, TODAY(), 1)), 2)), 1, 6, """")"),"5,9;5,94;5,83;6,08;6,02;6,19;6,18;6,09;6,09;6,08;6,04;6,08;6,09;6,11;6,13;6,23;6,2;6,45")</f>
        <v>5,9;5,94;5,83;6,08;6,02;6,19;6,18;6,09;6,09;6,08;6,04;6,08;6,09;6,11;6,13;6,23;6,2;6,45</v>
      </c>
    </row>
    <row r="346">
      <c r="A346" s="3" t="s">
        <v>702</v>
      </c>
      <c r="B346" s="4" t="s">
        <v>703</v>
      </c>
      <c r="C346" s="4">
        <f>IFERROR(__xludf.DUMMYFUNCTION("GOOGLEFINANCE($A346, C$2)"),5.83)</f>
        <v>5.83</v>
      </c>
      <c r="D346" s="4">
        <f>IFERROR(__xludf.DUMMYFUNCTION("GOOGLEFINANCE($A346, D$2)"),0.0)</f>
        <v>0</v>
      </c>
      <c r="E346" s="4" t="str">
        <f>IFERROR(__xludf.DUMMYFUNCTION("GOOGLEFINANCE($A346, E$2)"),"#N/A")</f>
        <v>#N/A</v>
      </c>
      <c r="F346" s="4">
        <f>IFERROR(__xludf.DUMMYFUNCTION("GOOGLEFINANCE($A346, F$2)"),-2.27)</f>
        <v>-2.27</v>
      </c>
      <c r="G346" s="4">
        <f>IFERROR(__xludf.DUMMYFUNCTION("GOOGLEFINANCE($A346, G$2)"),5.86)</f>
        <v>5.86</v>
      </c>
      <c r="H346" s="4">
        <f>IFERROR(__xludf.DUMMYFUNCTION("GOOGLEFINANCE($A346, H$2)"),5.58)</f>
        <v>5.58</v>
      </c>
      <c r="I346" s="4" t="str">
        <f>IFERROR(__xludf.DUMMYFUNCTION("REPLACE(JOIN("";"", INDEX(TRANSPOSE(GOOGLEFINANCE($A346, $I$2, TODAY() - 30, TODAY(), 1)), 2)), 1, 6, """")"),"5,71;5,79;5,56;5,54;5,46;5,63;5,52;5,54;5,51;5,6;5,53;5,44;5,49;5,52;5,5;5,54;5,67;5,83")</f>
        <v>5,71;5,79;5,56;5,54;5,46;5,63;5,52;5,54;5,51;5,6;5,53;5,44;5,49;5,52;5,5;5,54;5,67;5,83</v>
      </c>
    </row>
    <row r="347">
      <c r="A347" s="3" t="s">
        <v>704</v>
      </c>
      <c r="B347" s="4" t="s">
        <v>705</v>
      </c>
      <c r="C347" s="4">
        <f>IFERROR(__xludf.DUMMYFUNCTION("GOOGLEFINANCE($A347, C$2)"),704.0)</f>
        <v>704</v>
      </c>
      <c r="D347" s="4">
        <f>IFERROR(__xludf.DUMMYFUNCTION("GOOGLEFINANCE($A347, D$2)"),0.0)</f>
        <v>0</v>
      </c>
      <c r="E347" s="4" t="str">
        <f>IFERROR(__xludf.DUMMYFUNCTION("GOOGLEFINANCE($A347, E$2)"),"#N/A")</f>
        <v>#N/A</v>
      </c>
      <c r="F347" s="4" t="str">
        <f>IFERROR(__xludf.DUMMYFUNCTION("GOOGLEFINANCE($A347, F$2)"),"#N/A")</f>
        <v>#N/A</v>
      </c>
      <c r="G347" s="4">
        <f>IFERROR(__xludf.DUMMYFUNCTION("GOOGLEFINANCE($A347, G$2)"),713.3)</f>
        <v>713.3</v>
      </c>
      <c r="H347" s="4">
        <f>IFERROR(__xludf.DUMMYFUNCTION("GOOGLEFINANCE($A347, H$2)"),704.0)</f>
        <v>704</v>
      </c>
      <c r="I347" s="4" t="str">
        <f>IFERROR(__xludf.DUMMYFUNCTION("REPLACE(JOIN("";"", INDEX(TRANSPOSE(GOOGLEFINANCE($A347, $I$2, TODAY() - 30, TODAY(), 1)), 2)), 1, 6, """")"),"734,5;748,86;729,1;712;702;709,9;706;707,4;715;707;705;714,7;704")</f>
        <v>734,5;748,86;729,1;712;702;709,9;706;707,4;715;707;705;714,7;704</v>
      </c>
    </row>
    <row r="348">
      <c r="A348" s="3" t="s">
        <v>706</v>
      </c>
      <c r="B348" s="4" t="s">
        <v>707</v>
      </c>
      <c r="C348" s="4">
        <f>IFERROR(__xludf.DUMMYFUNCTION("GOOGLEFINANCE($A348, C$2)"),80.75)</f>
        <v>80.75</v>
      </c>
      <c r="D348" s="4">
        <f>IFERROR(__xludf.DUMMYFUNCTION("GOOGLEFINANCE($A348, D$2)"),0.0)</f>
        <v>0</v>
      </c>
      <c r="E348" s="4" t="str">
        <f>IFERROR(__xludf.DUMMYFUNCTION("GOOGLEFINANCE($A348, E$2)"),"#N/A")</f>
        <v>#N/A</v>
      </c>
      <c r="F348" s="4" t="str">
        <f>IFERROR(__xludf.DUMMYFUNCTION("GOOGLEFINANCE($A348, F$2)"),"#N/A")</f>
        <v>#N/A</v>
      </c>
      <c r="G348" s="4">
        <f>IFERROR(__xludf.DUMMYFUNCTION("GOOGLEFINANCE($A348, G$2)"),81.0)</f>
        <v>81</v>
      </c>
      <c r="H348" s="4">
        <f>IFERROR(__xludf.DUMMYFUNCTION("GOOGLEFINANCE($A348, H$2)"),80.65)</f>
        <v>80.65</v>
      </c>
      <c r="I348" s="4" t="str">
        <f>IFERROR(__xludf.DUMMYFUNCTION("REPLACE(JOIN("";"", INDEX(TRANSPOSE(GOOGLEFINANCE($A348, $I$2, TODAY() - 30, TODAY(), 1)), 2)), 1, 6, """")"),"82,9;81,6;81,7;81,1;77,5;76,55;74,45;74,65;76,65;79,4;79,8;78,85;78,4;81,15;80,75")</f>
        <v>82,9;81,6;81,7;81,1;77,5;76,55;74,45;74,65;76,65;79,4;79,8;78,85;78,4;81,15;80,75</v>
      </c>
    </row>
    <row r="349">
      <c r="A349" s="3" t="s">
        <v>708</v>
      </c>
      <c r="B349" s="4" t="s">
        <v>709</v>
      </c>
      <c r="C349" s="4">
        <f>IFERROR(__xludf.DUMMYFUNCTION("GOOGLEFINANCE($A349, C$2)"),18.85)</f>
        <v>18.85</v>
      </c>
      <c r="D349" s="4">
        <f>IFERROR(__xludf.DUMMYFUNCTION("GOOGLEFINANCE($A349, D$2)"),0.0)</f>
        <v>0</v>
      </c>
      <c r="E349" s="4">
        <f>IFERROR(__xludf.DUMMYFUNCTION("GOOGLEFINANCE($A349, E$2)"),52.39)</f>
        <v>52.39</v>
      </c>
      <c r="F349" s="4">
        <f>IFERROR(__xludf.DUMMYFUNCTION("GOOGLEFINANCE($A349, F$2)"),0.36)</f>
        <v>0.36</v>
      </c>
      <c r="G349" s="4">
        <f>IFERROR(__xludf.DUMMYFUNCTION("GOOGLEFINANCE($A349, G$2)"),19.05)</f>
        <v>19.05</v>
      </c>
      <c r="H349" s="4">
        <f>IFERROR(__xludf.DUMMYFUNCTION("GOOGLEFINANCE($A349, H$2)"),18.4)</f>
        <v>18.4</v>
      </c>
      <c r="I349" s="4" t="str">
        <f>IFERROR(__xludf.DUMMYFUNCTION("REPLACE(JOIN("";"", INDEX(TRANSPOSE(GOOGLEFINANCE($A349, $I$2, TODAY() - 30, TODAY(), 1)), 2)), 1, 6, """")"),"19,38;19,09;19,11;19,6;18,87;18,71;19,64;19,79;19,34;19,35;19,21;19;18,54;18,88;19,08;18,87;18,54;18,85")</f>
        <v>19,38;19,09;19,11;19,6;18,87;18,71;19,64;19,79;19,34;19,35;19,21;19;18,54;18,88;19,08;18,87;18,54;18,85</v>
      </c>
    </row>
    <row r="350">
      <c r="A350" s="3" t="s">
        <v>710</v>
      </c>
      <c r="B350" s="4" t="s">
        <v>711</v>
      </c>
      <c r="C350" s="4">
        <f>IFERROR(__xludf.DUMMYFUNCTION("GOOGLEFINANCE($A350, C$2)"),24.15)</f>
        <v>24.15</v>
      </c>
      <c r="D350" s="4">
        <f>IFERROR(__xludf.DUMMYFUNCTION("GOOGLEFINANCE($A350, D$2)"),0.0)</f>
        <v>0</v>
      </c>
      <c r="E350" s="4">
        <f>IFERROR(__xludf.DUMMYFUNCTION("GOOGLEFINANCE($A350, E$2)"),67.12)</f>
        <v>67.12</v>
      </c>
      <c r="F350" s="4">
        <f>IFERROR(__xludf.DUMMYFUNCTION("GOOGLEFINANCE($A350, F$2)"),0.36)</f>
        <v>0.36</v>
      </c>
      <c r="G350" s="4">
        <f>IFERROR(__xludf.DUMMYFUNCTION("GOOGLEFINANCE($A350, G$2)"),24.56)</f>
        <v>24.56</v>
      </c>
      <c r="H350" s="4">
        <f>IFERROR(__xludf.DUMMYFUNCTION("GOOGLEFINANCE($A350, H$2)"),23.68)</f>
        <v>23.68</v>
      </c>
      <c r="I350" s="4" t="str">
        <f>IFERROR(__xludf.DUMMYFUNCTION("REPLACE(JOIN("";"", INDEX(TRANSPOSE(GOOGLEFINANCE($A350, $I$2, TODAY() - 30, TODAY(), 1)), 2)), 1, 6, """")"),"24,77;24,35;24,45;24,85;24,09;23,93;25,25;25,25;24,81;24,8;24,52;24,27;23,82;24,3;24,61;24,4;23,82;24,15")</f>
        <v>24,77;24,35;24,45;24,85;24,09;23,93;25,25;25,25;24,81;24,8;24,52;24,27;23,82;24,3;24,61;24,4;23,82;24,15</v>
      </c>
    </row>
    <row r="351">
      <c r="A351" s="3" t="s">
        <v>712</v>
      </c>
      <c r="B351" s="4" t="s">
        <v>713</v>
      </c>
      <c r="C351" s="4">
        <f>IFERROR(__xludf.DUMMYFUNCTION("GOOGLEFINANCE($A351, C$2)"),7.61)</f>
        <v>7.61</v>
      </c>
      <c r="D351" s="4">
        <f>IFERROR(__xludf.DUMMYFUNCTION("GOOGLEFINANCE($A351, D$2)"),0.0)</f>
        <v>0</v>
      </c>
      <c r="E351" s="4">
        <f>IFERROR(__xludf.DUMMYFUNCTION("GOOGLEFINANCE($A351, E$2)"),12.54)</f>
        <v>12.54</v>
      </c>
      <c r="F351" s="4">
        <f>IFERROR(__xludf.DUMMYFUNCTION("GOOGLEFINANCE($A351, F$2)"),0.61)</f>
        <v>0.61</v>
      </c>
      <c r="G351" s="4">
        <f>IFERROR(__xludf.DUMMYFUNCTION("GOOGLEFINANCE($A351, G$2)"),7.79)</f>
        <v>7.79</v>
      </c>
      <c r="H351" s="4">
        <f>IFERROR(__xludf.DUMMYFUNCTION("GOOGLEFINANCE($A351, H$2)"),7.5)</f>
        <v>7.5</v>
      </c>
      <c r="I351" s="4" t="str">
        <f>IFERROR(__xludf.DUMMYFUNCTION("REPLACE(JOIN("";"", INDEX(TRANSPOSE(GOOGLEFINANCE($A351, $I$2, TODAY() - 30, TODAY(), 1)), 2)), 1, 6, """")"),"8,31;8,13;8,17;8,28;8,25;8,38;8,51;8,43;8,45;8,31;8,2;8,29;8,29;8,2;8,22;7,91;7,71;7,61")</f>
        <v>8,31;8,13;8,17;8,28;8,25;8,38;8,51;8,43;8,45;8,31;8,2;8,29;8,29;8,2;8,22;7,91;7,71;7,61</v>
      </c>
    </row>
    <row r="352">
      <c r="A352" s="3" t="s">
        <v>714</v>
      </c>
      <c r="B352" s="4" t="s">
        <v>715</v>
      </c>
      <c r="C352" s="4">
        <f>IFERROR(__xludf.DUMMYFUNCTION("GOOGLEFINANCE($A352, C$2)"),413.0)</f>
        <v>413</v>
      </c>
      <c r="D352" s="4">
        <f>IFERROR(__xludf.DUMMYFUNCTION("GOOGLEFINANCE($A352, D$2)"),0.0)</f>
        <v>0</v>
      </c>
      <c r="E352" s="4" t="str">
        <f>IFERROR(__xludf.DUMMYFUNCTION("GOOGLEFINANCE($A352, E$2)"),"#N/A")</f>
        <v>#N/A</v>
      </c>
      <c r="F352" s="4" t="str">
        <f>IFERROR(__xludf.DUMMYFUNCTION("GOOGLEFINANCE($A352, F$2)"),"#N/A")</f>
        <v>#N/A</v>
      </c>
      <c r="G352" s="4" t="str">
        <f>IFERROR(__xludf.DUMMYFUNCTION("GOOGLEFINANCE($A352, G$2)"),"#N/A")</f>
        <v>#N/A</v>
      </c>
      <c r="H352" s="4" t="str">
        <f>IFERROR(__xludf.DUMMYFUNCTION("GOOGLEFINANCE($A352, H$2)"),"#N/A")</f>
        <v>#N/A</v>
      </c>
      <c r="I352" s="4" t="str">
        <f>IFERROR(__xludf.DUMMYFUNCTION("REPLACE(JOIN("";"", INDEX(TRANSPOSE(GOOGLEFINANCE($A352, $I$2, TODAY() - 30, TODAY(), 1)), 2)), 1, 6, """")"),"403;400;413")</f>
        <v>403;400;413</v>
      </c>
    </row>
    <row r="353">
      <c r="A353" s="3" t="s">
        <v>716</v>
      </c>
      <c r="B353" s="4" t="s">
        <v>717</v>
      </c>
      <c r="C353" s="4">
        <f>IFERROR(__xludf.DUMMYFUNCTION("GOOGLEFINANCE($A353, C$2)"),26.5)</f>
        <v>26.5</v>
      </c>
      <c r="D353" s="4">
        <f>IFERROR(__xludf.DUMMYFUNCTION("GOOGLEFINANCE($A353, D$2)"),0.0)</f>
        <v>0</v>
      </c>
      <c r="E353" s="4">
        <f>IFERROR(__xludf.DUMMYFUNCTION("GOOGLEFINANCE($A353, E$2)"),46.41)</f>
        <v>46.41</v>
      </c>
      <c r="F353" s="4">
        <f>IFERROR(__xludf.DUMMYFUNCTION("GOOGLEFINANCE($A353, F$2)"),0.57)</f>
        <v>0.57</v>
      </c>
      <c r="G353" s="4">
        <f>IFERROR(__xludf.DUMMYFUNCTION("GOOGLEFINANCE($A353, G$2)"),26.5)</f>
        <v>26.5</v>
      </c>
      <c r="H353" s="4">
        <f>IFERROR(__xludf.DUMMYFUNCTION("GOOGLEFINANCE($A353, H$2)"),25.83)</f>
        <v>25.83</v>
      </c>
      <c r="I353" s="4" t="str">
        <f>IFERROR(__xludf.DUMMYFUNCTION("REPLACE(JOIN("";"", INDEX(TRANSPOSE(GOOGLEFINANCE($A353, $I$2, TODAY() - 30, TODAY(), 1)), 2)), 1, 6, """")"),"27,08;26,86;26,19;27,39;26,16;26;27,46;28,06;28,06;27,62;27,48;27,25;26,81;26,65;26,62;26,19;26,05;26,5")</f>
        <v>27,08;26,86;26,19;27,39;26,16;26;27,46;28,06;28,06;27,62;27,48;27,25;26,81;26,65;26,62;26,19;26,05;26,5</v>
      </c>
    </row>
    <row r="354">
      <c r="A354" s="3" t="s">
        <v>718</v>
      </c>
      <c r="B354" s="4" t="s">
        <v>719</v>
      </c>
      <c r="C354" s="4">
        <f>IFERROR(__xludf.DUMMYFUNCTION("GOOGLEFINANCE($A354, C$2)"),18.76)</f>
        <v>18.76</v>
      </c>
      <c r="D354" s="4">
        <f>IFERROR(__xludf.DUMMYFUNCTION("GOOGLEFINANCE($A354, D$2)"),0.0)</f>
        <v>0</v>
      </c>
      <c r="E354" s="4">
        <f>IFERROR(__xludf.DUMMYFUNCTION("GOOGLEFINANCE($A354, E$2)"),26.8)</f>
        <v>26.8</v>
      </c>
      <c r="F354" s="4">
        <f>IFERROR(__xludf.DUMMYFUNCTION("GOOGLEFINANCE($A354, F$2)"),0.7)</f>
        <v>0.7</v>
      </c>
      <c r="G354" s="4">
        <f>IFERROR(__xludf.DUMMYFUNCTION("GOOGLEFINANCE($A354, G$2)"),19.65)</f>
        <v>19.65</v>
      </c>
      <c r="H354" s="4">
        <f>IFERROR(__xludf.DUMMYFUNCTION("GOOGLEFINANCE($A354, H$2)"),18.74)</f>
        <v>18.74</v>
      </c>
      <c r="I354" s="4" t="str">
        <f>IFERROR(__xludf.DUMMYFUNCTION("REPLACE(JOIN("";"", INDEX(TRANSPOSE(GOOGLEFINANCE($A354, $I$2, TODAY() - 30, TODAY(), 1)), 2)), 1, 6, """")"),"18,97;18,97;19,09;19,34;18,89;18,98;19,26;19,48;19,37;19,11;19,05;19,03;18,78;18,89;18,92;19,13;18,97;18,76")</f>
        <v>18,97;18,97;19,09;19,34;18,89;18,98;19,26;19,48;19,37;19,11;19,05;19,03;18,78;18,89;18,92;19,13;18,97;18,76</v>
      </c>
    </row>
    <row r="355">
      <c r="A355" s="3" t="s">
        <v>720</v>
      </c>
      <c r="B355" s="4" t="s">
        <v>721</v>
      </c>
      <c r="C355" s="4">
        <f>IFERROR(__xludf.DUMMYFUNCTION("GOOGLEFINANCE($A355, C$2)"),20.04)</f>
        <v>20.04</v>
      </c>
      <c r="D355" s="4">
        <f>IFERROR(__xludf.DUMMYFUNCTION("GOOGLEFINANCE($A355, D$2)"),0.0)</f>
        <v>0</v>
      </c>
      <c r="E355" s="4" t="str">
        <f>IFERROR(__xludf.DUMMYFUNCTION("GOOGLEFINANCE($A355, E$2)"),"#N/A")</f>
        <v>#N/A</v>
      </c>
      <c r="F355" s="4">
        <f>IFERROR(__xludf.DUMMYFUNCTION("GOOGLEFINANCE($A355, F$2)"),-0.64)</f>
        <v>-0.64</v>
      </c>
      <c r="G355" s="4">
        <f>IFERROR(__xludf.DUMMYFUNCTION("GOOGLEFINANCE($A355, G$2)"),20.73)</f>
        <v>20.73</v>
      </c>
      <c r="H355" s="4">
        <f>IFERROR(__xludf.DUMMYFUNCTION("GOOGLEFINANCE($A355, H$2)"),19.96)</f>
        <v>19.96</v>
      </c>
      <c r="I355" s="4" t="str">
        <f>IFERROR(__xludf.DUMMYFUNCTION("REPLACE(JOIN("";"", INDEX(TRANSPOSE(GOOGLEFINANCE($A355, $I$2, TODAY() - 30, TODAY(), 1)), 2)), 1, 6, """")"),"19,85;20,04;20,06;20,95;20,56;21,12;21,63;21,7;21,6;21,33;21,02;21,04;20,51;20,61;20,43;20,43;20,44;20,04")</f>
        <v>19,85;20,04;20,06;20,95;20,56;21,12;21,63;21,7;21,6;21,33;21,02;21,04;20,51;20,61;20,43;20,43;20,44;20,04</v>
      </c>
    </row>
    <row r="356">
      <c r="A356" s="3" t="s">
        <v>722</v>
      </c>
      <c r="B356" s="4" t="s">
        <v>723</v>
      </c>
      <c r="C356" s="4">
        <f>IFERROR(__xludf.DUMMYFUNCTION("GOOGLEFINANCE($A356, C$2)"),544.0)</f>
        <v>544</v>
      </c>
      <c r="D356" s="4">
        <f>IFERROR(__xludf.DUMMYFUNCTION("GOOGLEFINANCE($A356, D$2)"),0.0)</f>
        <v>0</v>
      </c>
      <c r="E356" s="4" t="str">
        <f>IFERROR(__xludf.DUMMYFUNCTION("GOOGLEFINANCE($A356, E$2)"),"#N/A")</f>
        <v>#N/A</v>
      </c>
      <c r="F356" s="4" t="str">
        <f>IFERROR(__xludf.DUMMYFUNCTION("GOOGLEFINANCE($A356, F$2)"),"#N/A")</f>
        <v>#N/A</v>
      </c>
      <c r="G356" s="4">
        <f>IFERROR(__xludf.DUMMYFUNCTION("GOOGLEFINANCE($A356, G$2)"),545.0)</f>
        <v>545</v>
      </c>
      <c r="H356" s="4">
        <f>IFERROR(__xludf.DUMMYFUNCTION("GOOGLEFINANCE($A356, H$2)"),539.51)</f>
        <v>539.51</v>
      </c>
      <c r="I356" s="4" t="str">
        <f>IFERROR(__xludf.DUMMYFUNCTION("REPLACE(JOIN("";"", INDEX(TRANSPOSE(GOOGLEFINANCE($A356, $I$2, TODAY() - 30, TODAY(), 1)), 2)), 1, 6, """")"),"563,39;569,44;558;570;566,7;561,49;532,1;532;547,01;541,81;553;546;545,5;546;554,49;558,49;552,99;544")</f>
        <v>563,39;569,44;558;570;566,7;561,49;532,1;532;547,01;541,81;553;546;545,5;546;554,49;558,49;552,99;544</v>
      </c>
    </row>
    <row r="357">
      <c r="A357" s="3" t="s">
        <v>724</v>
      </c>
      <c r="B357" s="4" t="s">
        <v>725</v>
      </c>
      <c r="C357" s="4">
        <f>IFERROR(__xludf.DUMMYFUNCTION("GOOGLEFINANCE($A357, C$2)"),38.7)</f>
        <v>38.7</v>
      </c>
      <c r="D357" s="4">
        <f>IFERROR(__xludf.DUMMYFUNCTION("GOOGLEFINANCE($A357, D$2)"),0.0)</f>
        <v>0</v>
      </c>
      <c r="E357" s="4" t="str">
        <f>IFERROR(__xludf.DUMMYFUNCTION("GOOGLEFINANCE($A357, E$2)"),"#N/A")</f>
        <v>#N/A</v>
      </c>
      <c r="F357" s="4">
        <f>IFERROR(__xludf.DUMMYFUNCTION("GOOGLEFINANCE($A357, F$2)"),-0.03)</f>
        <v>-0.03</v>
      </c>
      <c r="G357" s="4">
        <f>IFERROR(__xludf.DUMMYFUNCTION("GOOGLEFINANCE($A357, G$2)"),38.9)</f>
        <v>38.9</v>
      </c>
      <c r="H357" s="4">
        <f>IFERROR(__xludf.DUMMYFUNCTION("GOOGLEFINANCE($A357, H$2)"),38.51)</f>
        <v>38.51</v>
      </c>
      <c r="I357" s="4" t="str">
        <f>IFERROR(__xludf.DUMMYFUNCTION("REPLACE(JOIN("";"", INDEX(TRANSPOSE(GOOGLEFINANCE($A357, $I$2, TODAY() - 30, TODAY(), 1)), 2)), 1, 6, """")"),"38,15;37,69;37,66;37,9;37,68;37,75;37,75;37,92;38,06;38,3;38,5;38,55;38,34;38,6;38,97;38,86;38,63;38,7")</f>
        <v>38,15;37,69;37,66;37,9;37,68;37,75;37,75;37,92;38,06;38,3;38,5;38,55;38,34;38,6;38,97;38,86;38,63;38,7</v>
      </c>
    </row>
    <row r="358">
      <c r="A358" s="3" t="s">
        <v>726</v>
      </c>
      <c r="B358" s="4" t="s">
        <v>727</v>
      </c>
      <c r="C358" s="4">
        <f>IFERROR(__xludf.DUMMYFUNCTION("GOOGLEFINANCE($A358, C$2)"),18.19)</f>
        <v>18.19</v>
      </c>
      <c r="D358" s="4">
        <f>IFERROR(__xludf.DUMMYFUNCTION("GOOGLEFINANCE($A358, D$2)"),0.0)</f>
        <v>0</v>
      </c>
      <c r="E358" s="4">
        <f>IFERROR(__xludf.DUMMYFUNCTION("GOOGLEFINANCE($A358, E$2)"),58.29)</f>
        <v>58.29</v>
      </c>
      <c r="F358" s="4">
        <f>IFERROR(__xludf.DUMMYFUNCTION("GOOGLEFINANCE($A358, F$2)"),0.31)</f>
        <v>0.31</v>
      </c>
      <c r="G358" s="4">
        <f>IFERROR(__xludf.DUMMYFUNCTION("GOOGLEFINANCE($A358, G$2)"),18.19)</f>
        <v>18.19</v>
      </c>
      <c r="H358" s="4">
        <f>IFERROR(__xludf.DUMMYFUNCTION("GOOGLEFINANCE($A358, H$2)"),17.64)</f>
        <v>17.64</v>
      </c>
      <c r="I358" s="4" t="str">
        <f>IFERROR(__xludf.DUMMYFUNCTION("REPLACE(JOIN("";"", INDEX(TRANSPOSE(GOOGLEFINANCE($A358, $I$2, TODAY() - 30, TODAY(), 1)), 2)), 1, 6, """")"),"16,3;17,29;17,05;17,6;17,75;19,2;19,5;19,85;20,07;20,36;20,24;19,95;19,27;19;18,24;17,97;18,1;18,19")</f>
        <v>16,3;17,29;17,05;17,6;17,75;19,2;19,5;19,85;20,07;20,36;20,24;19,95;19,27;19;18,24;17,97;18,1;18,19</v>
      </c>
    </row>
    <row r="359">
      <c r="A359" s="3" t="s">
        <v>728</v>
      </c>
      <c r="B359" s="4" t="s">
        <v>729</v>
      </c>
      <c r="C359" s="4">
        <f>IFERROR(__xludf.DUMMYFUNCTION("GOOGLEFINANCE($A359, C$2)"),4.36)</f>
        <v>4.36</v>
      </c>
      <c r="D359" s="4">
        <f>IFERROR(__xludf.DUMMYFUNCTION("GOOGLEFINANCE($A359, D$2)"),0.0)</f>
        <v>0</v>
      </c>
      <c r="E359" s="4" t="str">
        <f>IFERROR(__xludf.DUMMYFUNCTION("GOOGLEFINANCE($A359, E$2)"),"#N/A")</f>
        <v>#N/A</v>
      </c>
      <c r="F359" s="4">
        <f>IFERROR(__xludf.DUMMYFUNCTION("GOOGLEFINANCE($A359, F$2)"),-27.27)</f>
        <v>-27.27</v>
      </c>
      <c r="G359" s="4">
        <f>IFERROR(__xludf.DUMMYFUNCTION("GOOGLEFINANCE($A359, G$2)"),4.48)</f>
        <v>4.48</v>
      </c>
      <c r="H359" s="4">
        <f>IFERROR(__xludf.DUMMYFUNCTION("GOOGLEFINANCE($A359, H$2)"),4.36)</f>
        <v>4.36</v>
      </c>
      <c r="I359" s="4" t="str">
        <f>IFERROR(__xludf.DUMMYFUNCTION("REPLACE(JOIN("";"", INDEX(TRANSPOSE(GOOGLEFINANCE($A359, $I$2, TODAY() - 30, TODAY(), 1)), 2)), 1, 6, """")"),"4,45;4,46;4,53;4,58;4,44;4,57;4,7;4,65;4,72;4,59;4,56;4,5;4,45;4,46;4,47;4,44;4,37;4,36")</f>
        <v>4,45;4,46;4,53;4,58;4,44;4,57;4,7;4,65;4,72;4,59;4,56;4,5;4,45;4,46;4,47;4,44;4,37;4,36</v>
      </c>
    </row>
    <row r="360">
      <c r="A360" s="3" t="s">
        <v>730</v>
      </c>
      <c r="B360" s="4" t="s">
        <v>731</v>
      </c>
      <c r="C360" s="4">
        <f>IFERROR(__xludf.DUMMYFUNCTION("GOOGLEFINANCE($A360, C$2)"),1815.0)</f>
        <v>1815</v>
      </c>
      <c r="D360" s="4">
        <f>IFERROR(__xludf.DUMMYFUNCTION("GOOGLEFINANCE($A360, D$2)"),0.0)</f>
        <v>0</v>
      </c>
      <c r="E360" s="4" t="str">
        <f>IFERROR(__xludf.DUMMYFUNCTION("GOOGLEFINANCE($A360, E$2)"),"#N/A")</f>
        <v>#N/A</v>
      </c>
      <c r="F360" s="4" t="str">
        <f>IFERROR(__xludf.DUMMYFUNCTION("GOOGLEFINANCE($A360, F$2)"),"#N/A")</f>
        <v>#N/A</v>
      </c>
      <c r="G360" s="4">
        <f>IFERROR(__xludf.DUMMYFUNCTION("GOOGLEFINANCE($A360, G$2)"),1815.0)</f>
        <v>1815</v>
      </c>
      <c r="H360" s="4">
        <f>IFERROR(__xludf.DUMMYFUNCTION("GOOGLEFINANCE($A360, H$2)"),1815.0)</f>
        <v>1815</v>
      </c>
      <c r="I360" s="4" t="str">
        <f>IFERROR(__xludf.DUMMYFUNCTION("REPLACE(JOIN("";"", INDEX(TRANSPOSE(GOOGLEFINANCE($A360, $I$2, TODAY() - 30, TODAY(), 1)), 2)), 1, 6, """")"),"1876;1813;1801;1790,29;1773,1;1795,9;1785,9;1833,8;1811,3;1803,4;1857,5;1821;1844,36;1815")</f>
        <v>1876;1813;1801;1790,29;1773,1;1795,9;1785,9;1833,8;1811,3;1803,4;1857,5;1821;1844,36;1815</v>
      </c>
    </row>
    <row r="361">
      <c r="A361" s="3" t="s">
        <v>732</v>
      </c>
      <c r="B361" s="4" t="s">
        <v>733</v>
      </c>
      <c r="C361" s="4">
        <f>IFERROR(__xludf.DUMMYFUNCTION("GOOGLEFINANCE($A361, C$2)"),32.91)</f>
        <v>32.91</v>
      </c>
      <c r="D361" s="4">
        <f>IFERROR(__xludf.DUMMYFUNCTION("GOOGLEFINANCE($A361, D$2)"),0.0)</f>
        <v>0</v>
      </c>
      <c r="E361" s="4">
        <f>IFERROR(__xludf.DUMMYFUNCTION("GOOGLEFINANCE($A361, E$2)"),23.98)</f>
        <v>23.98</v>
      </c>
      <c r="F361" s="4">
        <f>IFERROR(__xludf.DUMMYFUNCTION("GOOGLEFINANCE($A361, F$2)"),1.37)</f>
        <v>1.37</v>
      </c>
      <c r="G361" s="4">
        <f>IFERROR(__xludf.DUMMYFUNCTION("GOOGLEFINANCE($A361, G$2)"),32.94)</f>
        <v>32.94</v>
      </c>
      <c r="H361" s="4">
        <f>IFERROR(__xludf.DUMMYFUNCTION("GOOGLEFINANCE($A361, H$2)"),31.25)</f>
        <v>31.25</v>
      </c>
      <c r="I361" s="4" t="str">
        <f>IFERROR(__xludf.DUMMYFUNCTION("REPLACE(JOIN("";"", INDEX(TRANSPOSE(GOOGLEFINANCE($A361, $I$2, TODAY() - 30, TODAY(), 1)), 2)), 1, 6, """")"),"33,48;33,55;33,51;34,6;33,5;33,5;33,8;33,57;33,77;33,59;33,89;33,67;33,11;32,08;31,55;31,35;31,35;32,91")</f>
        <v>33,48;33,55;33,51;34,6;33,5;33,5;33,8;33,57;33,77;33,59;33,89;33,67;33,11;32,08;31,55;31,35;31,35;32,91</v>
      </c>
    </row>
    <row r="362">
      <c r="A362" s="3" t="s">
        <v>734</v>
      </c>
      <c r="B362" s="4" t="s">
        <v>735</v>
      </c>
      <c r="C362" s="4">
        <f>IFERROR(__xludf.DUMMYFUNCTION("GOOGLEFINANCE($A362, C$2)"),15.39)</f>
        <v>15.39</v>
      </c>
      <c r="D362" s="4">
        <f>IFERROR(__xludf.DUMMYFUNCTION("GOOGLEFINANCE($A362, D$2)"),0.0)</f>
        <v>0</v>
      </c>
      <c r="E362" s="4" t="str">
        <f>IFERROR(__xludf.DUMMYFUNCTION("GOOGLEFINANCE($A362, E$2)"),"#N/A")</f>
        <v>#N/A</v>
      </c>
      <c r="F362" s="4">
        <f>IFERROR(__xludf.DUMMYFUNCTION("GOOGLEFINANCE($A362, F$2)"),-0.92)</f>
        <v>-0.92</v>
      </c>
      <c r="G362" s="4">
        <f>IFERROR(__xludf.DUMMYFUNCTION("GOOGLEFINANCE($A362, G$2)"),15.39)</f>
        <v>15.39</v>
      </c>
      <c r="H362" s="4">
        <f>IFERROR(__xludf.DUMMYFUNCTION("GOOGLEFINANCE($A362, H$2)"),14.94)</f>
        <v>14.94</v>
      </c>
      <c r="I362" s="4" t="str">
        <f>IFERROR(__xludf.DUMMYFUNCTION("REPLACE(JOIN("";"", INDEX(TRANSPOSE(GOOGLEFINANCE($A362, $I$2, TODAY() - 30, TODAY(), 1)), 2)), 1, 6, """")"),"15,05;14,73;14,69;15,25;14,61;14,75;15,55;16,68;16;15,66;15,71;15,24;15,02;15,07;15,22;15,03;15,16;15,39")</f>
        <v>15,05;14,73;14,69;15,25;14,61;14,75;15,55;16,68;16;15,66;15,71;15,24;15,02;15,07;15,22;15,03;15,16;15,39</v>
      </c>
    </row>
    <row r="363">
      <c r="A363" s="3" t="s">
        <v>736</v>
      </c>
      <c r="B363" s="4" t="s">
        <v>737</v>
      </c>
      <c r="C363" s="4">
        <f>IFERROR(__xludf.DUMMYFUNCTION("GOOGLEFINANCE($A363, C$2)"),477.9)</f>
        <v>477.9</v>
      </c>
      <c r="D363" s="4">
        <f>IFERROR(__xludf.DUMMYFUNCTION("GOOGLEFINANCE($A363, D$2)"),0.0)</f>
        <v>0</v>
      </c>
      <c r="E363" s="4" t="str">
        <f>IFERROR(__xludf.DUMMYFUNCTION("GOOGLEFINANCE($A363, E$2)"),"#N/A")</f>
        <v>#N/A</v>
      </c>
      <c r="F363" s="4" t="str">
        <f>IFERROR(__xludf.DUMMYFUNCTION("GOOGLEFINANCE($A363, F$2)"),"#N/A")</f>
        <v>#N/A</v>
      </c>
      <c r="G363" s="4">
        <f>IFERROR(__xludf.DUMMYFUNCTION("GOOGLEFINANCE($A363, G$2)"),477.9)</f>
        <v>477.9</v>
      </c>
      <c r="H363" s="4">
        <f>IFERROR(__xludf.DUMMYFUNCTION("GOOGLEFINANCE($A363, H$2)"),477.9)</f>
        <v>477.9</v>
      </c>
      <c r="I363" s="4" t="str">
        <f>IFERROR(__xludf.DUMMYFUNCTION("REPLACE(JOIN("";"", INDEX(TRANSPOSE(GOOGLEFINANCE($A363, $I$2, TODAY() - 30, TODAY(), 1)), 2)), 1, 6, """")"),"468,8;459,1;469,58;464,01;447,2;450,9;457;467,1;467,4;472,8;475;481,5;483;477,9")</f>
        <v>468,8;459,1;469,58;464,01;447,2;450,9;457;467,1;467,4;472,8;475;481,5;483;477,9</v>
      </c>
    </row>
    <row r="364">
      <c r="A364" s="3" t="s">
        <v>738</v>
      </c>
      <c r="B364" s="4" t="s">
        <v>739</v>
      </c>
      <c r="C364" s="4">
        <f>IFERROR(__xludf.DUMMYFUNCTION("GOOGLEFINANCE($A364, C$2)"),3.91)</f>
        <v>3.91</v>
      </c>
      <c r="D364" s="4">
        <f>IFERROR(__xludf.DUMMYFUNCTION("GOOGLEFINANCE($A364, D$2)"),0.0)</f>
        <v>0</v>
      </c>
      <c r="E364" s="4" t="str">
        <f>IFERROR(__xludf.DUMMYFUNCTION("GOOGLEFINANCE($A364, E$2)"),"#N/A")</f>
        <v>#N/A</v>
      </c>
      <c r="F364" s="4">
        <f>IFERROR(__xludf.DUMMYFUNCTION("GOOGLEFINANCE($A364, F$2)"),-0.1)</f>
        <v>-0.1</v>
      </c>
      <c r="G364" s="4">
        <f>IFERROR(__xludf.DUMMYFUNCTION("GOOGLEFINANCE($A364, G$2)"),4.07)</f>
        <v>4.07</v>
      </c>
      <c r="H364" s="4">
        <f>IFERROR(__xludf.DUMMYFUNCTION("GOOGLEFINANCE($A364, H$2)"),3.91)</f>
        <v>3.91</v>
      </c>
      <c r="I364" s="4" t="str">
        <f>IFERROR(__xludf.DUMMYFUNCTION("REPLACE(JOIN("";"", INDEX(TRANSPOSE(GOOGLEFINANCE($A364, $I$2, TODAY() - 30, TODAY(), 1)), 2)), 1, 6, """")"),"4,4;4,56;4,59;4,6;4,58;4,58;4,68;4,75;4,6;4,69;4,55;4,47;4,28;4,21;4,2;4,11;3,99;3,91")</f>
        <v>4,4;4,56;4,59;4,6;4,58;4,58;4,68;4,75;4,6;4,69;4,55;4,47;4,28;4,21;4,2;4,11;3,99;3,91</v>
      </c>
    </row>
    <row r="365">
      <c r="A365" s="3" t="s">
        <v>740</v>
      </c>
      <c r="B365" s="4" t="s">
        <v>741</v>
      </c>
      <c r="C365" s="4">
        <f>IFERROR(__xludf.DUMMYFUNCTION("GOOGLEFINANCE($A365, C$2)"),39.67)</f>
        <v>39.67</v>
      </c>
      <c r="D365" s="4">
        <f>IFERROR(__xludf.DUMMYFUNCTION("GOOGLEFINANCE($A365, D$2)"),0.0)</f>
        <v>0</v>
      </c>
      <c r="E365" s="4">
        <f>IFERROR(__xludf.DUMMYFUNCTION("GOOGLEFINANCE($A365, E$2)"),28.76)</f>
        <v>28.76</v>
      </c>
      <c r="F365" s="4">
        <f>IFERROR(__xludf.DUMMYFUNCTION("GOOGLEFINANCE($A365, F$2)"),1.38)</f>
        <v>1.38</v>
      </c>
      <c r="G365" s="4">
        <f>IFERROR(__xludf.DUMMYFUNCTION("GOOGLEFINANCE($A365, G$2)"),40.43)</f>
        <v>40.43</v>
      </c>
      <c r="H365" s="4">
        <f>IFERROR(__xludf.DUMMYFUNCTION("GOOGLEFINANCE($A365, H$2)"),39.08)</f>
        <v>39.08</v>
      </c>
      <c r="I365" s="4" t="str">
        <f>IFERROR(__xludf.DUMMYFUNCTION("REPLACE(JOIN("";"", INDEX(TRANSPOSE(GOOGLEFINANCE($A365, $I$2, TODAY() - 30, TODAY(), 1)), 2)), 1, 6, """")"),"41,02;41,42;41,84;43,23;41,47;41,07;41,01;41,84;41,34;41,01;41,24;40,89;39,76;39,39;39,9;40,55;40;39,67")</f>
        <v>41,02;41,42;41,84;43,23;41,47;41,07;41,01;41,84;41,34;41,01;41,24;40,89;39,76;39,39;39,9;40,55;40;39,67</v>
      </c>
    </row>
    <row r="366">
      <c r="A366" s="3" t="s">
        <v>742</v>
      </c>
      <c r="B366" s="4" t="s">
        <v>743</v>
      </c>
      <c r="C366" s="4">
        <f>IFERROR(__xludf.DUMMYFUNCTION("GOOGLEFINANCE($A366, C$2)"),229.6)</f>
        <v>229.6</v>
      </c>
      <c r="D366" s="4">
        <f>IFERROR(__xludf.DUMMYFUNCTION("GOOGLEFINANCE($A366, D$2)"),0.0)</f>
        <v>0</v>
      </c>
      <c r="E366" s="4" t="str">
        <f>IFERROR(__xludf.DUMMYFUNCTION("GOOGLEFINANCE($A366, E$2)"),"#N/A")</f>
        <v>#N/A</v>
      </c>
      <c r="F366" s="4" t="str">
        <f>IFERROR(__xludf.DUMMYFUNCTION("GOOGLEFINANCE($A366, F$2)"),"#N/A")</f>
        <v>#N/A</v>
      </c>
      <c r="G366" s="4" t="str">
        <f>IFERROR(__xludf.DUMMYFUNCTION("GOOGLEFINANCE($A366, G$2)"),"#N/A")</f>
        <v>#N/A</v>
      </c>
      <c r="H366" s="4" t="str">
        <f>IFERROR(__xludf.DUMMYFUNCTION("GOOGLEFINANCE($A366, H$2)"),"#N/A")</f>
        <v>#N/A</v>
      </c>
      <c r="I366" s="4" t="str">
        <f>IFERROR(__xludf.DUMMYFUNCTION("REPLACE(JOIN("";"", INDEX(TRANSPOSE(GOOGLEFINANCE($A366, $I$2, TODAY() - 30, TODAY(), 1)), 2)), 1, 6, """")"),"236,04;229,6")</f>
        <v>236,04;229,6</v>
      </c>
    </row>
    <row r="367">
      <c r="A367" s="3" t="s">
        <v>744</v>
      </c>
      <c r="B367" s="4" t="s">
        <v>745</v>
      </c>
      <c r="C367" s="4">
        <f>IFERROR(__xludf.DUMMYFUNCTION("GOOGLEFINANCE($A367, C$2)"),2.2)</f>
        <v>2.2</v>
      </c>
      <c r="D367" s="4">
        <f>IFERROR(__xludf.DUMMYFUNCTION("GOOGLEFINANCE($A367, D$2)"),0.0)</f>
        <v>0</v>
      </c>
      <c r="E367" s="4" t="str">
        <f>IFERROR(__xludf.DUMMYFUNCTION("GOOGLEFINANCE($A367, E$2)"),"#N/A")</f>
        <v>#N/A</v>
      </c>
      <c r="F367" s="4">
        <f>IFERROR(__xludf.DUMMYFUNCTION("GOOGLEFINANCE($A367, F$2)"),-38.65)</f>
        <v>-38.65</v>
      </c>
      <c r="G367" s="4">
        <f>IFERROR(__xludf.DUMMYFUNCTION("GOOGLEFINANCE($A367, G$2)"),2.27)</f>
        <v>2.27</v>
      </c>
      <c r="H367" s="4">
        <f>IFERROR(__xludf.DUMMYFUNCTION("GOOGLEFINANCE($A367, H$2)"),2.16)</f>
        <v>2.16</v>
      </c>
      <c r="I367" s="4" t="str">
        <f>IFERROR(__xludf.DUMMYFUNCTION("REPLACE(JOIN("";"", INDEX(TRANSPOSE(GOOGLEFINANCE($A367, $I$2, TODAY() - 30, TODAY(), 1)), 2)), 1, 6, """")"),"2,27;2,09;2,18;2,42;2,3;2,31;2,31;2,32;2,39;2,39;2,37;2,33;2,26;2,25;2,25;2,24;2,27;2,2")</f>
        <v>2,27;2,09;2,18;2,42;2,3;2,31;2,31;2,32;2,39;2,39;2,37;2,33;2,26;2,25;2,25;2,24;2,27;2,2</v>
      </c>
    </row>
    <row r="368">
      <c r="A368" s="3" t="s">
        <v>746</v>
      </c>
      <c r="B368" s="4" t="s">
        <v>747</v>
      </c>
      <c r="C368" s="4">
        <f>IFERROR(__xludf.DUMMYFUNCTION("GOOGLEFINANCE($A368, C$2)"),65.59)</f>
        <v>65.59</v>
      </c>
      <c r="D368" s="4">
        <f>IFERROR(__xludf.DUMMYFUNCTION("GOOGLEFINANCE($A368, D$2)"),0.0)</f>
        <v>0</v>
      </c>
      <c r="E368" s="4">
        <f>IFERROR(__xludf.DUMMYFUNCTION("GOOGLEFINANCE($A368, E$2)"),28.96)</f>
        <v>28.96</v>
      </c>
      <c r="F368" s="4">
        <f>IFERROR(__xludf.DUMMYFUNCTION("GOOGLEFINANCE($A368, F$2)"),2.27)</f>
        <v>2.27</v>
      </c>
      <c r="G368" s="4">
        <f>IFERROR(__xludf.DUMMYFUNCTION("GOOGLEFINANCE($A368, G$2)"),65.59)</f>
        <v>65.59</v>
      </c>
      <c r="H368" s="4">
        <f>IFERROR(__xludf.DUMMYFUNCTION("GOOGLEFINANCE($A368, H$2)"),64.01)</f>
        <v>64.01</v>
      </c>
      <c r="I368" s="4" t="str">
        <f>IFERROR(__xludf.DUMMYFUNCTION("REPLACE(JOIN("";"", INDEX(TRANSPOSE(GOOGLEFINANCE($A368, $I$2, TODAY() - 30, TODAY(), 1)), 2)), 1, 6, """")"),"63,98;62;64;64,97;64,99;65;65,5;65,99;65;64,99;64,99;65;65;65;65;65;65,45;65,59")</f>
        <v>63,98;62;64;64,97;64,99;65;65,5;65,99;65;64,99;64,99;65;65;65;65;65;65,45;65,59</v>
      </c>
    </row>
    <row r="369">
      <c r="A369" s="3" t="s">
        <v>748</v>
      </c>
      <c r="B369" s="4" t="s">
        <v>749</v>
      </c>
      <c r="C369" s="4">
        <f>IFERROR(__xludf.DUMMYFUNCTION("GOOGLEFINANCE($A369, C$2)"),34.99)</f>
        <v>34.99</v>
      </c>
      <c r="D369" s="4">
        <f>IFERROR(__xludf.DUMMYFUNCTION("GOOGLEFINANCE($A369, D$2)"),0.0)</f>
        <v>0</v>
      </c>
      <c r="E369" s="4">
        <f>IFERROR(__xludf.DUMMYFUNCTION("GOOGLEFINANCE($A369, E$2)"),924.68)</f>
        <v>924.68</v>
      </c>
      <c r="F369" s="4">
        <f>IFERROR(__xludf.DUMMYFUNCTION("GOOGLEFINANCE($A369, F$2)"),0.04)</f>
        <v>0.04</v>
      </c>
      <c r="G369" s="4">
        <f>IFERROR(__xludf.DUMMYFUNCTION("GOOGLEFINANCE($A369, G$2)"),35.06)</f>
        <v>35.06</v>
      </c>
      <c r="H369" s="4">
        <f>IFERROR(__xludf.DUMMYFUNCTION("GOOGLEFINANCE($A369, H$2)"),30.93)</f>
        <v>30.93</v>
      </c>
      <c r="I369" s="4" t="str">
        <f>IFERROR(__xludf.DUMMYFUNCTION("REPLACE(JOIN("";"", INDEX(TRANSPOSE(GOOGLEFINANCE($A369, $I$2, TODAY() - 30, TODAY(), 1)), 2)), 1, 6, """")"),"28,57;27,78;24,72;25,92;25,56;26,66;27,84;27,7;28,98;29,96;31,99;30,7;27,63;29,29;29,14;30,05;30,53;34,99")</f>
        <v>28,57;27,78;24,72;25,92;25,56;26,66;27,84;27,7;28,98;29,96;31,99;30,7;27,63;29,29;29,14;30,05;30,53;34,99</v>
      </c>
    </row>
    <row r="370">
      <c r="A370" s="3" t="s">
        <v>750</v>
      </c>
      <c r="B370" s="4" t="s">
        <v>751</v>
      </c>
      <c r="C370" s="4">
        <f>IFERROR(__xludf.DUMMYFUNCTION("GOOGLEFINANCE($A370, C$2)"),60.7)</f>
        <v>60.7</v>
      </c>
      <c r="D370" s="4">
        <f>IFERROR(__xludf.DUMMYFUNCTION("GOOGLEFINANCE($A370, D$2)"),0.0)</f>
        <v>0</v>
      </c>
      <c r="E370" s="4" t="str">
        <f>IFERROR(__xludf.DUMMYFUNCTION("GOOGLEFINANCE($A370, E$2)"),"#N/A")</f>
        <v>#N/A</v>
      </c>
      <c r="F370" s="4" t="str">
        <f>IFERROR(__xludf.DUMMYFUNCTION("GOOGLEFINANCE($A370, F$2)"),"#N/A")</f>
        <v>#N/A</v>
      </c>
      <c r="G370" s="4">
        <f>IFERROR(__xludf.DUMMYFUNCTION("GOOGLEFINANCE($A370, G$2)"),63.15)</f>
        <v>63.15</v>
      </c>
      <c r="H370" s="4">
        <f>IFERROR(__xludf.DUMMYFUNCTION("GOOGLEFINANCE($A370, H$2)"),60.6)</f>
        <v>60.6</v>
      </c>
      <c r="I370" s="4" t="str">
        <f>IFERROR(__xludf.DUMMYFUNCTION("REPLACE(JOIN("";"", INDEX(TRANSPOSE(GOOGLEFINANCE($A370, $I$2, TODAY() - 30, TODAY(), 1)), 2)), 1, 6, """")"),"60,3;59,35;58;60,65;59,7;60,15;61,05;61,3;62,55;61,65;60,45;60,85;60,75;61,35;62,5;63,2;60,7")</f>
        <v>60,3;59,35;58;60,65;59,7;60,15;61,05;61,3;62,55;61,65;60,45;60,85;60,75;61,35;62,5;63,2;60,7</v>
      </c>
    </row>
    <row r="371">
      <c r="A371" s="3" t="s">
        <v>752</v>
      </c>
      <c r="B371" s="4" t="s">
        <v>753</v>
      </c>
      <c r="C371" s="4">
        <f>IFERROR(__xludf.DUMMYFUNCTION("GOOGLEFINANCE($A371, C$2)"),50.0)</f>
        <v>50</v>
      </c>
      <c r="D371" s="4">
        <f>IFERROR(__xludf.DUMMYFUNCTION("GOOGLEFINANCE($A371, D$2)"),0.0)</f>
        <v>0</v>
      </c>
      <c r="E371" s="4" t="str">
        <f>IFERROR(__xludf.DUMMYFUNCTION("GOOGLEFINANCE($A371, E$2)"),"#N/A")</f>
        <v>#N/A</v>
      </c>
      <c r="F371" s="4">
        <f>IFERROR(__xludf.DUMMYFUNCTION("GOOGLEFINANCE($A371, F$2)"),-0.19)</f>
        <v>-0.19</v>
      </c>
      <c r="G371" s="4" t="str">
        <f>IFERROR(__xludf.DUMMYFUNCTION("GOOGLEFINANCE($A371, G$2)"),"#N/A")</f>
        <v>#N/A</v>
      </c>
      <c r="H371" s="4" t="str">
        <f>IFERROR(__xludf.DUMMYFUNCTION("GOOGLEFINANCE($A371, H$2)"),"#N/A")</f>
        <v>#N/A</v>
      </c>
      <c r="I371" s="4" t="str">
        <f>IFERROR(__xludf.DUMMYFUNCTION("REPLACE(JOIN("";"", INDEX(TRANSPOSE(GOOGLEFINANCE($A371, $I$2, TODAY() - 30, TODAY(), 1)), 2)), 1, 6, """")"),"#N/A")</f>
        <v>#N/A</v>
      </c>
    </row>
    <row r="372">
      <c r="A372" s="3" t="s">
        <v>754</v>
      </c>
      <c r="B372" s="4" t="s">
        <v>755</v>
      </c>
      <c r="C372" s="4">
        <f>IFERROR(__xludf.DUMMYFUNCTION("GOOGLEFINANCE($A372, C$2)"),57.28)</f>
        <v>57.28</v>
      </c>
      <c r="D372" s="4">
        <f>IFERROR(__xludf.DUMMYFUNCTION("GOOGLEFINANCE($A372, D$2)"),0.0)</f>
        <v>0</v>
      </c>
      <c r="E372" s="4" t="str">
        <f>IFERROR(__xludf.DUMMYFUNCTION("GOOGLEFINANCE($A372, E$2)"),"#N/A")</f>
        <v>#N/A</v>
      </c>
      <c r="F372" s="4" t="str">
        <f>IFERROR(__xludf.DUMMYFUNCTION("GOOGLEFINANCE($A372, F$2)"),"#N/A")</f>
        <v>#N/A</v>
      </c>
      <c r="G372" s="4">
        <f>IFERROR(__xludf.DUMMYFUNCTION("GOOGLEFINANCE($A372, G$2)"),58.63)</f>
        <v>58.63</v>
      </c>
      <c r="H372" s="4">
        <f>IFERROR(__xludf.DUMMYFUNCTION("GOOGLEFINANCE($A372, H$2)"),57.28)</f>
        <v>57.28</v>
      </c>
      <c r="I372" s="4" t="str">
        <f>IFERROR(__xludf.DUMMYFUNCTION("REPLACE(JOIN("";"", INDEX(TRANSPOSE(GOOGLEFINANCE($A372, $I$2, TODAY() - 30, TODAY(), 1)), 2)), 1, 6, """")"),"58,34;57,01;56,1;56,25;56,86;56,75;56,79;56,13;57,25;57,15;56,51;58,02;57,65;57,69;57,4;58,14;58,63;57,28")</f>
        <v>58,34;57,01;56,1;56,25;56,86;56,75;56,79;56,13;57,25;57,15;56,51;58,02;57,65;57,69;57,4;58,14;58,63;57,28</v>
      </c>
    </row>
    <row r="373">
      <c r="A373" s="3" t="s">
        <v>756</v>
      </c>
      <c r="B373" s="4" t="s">
        <v>757</v>
      </c>
      <c r="C373" s="4">
        <f>IFERROR(__xludf.DUMMYFUNCTION("GOOGLEFINANCE($A373, C$2)"),373.3)</f>
        <v>373.3</v>
      </c>
      <c r="D373" s="4">
        <f>IFERROR(__xludf.DUMMYFUNCTION("GOOGLEFINANCE($A373, D$2)"),0.0)</f>
        <v>0</v>
      </c>
      <c r="E373" s="4" t="str">
        <f>IFERROR(__xludf.DUMMYFUNCTION("GOOGLEFINANCE($A373, E$2)"),"#N/A")</f>
        <v>#N/A</v>
      </c>
      <c r="F373" s="4" t="str">
        <f>IFERROR(__xludf.DUMMYFUNCTION("GOOGLEFINANCE($A373, F$2)"),"#N/A")</f>
        <v>#N/A</v>
      </c>
      <c r="G373" s="4" t="str">
        <f>IFERROR(__xludf.DUMMYFUNCTION("GOOGLEFINANCE($A373, G$2)"),"#N/A")</f>
        <v>#N/A</v>
      </c>
      <c r="H373" s="4" t="str">
        <f>IFERROR(__xludf.DUMMYFUNCTION("GOOGLEFINANCE($A373, H$2)"),"#N/A")</f>
        <v>#N/A</v>
      </c>
      <c r="I373" s="4" t="str">
        <f>IFERROR(__xludf.DUMMYFUNCTION("REPLACE(JOIN("";"", INDEX(TRANSPOSE(GOOGLEFINANCE($A373, $I$2, TODAY() - 30, TODAY(), 1)), 2)), 1, 6, """")"),"358,9;368;373,3")</f>
        <v>358,9;368;373,3</v>
      </c>
    </row>
    <row r="374">
      <c r="A374" s="3" t="s">
        <v>758</v>
      </c>
      <c r="B374" s="4" t="s">
        <v>759</v>
      </c>
      <c r="C374" s="4">
        <f>IFERROR(__xludf.DUMMYFUNCTION("GOOGLEFINANCE($A374, C$2)"),30.69)</f>
        <v>30.69</v>
      </c>
      <c r="D374" s="4">
        <f>IFERROR(__xludf.DUMMYFUNCTION("GOOGLEFINANCE($A374, D$2)"),0.0)</f>
        <v>0</v>
      </c>
      <c r="E374" s="4">
        <f>IFERROR(__xludf.DUMMYFUNCTION("GOOGLEFINANCE($A374, E$2)"),12.69)</f>
        <v>12.69</v>
      </c>
      <c r="F374" s="4">
        <f>IFERROR(__xludf.DUMMYFUNCTION("GOOGLEFINANCE($A374, F$2)"),2.42)</f>
        <v>2.42</v>
      </c>
      <c r="G374" s="4">
        <f>IFERROR(__xludf.DUMMYFUNCTION("GOOGLEFINANCE($A374, G$2)"),31.17)</f>
        <v>31.17</v>
      </c>
      <c r="H374" s="4">
        <f>IFERROR(__xludf.DUMMYFUNCTION("GOOGLEFINANCE($A374, H$2)"),30.5)</f>
        <v>30.5</v>
      </c>
      <c r="I374" s="4" t="str">
        <f>IFERROR(__xludf.DUMMYFUNCTION("REPLACE(JOIN("";"", INDEX(TRANSPOSE(GOOGLEFINANCE($A374, $I$2, TODAY() - 30, TODAY(), 1)), 2)), 1, 6, """")"),"30,13;30,85;30,85;31,24;30,14;30,5;31,15;31,83;31,05;31,75;31,44;31,44;30,97;31,28;31,04;31,78;30,86;30,69")</f>
        <v>30,13;30,85;30,85;31,24;30,14;30,5;31,15;31,83;31,05;31,75;31,44;31,44;30,97;31,28;31,04;31,78;30,86;30,69</v>
      </c>
    </row>
    <row r="375">
      <c r="A375" s="3" t="s">
        <v>760</v>
      </c>
      <c r="B375" s="4" t="s">
        <v>761</v>
      </c>
      <c r="C375" s="4">
        <f>IFERROR(__xludf.DUMMYFUNCTION("GOOGLEFINANCE($A375, C$2)"),146.7)</f>
        <v>146.7</v>
      </c>
      <c r="D375" s="4">
        <f>IFERROR(__xludf.DUMMYFUNCTION("GOOGLEFINANCE($A375, D$2)"),0.0)</f>
        <v>0</v>
      </c>
      <c r="E375" s="4" t="str">
        <f>IFERROR(__xludf.DUMMYFUNCTION("GOOGLEFINANCE($A375, E$2)"),"#N/A")</f>
        <v>#N/A</v>
      </c>
      <c r="F375" s="4" t="str">
        <f>IFERROR(__xludf.DUMMYFUNCTION("GOOGLEFINANCE($A375, F$2)"),"#N/A")</f>
        <v>#N/A</v>
      </c>
      <c r="G375" s="4">
        <f>IFERROR(__xludf.DUMMYFUNCTION("GOOGLEFINANCE($A375, G$2)"),149.6)</f>
        <v>149.6</v>
      </c>
      <c r="H375" s="4">
        <f>IFERROR(__xludf.DUMMYFUNCTION("GOOGLEFINANCE($A375, H$2)"),146.7)</f>
        <v>146.7</v>
      </c>
      <c r="I375" s="4" t="str">
        <f>IFERROR(__xludf.DUMMYFUNCTION("REPLACE(JOIN("";"", INDEX(TRANSPOSE(GOOGLEFINANCE($A375, $I$2, TODAY() - 30, TODAY(), 1)), 2)), 1, 6, """")"),"155,25;153,39;150,9;149,68;148,85;151,95;150,9;149,05;149,75;148,2;149,1;147,9;152,15;146,7")</f>
        <v>155,25;153,39;150,9;149,68;148,85;151,95;150,9;149,05;149,75;148,2;149,1;147,9;152,15;146,7</v>
      </c>
    </row>
    <row r="376">
      <c r="A376" s="3" t="s">
        <v>762</v>
      </c>
      <c r="B376" s="4" t="s">
        <v>763</v>
      </c>
      <c r="C376" s="4">
        <f>IFERROR(__xludf.DUMMYFUNCTION("GOOGLEFINANCE($A376, C$2)"),10.05)</f>
        <v>10.05</v>
      </c>
      <c r="D376" s="4">
        <f>IFERROR(__xludf.DUMMYFUNCTION("GOOGLEFINANCE($A376, D$2)"),0.0)</f>
        <v>0</v>
      </c>
      <c r="E376" s="4" t="str">
        <f>IFERROR(__xludf.DUMMYFUNCTION("GOOGLEFINANCE($A376, E$2)"),"#N/A")</f>
        <v>#N/A</v>
      </c>
      <c r="F376" s="4">
        <f>IFERROR(__xludf.DUMMYFUNCTION("GOOGLEFINANCE($A376, F$2)"),-1.61)</f>
        <v>-1.61</v>
      </c>
      <c r="G376" s="4">
        <f>IFERROR(__xludf.DUMMYFUNCTION("GOOGLEFINANCE($A376, G$2)"),10.23)</f>
        <v>10.23</v>
      </c>
      <c r="H376" s="4">
        <f>IFERROR(__xludf.DUMMYFUNCTION("GOOGLEFINANCE($A376, H$2)"),10.0)</f>
        <v>10</v>
      </c>
      <c r="I376" s="4" t="str">
        <f>IFERROR(__xludf.DUMMYFUNCTION("REPLACE(JOIN("";"", INDEX(TRANSPOSE(GOOGLEFINANCE($A376, $I$2, TODAY() - 30, TODAY(), 1)), 2)), 1, 6, """")"),"9,9;9,69;9,53;9,87;9,58;9,82;9,92;10,2;10,16;10,28;10,4;10,25;10,13;10,36;10,35;10,62;10,11;10,05")</f>
        <v>9,9;9,69;9,53;9,87;9,58;9,82;9,92;10,2;10,16;10,28;10,4;10,25;10,13;10,36;10,35;10,62;10,11;10,05</v>
      </c>
    </row>
    <row r="377">
      <c r="A377" s="3" t="s">
        <v>764</v>
      </c>
      <c r="B377" s="4" t="s">
        <v>765</v>
      </c>
      <c r="C377" s="4">
        <f>IFERROR(__xludf.DUMMYFUNCTION("GOOGLEFINANCE($A377, C$2)"),307.5)</f>
        <v>307.5</v>
      </c>
      <c r="D377" s="4">
        <f>IFERROR(__xludf.DUMMYFUNCTION("GOOGLEFINANCE($A377, D$2)"),0.0)</f>
        <v>0</v>
      </c>
      <c r="E377" s="4" t="str">
        <f>IFERROR(__xludf.DUMMYFUNCTION("GOOGLEFINANCE($A377, E$2)"),"#N/A")</f>
        <v>#N/A</v>
      </c>
      <c r="F377" s="4" t="str">
        <f>IFERROR(__xludf.DUMMYFUNCTION("GOOGLEFINANCE($A377, F$2)"),"#N/A")</f>
        <v>#N/A</v>
      </c>
      <c r="G377" s="4">
        <f>IFERROR(__xludf.DUMMYFUNCTION("GOOGLEFINANCE($A377, G$2)"),309.0)</f>
        <v>309</v>
      </c>
      <c r="H377" s="4">
        <f>IFERROR(__xludf.DUMMYFUNCTION("GOOGLEFINANCE($A377, H$2)"),305.0)</f>
        <v>305</v>
      </c>
      <c r="I377" s="4" t="str">
        <f>IFERROR(__xludf.DUMMYFUNCTION("REPLACE(JOIN("";"", INDEX(TRANSPOSE(GOOGLEFINANCE($A377, $I$2, TODAY() - 30, TODAY(), 1)), 2)), 1, 6, """")"),"321,05;311,8;303,1;314,5;309,6;306,1;309,5;304,7;319;316,5;316,22;320,75;317,6;320,1;321;321;316,8;307,5")</f>
        <v>321,05;311,8;303,1;314,5;309,6;306,1;309,5;304,7;319;316,5;316,22;320,75;317,6;320,1;321;321;316,8;307,5</v>
      </c>
    </row>
    <row r="378">
      <c r="A378" s="3" t="s">
        <v>766</v>
      </c>
      <c r="B378" s="4" t="s">
        <v>767</v>
      </c>
      <c r="C378" s="4">
        <f>IFERROR(__xludf.DUMMYFUNCTION("GOOGLEFINANCE($A378, C$2)"),3.53)</f>
        <v>3.53</v>
      </c>
      <c r="D378" s="4">
        <f>IFERROR(__xludf.DUMMYFUNCTION("GOOGLEFINANCE($A378, D$2)"),0.0)</f>
        <v>0</v>
      </c>
      <c r="E378" s="4" t="str">
        <f>IFERROR(__xludf.DUMMYFUNCTION("GOOGLEFINANCE($A378, E$2)"),"#N/A")</f>
        <v>#N/A</v>
      </c>
      <c r="F378" s="4">
        <f>IFERROR(__xludf.DUMMYFUNCTION("GOOGLEFINANCE($A378, F$2)"),-3.37)</f>
        <v>-3.37</v>
      </c>
      <c r="G378" s="4">
        <f>IFERROR(__xludf.DUMMYFUNCTION("GOOGLEFINANCE($A378, G$2)"),3.64)</f>
        <v>3.64</v>
      </c>
      <c r="H378" s="4">
        <f>IFERROR(__xludf.DUMMYFUNCTION("GOOGLEFINANCE($A378, H$2)"),3.5)</f>
        <v>3.5</v>
      </c>
      <c r="I378" s="4" t="str">
        <f>IFERROR(__xludf.DUMMYFUNCTION("REPLACE(JOIN("";"", INDEX(TRANSPOSE(GOOGLEFINANCE($A378, $I$2, TODAY() - 30, TODAY(), 1)), 2)), 1, 6, """")"),"3,71;3,65;3,52;3,65;3,52;3,57;3,61;3,69;3,63;3,61;3,57;3,52;3,36;3,56;3,65;3,61;3,59;3,53")</f>
        <v>3,71;3,65;3,52;3,65;3,52;3,57;3,61;3,69;3,63;3,61;3,57;3,52;3,36;3,56;3,65;3,61;3,59;3,53</v>
      </c>
    </row>
    <row r="379">
      <c r="A379" s="3" t="s">
        <v>768</v>
      </c>
      <c r="B379" s="4" t="s">
        <v>769</v>
      </c>
      <c r="C379" s="4">
        <f>IFERROR(__xludf.DUMMYFUNCTION("GOOGLEFINANCE($A379, C$2)"),85.95)</f>
        <v>85.95</v>
      </c>
      <c r="D379" s="4">
        <f>IFERROR(__xludf.DUMMYFUNCTION("GOOGLEFINANCE($A379, D$2)"),0.0)</f>
        <v>0</v>
      </c>
      <c r="E379" s="4" t="str">
        <f>IFERROR(__xludf.DUMMYFUNCTION("GOOGLEFINANCE($A379, E$2)"),"#N/A")</f>
        <v>#N/A</v>
      </c>
      <c r="F379" s="4" t="str">
        <f>IFERROR(__xludf.DUMMYFUNCTION("GOOGLEFINANCE($A379, F$2)"),"#N/A")</f>
        <v>#N/A</v>
      </c>
      <c r="G379" s="4">
        <f>IFERROR(__xludf.DUMMYFUNCTION("GOOGLEFINANCE($A379, G$2)"),87.59)</f>
        <v>87.59</v>
      </c>
      <c r="H379" s="4">
        <f>IFERROR(__xludf.DUMMYFUNCTION("GOOGLEFINANCE($A379, H$2)"),84.37)</f>
        <v>84.37</v>
      </c>
      <c r="I379" s="4" t="str">
        <f>IFERROR(__xludf.DUMMYFUNCTION("REPLACE(JOIN("";"", INDEX(TRANSPOSE(GOOGLEFINANCE($A379, $I$2, TODAY() - 30, TODAY(), 1)), 2)), 1, 6, """")"),"89,9;80,66;78;83,7;80,9;85,2;85;83,8;86,39;86,4;85,42;84,35;85,75;87,25;87,15;85,41;85,75;85,95")</f>
        <v>89,9;80,66;78;83,7;80,9;85,2;85;83,8;86,39;86,4;85,42;84,35;85,75;87,25;87,15;85,41;85,75;85,95</v>
      </c>
    </row>
    <row r="380">
      <c r="A380" s="3" t="s">
        <v>770</v>
      </c>
      <c r="B380" s="4" t="s">
        <v>771</v>
      </c>
      <c r="C380" s="4">
        <f>IFERROR(__xludf.DUMMYFUNCTION("GOOGLEFINANCE($A380, C$2)"),6.28)</f>
        <v>6.28</v>
      </c>
      <c r="D380" s="4">
        <f>IFERROR(__xludf.DUMMYFUNCTION("GOOGLEFINANCE($A380, D$2)"),0.0)</f>
        <v>0</v>
      </c>
      <c r="E380" s="4">
        <f>IFERROR(__xludf.DUMMYFUNCTION("GOOGLEFINANCE($A380, E$2)"),10.43)</f>
        <v>10.43</v>
      </c>
      <c r="F380" s="4">
        <f>IFERROR(__xludf.DUMMYFUNCTION("GOOGLEFINANCE($A380, F$2)"),0.6)</f>
        <v>0.6</v>
      </c>
      <c r="G380" s="4">
        <f>IFERROR(__xludf.DUMMYFUNCTION("GOOGLEFINANCE($A380, G$2)"),6.49)</f>
        <v>6.49</v>
      </c>
      <c r="H380" s="4">
        <f>IFERROR(__xludf.DUMMYFUNCTION("GOOGLEFINANCE($A380, H$2)"),6.24)</f>
        <v>6.24</v>
      </c>
      <c r="I380" s="4" t="str">
        <f>IFERROR(__xludf.DUMMYFUNCTION("REPLACE(JOIN("";"", INDEX(TRANSPOSE(GOOGLEFINANCE($A380, $I$2, TODAY() - 30, TODAY(), 1)), 2)), 1, 6, """")"),"6,09;6,2;6,1;6,3;6,36;6,3;6,26;6,44;6,59;6,75;6,83;6,84;6,72;6,77;6,69;6,45;6,4;6,28")</f>
        <v>6,09;6,2;6,1;6,3;6,36;6,3;6,26;6,44;6,59;6,75;6,83;6,84;6,72;6,77;6,69;6,45;6,4;6,28</v>
      </c>
    </row>
    <row r="381">
      <c r="A381" s="3" t="s">
        <v>772</v>
      </c>
      <c r="B381" s="4" t="s">
        <v>773</v>
      </c>
      <c r="C381" s="4">
        <f>IFERROR(__xludf.DUMMYFUNCTION("GOOGLEFINANCE($A381, C$2)"),33.1)</f>
        <v>33.1</v>
      </c>
      <c r="D381" s="4">
        <f>IFERROR(__xludf.DUMMYFUNCTION("GOOGLEFINANCE($A381, D$2)"),0.0)</f>
        <v>0</v>
      </c>
      <c r="E381" s="4">
        <f>IFERROR(__xludf.DUMMYFUNCTION("GOOGLEFINANCE($A381, E$2)"),57.45)</f>
        <v>57.45</v>
      </c>
      <c r="F381" s="4">
        <f>IFERROR(__xludf.DUMMYFUNCTION("GOOGLEFINANCE($A381, F$2)"),0.58)</f>
        <v>0.58</v>
      </c>
      <c r="G381" s="4" t="str">
        <f>IFERROR(__xludf.DUMMYFUNCTION("GOOGLEFINANCE($A381, G$2)"),"#N/A")</f>
        <v>#N/A</v>
      </c>
      <c r="H381" s="4" t="str">
        <f>IFERROR(__xludf.DUMMYFUNCTION("GOOGLEFINANCE($A381, H$2)"),"#N/A")</f>
        <v>#N/A</v>
      </c>
      <c r="I381" s="4" t="str">
        <f>IFERROR(__xludf.DUMMYFUNCTION("REPLACE(JOIN("";"", INDEX(TRANSPOSE(GOOGLEFINANCE($A381, $I$2, TODAY() - 30, TODAY(), 1)), 2)), 1, 6, """")"),"25;25;24;23,71;33,96;33,1")</f>
        <v>25;25;24;23,71;33,96;33,1</v>
      </c>
    </row>
    <row r="382">
      <c r="A382" s="3" t="s">
        <v>774</v>
      </c>
      <c r="B382" s="4" t="s">
        <v>775</v>
      </c>
      <c r="C382" s="4">
        <f>IFERROR(__xludf.DUMMYFUNCTION("GOOGLEFINANCE($A382, C$2)"),11.41)</f>
        <v>11.41</v>
      </c>
      <c r="D382" s="4">
        <f>IFERROR(__xludf.DUMMYFUNCTION("GOOGLEFINANCE($A382, D$2)"),0.0)</f>
        <v>0</v>
      </c>
      <c r="E382" s="4">
        <f>IFERROR(__xludf.DUMMYFUNCTION("GOOGLEFINANCE($A382, E$2)"),19.8)</f>
        <v>19.8</v>
      </c>
      <c r="F382" s="4">
        <f>IFERROR(__xludf.DUMMYFUNCTION("GOOGLEFINANCE($A382, F$2)"),0.58)</f>
        <v>0.58</v>
      </c>
      <c r="G382" s="4" t="str">
        <f>IFERROR(__xludf.DUMMYFUNCTION("GOOGLEFINANCE($A382, G$2)"),"#N/A")</f>
        <v>#N/A</v>
      </c>
      <c r="H382" s="4" t="str">
        <f>IFERROR(__xludf.DUMMYFUNCTION("GOOGLEFINANCE($A382, H$2)"),"#N/A")</f>
        <v>#N/A</v>
      </c>
      <c r="I382" s="4" t="str">
        <f>IFERROR(__xludf.DUMMYFUNCTION("REPLACE(JOIN("";"", INDEX(TRANSPOSE(GOOGLEFINANCE($A382, $I$2, TODAY() - 30, TODAY(), 1)), 2)), 1, 6, """")"),"12,1;12;11,81;11,8;12,01;11,7;11,56;11,11;11,31;11,21;11,23;11,41")</f>
        <v>12,1;12;11,81;11,8;12,01;11,7;11,56;11,11;11,31;11,21;11,23;11,41</v>
      </c>
    </row>
    <row r="383">
      <c r="A383" s="3" t="s">
        <v>776</v>
      </c>
      <c r="B383" s="4" t="s">
        <v>777</v>
      </c>
      <c r="C383" s="4">
        <f>IFERROR(__xludf.DUMMYFUNCTION("GOOGLEFINANCE($A383, C$2)"),303.3)</f>
        <v>303.3</v>
      </c>
      <c r="D383" s="4">
        <f>IFERROR(__xludf.DUMMYFUNCTION("GOOGLEFINANCE($A383, D$2)"),0.0)</f>
        <v>0</v>
      </c>
      <c r="E383" s="4" t="str">
        <f>IFERROR(__xludf.DUMMYFUNCTION("GOOGLEFINANCE($A383, E$2)"),"#N/A")</f>
        <v>#N/A</v>
      </c>
      <c r="F383" s="4" t="str">
        <f>IFERROR(__xludf.DUMMYFUNCTION("GOOGLEFINANCE($A383, F$2)"),"#N/A")</f>
        <v>#N/A</v>
      </c>
      <c r="G383" s="4">
        <f>IFERROR(__xludf.DUMMYFUNCTION("GOOGLEFINANCE($A383, G$2)"),303.6)</f>
        <v>303.6</v>
      </c>
      <c r="H383" s="4">
        <f>IFERROR(__xludf.DUMMYFUNCTION("GOOGLEFINANCE($A383, H$2)"),301.57)</f>
        <v>301.57</v>
      </c>
      <c r="I383" s="4" t="str">
        <f>IFERROR(__xludf.DUMMYFUNCTION("REPLACE(JOIN("";"", INDEX(TRANSPOSE(GOOGLEFINANCE($A383, $I$2, TODAY() - 30, TODAY(), 1)), 2)), 1, 6, """")"),"269,9;266,8;270,5;265,2;262,68;271;296,3;296,6;299,8;301,6;303,3")</f>
        <v>269,9;266,8;270,5;265,2;262,68;271;296,3;296,6;299,8;301,6;303,3</v>
      </c>
    </row>
    <row r="384">
      <c r="A384" s="3" t="s">
        <v>778</v>
      </c>
      <c r="B384" s="4" t="s">
        <v>779</v>
      </c>
      <c r="C384" s="4">
        <f>IFERROR(__xludf.DUMMYFUNCTION("GOOGLEFINANCE($A384, C$2)"),8.6)</f>
        <v>8.6</v>
      </c>
      <c r="D384" s="4">
        <f>IFERROR(__xludf.DUMMYFUNCTION("GOOGLEFINANCE($A384, D$2)"),0.0)</f>
        <v>0</v>
      </c>
      <c r="E384" s="4" t="str">
        <f>IFERROR(__xludf.DUMMYFUNCTION("GOOGLEFINANCE($A384, E$2)"),"#N/A")</f>
        <v>#N/A</v>
      </c>
      <c r="F384" s="4">
        <f>IFERROR(__xludf.DUMMYFUNCTION("GOOGLEFINANCE($A384, F$2)"),-18.74)</f>
        <v>-18.74</v>
      </c>
      <c r="G384" s="4">
        <f>IFERROR(__xludf.DUMMYFUNCTION("GOOGLEFINANCE($A384, G$2)"),9.2)</f>
        <v>9.2</v>
      </c>
      <c r="H384" s="4">
        <f>IFERROR(__xludf.DUMMYFUNCTION("GOOGLEFINANCE($A384, H$2)"),8.5)</f>
        <v>8.5</v>
      </c>
      <c r="I384" s="4" t="str">
        <f>IFERROR(__xludf.DUMMYFUNCTION("REPLACE(JOIN("";"", INDEX(TRANSPOSE(GOOGLEFINANCE($A384, $I$2, TODAY() - 30, TODAY(), 1)), 2)), 1, 6, """")"),"8,09;8,36;7,79;8;7,95;8,3;8,32;8,29;8,18;8,28;8,24;8,19;7,97;8,2;8,5;8,5;8,75;8,6")</f>
        <v>8,09;8,36;7,79;8;7,95;8,3;8,32;8,29;8,18;8,28;8,24;8,19;7,97;8,2;8,5;8,5;8,75;8,6</v>
      </c>
    </row>
    <row r="385">
      <c r="A385" s="3" t="s">
        <v>780</v>
      </c>
      <c r="B385" s="4" t="s">
        <v>781</v>
      </c>
      <c r="C385" s="4">
        <f>IFERROR(__xludf.DUMMYFUNCTION("GOOGLEFINANCE($A385, C$2)"),24.94)</f>
        <v>24.94</v>
      </c>
      <c r="D385" s="4">
        <f>IFERROR(__xludf.DUMMYFUNCTION("GOOGLEFINANCE($A385, D$2)"),0.0)</f>
        <v>0</v>
      </c>
      <c r="E385" s="4">
        <f>IFERROR(__xludf.DUMMYFUNCTION("GOOGLEFINANCE($A385, E$2)"),482.31)</f>
        <v>482.31</v>
      </c>
      <c r="F385" s="4">
        <f>IFERROR(__xludf.DUMMYFUNCTION("GOOGLEFINANCE($A385, F$2)"),0.05)</f>
        <v>0.05</v>
      </c>
      <c r="G385" s="4">
        <f>IFERROR(__xludf.DUMMYFUNCTION("GOOGLEFINANCE($A385, G$2)"),25.39)</f>
        <v>25.39</v>
      </c>
      <c r="H385" s="4">
        <f>IFERROR(__xludf.DUMMYFUNCTION("GOOGLEFINANCE($A385, H$2)"),24.19)</f>
        <v>24.19</v>
      </c>
      <c r="I385" s="4" t="str">
        <f>IFERROR(__xludf.DUMMYFUNCTION("REPLACE(JOIN("";"", INDEX(TRANSPOSE(GOOGLEFINANCE($A385, $I$2, TODAY() - 30, TODAY(), 1)), 2)), 1, 6, """")"),"25,99;25,75;25,82;26,19;25,27;24,93;25,3;25,65;25,31;25,85;26,16;26,24;25,3;25,65;25,91;25,5;25,04;24,94")</f>
        <v>25,99;25,75;25,82;26,19;25,27;24,93;25,3;25,65;25,31;25,85;26,16;26,24;25,3;25,65;25,91;25,5;25,04;24,94</v>
      </c>
    </row>
    <row r="386">
      <c r="A386" s="3" t="s">
        <v>782</v>
      </c>
      <c r="B386" s="4" t="s">
        <v>783</v>
      </c>
      <c r="C386" s="4">
        <f>IFERROR(__xludf.DUMMYFUNCTION("GOOGLEFINANCE($A386, C$2)"),5.88)</f>
        <v>5.88</v>
      </c>
      <c r="D386" s="4">
        <f>IFERROR(__xludf.DUMMYFUNCTION("GOOGLEFINANCE($A386, D$2)"),0.0)</f>
        <v>0</v>
      </c>
      <c r="E386" s="4" t="str">
        <f>IFERROR(__xludf.DUMMYFUNCTION("GOOGLEFINANCE($A386, E$2)"),"#N/A")</f>
        <v>#N/A</v>
      </c>
      <c r="F386" s="4">
        <f>IFERROR(__xludf.DUMMYFUNCTION("GOOGLEFINANCE($A386, F$2)"),-0.07)</f>
        <v>-0.07</v>
      </c>
      <c r="G386" s="4">
        <f>IFERROR(__xludf.DUMMYFUNCTION("GOOGLEFINANCE($A386, G$2)"),6.1)</f>
        <v>6.1</v>
      </c>
      <c r="H386" s="4">
        <f>IFERROR(__xludf.DUMMYFUNCTION("GOOGLEFINANCE($A386, H$2)"),5.84)</f>
        <v>5.84</v>
      </c>
      <c r="I386" s="4" t="str">
        <f>IFERROR(__xludf.DUMMYFUNCTION("REPLACE(JOIN("";"", INDEX(TRANSPOSE(GOOGLEFINANCE($A386, $I$2, TODAY() - 30, TODAY(), 1)), 2)), 1, 6, """")"),"5,96;5,86;5,84;5,94;5,75;5,66;6,09;6,2;6,17;6,17;6,21;6,2;5,94;5,95;6,15;6,02;6,08;5,88")</f>
        <v>5,96;5,86;5,84;5,94;5,75;5,66;6,09;6,2;6,17;6,17;6,21;6,2;5,94;5,95;6,15;6,02;6,08;5,88</v>
      </c>
    </row>
    <row r="387">
      <c r="A387" s="3" t="s">
        <v>784</v>
      </c>
      <c r="B387" s="4" t="s">
        <v>785</v>
      </c>
      <c r="C387" s="4">
        <f>IFERROR(__xludf.DUMMYFUNCTION("GOOGLEFINANCE($A387, C$2)"),266.0)</f>
        <v>266</v>
      </c>
      <c r="D387" s="4">
        <f>IFERROR(__xludf.DUMMYFUNCTION("GOOGLEFINANCE($A387, D$2)"),0.0)</f>
        <v>0</v>
      </c>
      <c r="E387" s="4" t="str">
        <f>IFERROR(__xludf.DUMMYFUNCTION("GOOGLEFINANCE($A387, E$2)"),"#N/A")</f>
        <v>#N/A</v>
      </c>
      <c r="F387" s="4" t="str">
        <f>IFERROR(__xludf.DUMMYFUNCTION("GOOGLEFINANCE($A387, F$2)"),"#N/A")</f>
        <v>#N/A</v>
      </c>
      <c r="G387" s="4" t="str">
        <f>IFERROR(__xludf.DUMMYFUNCTION("GOOGLEFINANCE($A387, G$2)"),"#N/A")</f>
        <v>#N/A</v>
      </c>
      <c r="H387" s="4" t="str">
        <f>IFERROR(__xludf.DUMMYFUNCTION("GOOGLEFINANCE($A387, H$2)"),"#N/A")</f>
        <v>#N/A</v>
      </c>
      <c r="I387" s="4" t="str">
        <f>IFERROR(__xludf.DUMMYFUNCTION("REPLACE(JOIN("";"", INDEX(TRANSPOSE(GOOGLEFINANCE($A387, $I$2, TODAY() - 30, TODAY(), 1)), 2)), 1, 6, """")"),"257,7;266,7;266")</f>
        <v>257,7;266,7;266</v>
      </c>
    </row>
    <row r="388">
      <c r="A388" s="3" t="s">
        <v>786</v>
      </c>
      <c r="B388" s="4" t="s">
        <v>787</v>
      </c>
      <c r="C388" s="4">
        <f>IFERROR(__xludf.DUMMYFUNCTION("GOOGLEFINANCE($A388, C$2)"),238.6)</f>
        <v>238.6</v>
      </c>
      <c r="D388" s="4">
        <f>IFERROR(__xludf.DUMMYFUNCTION("GOOGLEFINANCE($A388, D$2)"),0.0)</f>
        <v>0</v>
      </c>
      <c r="E388" s="4" t="str">
        <f>IFERROR(__xludf.DUMMYFUNCTION("GOOGLEFINANCE($A388, E$2)"),"#N/A")</f>
        <v>#N/A</v>
      </c>
      <c r="F388" s="4" t="str">
        <f>IFERROR(__xludf.DUMMYFUNCTION("GOOGLEFINANCE($A388, F$2)"),"#N/A")</f>
        <v>#N/A</v>
      </c>
      <c r="G388" s="4">
        <f>IFERROR(__xludf.DUMMYFUNCTION("GOOGLEFINANCE($A388, G$2)"),243.35)</f>
        <v>243.35</v>
      </c>
      <c r="H388" s="4">
        <f>IFERROR(__xludf.DUMMYFUNCTION("GOOGLEFINANCE($A388, H$2)"),238.6)</f>
        <v>238.6</v>
      </c>
      <c r="I388" s="4" t="str">
        <f>IFERROR(__xludf.DUMMYFUNCTION("REPLACE(JOIN("";"", INDEX(TRANSPOSE(GOOGLEFINANCE($A388, $I$2, TODAY() - 30, TODAY(), 1)), 2)), 1, 6, """")"),"231,88;235,59;251;250;241,95;238,67;235,65;237,59;240,91;240,01;241,42;244;245,8;239,2;239;240,6;243,35;238,6")</f>
        <v>231,88;235,59;251;250;241,95;238,67;235,65;237,59;240,91;240,01;241,42;244;245,8;239,2;239;240,6;243,35;238,6</v>
      </c>
    </row>
    <row r="389">
      <c r="A389" s="3" t="s">
        <v>788</v>
      </c>
      <c r="B389" s="4" t="s">
        <v>789</v>
      </c>
      <c r="C389" s="4">
        <f>IFERROR(__xludf.DUMMYFUNCTION("GOOGLEFINANCE($A389, C$2)"),3.39)</f>
        <v>3.39</v>
      </c>
      <c r="D389" s="4">
        <f>IFERROR(__xludf.DUMMYFUNCTION("GOOGLEFINANCE($A389, D$2)"),0.0)</f>
        <v>0</v>
      </c>
      <c r="E389" s="4" t="str">
        <f>IFERROR(__xludf.DUMMYFUNCTION("GOOGLEFINANCE($A389, E$2)"),"#N/A")</f>
        <v>#N/A</v>
      </c>
      <c r="F389" s="4" t="str">
        <f>IFERROR(__xludf.DUMMYFUNCTION("GOOGLEFINANCE($A389, F$2)"),"#N/A")</f>
        <v>#N/A</v>
      </c>
      <c r="G389" s="4">
        <f>IFERROR(__xludf.DUMMYFUNCTION("GOOGLEFINANCE($A389, G$2)"),3.64)</f>
        <v>3.64</v>
      </c>
      <c r="H389" s="4">
        <f>IFERROR(__xludf.DUMMYFUNCTION("GOOGLEFINANCE($A389, H$2)"),3.33)</f>
        <v>3.33</v>
      </c>
      <c r="I389" s="4" t="str">
        <f>IFERROR(__xludf.DUMMYFUNCTION("REPLACE(JOIN("";"", INDEX(TRANSPOSE(GOOGLEFINANCE($A389, $I$2, TODAY() - 30, TODAY(), 1)), 2)), 1, 6, """")"),"3,86;3,73;3,7;3,75;3,69;3,64;3,57;3,6;3,57;3,65;3,68;3,55;3,55;3,6;3,46;3,5;3,5;3,39")</f>
        <v>3,86;3,73;3,7;3,75;3,69;3,64;3,57;3,6;3,57;3,65;3,68;3,55;3,55;3,6;3,46;3,5;3,5;3,39</v>
      </c>
    </row>
    <row r="390">
      <c r="A390" s="3" t="s">
        <v>790</v>
      </c>
      <c r="B390" s="4" t="s">
        <v>791</v>
      </c>
      <c r="C390" s="4">
        <f>IFERROR(__xludf.DUMMYFUNCTION("GOOGLEFINANCE($A390, C$2)"),19.0)</f>
        <v>19</v>
      </c>
      <c r="D390" s="4">
        <f>IFERROR(__xludf.DUMMYFUNCTION("GOOGLEFINANCE($A390, D$2)"),0.0)</f>
        <v>0</v>
      </c>
      <c r="E390" s="4" t="str">
        <f>IFERROR(__xludf.DUMMYFUNCTION("GOOGLEFINANCE($A390, E$2)"),"#N/A")</f>
        <v>#N/A</v>
      </c>
      <c r="F390" s="4">
        <f>IFERROR(__xludf.DUMMYFUNCTION("GOOGLEFINANCE($A390, F$2)"),-17.64)</f>
        <v>-17.64</v>
      </c>
      <c r="G390" s="4">
        <f>IFERROR(__xludf.DUMMYFUNCTION("GOOGLEFINANCE($A390, G$2)"),19.93)</f>
        <v>19.93</v>
      </c>
      <c r="H390" s="4">
        <f>IFERROR(__xludf.DUMMYFUNCTION("GOOGLEFINANCE($A390, H$2)"),17.76)</f>
        <v>17.76</v>
      </c>
      <c r="I390" s="4" t="str">
        <f>IFERROR(__xludf.DUMMYFUNCTION("REPLACE(JOIN("";"", INDEX(TRANSPOSE(GOOGLEFINANCE($A390, $I$2, TODAY() - 30, TODAY(), 1)), 2)), 1, 6, """")"),"17,37;16,2;15,91;16,55;16,35;16,97;16,8;16,99;17,1;17,76;17,75;17,87;17,5;17,59;17,53;17,84;19,11;19")</f>
        <v>17,37;16,2;15,91;16,55;16,35;16,97;16,8;16,99;17,1;17,76;17,75;17,87;17,5;17,59;17,53;17,84;19,11;19</v>
      </c>
    </row>
    <row r="391">
      <c r="A391" s="3" t="s">
        <v>792</v>
      </c>
      <c r="B391" s="4" t="s">
        <v>793</v>
      </c>
      <c r="C391" s="4">
        <f>IFERROR(__xludf.DUMMYFUNCTION("GOOGLEFINANCE($A391, C$2)"),23.99)</f>
        <v>23.99</v>
      </c>
      <c r="D391" s="4">
        <f>IFERROR(__xludf.DUMMYFUNCTION("GOOGLEFINANCE($A391, D$2)"),0.0)</f>
        <v>0</v>
      </c>
      <c r="E391" s="4" t="str">
        <f>IFERROR(__xludf.DUMMYFUNCTION("GOOGLEFINANCE($A391, E$2)"),"#N/A")</f>
        <v>#N/A</v>
      </c>
      <c r="F391" s="4">
        <f>IFERROR(__xludf.DUMMYFUNCTION("GOOGLEFINANCE($A391, F$2)"),-6.4)</f>
        <v>-6.4</v>
      </c>
      <c r="G391" s="4" t="str">
        <f>IFERROR(__xludf.DUMMYFUNCTION("GOOGLEFINANCE($A391, G$2)"),"#N/A")</f>
        <v>#N/A</v>
      </c>
      <c r="H391" s="4" t="str">
        <f>IFERROR(__xludf.DUMMYFUNCTION("GOOGLEFINANCE($A391, H$2)"),"#N/A")</f>
        <v>#N/A</v>
      </c>
      <c r="I391" s="4" t="str">
        <f>IFERROR(__xludf.DUMMYFUNCTION("REPLACE(JOIN("";"", INDEX(TRANSPOSE(GOOGLEFINANCE($A391, $I$2, TODAY() - 30, TODAY(), 1)), 2)), 1, 6, """")"),"24;24;24;24,8;22,8;24,49;24,5;24,85;24,6;25;24,5;25,5;25;23,99")</f>
        <v>24;24;24;24,8;22,8;24,49;24,5;24,85;24,6;25;24,5;25,5;25;23,99</v>
      </c>
    </row>
    <row r="392">
      <c r="A392" s="3" t="s">
        <v>794</v>
      </c>
      <c r="B392" s="4" t="s">
        <v>795</v>
      </c>
      <c r="C392" s="4">
        <f>IFERROR(__xludf.DUMMYFUNCTION("GOOGLEFINANCE($A392, C$2)"),6.94)</f>
        <v>6.94</v>
      </c>
      <c r="D392" s="4">
        <f>IFERROR(__xludf.DUMMYFUNCTION("GOOGLEFINANCE($A392, D$2)"),0.0)</f>
        <v>0</v>
      </c>
      <c r="E392" s="4" t="str">
        <f>IFERROR(__xludf.DUMMYFUNCTION("GOOGLEFINANCE($A392, E$2)"),"#N/A")</f>
        <v>#N/A</v>
      </c>
      <c r="F392" s="4">
        <f>IFERROR(__xludf.DUMMYFUNCTION("GOOGLEFINANCE($A392, F$2)"),-2.02)</f>
        <v>-2.02</v>
      </c>
      <c r="G392" s="4">
        <f>IFERROR(__xludf.DUMMYFUNCTION("GOOGLEFINANCE($A392, G$2)"),6.96)</f>
        <v>6.96</v>
      </c>
      <c r="H392" s="4">
        <f>IFERROR(__xludf.DUMMYFUNCTION("GOOGLEFINANCE($A392, H$2)"),6.79)</f>
        <v>6.79</v>
      </c>
      <c r="I392" s="4" t="str">
        <f>IFERROR(__xludf.DUMMYFUNCTION("REPLACE(JOIN("";"", INDEX(TRANSPOSE(GOOGLEFINANCE($A392, $I$2, TODAY() - 30, TODAY(), 1)), 2)), 1, 6, """")"),"6,91;6,99;6,85;7,19;7,28;7,35;7,2;7,24;7,03;7,26;7,05;6,95;6,85;6,8;6,78;6,81;6,84;6,94")</f>
        <v>6,91;6,99;6,85;7,19;7,28;7,35;7,2;7,24;7,03;7,26;7,05;6,95;6,85;6,8;6,78;6,81;6,84;6,94</v>
      </c>
    </row>
    <row r="393">
      <c r="A393" s="3" t="s">
        <v>796</v>
      </c>
      <c r="B393" s="4" t="s">
        <v>797</v>
      </c>
      <c r="C393" s="4">
        <f>IFERROR(__xludf.DUMMYFUNCTION("GOOGLEFINANCE($A393, C$2)"),237.98)</f>
        <v>237.98</v>
      </c>
      <c r="D393" s="4">
        <f>IFERROR(__xludf.DUMMYFUNCTION("GOOGLEFINANCE($A393, D$2)"),0.0)</f>
        <v>0</v>
      </c>
      <c r="E393" s="4" t="str">
        <f>IFERROR(__xludf.DUMMYFUNCTION("GOOGLEFINANCE($A393, E$2)"),"#N/A")</f>
        <v>#N/A</v>
      </c>
      <c r="F393" s="4">
        <f>IFERROR(__xludf.DUMMYFUNCTION("GOOGLEFINANCE($A393, F$2)"),-6.16)</f>
        <v>-6.16</v>
      </c>
      <c r="G393" s="4">
        <f>IFERROR(__xludf.DUMMYFUNCTION("GOOGLEFINANCE($A393, G$2)"),237.98)</f>
        <v>237.98</v>
      </c>
      <c r="H393" s="4">
        <f>IFERROR(__xludf.DUMMYFUNCTION("GOOGLEFINANCE($A393, H$2)"),237.98)</f>
        <v>237.98</v>
      </c>
      <c r="I393" s="4" t="str">
        <f>IFERROR(__xludf.DUMMYFUNCTION("REPLACE(JOIN("";"", INDEX(TRANSPOSE(GOOGLEFINANCE($A393, $I$2, TODAY() - 30, TODAY(), 1)), 2)), 1, 6, """")"),"230,99;231;232;235;236;239,9;239,99;238,97;237;239,99;236,01;237;236,9;237,98")</f>
        <v>230,99;231;232;235;236;239,9;239,99;238,97;237;239,99;236,01;237;236,9;237,98</v>
      </c>
    </row>
    <row r="394">
      <c r="A394" s="3" t="s">
        <v>798</v>
      </c>
      <c r="B394" s="4" t="s">
        <v>799</v>
      </c>
      <c r="C394" s="4">
        <f>IFERROR(__xludf.DUMMYFUNCTION("GOOGLEFINANCE($A394, C$2)"),237.0)</f>
        <v>237</v>
      </c>
      <c r="D394" s="4">
        <f>IFERROR(__xludf.DUMMYFUNCTION("GOOGLEFINANCE($A394, D$2)"),0.0)</f>
        <v>0</v>
      </c>
      <c r="E394" s="4" t="str">
        <f>IFERROR(__xludf.DUMMYFUNCTION("GOOGLEFINANCE($A394, E$2)"),"#N/A")</f>
        <v>#N/A</v>
      </c>
      <c r="F394" s="4" t="str">
        <f>IFERROR(__xludf.DUMMYFUNCTION("GOOGLEFINANCE($A394, F$2)"),"#N/A")</f>
        <v>#N/A</v>
      </c>
      <c r="G394" s="4">
        <f>IFERROR(__xludf.DUMMYFUNCTION("GOOGLEFINANCE($A394, G$2)"),237.6)</f>
        <v>237.6</v>
      </c>
      <c r="H394" s="4">
        <f>IFERROR(__xludf.DUMMYFUNCTION("GOOGLEFINANCE($A394, H$2)"),235.4)</f>
        <v>235.4</v>
      </c>
      <c r="I394" s="4" t="str">
        <f>IFERROR(__xludf.DUMMYFUNCTION("REPLACE(JOIN("";"", INDEX(TRANSPOSE(GOOGLEFINANCE($A394, $I$2, TODAY() - 30, TODAY(), 1)), 2)), 1, 6, """")"),"230,9;225;227,4;232,34;227,4;222,4;223;225,2;229,2;228,1;229,5;234,1;233,7;233,24;233,8;237,2;238,8;237")</f>
        <v>230,9;225;227,4;232,34;227,4;222,4;223;225,2;229,2;228,1;229,5;234,1;233,7;233,24;233,8;237,2;238,8;237</v>
      </c>
    </row>
    <row r="395">
      <c r="A395" s="3" t="s">
        <v>800</v>
      </c>
      <c r="B395" s="4" t="s">
        <v>801</v>
      </c>
      <c r="C395" s="4">
        <f>IFERROR(__xludf.DUMMYFUNCTION("GOOGLEFINANCE($A395, C$2)"),78.75)</f>
        <v>78.75</v>
      </c>
      <c r="D395" s="4">
        <f>IFERROR(__xludf.DUMMYFUNCTION("GOOGLEFINANCE($A395, D$2)"),0.0)</f>
        <v>0</v>
      </c>
      <c r="E395" s="4" t="str">
        <f>IFERROR(__xludf.DUMMYFUNCTION("GOOGLEFINANCE($A395, E$2)"),"#N/A")</f>
        <v>#N/A</v>
      </c>
      <c r="F395" s="4" t="str">
        <f>IFERROR(__xludf.DUMMYFUNCTION("GOOGLEFINANCE($A395, F$2)"),"#N/A")</f>
        <v>#N/A</v>
      </c>
      <c r="G395" s="4">
        <f>IFERROR(__xludf.DUMMYFUNCTION("GOOGLEFINANCE($A395, G$2)"),79.9)</f>
        <v>79.9</v>
      </c>
      <c r="H395" s="4">
        <f>IFERROR(__xludf.DUMMYFUNCTION("GOOGLEFINANCE($A395, H$2)"),75.85)</f>
        <v>75.85</v>
      </c>
      <c r="I395" s="4" t="str">
        <f>IFERROR(__xludf.DUMMYFUNCTION("REPLACE(JOIN("";"", INDEX(TRANSPOSE(GOOGLEFINANCE($A395, $I$2, TODAY() - 30, TODAY(), 1)), 2)), 1, 6, """")"),"77,75;78,05;71,8;74,35;71,8;73,6;73,78;74,75;75,85;74,45;77,95;76,75;73,01;74,11;78;82,5;75,5;78,75")</f>
        <v>77,75;78,05;71,8;74,35;71,8;73,6;73,78;74,75;75,85;74,45;77,95;76,75;73,01;74,11;78;82,5;75,5;78,75</v>
      </c>
    </row>
    <row r="396">
      <c r="A396" s="3" t="s">
        <v>802</v>
      </c>
      <c r="B396" s="4" t="s">
        <v>803</v>
      </c>
      <c r="C396" s="4">
        <f>IFERROR(__xludf.DUMMYFUNCTION("GOOGLEFINANCE($A396, C$2)"),19.37)</f>
        <v>19.37</v>
      </c>
      <c r="D396" s="4">
        <f>IFERROR(__xludf.DUMMYFUNCTION("GOOGLEFINANCE($A396, D$2)"),0.0)</f>
        <v>0</v>
      </c>
      <c r="E396" s="4" t="str">
        <f>IFERROR(__xludf.DUMMYFUNCTION("GOOGLEFINANCE($A396, E$2)"),"#N/A")</f>
        <v>#N/A</v>
      </c>
      <c r="F396" s="4">
        <f>IFERROR(__xludf.DUMMYFUNCTION("GOOGLEFINANCE($A396, F$2)"),-0.07)</f>
        <v>-0.07</v>
      </c>
      <c r="G396" s="4">
        <f>IFERROR(__xludf.DUMMYFUNCTION("GOOGLEFINANCE($A396, G$2)"),19.46)</f>
        <v>19.46</v>
      </c>
      <c r="H396" s="4">
        <f>IFERROR(__xludf.DUMMYFUNCTION("GOOGLEFINANCE($A396, H$2)"),18.75)</f>
        <v>18.75</v>
      </c>
      <c r="I396" s="4" t="str">
        <f>IFERROR(__xludf.DUMMYFUNCTION("REPLACE(JOIN("";"", INDEX(TRANSPOSE(GOOGLEFINANCE($A396, $I$2, TODAY() - 30, TODAY(), 1)), 2)), 1, 6, """")"),"19,63;18,8;18,55;19,67;18,88;19,05;19,7;19,86;19,73;19,45;19,56;19,29;18,98;18,87;18,88;18,78;18,85;19,37")</f>
        <v>19,63;18,8;18,55;19,67;18,88;19,05;19,7;19,86;19,73;19,45;19,56;19,29;18,98;18,87;18,88;18,78;18,85;19,37</v>
      </c>
    </row>
    <row r="397">
      <c r="A397" s="3" t="s">
        <v>804</v>
      </c>
      <c r="B397" s="4" t="s">
        <v>805</v>
      </c>
      <c r="C397" s="4">
        <f>IFERROR(__xludf.DUMMYFUNCTION("GOOGLEFINANCE($A397, C$2)"),50.25)</f>
        <v>50.25</v>
      </c>
      <c r="D397" s="4">
        <f>IFERROR(__xludf.DUMMYFUNCTION("GOOGLEFINANCE($A397, D$2)"),0.0)</f>
        <v>0</v>
      </c>
      <c r="E397" s="4" t="str">
        <f>IFERROR(__xludf.DUMMYFUNCTION("GOOGLEFINANCE($A397, E$2)"),"#N/A")</f>
        <v>#N/A</v>
      </c>
      <c r="F397" s="4" t="str">
        <f>IFERROR(__xludf.DUMMYFUNCTION("GOOGLEFINANCE($A397, F$2)"),"#N/A")</f>
        <v>#N/A</v>
      </c>
      <c r="G397" s="4">
        <f>IFERROR(__xludf.DUMMYFUNCTION("GOOGLEFINANCE($A397, G$2)"),50.95)</f>
        <v>50.95</v>
      </c>
      <c r="H397" s="4">
        <f>IFERROR(__xludf.DUMMYFUNCTION("GOOGLEFINANCE($A397, H$2)"),50.25)</f>
        <v>50.25</v>
      </c>
      <c r="I397" s="4" t="str">
        <f>IFERROR(__xludf.DUMMYFUNCTION("REPLACE(JOIN("";"", INDEX(TRANSPOSE(GOOGLEFINANCE($A397, $I$2, TODAY() - 30, TODAY(), 1)), 2)), 1, 6, """")"),"55,6;53,7;52;52,9;53,15;53,22;52,56;52,09;51,5;50,85;50,4;51,5;50,25;50,65;50,35;51,15;51,3;50,25")</f>
        <v>55,6;53,7;52;52,9;53,15;53,22;52,56;52,09;51,5;50,85;50,4;51,5;50,25;50,65;50,35;51,15;51,3;50,25</v>
      </c>
    </row>
    <row r="398">
      <c r="A398" s="3" t="s">
        <v>806</v>
      </c>
      <c r="B398" s="4" t="s">
        <v>807</v>
      </c>
      <c r="C398" s="4">
        <f>IFERROR(__xludf.DUMMYFUNCTION("GOOGLEFINANCE($A398, C$2)"),14.36)</f>
        <v>14.36</v>
      </c>
      <c r="D398" s="4">
        <f>IFERROR(__xludf.DUMMYFUNCTION("GOOGLEFINANCE($A398, D$2)"),0.0)</f>
        <v>0</v>
      </c>
      <c r="E398" s="4">
        <f>IFERROR(__xludf.DUMMYFUNCTION("GOOGLEFINANCE($A398, E$2)"),4.66)</f>
        <v>4.66</v>
      </c>
      <c r="F398" s="4">
        <f>IFERROR(__xludf.DUMMYFUNCTION("GOOGLEFINANCE($A398, F$2)"),3.08)</f>
        <v>3.08</v>
      </c>
      <c r="G398" s="4">
        <f>IFERROR(__xludf.DUMMYFUNCTION("GOOGLEFINANCE($A398, G$2)"),15.0)</f>
        <v>15</v>
      </c>
      <c r="H398" s="4">
        <f>IFERROR(__xludf.DUMMYFUNCTION("GOOGLEFINANCE($A398, H$2)"),14.23)</f>
        <v>14.23</v>
      </c>
      <c r="I398" s="4" t="str">
        <f>IFERROR(__xludf.DUMMYFUNCTION("REPLACE(JOIN("";"", INDEX(TRANSPOSE(GOOGLEFINANCE($A398, $I$2, TODAY() - 30, TODAY(), 1)), 2)), 1, 6, """")"),"13,19;12,8;13,2;13,28;13,29;13,31;13,55;14,07;14,28;14,31;14,43;14,58;14,37;14,67;14,61;15,22;14,82;14,36")</f>
        <v>13,19;12,8;13,2;13,28;13,29;13,31;13,55;14,07;14,28;14,31;14,43;14,58;14,37;14,67;14,61;15,22;14,82;14,36</v>
      </c>
    </row>
    <row r="399">
      <c r="A399" s="3" t="s">
        <v>808</v>
      </c>
      <c r="B399" s="4" t="s">
        <v>809</v>
      </c>
      <c r="C399" s="4">
        <f>IFERROR(__xludf.DUMMYFUNCTION("GOOGLEFINANCE($A399, C$2)"),18.38)</f>
        <v>18.38</v>
      </c>
      <c r="D399" s="4">
        <f>IFERROR(__xludf.DUMMYFUNCTION("GOOGLEFINANCE($A399, D$2)"),0.0)</f>
        <v>0</v>
      </c>
      <c r="E399" s="4">
        <f>IFERROR(__xludf.DUMMYFUNCTION("GOOGLEFINANCE($A399, E$2)"),17.07)</f>
        <v>17.07</v>
      </c>
      <c r="F399" s="4">
        <f>IFERROR(__xludf.DUMMYFUNCTION("GOOGLEFINANCE($A399, F$2)"),1.08)</f>
        <v>1.08</v>
      </c>
      <c r="G399" s="4">
        <f>IFERROR(__xludf.DUMMYFUNCTION("GOOGLEFINANCE($A399, G$2)"),18.74)</f>
        <v>18.74</v>
      </c>
      <c r="H399" s="4">
        <f>IFERROR(__xludf.DUMMYFUNCTION("GOOGLEFINANCE($A399, H$2)"),18.18)</f>
        <v>18.18</v>
      </c>
      <c r="I399" s="4" t="str">
        <f>IFERROR(__xludf.DUMMYFUNCTION("REPLACE(JOIN("";"", INDEX(TRANSPOSE(GOOGLEFINANCE($A399, $I$2, TODAY() - 30, TODAY(), 1)), 2)), 1, 6, """")"),"19,03;18,67;18,77;19,61;19;19,32;19,4;20,2;19,98;19,75;19,91;19,59;19,07;19,51;19,3;18,97;18,54;18,38")</f>
        <v>19,03;18,67;18,77;19,61;19;19,32;19,4;20,2;19,98;19,75;19,91;19,59;19,07;19,51;19,3;18,97;18,54;18,38</v>
      </c>
    </row>
    <row r="400">
      <c r="A400" s="3" t="s">
        <v>810</v>
      </c>
      <c r="B400" s="4" t="s">
        <v>811</v>
      </c>
      <c r="C400" s="4">
        <f>IFERROR(__xludf.DUMMYFUNCTION("GOOGLEFINANCE($A400, C$2)"),82.08)</f>
        <v>82.08</v>
      </c>
      <c r="D400" s="4">
        <f>IFERROR(__xludf.DUMMYFUNCTION("GOOGLEFINANCE($A400, D$2)"),0.0)</f>
        <v>0</v>
      </c>
      <c r="E400" s="4" t="str">
        <f>IFERROR(__xludf.DUMMYFUNCTION("GOOGLEFINANCE($A400, E$2)"),"#N/A")</f>
        <v>#N/A</v>
      </c>
      <c r="F400" s="4" t="str">
        <f>IFERROR(__xludf.DUMMYFUNCTION("GOOGLEFINANCE($A400, F$2)"),"#N/A")</f>
        <v>#N/A</v>
      </c>
      <c r="G400" s="4">
        <f>IFERROR(__xludf.DUMMYFUNCTION("GOOGLEFINANCE($A400, G$2)"),83.6)</f>
        <v>83.6</v>
      </c>
      <c r="H400" s="4">
        <f>IFERROR(__xludf.DUMMYFUNCTION("GOOGLEFINANCE($A400, H$2)"),81.5)</f>
        <v>81.5</v>
      </c>
      <c r="I400" s="4" t="str">
        <f>IFERROR(__xludf.DUMMYFUNCTION("REPLACE(JOIN("";"", INDEX(TRANSPOSE(GOOGLEFINANCE($A400, $I$2, TODAY() - 30, TODAY(), 1)), 2)), 1, 6, """")"),"80,98;76,93;74,27;76,05;74,3;73,75;76,6;76,1;78,5;78,6;79,6;79,81;80,35;79,2;80,75;82;81,35;82,08")</f>
        <v>80,98;76,93;74,27;76,05;74,3;73,75;76,6;76,1;78,5;78,6;79,6;79,81;80,35;79,2;80,75;82;81,35;82,08</v>
      </c>
    </row>
    <row r="401">
      <c r="A401" s="3" t="s">
        <v>812</v>
      </c>
      <c r="B401" s="4" t="s">
        <v>813</v>
      </c>
      <c r="C401" s="4">
        <f>IFERROR(__xludf.DUMMYFUNCTION("GOOGLEFINANCE($A401, C$2)"),57.85)</f>
        <v>57.85</v>
      </c>
      <c r="D401" s="4">
        <f>IFERROR(__xludf.DUMMYFUNCTION("GOOGLEFINANCE($A401, D$2)"),0.0)</f>
        <v>0</v>
      </c>
      <c r="E401" s="4" t="str">
        <f>IFERROR(__xludf.DUMMYFUNCTION("GOOGLEFINANCE($A401, E$2)"),"#N/A")</f>
        <v>#N/A</v>
      </c>
      <c r="F401" s="4" t="str">
        <f>IFERROR(__xludf.DUMMYFUNCTION("GOOGLEFINANCE($A401, F$2)"),"#N/A")</f>
        <v>#N/A</v>
      </c>
      <c r="G401" s="4">
        <f>IFERROR(__xludf.DUMMYFUNCTION("GOOGLEFINANCE($A401, G$2)"),61.45)</f>
        <v>61.45</v>
      </c>
      <c r="H401" s="4">
        <f>IFERROR(__xludf.DUMMYFUNCTION("GOOGLEFINANCE($A401, H$2)"),57.75)</f>
        <v>57.75</v>
      </c>
      <c r="I401" s="4" t="str">
        <f>IFERROR(__xludf.DUMMYFUNCTION("REPLACE(JOIN("";"", INDEX(TRANSPOSE(GOOGLEFINANCE($A401, $I$2, TODAY() - 30, TODAY(), 1)), 2)), 1, 6, """")"),"58,46;56,87;55,04;57,28;56,01;56,53;61,77;61,06;59,7;58,67;58,06;58,1;57,97;60;59,07;59,03;62,2;57,85")</f>
        <v>58,46;56,87;55,04;57,28;56,01;56,53;61,77;61,06;59,7;58,67;58,06;58,1;57,97;60;59,07;59,03;62,2;57,85</v>
      </c>
    </row>
    <row r="402">
      <c r="A402" s="3" t="s">
        <v>814</v>
      </c>
      <c r="B402" s="4" t="s">
        <v>815</v>
      </c>
      <c r="C402" s="4">
        <f>IFERROR(__xludf.DUMMYFUNCTION("GOOGLEFINANCE($A402, C$2)"),54.27)</f>
        <v>54.27</v>
      </c>
      <c r="D402" s="4">
        <f>IFERROR(__xludf.DUMMYFUNCTION("GOOGLEFINANCE($A402, D$2)"),0.0)</f>
        <v>0</v>
      </c>
      <c r="E402" s="4" t="str">
        <f>IFERROR(__xludf.DUMMYFUNCTION("GOOGLEFINANCE($A402, E$2)"),"#N/A")</f>
        <v>#N/A</v>
      </c>
      <c r="F402" s="4" t="str">
        <f>IFERROR(__xludf.DUMMYFUNCTION("GOOGLEFINANCE($A402, F$2)"),"#N/A")</f>
        <v>#N/A</v>
      </c>
      <c r="G402" s="4">
        <f>IFERROR(__xludf.DUMMYFUNCTION("GOOGLEFINANCE($A402, G$2)"),55.37)</f>
        <v>55.37</v>
      </c>
      <c r="H402" s="4">
        <f>IFERROR(__xludf.DUMMYFUNCTION("GOOGLEFINANCE($A402, H$2)"),54.06)</f>
        <v>54.06</v>
      </c>
      <c r="I402" s="4" t="str">
        <f>IFERROR(__xludf.DUMMYFUNCTION("REPLACE(JOIN("";"", INDEX(TRANSPOSE(GOOGLEFINANCE($A402, $I$2, TODAY() - 30, TODAY(), 1)), 2)), 1, 6, """")"),"51,81;52,15;52,45;53,55;53,16;54,99;53,1;54,7;55,99;54,3;54,15;54,83;54,51;54,75;55,21;55,14;55,27;54,27")</f>
        <v>51,81;52,15;52,45;53,55;53,16;54,99;53,1;54,7;55,99;54,3;54,15;54,83;54,51;54,75;55,21;55,14;55,27;54,27</v>
      </c>
    </row>
    <row r="403">
      <c r="A403" s="3" t="s">
        <v>816</v>
      </c>
      <c r="B403" s="4" t="s">
        <v>817</v>
      </c>
      <c r="C403" s="4">
        <f>IFERROR(__xludf.DUMMYFUNCTION("GOOGLEFINANCE($A403, C$2)"),55.51)</f>
        <v>55.51</v>
      </c>
      <c r="D403" s="4">
        <f>IFERROR(__xludf.DUMMYFUNCTION("GOOGLEFINANCE($A403, D$2)"),0.0)</f>
        <v>0</v>
      </c>
      <c r="E403" s="4">
        <f>IFERROR(__xludf.DUMMYFUNCTION("GOOGLEFINANCE($A403, E$2)"),1.13)</f>
        <v>1.13</v>
      </c>
      <c r="F403" s="4">
        <f>IFERROR(__xludf.DUMMYFUNCTION("GOOGLEFINANCE($A403, F$2)"),49.0)</f>
        <v>49</v>
      </c>
      <c r="G403" s="4" t="str">
        <f>IFERROR(__xludf.DUMMYFUNCTION("GOOGLEFINANCE($A403, G$2)"),"#N/A")</f>
        <v>#N/A</v>
      </c>
      <c r="H403" s="4" t="str">
        <f>IFERROR(__xludf.DUMMYFUNCTION("GOOGLEFINANCE($A403, H$2)"),"#N/A")</f>
        <v>#N/A</v>
      </c>
      <c r="I403" s="4" t="str">
        <f>IFERROR(__xludf.DUMMYFUNCTION("REPLACE(JOIN("";"", INDEX(TRANSPOSE(GOOGLEFINANCE($A403, $I$2, TODAY() - 30, TODAY(), 1)), 2)), 1, 6, """")"),"63;55,51")</f>
        <v>63;55,51</v>
      </c>
    </row>
    <row r="404">
      <c r="A404" s="3" t="s">
        <v>818</v>
      </c>
      <c r="B404" s="4" t="s">
        <v>819</v>
      </c>
      <c r="C404" s="4">
        <f>IFERROR(__xludf.DUMMYFUNCTION("GOOGLEFINANCE($A404, C$2)"),14.1)</f>
        <v>14.1</v>
      </c>
      <c r="D404" s="4">
        <f>IFERROR(__xludf.DUMMYFUNCTION("GOOGLEFINANCE($A404, D$2)"),0.0)</f>
        <v>0</v>
      </c>
      <c r="E404" s="4">
        <f>IFERROR(__xludf.DUMMYFUNCTION("GOOGLEFINANCE($A404, E$2)"),32.45)</f>
        <v>32.45</v>
      </c>
      <c r="F404" s="4">
        <f>IFERROR(__xludf.DUMMYFUNCTION("GOOGLEFINANCE($A404, F$2)"),0.43)</f>
        <v>0.43</v>
      </c>
      <c r="G404" s="4">
        <f>IFERROR(__xludf.DUMMYFUNCTION("GOOGLEFINANCE($A404, G$2)"),14.3)</f>
        <v>14.3</v>
      </c>
      <c r="H404" s="4">
        <f>IFERROR(__xludf.DUMMYFUNCTION("GOOGLEFINANCE($A404, H$2)"),13.56)</f>
        <v>13.56</v>
      </c>
      <c r="I404" s="4" t="str">
        <f>IFERROR(__xludf.DUMMYFUNCTION("REPLACE(JOIN("";"", INDEX(TRANSPOSE(GOOGLEFINANCE($A404, $I$2, TODAY() - 30, TODAY(), 1)), 2)), 1, 6, """")"),"16,2;15,93;15,52;15,77;15,48;15,45;15,45;15,56;15,48;15,47;15,12;15,31;14,65;14,64;14,24;13,65;13,57;14,1")</f>
        <v>16,2;15,93;15,52;15,77;15,48;15,45;15,45;15,56;15,48;15,47;15,12;15,31;14,65;14,64;14,24;13,65;13,57;14,1</v>
      </c>
    </row>
    <row r="405">
      <c r="A405" s="3" t="s">
        <v>820</v>
      </c>
      <c r="B405" s="4" t="s">
        <v>821</v>
      </c>
      <c r="C405" s="4">
        <f>IFERROR(__xludf.DUMMYFUNCTION("GOOGLEFINANCE($A405, C$2)"),30.29)</f>
        <v>30.29</v>
      </c>
      <c r="D405" s="4">
        <f>IFERROR(__xludf.DUMMYFUNCTION("GOOGLEFINANCE($A405, D$2)"),0.0)</f>
        <v>0</v>
      </c>
      <c r="E405" s="4">
        <f>IFERROR(__xludf.DUMMYFUNCTION("GOOGLEFINANCE($A405, E$2)"),5.71)</f>
        <v>5.71</v>
      </c>
      <c r="F405" s="4">
        <f>IFERROR(__xludf.DUMMYFUNCTION("GOOGLEFINANCE($A405, F$2)"),5.31)</f>
        <v>5.31</v>
      </c>
      <c r="G405" s="4">
        <f>IFERROR(__xludf.DUMMYFUNCTION("GOOGLEFINANCE($A405, G$2)"),30.3)</f>
        <v>30.3</v>
      </c>
      <c r="H405" s="4">
        <f>IFERROR(__xludf.DUMMYFUNCTION("GOOGLEFINANCE($A405, H$2)"),30.0)</f>
        <v>30</v>
      </c>
      <c r="I405" s="4" t="str">
        <f>IFERROR(__xludf.DUMMYFUNCTION("REPLACE(JOIN("";"", INDEX(TRANSPOSE(GOOGLEFINANCE($A405, $I$2, TODAY() - 30, TODAY(), 1)), 2)), 1, 6, """")"),"31,37;31,4;31;31,21;30,28;30,35;30,35;30,67;30,75;30,85;30,83;30,8;30,85;30,85;30,01;30,5;30,29")</f>
        <v>31,37;31,4;31;31,21;30,28;30,35;30,35;30,67;30,75;30,85;30,83;30,8;30,85;30,85;30,01;30,5;30,29</v>
      </c>
    </row>
    <row r="406">
      <c r="A406" s="3" t="s">
        <v>822</v>
      </c>
      <c r="B406" s="4" t="s">
        <v>823</v>
      </c>
      <c r="C406" s="4">
        <f>IFERROR(__xludf.DUMMYFUNCTION("GOOGLEFINANCE($A406, C$2)"),20.67)</f>
        <v>20.67</v>
      </c>
      <c r="D406" s="4">
        <f>IFERROR(__xludf.DUMMYFUNCTION("GOOGLEFINANCE($A406, D$2)"),0.0)</f>
        <v>0</v>
      </c>
      <c r="E406" s="4">
        <f>IFERROR(__xludf.DUMMYFUNCTION("GOOGLEFINANCE($A406, E$2)"),12.8)</f>
        <v>12.8</v>
      </c>
      <c r="F406" s="4">
        <f>IFERROR(__xludf.DUMMYFUNCTION("GOOGLEFINANCE($A406, F$2)"),1.62)</f>
        <v>1.62</v>
      </c>
      <c r="G406" s="4">
        <f>IFERROR(__xludf.DUMMYFUNCTION("GOOGLEFINANCE($A406, G$2)"),21.17)</f>
        <v>21.17</v>
      </c>
      <c r="H406" s="4">
        <f>IFERROR(__xludf.DUMMYFUNCTION("GOOGLEFINANCE($A406, H$2)"),20.55)</f>
        <v>20.55</v>
      </c>
      <c r="I406" s="4" t="str">
        <f>IFERROR(__xludf.DUMMYFUNCTION("REPLACE(JOIN("";"", INDEX(TRANSPOSE(GOOGLEFINANCE($A406, $I$2, TODAY() - 30, TODAY(), 1)), 2)), 1, 6, """")"),"20,38;20,51;20,43;21,8;21,2;21,31;21,3;22,5;22,13;21,84;21,6;21,38;21,25;21,35;21,39;21,07;20,93;20,67")</f>
        <v>20,38;20,51;20,43;21,8;21,2;21,31;21,3;22,5;22,13;21,84;21,6;21,38;21,25;21,35;21,39;21,07;20,93;20,67</v>
      </c>
    </row>
    <row r="407">
      <c r="A407" s="3" t="s">
        <v>824</v>
      </c>
      <c r="B407" s="4" t="s">
        <v>825</v>
      </c>
      <c r="C407" s="4">
        <f>IFERROR(__xludf.DUMMYFUNCTION("GOOGLEFINANCE($A407, C$2)"),491.1)</f>
        <v>491.1</v>
      </c>
      <c r="D407" s="4">
        <f>IFERROR(__xludf.DUMMYFUNCTION("GOOGLEFINANCE($A407, D$2)"),0.0)</f>
        <v>0</v>
      </c>
      <c r="E407" s="4" t="str">
        <f>IFERROR(__xludf.DUMMYFUNCTION("GOOGLEFINANCE($A407, E$2)"),"#N/A")</f>
        <v>#N/A</v>
      </c>
      <c r="F407" s="4" t="str">
        <f>IFERROR(__xludf.DUMMYFUNCTION("GOOGLEFINANCE($A407, F$2)"),"#N/A")</f>
        <v>#N/A</v>
      </c>
      <c r="G407" s="4">
        <f>IFERROR(__xludf.DUMMYFUNCTION("GOOGLEFINANCE($A407, G$2)"),492.58)</f>
        <v>492.58</v>
      </c>
      <c r="H407" s="4">
        <f>IFERROR(__xludf.DUMMYFUNCTION("GOOGLEFINANCE($A407, H$2)"),480.6)</f>
        <v>480.6</v>
      </c>
      <c r="I407" s="4" t="str">
        <f>IFERROR(__xludf.DUMMYFUNCTION("REPLACE(JOIN("";"", INDEX(TRANSPOSE(GOOGLEFINANCE($A407, $I$2, TODAY() - 30, TODAY(), 1)), 2)), 1, 6, """")"),"450;425,5;402,58;432,92;430,18;439;438;424,99;438,6;435,81;450,99;449,5;445,21;461,42;470,35;467,99;480,6;491,1")</f>
        <v>450;425,5;402,58;432,92;430,18;439;438;424,99;438,6;435,81;450,99;449,5;445,21;461,42;470,35;467,99;480,6;491,1</v>
      </c>
    </row>
    <row r="408">
      <c r="A408" s="3" t="s">
        <v>826</v>
      </c>
      <c r="B408" s="4" t="s">
        <v>827</v>
      </c>
      <c r="C408" s="4">
        <f>IFERROR(__xludf.DUMMYFUNCTION("GOOGLEFINANCE($A408, C$2)"),44.0)</f>
        <v>44</v>
      </c>
      <c r="D408" s="4">
        <f>IFERROR(__xludf.DUMMYFUNCTION("GOOGLEFINANCE($A408, D$2)"),0.0)</f>
        <v>0</v>
      </c>
      <c r="E408" s="4" t="str">
        <f>IFERROR(__xludf.DUMMYFUNCTION("GOOGLEFINANCE($A408, E$2)"),"#N/A")</f>
        <v>#N/A</v>
      </c>
      <c r="F408" s="4">
        <f>IFERROR(__xludf.DUMMYFUNCTION("GOOGLEFINANCE($A408, F$2)"),-12.74)</f>
        <v>-12.74</v>
      </c>
      <c r="G408" s="4" t="str">
        <f>IFERROR(__xludf.DUMMYFUNCTION("GOOGLEFINANCE($A408, G$2)"),"#N/A")</f>
        <v>#N/A</v>
      </c>
      <c r="H408" s="4" t="str">
        <f>IFERROR(__xludf.DUMMYFUNCTION("GOOGLEFINANCE($A408, H$2)"),"#N/A")</f>
        <v>#N/A</v>
      </c>
      <c r="I408" s="4" t="str">
        <f>IFERROR(__xludf.DUMMYFUNCTION("REPLACE(JOIN("";"", INDEX(TRANSPOSE(GOOGLEFINANCE($A408, $I$2, TODAY() - 30, TODAY(), 1)), 2)), 1, 6, """")"),"45,01;45,01;44;41,5;44")</f>
        <v>45,01;45,01;44;41,5;44</v>
      </c>
    </row>
    <row r="409">
      <c r="A409" s="3" t="s">
        <v>828</v>
      </c>
      <c r="B409" s="4" t="s">
        <v>829</v>
      </c>
      <c r="C409" s="4">
        <f>IFERROR(__xludf.DUMMYFUNCTION("GOOGLEFINANCE($A409, C$2)"),6.3)</f>
        <v>6.3</v>
      </c>
      <c r="D409" s="4">
        <f>IFERROR(__xludf.DUMMYFUNCTION("GOOGLEFINANCE($A409, D$2)"),0.0)</f>
        <v>0</v>
      </c>
      <c r="E409" s="4" t="str">
        <f>IFERROR(__xludf.DUMMYFUNCTION("GOOGLEFINANCE($A409, E$2)"),"#N/A")</f>
        <v>#N/A</v>
      </c>
      <c r="F409" s="4">
        <f>IFERROR(__xludf.DUMMYFUNCTION("GOOGLEFINANCE($A409, F$2)"),-12.74)</f>
        <v>-12.74</v>
      </c>
      <c r="G409" s="4">
        <f>IFERROR(__xludf.DUMMYFUNCTION("GOOGLEFINANCE($A409, G$2)"),6.56)</f>
        <v>6.56</v>
      </c>
      <c r="H409" s="4">
        <f>IFERROR(__xludf.DUMMYFUNCTION("GOOGLEFINANCE($A409, H$2)"),6.22)</f>
        <v>6.22</v>
      </c>
      <c r="I409" s="4" t="str">
        <f>IFERROR(__xludf.DUMMYFUNCTION("REPLACE(JOIN("";"", INDEX(TRANSPOSE(GOOGLEFINANCE($A409, $I$2, TODAY() - 30, TODAY(), 1)), 2)), 1, 6, """")"),"6,87;6,19;6,11;6,09;6,4;6,74;6,8;6,95;6,71;6,9;7,08;6,67;6,43;6,36;6,45;6,29;6,39;6,3")</f>
        <v>6,87;6,19;6,11;6,09;6,4;6,74;6,8;6,95;6,71;6,9;7,08;6,67;6,43;6,36;6,45;6,29;6,39;6,3</v>
      </c>
    </row>
    <row r="410">
      <c r="A410" s="3" t="s">
        <v>830</v>
      </c>
      <c r="B410" s="4" t="s">
        <v>831</v>
      </c>
      <c r="C410" s="4">
        <f>IFERROR(__xludf.DUMMYFUNCTION("GOOGLEFINANCE($A410, C$2)"),13.55)</f>
        <v>13.55</v>
      </c>
      <c r="D410" s="4">
        <f>IFERROR(__xludf.DUMMYFUNCTION("GOOGLEFINANCE($A410, D$2)"),0.0)</f>
        <v>0</v>
      </c>
      <c r="E410" s="4" t="str">
        <f>IFERROR(__xludf.DUMMYFUNCTION("GOOGLEFINANCE($A410, E$2)"),"#N/A")</f>
        <v>#N/A</v>
      </c>
      <c r="F410" s="4">
        <f>IFERROR(__xludf.DUMMYFUNCTION("GOOGLEFINANCE($A410, F$2)"),-2.12)</f>
        <v>-2.12</v>
      </c>
      <c r="G410" s="4">
        <f>IFERROR(__xludf.DUMMYFUNCTION("GOOGLEFINANCE($A410, G$2)"),13.96)</f>
        <v>13.96</v>
      </c>
      <c r="H410" s="4">
        <f>IFERROR(__xludf.DUMMYFUNCTION("GOOGLEFINANCE($A410, H$2)"),13.45)</f>
        <v>13.45</v>
      </c>
      <c r="I410" s="4" t="str">
        <f>IFERROR(__xludf.DUMMYFUNCTION("REPLACE(JOIN("";"", INDEX(TRANSPOSE(GOOGLEFINANCE($A410, $I$2, TODAY() - 30, TODAY(), 1)), 2)), 1, 6, """")"),"14,1;14,19;14,04;14,44;13,99;13,94;14,44;14,35;14,17;14,16;13,98;14,12;13,96;13,98;14,17;14,26;13,9;13,55")</f>
        <v>14,1;14,19;14,04;14,44;13,99;13,94;14,44;14,35;14,17;14,16;13,98;14,12;13,96;13,98;14,17;14,26;13,9;13,55</v>
      </c>
    </row>
    <row r="411">
      <c r="A411" s="3" t="s">
        <v>832</v>
      </c>
      <c r="B411" s="4" t="s">
        <v>833</v>
      </c>
      <c r="C411" s="4">
        <f>IFERROR(__xludf.DUMMYFUNCTION("GOOGLEFINANCE($A411, C$2)"),17.82)</f>
        <v>17.82</v>
      </c>
      <c r="D411" s="4">
        <f>IFERROR(__xludf.DUMMYFUNCTION("GOOGLEFINANCE($A411, D$2)"),0.0)</f>
        <v>0</v>
      </c>
      <c r="E411" s="4">
        <f>IFERROR(__xludf.DUMMYFUNCTION("GOOGLEFINANCE($A411, E$2)"),7.7)</f>
        <v>7.7</v>
      </c>
      <c r="F411" s="4">
        <f>IFERROR(__xludf.DUMMYFUNCTION("GOOGLEFINANCE($A411, F$2)"),2.31)</f>
        <v>2.31</v>
      </c>
      <c r="G411" s="4">
        <f>IFERROR(__xludf.DUMMYFUNCTION("GOOGLEFINANCE($A411, G$2)"),18.34)</f>
        <v>18.34</v>
      </c>
      <c r="H411" s="4">
        <f>IFERROR(__xludf.DUMMYFUNCTION("GOOGLEFINANCE($A411, H$2)"),17.82)</f>
        <v>17.82</v>
      </c>
      <c r="I411" s="4" t="str">
        <f>IFERROR(__xludf.DUMMYFUNCTION("REPLACE(JOIN("";"", INDEX(TRANSPOSE(GOOGLEFINANCE($A411, $I$2, TODAY() - 30, TODAY(), 1)), 2)), 1, 6, """")"),"17,62;17,35;17,38;18,2;18,07;18,19;18,78;19;19,02;18,86;18,92;18,7;19,18;18,85;18,72;18,57;18,11;17,82")</f>
        <v>17,62;17,35;17,38;18,2;18,07;18,19;18,78;19;19,02;18,86;18,92;18,7;19,18;18,85;18,72;18,57;18,11;17,82</v>
      </c>
    </row>
    <row r="412">
      <c r="A412" s="3" t="s">
        <v>834</v>
      </c>
      <c r="B412" s="4" t="s">
        <v>835</v>
      </c>
      <c r="C412" s="4">
        <f>IFERROR(__xludf.DUMMYFUNCTION("GOOGLEFINANCE($A412, C$2)"),668.0)</f>
        <v>668</v>
      </c>
      <c r="D412" s="4">
        <f>IFERROR(__xludf.DUMMYFUNCTION("GOOGLEFINANCE($A412, D$2)"),0.0)</f>
        <v>0</v>
      </c>
      <c r="E412" s="4" t="str">
        <f>IFERROR(__xludf.DUMMYFUNCTION("GOOGLEFINANCE($A412, E$2)"),"#N/A")</f>
        <v>#N/A</v>
      </c>
      <c r="F412" s="4" t="str">
        <f>IFERROR(__xludf.DUMMYFUNCTION("GOOGLEFINANCE($A412, F$2)"),"#N/A")</f>
        <v>#N/A</v>
      </c>
      <c r="G412" s="4">
        <f>IFERROR(__xludf.DUMMYFUNCTION("GOOGLEFINANCE($A412, G$2)"),685.5)</f>
        <v>685.5</v>
      </c>
      <c r="H412" s="4">
        <f>IFERROR(__xludf.DUMMYFUNCTION("GOOGLEFINANCE($A412, H$2)"),667.0)</f>
        <v>667</v>
      </c>
      <c r="I412" s="4" t="str">
        <f>IFERROR(__xludf.DUMMYFUNCTION("REPLACE(JOIN("";"", INDEX(TRANSPOSE(GOOGLEFINANCE($A412, $I$2, TODAY() - 30, TODAY(), 1)), 2)), 1, 6, """")"),"641,1;644,85;647;642,2;633,2;647;663,4;651,2;667;667,1;664,5;710;708,8;714,7;712,6;691,6;679,5;668")</f>
        <v>641,1;644,85;647;642,2;633,2;647;663,4;651,2;667;667,1;664,5;710;708,8;714,7;712,6;691,6;679,5;668</v>
      </c>
    </row>
    <row r="413">
      <c r="A413" s="3" t="s">
        <v>836</v>
      </c>
      <c r="B413" s="4" t="s">
        <v>837</v>
      </c>
      <c r="C413" s="4">
        <f>IFERROR(__xludf.DUMMYFUNCTION("GOOGLEFINANCE($A413, C$2)"),105.7)</f>
        <v>105.7</v>
      </c>
      <c r="D413" s="4">
        <f>IFERROR(__xludf.DUMMYFUNCTION("GOOGLEFINANCE($A413, D$2)"),0.0)</f>
        <v>0</v>
      </c>
      <c r="E413" s="4" t="str">
        <f>IFERROR(__xludf.DUMMYFUNCTION("GOOGLEFINANCE($A413, E$2)"),"#N/A")</f>
        <v>#N/A</v>
      </c>
      <c r="F413" s="4" t="str">
        <f>IFERROR(__xludf.DUMMYFUNCTION("GOOGLEFINANCE($A413, F$2)"),"#N/A")</f>
        <v>#N/A</v>
      </c>
      <c r="G413" s="4">
        <f>IFERROR(__xludf.DUMMYFUNCTION("GOOGLEFINANCE($A413, G$2)"),109.6)</f>
        <v>109.6</v>
      </c>
      <c r="H413" s="4">
        <f>IFERROR(__xludf.DUMMYFUNCTION("GOOGLEFINANCE($A413, H$2)"),105.5)</f>
        <v>105.5</v>
      </c>
      <c r="I413" s="4" t="str">
        <f>IFERROR(__xludf.DUMMYFUNCTION("REPLACE(JOIN("";"", INDEX(TRANSPOSE(GOOGLEFINANCE($A413, $I$2, TODAY() - 30, TODAY(), 1)), 2)), 1, 6, """")"),"115,45;114,05;109,19;112,64;110,89;111,3;112,54;111,64;112,49;112,45;111,4;113,34;112,53;113,2;111,63;109,39;109,8;105,7")</f>
        <v>115,45;114,05;109,19;112,64;110,89;111,3;112,54;111,64;112,49;112,45;111,4;113,34;112,53;113,2;111,63;109,39;109,8;105,7</v>
      </c>
    </row>
    <row r="414">
      <c r="A414" s="3" t="s">
        <v>838</v>
      </c>
      <c r="B414" s="4" t="s">
        <v>839</v>
      </c>
      <c r="C414" s="4">
        <f>IFERROR(__xludf.DUMMYFUNCTION("GOOGLEFINANCE($A414, C$2)"),58.27)</f>
        <v>58.27</v>
      </c>
      <c r="D414" s="4">
        <f>IFERROR(__xludf.DUMMYFUNCTION("GOOGLEFINANCE($A414, D$2)"),0.0)</f>
        <v>0</v>
      </c>
      <c r="E414" s="4" t="str">
        <f>IFERROR(__xludf.DUMMYFUNCTION("GOOGLEFINANCE($A414, E$2)"),"#N/A")</f>
        <v>#N/A</v>
      </c>
      <c r="F414" s="4" t="str">
        <f>IFERROR(__xludf.DUMMYFUNCTION("GOOGLEFINANCE($A414, F$2)"),"#N/A")</f>
        <v>#N/A</v>
      </c>
      <c r="G414" s="4">
        <f>IFERROR(__xludf.DUMMYFUNCTION("GOOGLEFINANCE($A414, G$2)"),60.0)</f>
        <v>60</v>
      </c>
      <c r="H414" s="4">
        <f>IFERROR(__xludf.DUMMYFUNCTION("GOOGLEFINANCE($A414, H$2)"),58.09)</f>
        <v>58.09</v>
      </c>
      <c r="I414" s="4" t="str">
        <f>IFERROR(__xludf.DUMMYFUNCTION("REPLACE(JOIN("";"", INDEX(TRANSPOSE(GOOGLEFINANCE($A414, $I$2, TODAY() - 30, TODAY(), 1)), 2)), 1, 6, """")"),"62,29;60,35;57,53;59,45;58,5;58,9;59,09;58,38;60,05;59,64;60;60,5;60,7;60,15;59,85;59,58;59,75;58,27")</f>
        <v>62,29;60,35;57,53;59,45;58,5;58,9;59,09;58,38;60,05;59,64;60;60,5;60,7;60,15;59,85;59,58;59,75;58,27</v>
      </c>
    </row>
    <row r="415">
      <c r="A415" s="3" t="s">
        <v>840</v>
      </c>
      <c r="B415" s="4" t="s">
        <v>841</v>
      </c>
      <c r="C415" s="4">
        <f>IFERROR(__xludf.DUMMYFUNCTION("GOOGLEFINANCE($A415, C$2)"),7.83)</f>
        <v>7.83</v>
      </c>
      <c r="D415" s="4">
        <f>IFERROR(__xludf.DUMMYFUNCTION("GOOGLEFINANCE($A415, D$2)"),0.0)</f>
        <v>0</v>
      </c>
      <c r="E415" s="4">
        <f>IFERROR(__xludf.DUMMYFUNCTION("GOOGLEFINANCE($A415, E$2)"),109.62)</f>
        <v>109.62</v>
      </c>
      <c r="F415" s="4">
        <f>IFERROR(__xludf.DUMMYFUNCTION("GOOGLEFINANCE($A415, F$2)"),0.07)</f>
        <v>0.07</v>
      </c>
      <c r="G415" s="4">
        <f>IFERROR(__xludf.DUMMYFUNCTION("GOOGLEFINANCE($A415, G$2)"),8.08)</f>
        <v>8.08</v>
      </c>
      <c r="H415" s="4">
        <f>IFERROR(__xludf.DUMMYFUNCTION("GOOGLEFINANCE($A415, H$2)"),7.73)</f>
        <v>7.73</v>
      </c>
      <c r="I415" s="4" t="str">
        <f>IFERROR(__xludf.DUMMYFUNCTION("REPLACE(JOIN("";"", INDEX(TRANSPOSE(GOOGLEFINANCE($A415, $I$2, TODAY() - 30, TODAY(), 1)), 2)), 1, 6, """")"),"11,59;9,89;8,57;8,68;9,04;9,36;9,3;8,87;8,72;8,53;7,99;9,25;8,65;8,46;8,35;8,28;7,83;7,83")</f>
        <v>11,59;9,89;8,57;8,68;9,04;9,36;9,3;8,87;8,72;8,53;7,99;9,25;8,65;8,46;8,35;8,28;7,83;7,83</v>
      </c>
    </row>
    <row r="416">
      <c r="A416" s="3" t="s">
        <v>842</v>
      </c>
      <c r="B416" s="4" t="s">
        <v>843</v>
      </c>
      <c r="C416" s="4">
        <f>IFERROR(__xludf.DUMMYFUNCTION("GOOGLEFINANCE($A416, C$2)"),77.07)</f>
        <v>77.07</v>
      </c>
      <c r="D416" s="4">
        <f>IFERROR(__xludf.DUMMYFUNCTION("GOOGLEFINANCE($A416, D$2)"),0.0)</f>
        <v>0</v>
      </c>
      <c r="E416" s="4" t="str">
        <f>IFERROR(__xludf.DUMMYFUNCTION("GOOGLEFINANCE($A416, E$2)"),"#N/A")</f>
        <v>#N/A</v>
      </c>
      <c r="F416" s="4" t="str">
        <f>IFERROR(__xludf.DUMMYFUNCTION("GOOGLEFINANCE($A416, F$2)"),"#N/A")</f>
        <v>#N/A</v>
      </c>
      <c r="G416" s="4">
        <f>IFERROR(__xludf.DUMMYFUNCTION("GOOGLEFINANCE($A416, G$2)"),80.0)</f>
        <v>80</v>
      </c>
      <c r="H416" s="4">
        <f>IFERROR(__xludf.DUMMYFUNCTION("GOOGLEFINANCE($A416, H$2)"),76.35)</f>
        <v>76.35</v>
      </c>
      <c r="I416" s="4" t="str">
        <f>IFERROR(__xludf.DUMMYFUNCTION("REPLACE(JOIN("";"", INDEX(TRANSPOSE(GOOGLEFINANCE($A416, $I$2, TODAY() - 30, TODAY(), 1)), 2)), 1, 6, """")"),"76,4;72,36;70,9;73,7;73,66;73,11;75;74,62;77;77,9;78,44;76,5;76,4;77,47;76,5;77,9;78,71;77,07")</f>
        <v>76,4;72,36;70,9;73,7;73,66;73,11;75;74,62;77;77,9;78,44;76,5;76,4;77,47;76,5;77,9;78,71;77,07</v>
      </c>
    </row>
    <row r="417">
      <c r="A417" s="3" t="s">
        <v>844</v>
      </c>
      <c r="B417" s="4" t="s">
        <v>845</v>
      </c>
      <c r="C417" s="4">
        <f>IFERROR(__xludf.DUMMYFUNCTION("GOOGLEFINANCE($A417, C$2)"),33.58)</f>
        <v>33.58</v>
      </c>
      <c r="D417" s="4">
        <f>IFERROR(__xludf.DUMMYFUNCTION("GOOGLEFINANCE($A417, D$2)"),0.0)</f>
        <v>0</v>
      </c>
      <c r="E417" s="4" t="str">
        <f>IFERROR(__xludf.DUMMYFUNCTION("GOOGLEFINANCE($A417, E$2)"),"#N/A")</f>
        <v>#N/A</v>
      </c>
      <c r="F417" s="4" t="str">
        <f>IFERROR(__xludf.DUMMYFUNCTION("GOOGLEFINANCE($A417, F$2)"),"#N/A")</f>
        <v>#N/A</v>
      </c>
      <c r="G417" s="4" t="str">
        <f>IFERROR(__xludf.DUMMYFUNCTION("GOOGLEFINANCE($A417, G$2)"),"#N/A")</f>
        <v>#N/A</v>
      </c>
      <c r="H417" s="4" t="str">
        <f>IFERROR(__xludf.DUMMYFUNCTION("GOOGLEFINANCE($A417, H$2)"),"#N/A")</f>
        <v>#N/A</v>
      </c>
      <c r="I417" s="4" t="str">
        <f>IFERROR(__xludf.DUMMYFUNCTION("REPLACE(JOIN("";"", INDEX(TRANSPOSE(GOOGLEFINANCE($A417, $I$2, TODAY() - 30, TODAY(), 1)), 2)), 1, 6, """")"),"29,16;28,5;30,33;32,79;32,97;33,58")</f>
        <v>29,16;28,5;30,33;32,79;32,97;33,58</v>
      </c>
    </row>
    <row r="418">
      <c r="A418" s="3" t="s">
        <v>846</v>
      </c>
      <c r="B418" s="4" t="s">
        <v>847</v>
      </c>
      <c r="C418" s="4">
        <f>IFERROR(__xludf.DUMMYFUNCTION("GOOGLEFINANCE($A418, C$2)"),322.5)</f>
        <v>322.5</v>
      </c>
      <c r="D418" s="4">
        <f>IFERROR(__xludf.DUMMYFUNCTION("GOOGLEFINANCE($A418, D$2)"),0.0)</f>
        <v>0</v>
      </c>
      <c r="E418" s="4" t="str">
        <f>IFERROR(__xludf.DUMMYFUNCTION("GOOGLEFINANCE($A418, E$2)"),"#N/A")</f>
        <v>#N/A</v>
      </c>
      <c r="F418" s="4" t="str">
        <f>IFERROR(__xludf.DUMMYFUNCTION("GOOGLEFINANCE($A418, F$2)"),"#N/A")</f>
        <v>#N/A</v>
      </c>
      <c r="G418" s="4" t="str">
        <f>IFERROR(__xludf.DUMMYFUNCTION("GOOGLEFINANCE($A418, G$2)"),"#N/A")</f>
        <v>#N/A</v>
      </c>
      <c r="H418" s="4" t="str">
        <f>IFERROR(__xludf.DUMMYFUNCTION("GOOGLEFINANCE($A418, H$2)"),"#N/A")</f>
        <v>#N/A</v>
      </c>
      <c r="I418" s="4" t="str">
        <f>IFERROR(__xludf.DUMMYFUNCTION("REPLACE(JOIN("";"", INDEX(TRANSPOSE(GOOGLEFINANCE($A418, $I$2, TODAY() - 30, TODAY(), 1)), 2)), 1, 6, """")"),"328;314,6;317,3;315;319,6;322,5;322,5;326,8;323,3;326;327;321,9;320;322,5")</f>
        <v>328;314,6;317,3;315;319,6;322,5;322,5;326,8;323,3;326;327;321,9;320;322,5</v>
      </c>
    </row>
    <row r="419">
      <c r="A419" s="3" t="s">
        <v>848</v>
      </c>
      <c r="B419" s="4" t="s">
        <v>849</v>
      </c>
      <c r="C419" s="4">
        <f>IFERROR(__xludf.DUMMYFUNCTION("GOOGLEFINANCE($A419, C$2)"),25.3)</f>
        <v>25.3</v>
      </c>
      <c r="D419" s="4">
        <f>IFERROR(__xludf.DUMMYFUNCTION("GOOGLEFINANCE($A419, D$2)"),0.0)</f>
        <v>0</v>
      </c>
      <c r="E419" s="4">
        <f>IFERROR(__xludf.DUMMYFUNCTION("GOOGLEFINANCE($A419, E$2)"),500.1)</f>
        <v>500.1</v>
      </c>
      <c r="F419" s="4">
        <f>IFERROR(__xludf.DUMMYFUNCTION("GOOGLEFINANCE($A419, F$2)"),0.05)</f>
        <v>0.05</v>
      </c>
      <c r="G419" s="4">
        <f>IFERROR(__xludf.DUMMYFUNCTION("GOOGLEFINANCE($A419, G$2)"),25.55)</f>
        <v>25.55</v>
      </c>
      <c r="H419" s="4">
        <f>IFERROR(__xludf.DUMMYFUNCTION("GOOGLEFINANCE($A419, H$2)"),24.5)</f>
        <v>24.5</v>
      </c>
      <c r="I419" s="4" t="str">
        <f>IFERROR(__xludf.DUMMYFUNCTION("REPLACE(JOIN("";"", INDEX(TRANSPOSE(GOOGLEFINANCE($A419, $I$2, TODAY() - 30, TODAY(), 1)), 2)), 1, 6, """")"),"31,36;27,81;28;27,32;26,68;26,99;26,5;26,5;27,65;26,43;27,65;26,68;26,31;24,65;26,06;25,2;25,01;25,3")</f>
        <v>31,36;27,81;28;27,32;26,68;26,99;26,5;26,5;27,65;26,43;27,65;26,68;26,31;24,65;26,06;25,2;25,01;25,3</v>
      </c>
    </row>
    <row r="420">
      <c r="A420" s="3" t="s">
        <v>850</v>
      </c>
      <c r="B420" s="4" t="s">
        <v>851</v>
      </c>
      <c r="C420" s="4">
        <f>IFERROR(__xludf.DUMMYFUNCTION("GOOGLEFINANCE($A420, C$2)"),52.55)</f>
        <v>52.55</v>
      </c>
      <c r="D420" s="4">
        <f>IFERROR(__xludf.DUMMYFUNCTION("GOOGLEFINANCE($A420, D$2)"),0.0)</f>
        <v>0</v>
      </c>
      <c r="E420" s="4" t="str">
        <f>IFERROR(__xludf.DUMMYFUNCTION("GOOGLEFINANCE($A420, E$2)"),"#N/A")</f>
        <v>#N/A</v>
      </c>
      <c r="F420" s="4">
        <f>IFERROR(__xludf.DUMMYFUNCTION("GOOGLEFINANCE($A420, F$2)"),-0.66)</f>
        <v>-0.66</v>
      </c>
      <c r="G420" s="4">
        <f>IFERROR(__xludf.DUMMYFUNCTION("GOOGLEFINANCE($A420, G$2)"),52.55)</f>
        <v>52.55</v>
      </c>
      <c r="H420" s="4">
        <f>IFERROR(__xludf.DUMMYFUNCTION("GOOGLEFINANCE($A420, H$2)"),51.24)</f>
        <v>51.24</v>
      </c>
      <c r="I420" s="4" t="str">
        <f>IFERROR(__xludf.DUMMYFUNCTION("REPLACE(JOIN("";"", INDEX(TRANSPOSE(GOOGLEFINANCE($A420, $I$2, TODAY() - 30, TODAY(), 1)), 2)), 1, 6, """")"),"49,33;50,1;49,48;50,3;49,06;48,46;49,26;50;50,41;50,97;50,73;51,09;50,72;53,76;53,3;53,09;51,75;52,55")</f>
        <v>49,33;50,1;49,48;50,3;49,06;48,46;49,26;50;50,41;50,97;50,73;51,09;50,72;53,76;53,3;53,09;51,75;52,55</v>
      </c>
    </row>
    <row r="421">
      <c r="A421" s="3" t="s">
        <v>852</v>
      </c>
      <c r="B421" s="4" t="s">
        <v>853</v>
      </c>
      <c r="C421" s="4">
        <f>IFERROR(__xludf.DUMMYFUNCTION("GOOGLEFINANCE($A421, C$2)"),67.22)</f>
        <v>67.22</v>
      </c>
      <c r="D421" s="4">
        <f>IFERROR(__xludf.DUMMYFUNCTION("GOOGLEFINANCE($A421, D$2)"),0.0)</f>
        <v>0</v>
      </c>
      <c r="E421" s="4" t="str">
        <f>IFERROR(__xludf.DUMMYFUNCTION("GOOGLEFINANCE($A421, E$2)"),"#N/A")</f>
        <v>#N/A</v>
      </c>
      <c r="F421" s="4" t="str">
        <f>IFERROR(__xludf.DUMMYFUNCTION("GOOGLEFINANCE($A421, F$2)"),"#N/A")</f>
        <v>#N/A</v>
      </c>
      <c r="G421" s="4">
        <f>IFERROR(__xludf.DUMMYFUNCTION("GOOGLEFINANCE($A421, G$2)"),70.0)</f>
        <v>70</v>
      </c>
      <c r="H421" s="4">
        <f>IFERROR(__xludf.DUMMYFUNCTION("GOOGLEFINANCE($A421, H$2)"),66.89)</f>
        <v>66.89</v>
      </c>
      <c r="I421" s="4" t="str">
        <f>IFERROR(__xludf.DUMMYFUNCTION("REPLACE(JOIN("";"", INDEX(TRANSPOSE(GOOGLEFINANCE($A421, $I$2, TODAY() - 30, TODAY(), 1)), 2)), 1, 6, """")"),"62,99;60,17;58,28;59,13;59,68;60,13;60,64;60,74;60,02;60,8;64,55;61,62;66,29;68,29;67,2;67,3;68;67,22")</f>
        <v>62,99;60,17;58,28;59,13;59,68;60,13;60,64;60,74;60,02;60,8;64,55;61,62;66,29;68,29;67,2;67,3;68;67,22</v>
      </c>
    </row>
    <row r="422">
      <c r="A422" s="3" t="s">
        <v>854</v>
      </c>
      <c r="B422" s="4" t="s">
        <v>855</v>
      </c>
      <c r="C422" s="4">
        <f>IFERROR(__xludf.DUMMYFUNCTION("GOOGLEFINANCE($A422, C$2)"),13.2)</f>
        <v>13.2</v>
      </c>
      <c r="D422" s="4">
        <f>IFERROR(__xludf.DUMMYFUNCTION("GOOGLEFINANCE($A422, D$2)"),0.0)</f>
        <v>0</v>
      </c>
      <c r="E422" s="4">
        <f>IFERROR(__xludf.DUMMYFUNCTION("GOOGLEFINANCE($A422, E$2)"),20.06)</f>
        <v>20.06</v>
      </c>
      <c r="F422" s="4">
        <f>IFERROR(__xludf.DUMMYFUNCTION("GOOGLEFINANCE($A422, F$2)"),0.66)</f>
        <v>0.66</v>
      </c>
      <c r="G422" s="4">
        <f>IFERROR(__xludf.DUMMYFUNCTION("GOOGLEFINANCE($A422, G$2)"),13.42)</f>
        <v>13.42</v>
      </c>
      <c r="H422" s="4">
        <f>IFERROR(__xludf.DUMMYFUNCTION("GOOGLEFINANCE($A422, H$2)"),13.1)</f>
        <v>13.1</v>
      </c>
      <c r="I422" s="4" t="str">
        <f>IFERROR(__xludf.DUMMYFUNCTION("REPLACE(JOIN("";"", INDEX(TRANSPOSE(GOOGLEFINANCE($A422, $I$2, TODAY() - 30, TODAY(), 1)), 2)), 1, 6, """")"),"14,02;14,35;14,12;14,53;14,17;14,5;14,6;14,2;14,06;13,96;13,6;13,55;13,59;13,37;13,35;13,26;13,25;13,2")</f>
        <v>14,02;14,35;14,12;14,53;14,17;14,5;14,6;14,2;14,06;13,96;13,6;13,55;13,59;13,37;13,35;13,26;13,25;13,2</v>
      </c>
    </row>
    <row r="423">
      <c r="A423" s="3" t="s">
        <v>856</v>
      </c>
      <c r="B423" s="4" t="s">
        <v>857</v>
      </c>
      <c r="C423" s="4">
        <f>IFERROR(__xludf.DUMMYFUNCTION("GOOGLEFINANCE($A423, C$2)"),34.69)</f>
        <v>34.69</v>
      </c>
      <c r="D423" s="4">
        <f>IFERROR(__xludf.DUMMYFUNCTION("GOOGLEFINANCE($A423, D$2)"),0.0)</f>
        <v>0</v>
      </c>
      <c r="E423" s="4">
        <f>IFERROR(__xludf.DUMMYFUNCTION("GOOGLEFINANCE($A423, E$2)"),22.51)</f>
        <v>22.51</v>
      </c>
      <c r="F423" s="4">
        <f>IFERROR(__xludf.DUMMYFUNCTION("GOOGLEFINANCE($A423, F$2)"),1.54)</f>
        <v>1.54</v>
      </c>
      <c r="G423" s="4">
        <f>IFERROR(__xludf.DUMMYFUNCTION("GOOGLEFINANCE($A423, G$2)"),34.79)</f>
        <v>34.79</v>
      </c>
      <c r="H423" s="4">
        <f>IFERROR(__xludf.DUMMYFUNCTION("GOOGLEFINANCE($A423, H$2)"),34.37)</f>
        <v>34.37</v>
      </c>
      <c r="I423" s="4" t="str">
        <f>IFERROR(__xludf.DUMMYFUNCTION("REPLACE(JOIN("";"", INDEX(TRANSPOSE(GOOGLEFINANCE($A423, $I$2, TODAY() - 30, TODAY(), 1)), 2)), 1, 6, """")"),"33,83;33;33,7;32,75;32,74;32,59;33,79;34;33,75;33,22;34,06;34,01;33,41;35;34,06;34,22;34,5;34,69")</f>
        <v>33,83;33;33,7;32,75;32,74;32,59;33,79;34;33,75;33,22;34,06;34,01;33,41;35;34,06;34,22;34,5;34,69</v>
      </c>
    </row>
    <row r="424">
      <c r="A424" s="3" t="s">
        <v>858</v>
      </c>
      <c r="B424" s="4" t="s">
        <v>859</v>
      </c>
      <c r="C424" s="4">
        <f>IFERROR(__xludf.DUMMYFUNCTION("GOOGLEFINANCE($A424, C$2)"),2.02)</f>
        <v>2.02</v>
      </c>
      <c r="D424" s="4">
        <f>IFERROR(__xludf.DUMMYFUNCTION("GOOGLEFINANCE($A424, D$2)"),0.0)</f>
        <v>0</v>
      </c>
      <c r="E424" s="4" t="str">
        <f>IFERROR(__xludf.DUMMYFUNCTION("GOOGLEFINANCE($A424, E$2)"),"#N/A")</f>
        <v>#N/A</v>
      </c>
      <c r="F424" s="4">
        <f>IFERROR(__xludf.DUMMYFUNCTION("GOOGLEFINANCE($A424, F$2)"),-2.45)</f>
        <v>-2.45</v>
      </c>
      <c r="G424" s="4">
        <f>IFERROR(__xludf.DUMMYFUNCTION("GOOGLEFINANCE($A424, G$2)"),2.06)</f>
        <v>2.06</v>
      </c>
      <c r="H424" s="4">
        <f>IFERROR(__xludf.DUMMYFUNCTION("GOOGLEFINANCE($A424, H$2)"),1.94)</f>
        <v>1.94</v>
      </c>
      <c r="I424" s="4" t="str">
        <f>IFERROR(__xludf.DUMMYFUNCTION("REPLACE(JOIN("";"", INDEX(TRANSPOSE(GOOGLEFINANCE($A424, $I$2, TODAY() - 30, TODAY(), 1)), 2)), 1, 6, """")"),"2,2;2,03;2,11;2,1;2,08;2,26;2,23;2,19;2,16;2,12;2,11;2,11;2,04;2,03;2,04;2,06;2;2,02")</f>
        <v>2,2;2,03;2,11;2,1;2,08;2,26;2,23;2,19;2,16;2,12;2,11;2,11;2,04;2,03;2,04;2,06;2;2,02</v>
      </c>
    </row>
    <row r="425">
      <c r="A425" s="3" t="s">
        <v>860</v>
      </c>
      <c r="B425" s="4" t="s">
        <v>861</v>
      </c>
      <c r="C425" s="4">
        <f>IFERROR(__xludf.DUMMYFUNCTION("GOOGLEFINANCE($A425, C$2)"),2.54)</f>
        <v>2.54</v>
      </c>
      <c r="D425" s="4">
        <f>IFERROR(__xludf.DUMMYFUNCTION("GOOGLEFINANCE($A425, D$2)"),0.0)</f>
        <v>0</v>
      </c>
      <c r="E425" s="4" t="str">
        <f>IFERROR(__xludf.DUMMYFUNCTION("GOOGLEFINANCE($A425, E$2)"),"#N/A")</f>
        <v>#N/A</v>
      </c>
      <c r="F425" s="4">
        <f>IFERROR(__xludf.DUMMYFUNCTION("GOOGLEFINANCE($A425, F$2)"),-2.45)</f>
        <v>-2.45</v>
      </c>
      <c r="G425" s="4">
        <f>IFERROR(__xludf.DUMMYFUNCTION("GOOGLEFINANCE($A425, G$2)"),2.59)</f>
        <v>2.59</v>
      </c>
      <c r="H425" s="4">
        <f>IFERROR(__xludf.DUMMYFUNCTION("GOOGLEFINANCE($A425, H$2)"),2.51)</f>
        <v>2.51</v>
      </c>
      <c r="I425" s="4" t="str">
        <f>IFERROR(__xludf.DUMMYFUNCTION("REPLACE(JOIN("";"", INDEX(TRANSPOSE(GOOGLEFINANCE($A425, $I$2, TODAY() - 30, TODAY(), 1)), 2)), 1, 6, """")"),"2,74;2,6;2,67;2,71;2,66;2,86;2,8;2,8;2,77;2,72;2,71;2,69;2,63;2,6;2,64;2,63;2,58;2,54")</f>
        <v>2,74;2,6;2,67;2,71;2,66;2,86;2,8;2,8;2,77;2,72;2,71;2,69;2,63;2,6;2,64;2,63;2,58;2,54</v>
      </c>
    </row>
    <row r="426">
      <c r="A426" s="3" t="s">
        <v>862</v>
      </c>
      <c r="B426" s="4" t="s">
        <v>863</v>
      </c>
      <c r="C426" s="4">
        <f>IFERROR(__xludf.DUMMYFUNCTION("GOOGLEFINANCE($A426, C$2)"),41.72)</f>
        <v>41.72</v>
      </c>
      <c r="D426" s="4">
        <f>IFERROR(__xludf.DUMMYFUNCTION("GOOGLEFINANCE($A426, D$2)"),0.0)</f>
        <v>0</v>
      </c>
      <c r="E426" s="4" t="str">
        <f>IFERROR(__xludf.DUMMYFUNCTION("GOOGLEFINANCE($A426, E$2)"),"#N/A")</f>
        <v>#N/A</v>
      </c>
      <c r="F426" s="4">
        <f>IFERROR(__xludf.DUMMYFUNCTION("GOOGLEFINANCE($A426, F$2)"),-0.03)</f>
        <v>-0.03</v>
      </c>
      <c r="G426" s="4">
        <f>IFERROR(__xludf.DUMMYFUNCTION("GOOGLEFINANCE($A426, G$2)"),41.72)</f>
        <v>41.72</v>
      </c>
      <c r="H426" s="4">
        <f>IFERROR(__xludf.DUMMYFUNCTION("GOOGLEFINANCE($A426, H$2)"),41.02)</f>
        <v>41.02</v>
      </c>
      <c r="I426" s="4" t="str">
        <f>IFERROR(__xludf.DUMMYFUNCTION("REPLACE(JOIN("";"", INDEX(TRANSPOSE(GOOGLEFINANCE($A426, $I$2, TODAY() - 30, TODAY(), 1)), 2)), 1, 6, """")"),"41,75;39,86;39,49;40,3;40,27;40,29;40,98;41,05;41,6;42,14;42,81;43,36;42,06;42,85;42,45;41,6;41,48;41,72")</f>
        <v>41,75;39,86;39,49;40,3;40,27;40,29;40,98;41,05;41,6;42,14;42,81;43,36;42,06;42,85;42,45;41,6;41,48;41,72</v>
      </c>
    </row>
    <row r="427">
      <c r="A427" s="3" t="s">
        <v>864</v>
      </c>
      <c r="B427" s="4" t="s">
        <v>865</v>
      </c>
      <c r="C427" s="4">
        <f>IFERROR(__xludf.DUMMYFUNCTION("GOOGLEFINANCE($A427, C$2)"),55.25)</f>
        <v>55.25</v>
      </c>
      <c r="D427" s="4">
        <f>IFERROR(__xludf.DUMMYFUNCTION("GOOGLEFINANCE($A427, D$2)"),0.0)</f>
        <v>0</v>
      </c>
      <c r="E427" s="4" t="str">
        <f>IFERROR(__xludf.DUMMYFUNCTION("GOOGLEFINANCE($A427, E$2)"),"#N/A")</f>
        <v>#N/A</v>
      </c>
      <c r="F427" s="4" t="str">
        <f>IFERROR(__xludf.DUMMYFUNCTION("GOOGLEFINANCE($A427, F$2)"),"#N/A")</f>
        <v>#N/A</v>
      </c>
      <c r="G427" s="4">
        <f>IFERROR(__xludf.DUMMYFUNCTION("GOOGLEFINANCE($A427, G$2)"),56.05)</f>
        <v>56.05</v>
      </c>
      <c r="H427" s="4">
        <f>IFERROR(__xludf.DUMMYFUNCTION("GOOGLEFINANCE($A427, H$2)"),55.25)</f>
        <v>55.25</v>
      </c>
      <c r="I427" s="4" t="str">
        <f>IFERROR(__xludf.DUMMYFUNCTION("REPLACE(JOIN("";"", INDEX(TRANSPOSE(GOOGLEFINANCE($A427, $I$2, TODAY() - 30, TODAY(), 1)), 2)), 1, 6, """")"),"55,1;55,34;56,13;55,48;55,42;55,87;56,22;55,67;57;56,78;56,48;57,3;57,1;56,25;56,3;56,25;56,3;55,25")</f>
        <v>55,1;55,34;56,13;55,48;55,42;55,87;56,22;55,67;57;56,78;56,48;57,3;57,1;56,25;56,3;56,25;56,3;55,25</v>
      </c>
    </row>
    <row r="428">
      <c r="A428" s="3" t="s">
        <v>866</v>
      </c>
      <c r="B428" s="4" t="s">
        <v>867</v>
      </c>
      <c r="C428" s="4">
        <f>IFERROR(__xludf.DUMMYFUNCTION("GOOGLEFINANCE($A428, C$2)"),498.12)</f>
        <v>498.12</v>
      </c>
      <c r="D428" s="4">
        <f>IFERROR(__xludf.DUMMYFUNCTION("GOOGLEFINANCE($A428, D$2)"),0.0)</f>
        <v>0</v>
      </c>
      <c r="E428" s="4" t="str">
        <f>IFERROR(__xludf.DUMMYFUNCTION("GOOGLEFINANCE($A428, E$2)"),"#N/A")</f>
        <v>#N/A</v>
      </c>
      <c r="F428" s="4" t="str">
        <f>IFERROR(__xludf.DUMMYFUNCTION("GOOGLEFINANCE($A428, F$2)"),"#N/A")</f>
        <v>#N/A</v>
      </c>
      <c r="G428" s="4">
        <f>IFERROR(__xludf.DUMMYFUNCTION("GOOGLEFINANCE($A428, G$2)"),498.12)</f>
        <v>498.12</v>
      </c>
      <c r="H428" s="4">
        <f>IFERROR(__xludf.DUMMYFUNCTION("GOOGLEFINANCE($A428, H$2)"),498.12)</f>
        <v>498.12</v>
      </c>
      <c r="I428" s="4" t="str">
        <f>IFERROR(__xludf.DUMMYFUNCTION("REPLACE(JOIN("";"", INDEX(TRANSPOSE(GOOGLEFINANCE($A428, $I$2, TODAY() - 30, TODAY(), 1)), 2)), 1, 6, """")"),"504,97;478,67;469,67;476,13;477,26;490,63;484,36;467,7;464,4;483,33;492,93;498,12")</f>
        <v>504,97;478,67;469,67;476,13;477,26;490,63;484,36;467,7;464,4;483,33;492,93;498,12</v>
      </c>
    </row>
    <row r="429">
      <c r="A429" s="3" t="s">
        <v>868</v>
      </c>
      <c r="B429" s="4" t="s">
        <v>869</v>
      </c>
      <c r="C429" s="4">
        <f>IFERROR(__xludf.DUMMYFUNCTION("GOOGLEFINANCE($A429, C$2)"),19.58)</f>
        <v>19.58</v>
      </c>
      <c r="D429" s="4">
        <f>IFERROR(__xludf.DUMMYFUNCTION("GOOGLEFINANCE($A429, D$2)"),0.0)</f>
        <v>0</v>
      </c>
      <c r="E429" s="4" t="str">
        <f>IFERROR(__xludf.DUMMYFUNCTION("GOOGLEFINANCE($A429, E$2)"),"#N/A")</f>
        <v>#N/A</v>
      </c>
      <c r="F429" s="4">
        <f>IFERROR(__xludf.DUMMYFUNCTION("GOOGLEFINANCE($A429, F$2)"),-160.95)</f>
        <v>-160.95</v>
      </c>
      <c r="G429" s="4">
        <f>IFERROR(__xludf.DUMMYFUNCTION("GOOGLEFINANCE($A429, G$2)"),21.46)</f>
        <v>21.46</v>
      </c>
      <c r="H429" s="4">
        <f>IFERROR(__xludf.DUMMYFUNCTION("GOOGLEFINANCE($A429, H$2)"),19.25)</f>
        <v>19.25</v>
      </c>
      <c r="I429" s="4" t="str">
        <f>IFERROR(__xludf.DUMMYFUNCTION("REPLACE(JOIN("";"", INDEX(TRANSPOSE(GOOGLEFINANCE($A429, $I$2, TODAY() - 30, TODAY(), 1)), 2)), 1, 6, """")"),"20;19,9;19,35;19,38;19,19;19,2;19,15;19,26;19;20,24;20,3;20;19,98;19,6;19,2;19,5;20,39;19,58")</f>
        <v>20;19,9;19,35;19,38;19,19;19,2;19,15;19,26;19;20,24;20,3;20;19,98;19,6;19,2;19,5;20,39;19,58</v>
      </c>
    </row>
    <row r="430">
      <c r="A430" s="3" t="s">
        <v>870</v>
      </c>
      <c r="B430" s="4" t="s">
        <v>871</v>
      </c>
      <c r="C430" s="4">
        <f>IFERROR(__xludf.DUMMYFUNCTION("GOOGLEFINANCE($A430, C$2)"),69.19)</f>
        <v>69.19</v>
      </c>
      <c r="D430" s="4">
        <f>IFERROR(__xludf.DUMMYFUNCTION("GOOGLEFINANCE($A430, D$2)"),0.0)</f>
        <v>0</v>
      </c>
      <c r="E430" s="4" t="str">
        <f>IFERROR(__xludf.DUMMYFUNCTION("GOOGLEFINANCE($A430, E$2)"),"#N/A")</f>
        <v>#N/A</v>
      </c>
      <c r="F430" s="4" t="str">
        <f>IFERROR(__xludf.DUMMYFUNCTION("GOOGLEFINANCE($A430, F$2)"),"#N/A")</f>
        <v>#N/A</v>
      </c>
      <c r="G430" s="4">
        <f>IFERROR(__xludf.DUMMYFUNCTION("GOOGLEFINANCE($A430, G$2)"),69.19)</f>
        <v>69.19</v>
      </c>
      <c r="H430" s="4">
        <f>IFERROR(__xludf.DUMMYFUNCTION("GOOGLEFINANCE($A430, H$2)"),67.99)</f>
        <v>67.99</v>
      </c>
      <c r="I430" s="4" t="str">
        <f>IFERROR(__xludf.DUMMYFUNCTION("REPLACE(JOIN("";"", INDEX(TRANSPOSE(GOOGLEFINANCE($A430, $I$2, TODAY() - 30, TODAY(), 1)), 2)), 1, 6, """")"),"58,76;54,7;56,9;56,28;54,36;56,04;56,6;59;60,39;60,16;68,17;67,5;68,85;66,95;68,22;72,16;70,5;69,19")</f>
        <v>58,76;54,7;56,9;56,28;54,36;56,04;56,6;59;60,39;60,16;68,17;67,5;68,85;66,95;68,22;72,16;70,5;69,19</v>
      </c>
    </row>
    <row r="431">
      <c r="A431" s="3" t="s">
        <v>872</v>
      </c>
      <c r="B431" s="4" t="s">
        <v>873</v>
      </c>
      <c r="C431" s="4">
        <f>IFERROR(__xludf.DUMMYFUNCTION("GOOGLEFINANCE($A431, C$2)"),20.42)</f>
        <v>20.42</v>
      </c>
      <c r="D431" s="4">
        <f>IFERROR(__xludf.DUMMYFUNCTION("GOOGLEFINANCE($A431, D$2)"),0.0)</f>
        <v>0</v>
      </c>
      <c r="E431" s="4">
        <f>IFERROR(__xludf.DUMMYFUNCTION("GOOGLEFINANCE($A431, E$2)"),20.82)</f>
        <v>20.82</v>
      </c>
      <c r="F431" s="4">
        <f>IFERROR(__xludf.DUMMYFUNCTION("GOOGLEFINANCE($A431, F$2)"),0.98)</f>
        <v>0.98</v>
      </c>
      <c r="G431" s="4">
        <f>IFERROR(__xludf.DUMMYFUNCTION("GOOGLEFINANCE($A431, G$2)"),21.14)</f>
        <v>21.14</v>
      </c>
      <c r="H431" s="4">
        <f>IFERROR(__xludf.DUMMYFUNCTION("GOOGLEFINANCE($A431, H$2)"),20.38)</f>
        <v>20.38</v>
      </c>
      <c r="I431" s="4" t="str">
        <f>IFERROR(__xludf.DUMMYFUNCTION("REPLACE(JOIN("";"", INDEX(TRANSPOSE(GOOGLEFINANCE($A431, $I$2, TODAY() - 30, TODAY(), 1)), 2)), 1, 6, """")"),"21,58;21,54;21,48;21,68;21,59;21,57;22,69;22,38;21,85;22,02;21,75;21,65;21,13;21,3;21,29;22,07;21,04;20,42")</f>
        <v>21,58;21,54;21,48;21,68;21,59;21,57;22,69;22,38;21,85;22,02;21,75;21,65;21,13;21,3;21,29;22,07;21,04;20,42</v>
      </c>
    </row>
    <row r="432">
      <c r="A432" s="3" t="s">
        <v>874</v>
      </c>
      <c r="B432" s="4" t="s">
        <v>875</v>
      </c>
      <c r="C432" s="4">
        <f>IFERROR(__xludf.DUMMYFUNCTION("GOOGLEFINANCE($A432, C$2)"),36.5)</f>
        <v>36.5</v>
      </c>
      <c r="D432" s="4">
        <f>IFERROR(__xludf.DUMMYFUNCTION("GOOGLEFINANCE($A432, D$2)"),0.0)</f>
        <v>0</v>
      </c>
      <c r="E432" s="4">
        <f>IFERROR(__xludf.DUMMYFUNCTION("GOOGLEFINANCE($A432, E$2)"),5.3)</f>
        <v>5.3</v>
      </c>
      <c r="F432" s="4">
        <f>IFERROR(__xludf.DUMMYFUNCTION("GOOGLEFINANCE($A432, F$2)"),6.88)</f>
        <v>6.88</v>
      </c>
      <c r="G432" s="4">
        <f>IFERROR(__xludf.DUMMYFUNCTION("GOOGLEFINANCE($A432, G$2)"),36.5)</f>
        <v>36.5</v>
      </c>
      <c r="H432" s="4">
        <f>IFERROR(__xludf.DUMMYFUNCTION("GOOGLEFINANCE($A432, H$2)"),36.5)</f>
        <v>36.5</v>
      </c>
      <c r="I432" s="4" t="str">
        <f>IFERROR(__xludf.DUMMYFUNCTION("REPLACE(JOIN("";"", INDEX(TRANSPOSE(GOOGLEFINANCE($A432, $I$2, TODAY() - 30, TODAY(), 1)), 2)), 1, 6, """")"),"36;35;34,01;35;39,29;39;40;39,5;39;38,38;36,2;36,6;36,22;36,5;36,5")</f>
        <v>36;35;34,01;35;39,29;39;40;39,5;39;38,38;36,2;36,6;36,22;36,5;36,5</v>
      </c>
    </row>
    <row r="433">
      <c r="A433" s="3" t="s">
        <v>876</v>
      </c>
      <c r="B433" s="4" t="s">
        <v>877</v>
      </c>
      <c r="C433" s="4">
        <f>IFERROR(__xludf.DUMMYFUNCTION("GOOGLEFINANCE($A433, C$2)"),44.0)</f>
        <v>44</v>
      </c>
      <c r="D433" s="4">
        <f>IFERROR(__xludf.DUMMYFUNCTION("GOOGLEFINANCE($A433, D$2)"),0.0)</f>
        <v>0</v>
      </c>
      <c r="E433" s="4">
        <f>IFERROR(__xludf.DUMMYFUNCTION("GOOGLEFINANCE($A433, E$2)"),6.39)</f>
        <v>6.39</v>
      </c>
      <c r="F433" s="4">
        <f>IFERROR(__xludf.DUMMYFUNCTION("GOOGLEFINANCE($A433, F$2)"),6.88)</f>
        <v>6.88</v>
      </c>
      <c r="G433" s="4">
        <f>IFERROR(__xludf.DUMMYFUNCTION("GOOGLEFINANCE($A433, G$2)"),44.0)</f>
        <v>44</v>
      </c>
      <c r="H433" s="4">
        <f>IFERROR(__xludf.DUMMYFUNCTION("GOOGLEFINANCE($A433, H$2)"),44.0)</f>
        <v>44</v>
      </c>
      <c r="I433" s="4" t="str">
        <f>IFERROR(__xludf.DUMMYFUNCTION("REPLACE(JOIN("";"", INDEX(TRANSPOSE(GOOGLEFINANCE($A433, $I$2, TODAY() - 30, TODAY(), 1)), 2)), 1, 6, """")"),"46;43,4;43,2;50;47,8;44")</f>
        <v>46;43,4;43,2;50;47,8;44</v>
      </c>
    </row>
    <row r="434">
      <c r="A434" s="3" t="s">
        <v>878</v>
      </c>
      <c r="B434" s="4" t="s">
        <v>879</v>
      </c>
      <c r="C434" s="4">
        <f>IFERROR(__xludf.DUMMYFUNCTION("GOOGLEFINANCE($A434, C$2)"),88.95)</f>
        <v>88.95</v>
      </c>
      <c r="D434" s="4">
        <f>IFERROR(__xludf.DUMMYFUNCTION("GOOGLEFINANCE($A434, D$2)"),0.0)</f>
        <v>0</v>
      </c>
      <c r="E434" s="4">
        <f>IFERROR(__xludf.DUMMYFUNCTION("GOOGLEFINANCE($A434, E$2)"),37.43)</f>
        <v>37.43</v>
      </c>
      <c r="F434" s="4">
        <f>IFERROR(__xludf.DUMMYFUNCTION("GOOGLEFINANCE($A434, F$2)"),2.38)</f>
        <v>2.38</v>
      </c>
      <c r="G434" s="4">
        <f>IFERROR(__xludf.DUMMYFUNCTION("GOOGLEFINANCE($A434, G$2)"),89.45)</f>
        <v>89.45</v>
      </c>
      <c r="H434" s="4">
        <f>IFERROR(__xludf.DUMMYFUNCTION("GOOGLEFINANCE($A434, H$2)"),86.15)</f>
        <v>86.15</v>
      </c>
      <c r="I434" s="4" t="str">
        <f>IFERROR(__xludf.DUMMYFUNCTION("REPLACE(JOIN("";"", INDEX(TRANSPOSE(GOOGLEFINANCE($A434, $I$2, TODAY() - 30, TODAY(), 1)), 2)), 1, 6, """")"),"75,41;75,36;74,02;75,52;75,48;79,41;81,69;82;83,73;85,1;87,6;87,92;87,24;87,53;88,95;87,9;86,14;88,95")</f>
        <v>75,41;75,36;74,02;75,52;75,48;79,41;81,69;82;83,73;85,1;87,6;87,92;87,24;87,53;88,95;87,9;86,14;88,95</v>
      </c>
    </row>
    <row r="435">
      <c r="A435" s="3" t="s">
        <v>880</v>
      </c>
      <c r="B435" s="4" t="s">
        <v>881</v>
      </c>
      <c r="C435" s="4">
        <f>IFERROR(__xludf.DUMMYFUNCTION("GOOGLEFINANCE($A435, C$2)"),5.95)</f>
        <v>5.95</v>
      </c>
      <c r="D435" s="4">
        <f>IFERROR(__xludf.DUMMYFUNCTION("GOOGLEFINANCE($A435, D$2)"),0.0)</f>
        <v>0</v>
      </c>
      <c r="E435" s="4" t="str">
        <f>IFERROR(__xludf.DUMMYFUNCTION("GOOGLEFINANCE($A435, E$2)"),"#N/A")</f>
        <v>#N/A</v>
      </c>
      <c r="F435" s="4">
        <f>IFERROR(__xludf.DUMMYFUNCTION("GOOGLEFINANCE($A435, F$2)"),-100.71)</f>
        <v>-100.71</v>
      </c>
      <c r="G435" s="4">
        <f>IFERROR(__xludf.DUMMYFUNCTION("GOOGLEFINANCE($A435, G$2)"),6.2)</f>
        <v>6.2</v>
      </c>
      <c r="H435" s="4">
        <f>IFERROR(__xludf.DUMMYFUNCTION("GOOGLEFINANCE($A435, H$2)"),5.82)</f>
        <v>5.82</v>
      </c>
      <c r="I435" s="4" t="str">
        <f>IFERROR(__xludf.DUMMYFUNCTION("REPLACE(JOIN("";"", INDEX(TRANSPOSE(GOOGLEFINANCE($A435, $I$2, TODAY() - 30, TODAY(), 1)), 2)), 1, 6, """")"),"5,34;5,3;6,12;5,85;5,62;7,43;8,2;7,91;7,74;7,92;7,27;7,26;7,01;6,92;6,68;6,45;6,11;5,95")</f>
        <v>5,34;5,3;6,12;5,85;5,62;7,43;8,2;7,91;7,74;7,92;7,27;7,26;7,01;6,92;6,68;6,45;6,11;5,95</v>
      </c>
    </row>
    <row r="436">
      <c r="A436" s="3" t="s">
        <v>882</v>
      </c>
      <c r="B436" s="4" t="s">
        <v>883</v>
      </c>
      <c r="C436" s="4">
        <f>IFERROR(__xludf.DUMMYFUNCTION("GOOGLEFINANCE($A436, C$2)"),5.7)</f>
        <v>5.7</v>
      </c>
      <c r="D436" s="4">
        <f>IFERROR(__xludf.DUMMYFUNCTION("GOOGLEFINANCE($A436, D$2)"),0.0)</f>
        <v>0</v>
      </c>
      <c r="E436" s="4" t="str">
        <f>IFERROR(__xludf.DUMMYFUNCTION("GOOGLEFINANCE($A436, E$2)"),"#N/A")</f>
        <v>#N/A</v>
      </c>
      <c r="F436" s="4">
        <f>IFERROR(__xludf.DUMMYFUNCTION("GOOGLEFINANCE($A436, F$2)"),-0.1)</f>
        <v>-0.1</v>
      </c>
      <c r="G436" s="4">
        <f>IFERROR(__xludf.DUMMYFUNCTION("GOOGLEFINANCE($A436, G$2)"),5.78)</f>
        <v>5.78</v>
      </c>
      <c r="H436" s="4">
        <f>IFERROR(__xludf.DUMMYFUNCTION("GOOGLEFINANCE($A436, H$2)"),5.61)</f>
        <v>5.61</v>
      </c>
      <c r="I436" s="4" t="str">
        <f>IFERROR(__xludf.DUMMYFUNCTION("REPLACE(JOIN("";"", INDEX(TRANSPOSE(GOOGLEFINANCE($A436, $I$2, TODAY() - 30, TODAY(), 1)), 2)), 1, 6, """")"),"6,05;5,85;5,82;5,87;5,78;5,83;5,83;5,83;5,83;5,8;5,73;5,86;5,71;5,9;5,89;5,9;5,76;5,73")</f>
        <v>6,05;5,85;5,82;5,87;5,78;5,83;5,83;5,83;5,83;5,8;5,73;5,86;5,71;5,9;5,89;5,9;5,76;5,73</v>
      </c>
    </row>
    <row r="437">
      <c r="A437" s="3" t="s">
        <v>884</v>
      </c>
      <c r="B437" s="4" t="s">
        <v>885</v>
      </c>
      <c r="C437" s="4">
        <f>IFERROR(__xludf.DUMMYFUNCTION("GOOGLEFINANCE($A437, C$2)"),63.99)</f>
        <v>63.99</v>
      </c>
      <c r="D437" s="4">
        <f>IFERROR(__xludf.DUMMYFUNCTION("GOOGLEFINANCE($A437, D$2)"),0.0)</f>
        <v>0</v>
      </c>
      <c r="E437" s="4">
        <f>IFERROR(__xludf.DUMMYFUNCTION("GOOGLEFINANCE($A437, E$2)"),1.74)</f>
        <v>1.74</v>
      </c>
      <c r="F437" s="4">
        <f>IFERROR(__xludf.DUMMYFUNCTION("GOOGLEFINANCE($A437, F$2)"),36.85)</f>
        <v>36.85</v>
      </c>
      <c r="G437" s="4" t="str">
        <f>IFERROR(__xludf.DUMMYFUNCTION("GOOGLEFINANCE($A437, G$2)"),"#N/A")</f>
        <v>#N/A</v>
      </c>
      <c r="H437" s="4" t="str">
        <f>IFERROR(__xludf.DUMMYFUNCTION("GOOGLEFINANCE($A437, H$2)"),"#N/A")</f>
        <v>#N/A</v>
      </c>
      <c r="I437" s="4" t="str">
        <f>IFERROR(__xludf.DUMMYFUNCTION("REPLACE(JOIN("";"", INDEX(TRANSPOSE(GOOGLEFINANCE($A437, $I$2, TODAY() - 30, TODAY(), 1)), 2)), 1, 6, """")"),"59,5;56,52;59,01;58,33;59,9;63,99")</f>
        <v>59,5;56,52;59,01;58,33;59,9;63,99</v>
      </c>
    </row>
    <row r="438">
      <c r="A438" s="3" t="s">
        <v>886</v>
      </c>
      <c r="B438" s="4" t="s">
        <v>887</v>
      </c>
      <c r="C438" s="4">
        <f>IFERROR(__xludf.DUMMYFUNCTION("GOOGLEFINANCE($A438, C$2)"),61.5)</f>
        <v>61.5</v>
      </c>
      <c r="D438" s="4">
        <f>IFERROR(__xludf.DUMMYFUNCTION("GOOGLEFINANCE($A438, D$2)"),0.0)</f>
        <v>0</v>
      </c>
      <c r="E438" s="4">
        <f>IFERROR(__xludf.DUMMYFUNCTION("GOOGLEFINANCE($A438, E$2)"),1.67)</f>
        <v>1.67</v>
      </c>
      <c r="F438" s="4">
        <f>IFERROR(__xludf.DUMMYFUNCTION("GOOGLEFINANCE($A438, F$2)"),36.85)</f>
        <v>36.85</v>
      </c>
      <c r="G438" s="4" t="str">
        <f>IFERROR(__xludf.DUMMYFUNCTION("GOOGLEFINANCE($A438, G$2)"),"#N/A")</f>
        <v>#N/A</v>
      </c>
      <c r="H438" s="4" t="str">
        <f>IFERROR(__xludf.DUMMYFUNCTION("GOOGLEFINANCE($A438, H$2)"),"#N/A")</f>
        <v>#N/A</v>
      </c>
      <c r="I438" s="4" t="str">
        <f>IFERROR(__xludf.DUMMYFUNCTION("REPLACE(JOIN("";"", INDEX(TRANSPOSE(GOOGLEFINANCE($A438, $I$2, TODAY() - 30, TODAY(), 1)), 2)), 1, 6, """")"),"62;58;69,9;63,7;69,8;63,22;63,22;60;61;61;61,5")</f>
        <v>62;58;69,9;63,7;69,8;63,22;63,22;60;61;61;61,5</v>
      </c>
    </row>
    <row r="439">
      <c r="A439" s="3" t="s">
        <v>888</v>
      </c>
      <c r="B439" s="4" t="s">
        <v>889</v>
      </c>
      <c r="C439" s="4">
        <f>IFERROR(__xludf.DUMMYFUNCTION("GOOGLEFINANCE($A439, C$2)"),47.58)</f>
        <v>47.58</v>
      </c>
      <c r="D439" s="4">
        <f>IFERROR(__xludf.DUMMYFUNCTION("GOOGLEFINANCE($A439, D$2)"),0.0)</f>
        <v>0</v>
      </c>
      <c r="E439" s="4" t="str">
        <f>IFERROR(__xludf.DUMMYFUNCTION("GOOGLEFINANCE($A439, E$2)"),"#N/A")</f>
        <v>#N/A</v>
      </c>
      <c r="F439" s="4" t="str">
        <f>IFERROR(__xludf.DUMMYFUNCTION("GOOGLEFINANCE($A439, F$2)"),"#N/A")</f>
        <v>#N/A</v>
      </c>
      <c r="G439" s="4">
        <f>IFERROR(__xludf.DUMMYFUNCTION("GOOGLEFINANCE($A439, G$2)"),49.21)</f>
        <v>49.21</v>
      </c>
      <c r="H439" s="4">
        <f>IFERROR(__xludf.DUMMYFUNCTION("GOOGLEFINANCE($A439, H$2)"),47.58)</f>
        <v>47.58</v>
      </c>
      <c r="I439" s="4" t="str">
        <f>IFERROR(__xludf.DUMMYFUNCTION("REPLACE(JOIN("";"", INDEX(TRANSPOSE(GOOGLEFINANCE($A439, $I$2, TODAY() - 30, TODAY(), 1)), 2)), 1, 6, """")"),"50,86;50,86;49,69;50,58;49,8;49,81;49,63;49,58;50,47;50,51;49,99;50,17;49,3;48,45;48,09;48,48;49,2;47,58")</f>
        <v>50,86;50,86;49,69;50,58;49,8;49,81;49,63;49,58;50,47;50,51;49,99;50,17;49,3;48,45;48,09;48,48;49,2;47,58</v>
      </c>
    </row>
    <row r="440">
      <c r="A440" s="3" t="s">
        <v>890</v>
      </c>
      <c r="B440" s="4" t="s">
        <v>891</v>
      </c>
      <c r="C440" s="4">
        <f>IFERROR(__xludf.DUMMYFUNCTION("GOOGLEFINANCE($A440, C$2)"),27.1)</f>
        <v>27.1</v>
      </c>
      <c r="D440" s="4">
        <f>IFERROR(__xludf.DUMMYFUNCTION("GOOGLEFINANCE($A440, D$2)"),0.0)</f>
        <v>0</v>
      </c>
      <c r="E440" s="4" t="str">
        <f>IFERROR(__xludf.DUMMYFUNCTION("GOOGLEFINANCE($A440, E$2)"),"#N/A")</f>
        <v>#N/A</v>
      </c>
      <c r="F440" s="4">
        <f>IFERROR(__xludf.DUMMYFUNCTION("GOOGLEFINANCE($A440, F$2)"),-3.42)</f>
        <v>-3.42</v>
      </c>
      <c r="G440" s="4">
        <f>IFERROR(__xludf.DUMMYFUNCTION("GOOGLEFINANCE($A440, G$2)"),28.47)</f>
        <v>28.47</v>
      </c>
      <c r="H440" s="4">
        <f>IFERROR(__xludf.DUMMYFUNCTION("GOOGLEFINANCE($A440, H$2)"),26.94)</f>
        <v>26.94</v>
      </c>
      <c r="I440" s="4" t="str">
        <f>IFERROR(__xludf.DUMMYFUNCTION("REPLACE(JOIN("";"", INDEX(TRANSPOSE(GOOGLEFINANCE($A440, $I$2, TODAY() - 30, TODAY(), 1)), 2)), 1, 6, """")"),"27,73;27,6;27,98;28,6;27,33;28,11;29,08;29,3;29,27;29,68;28,45;27,71;28,05;28,31;28,5;29,68;29,43;27,1")</f>
        <v>27,73;27,6;27,98;28,6;27,33;28,11;29,08;29,3;29,27;29,68;28,45;27,71;28,05;28,31;28,5;29,68;29,43;27,1</v>
      </c>
    </row>
    <row r="441">
      <c r="A441" s="3" t="s">
        <v>892</v>
      </c>
      <c r="B441" s="4" t="s">
        <v>893</v>
      </c>
      <c r="C441" s="4">
        <f>IFERROR(__xludf.DUMMYFUNCTION("GOOGLEFINANCE($A441, C$2)"),27.33)</f>
        <v>27.33</v>
      </c>
      <c r="D441" s="4">
        <f>IFERROR(__xludf.DUMMYFUNCTION("GOOGLEFINANCE($A441, D$2)"),0.0)</f>
        <v>0</v>
      </c>
      <c r="E441" s="4" t="str">
        <f>IFERROR(__xludf.DUMMYFUNCTION("GOOGLEFINANCE($A441, E$2)"),"#N/A")</f>
        <v>#N/A</v>
      </c>
      <c r="F441" s="4">
        <f>IFERROR(__xludf.DUMMYFUNCTION("GOOGLEFINANCE($A441, F$2)"),-3.42)</f>
        <v>-3.42</v>
      </c>
      <c r="G441" s="4">
        <f>IFERROR(__xludf.DUMMYFUNCTION("GOOGLEFINANCE($A441, G$2)"),28.49)</f>
        <v>28.49</v>
      </c>
      <c r="H441" s="4">
        <f>IFERROR(__xludf.DUMMYFUNCTION("GOOGLEFINANCE($A441, H$2)"),27.17)</f>
        <v>27.17</v>
      </c>
      <c r="I441" s="4" t="str">
        <f>IFERROR(__xludf.DUMMYFUNCTION("REPLACE(JOIN("";"", INDEX(TRANSPOSE(GOOGLEFINANCE($A441, $I$2, TODAY() - 30, TODAY(), 1)), 2)), 1, 6, """")"),"27,09;27;27,33;27,76;26,69;27,53;28,66;28,94;28,82;28,84;28,11;27,54;27,8;28,08;28,44;29,59;29,27;27,33")</f>
        <v>27,09;27;27,33;27,76;26,69;27,53;28,66;28,94;28,82;28,84;28,11;27,54;27,8;28,08;28,44;29,59;29,27;27,33</v>
      </c>
    </row>
    <row r="442">
      <c r="A442" s="3" t="s">
        <v>894</v>
      </c>
      <c r="B442" s="4" t="s">
        <v>895</v>
      </c>
      <c r="C442" s="4">
        <f>IFERROR(__xludf.DUMMYFUNCTION("GOOGLEFINANCE($A442, C$2)"),23.8)</f>
        <v>23.8</v>
      </c>
      <c r="D442" s="4">
        <f>IFERROR(__xludf.DUMMYFUNCTION("GOOGLEFINANCE($A442, D$2)"),0.0)</f>
        <v>0</v>
      </c>
      <c r="E442" s="4">
        <f>IFERROR(__xludf.DUMMYFUNCTION("GOOGLEFINANCE($A442, E$2)"),182.6)</f>
        <v>182.6</v>
      </c>
      <c r="F442" s="4">
        <f>IFERROR(__xludf.DUMMYFUNCTION("GOOGLEFINANCE($A442, F$2)"),0.13)</f>
        <v>0.13</v>
      </c>
      <c r="G442" s="4">
        <f>IFERROR(__xludf.DUMMYFUNCTION("GOOGLEFINANCE($A442, G$2)"),24.1)</f>
        <v>24.1</v>
      </c>
      <c r="H442" s="4">
        <f>IFERROR(__xludf.DUMMYFUNCTION("GOOGLEFINANCE($A442, H$2)"),23.12)</f>
        <v>23.12</v>
      </c>
      <c r="I442" s="4" t="str">
        <f>IFERROR(__xludf.DUMMYFUNCTION("REPLACE(JOIN("";"", INDEX(TRANSPOSE(GOOGLEFINANCE($A442, $I$2, TODAY() - 30, TODAY(), 1)), 2)), 1, 6, """")"),"22,03;22,6;21,1;21,8;21,5;21,6;21,8;21,97;21,65;21,66;22,03;22,65;22,36;22,24;22,35;23,17;23,12;23,8")</f>
        <v>22,03;22,6;21,1;21,8;21,5;21,6;21,8;21,97;21,65;21,66;22,03;22,65;22,36;22,24;22,35;23,17;23,12;23,8</v>
      </c>
    </row>
    <row r="443">
      <c r="A443" s="3" t="s">
        <v>896</v>
      </c>
      <c r="B443" s="4" t="s">
        <v>897</v>
      </c>
      <c r="C443" s="4">
        <f>IFERROR(__xludf.DUMMYFUNCTION("GOOGLEFINANCE($A443, C$2)"),46.55)</f>
        <v>46.55</v>
      </c>
      <c r="D443" s="4">
        <f>IFERROR(__xludf.DUMMYFUNCTION("GOOGLEFINANCE($A443, D$2)"),0.0)</f>
        <v>0</v>
      </c>
      <c r="E443" s="4" t="str">
        <f>IFERROR(__xludf.DUMMYFUNCTION("GOOGLEFINANCE($A443, E$2)"),"#N/A")</f>
        <v>#N/A</v>
      </c>
      <c r="F443" s="4" t="str">
        <f>IFERROR(__xludf.DUMMYFUNCTION("GOOGLEFINANCE($A443, F$2)"),"#N/A")</f>
        <v>#N/A</v>
      </c>
      <c r="G443" s="4">
        <f>IFERROR(__xludf.DUMMYFUNCTION("GOOGLEFINANCE($A443, G$2)"),47.16)</f>
        <v>47.16</v>
      </c>
      <c r="H443" s="4">
        <f>IFERROR(__xludf.DUMMYFUNCTION("GOOGLEFINANCE($A443, H$2)"),46.32)</f>
        <v>46.32</v>
      </c>
      <c r="I443" s="4" t="str">
        <f>IFERROR(__xludf.DUMMYFUNCTION("REPLACE(JOIN("";"", INDEX(TRANSPOSE(GOOGLEFINANCE($A443, $I$2, TODAY() - 30, TODAY(), 1)), 2)), 1, 6, """")"),"50,19;50,21;48,95;48,88;49,12;48,8;48,48;46,85;47,45;47,12;46,7;47,18;46,85;46,29;46,77;47,28;47,17;46,55")</f>
        <v>50,19;50,21;48,95;48,88;49,12;48,8;48,48;46,85;47,45;47,12;46,7;47,18;46,85;46,29;46,77;47,28;47,17;46,55</v>
      </c>
    </row>
    <row r="444">
      <c r="A444" s="3" t="s">
        <v>898</v>
      </c>
      <c r="B444" s="4" t="s">
        <v>899</v>
      </c>
      <c r="C444" s="4">
        <f>IFERROR(__xludf.DUMMYFUNCTION("GOOGLEFINANCE($A444, C$2)"),5.83)</f>
        <v>5.83</v>
      </c>
      <c r="D444" s="4">
        <f>IFERROR(__xludf.DUMMYFUNCTION("GOOGLEFINANCE($A444, D$2)"),0.0)</f>
        <v>0</v>
      </c>
      <c r="E444" s="4">
        <f>IFERROR(__xludf.DUMMYFUNCTION("GOOGLEFINANCE($A444, E$2)"),18.05)</f>
        <v>18.05</v>
      </c>
      <c r="F444" s="4">
        <f>IFERROR(__xludf.DUMMYFUNCTION("GOOGLEFINANCE($A444, F$2)"),0.32)</f>
        <v>0.32</v>
      </c>
      <c r="G444" s="4">
        <f>IFERROR(__xludf.DUMMYFUNCTION("GOOGLEFINANCE($A444, G$2)"),5.98)</f>
        <v>5.98</v>
      </c>
      <c r="H444" s="4">
        <f>IFERROR(__xludf.DUMMYFUNCTION("GOOGLEFINANCE($A444, H$2)"),5.81)</f>
        <v>5.81</v>
      </c>
      <c r="I444" s="4" t="str">
        <f>IFERROR(__xludf.DUMMYFUNCTION("REPLACE(JOIN("";"", INDEX(TRANSPOSE(GOOGLEFINANCE($A444, $I$2, TODAY() - 30, TODAY(), 1)), 2)), 1, 6, """")"),"6,32;6,06;6,14;6,25;6,08;6,64;6,31;6,46;6,29;6,29;6,28;6,18;5,99;6,18;5,99;6,03;5,99;5,83")</f>
        <v>6,32;6,06;6,14;6,25;6,08;6,64;6,31;6,46;6,29;6,29;6,28;6,18;5,99;6,18;5,99;6,03;5,99;5,83</v>
      </c>
    </row>
    <row r="445">
      <c r="A445" s="3" t="s">
        <v>900</v>
      </c>
      <c r="B445" s="4" t="s">
        <v>901</v>
      </c>
      <c r="C445" s="4">
        <f>IFERROR(__xludf.DUMMYFUNCTION("GOOGLEFINANCE($A445, C$2)"),49.14)</f>
        <v>49.14</v>
      </c>
      <c r="D445" s="4">
        <f>IFERROR(__xludf.DUMMYFUNCTION("GOOGLEFINANCE($A445, D$2)"),0.0)</f>
        <v>0</v>
      </c>
      <c r="E445" s="4" t="str">
        <f>IFERROR(__xludf.DUMMYFUNCTION("GOOGLEFINANCE($A445, E$2)"),"#N/A")</f>
        <v>#N/A</v>
      </c>
      <c r="F445" s="4" t="str">
        <f>IFERROR(__xludf.DUMMYFUNCTION("GOOGLEFINANCE($A445, F$2)"),"#N/A")</f>
        <v>#N/A</v>
      </c>
      <c r="G445" s="4">
        <f>IFERROR(__xludf.DUMMYFUNCTION("GOOGLEFINANCE($A445, G$2)"),50.29)</f>
        <v>50.29</v>
      </c>
      <c r="H445" s="4">
        <f>IFERROR(__xludf.DUMMYFUNCTION("GOOGLEFINANCE($A445, H$2)"),49.0)</f>
        <v>49</v>
      </c>
      <c r="I445" s="4" t="str">
        <f>IFERROR(__xludf.DUMMYFUNCTION("REPLACE(JOIN("";"", INDEX(TRANSPOSE(GOOGLEFINANCE($A445, $I$2, TODAY() - 30, TODAY(), 1)), 2)), 1, 6, """")"),"51,04;51,12;49,67;50,65;50,36;50,38;49,66;49,63;50,2;49,91;49,61;49,57;49,43;49,3;49,13;49,8;50,43;49,14")</f>
        <v>51,04;51,12;49,67;50,65;50,36;50,38;49,66;49,63;50,2;49,91;49,61;49,57;49,43;49,3;49,13;49,8;50,43;49,14</v>
      </c>
    </row>
    <row r="446">
      <c r="A446" s="3" t="s">
        <v>902</v>
      </c>
      <c r="B446" s="4" t="s">
        <v>903</v>
      </c>
      <c r="C446" s="4">
        <f>IFERROR(__xludf.DUMMYFUNCTION("GOOGLEFINANCE($A446, C$2)"),10.07)</f>
        <v>10.07</v>
      </c>
      <c r="D446" s="4">
        <f>IFERROR(__xludf.DUMMYFUNCTION("GOOGLEFINANCE($A446, D$2)"),0.0)</f>
        <v>0</v>
      </c>
      <c r="E446" s="4">
        <f>IFERROR(__xludf.DUMMYFUNCTION("GOOGLEFINANCE($A446, E$2)"),54.17)</f>
        <v>54.17</v>
      </c>
      <c r="F446" s="4">
        <f>IFERROR(__xludf.DUMMYFUNCTION("GOOGLEFINANCE($A446, F$2)"),0.19)</f>
        <v>0.19</v>
      </c>
      <c r="G446" s="4">
        <f>IFERROR(__xludf.DUMMYFUNCTION("GOOGLEFINANCE($A446, G$2)"),10.1)</f>
        <v>10.1</v>
      </c>
      <c r="H446" s="4">
        <f>IFERROR(__xludf.DUMMYFUNCTION("GOOGLEFINANCE($A446, H$2)"),9.91)</f>
        <v>9.91</v>
      </c>
      <c r="I446" s="4" t="str">
        <f>IFERROR(__xludf.DUMMYFUNCTION("REPLACE(JOIN("";"", INDEX(TRANSPOSE(GOOGLEFINANCE($A446, $I$2, TODAY() - 30, TODAY(), 1)), 2)), 1, 6, """")"),"10,3;10,62;10,37;10,37;10,15;9,96;10,04;10;9,92;10,44;10,22;9,98;10,02;10,3;10;10,06;10;10,07")</f>
        <v>10,3;10,62;10,37;10,37;10,15;9,96;10,04;10;9,92;10,44;10,22;9,98;10,02;10,3;10;10,06;10;10,07</v>
      </c>
    </row>
    <row r="447">
      <c r="A447" s="3" t="s">
        <v>904</v>
      </c>
      <c r="B447" s="4" t="s">
        <v>905</v>
      </c>
      <c r="C447" s="4">
        <f>IFERROR(__xludf.DUMMYFUNCTION("GOOGLEFINANCE($A447, C$2)"),2.19)</f>
        <v>2.19</v>
      </c>
      <c r="D447" s="4">
        <f>IFERROR(__xludf.DUMMYFUNCTION("GOOGLEFINANCE($A447, D$2)"),0.0)</f>
        <v>0</v>
      </c>
      <c r="E447" s="4" t="str">
        <f>IFERROR(__xludf.DUMMYFUNCTION("GOOGLEFINANCE($A447, E$2)"),"#N/A")</f>
        <v>#N/A</v>
      </c>
      <c r="F447" s="4">
        <f>IFERROR(__xludf.DUMMYFUNCTION("GOOGLEFINANCE($A447, F$2)"),-0.43)</f>
        <v>-0.43</v>
      </c>
      <c r="G447" s="4">
        <f>IFERROR(__xludf.DUMMYFUNCTION("GOOGLEFINANCE($A447, G$2)"),2.22)</f>
        <v>2.22</v>
      </c>
      <c r="H447" s="4">
        <f>IFERROR(__xludf.DUMMYFUNCTION("GOOGLEFINANCE($A447, H$2)"),2.18)</f>
        <v>2.18</v>
      </c>
      <c r="I447" s="4" t="str">
        <f>IFERROR(__xludf.DUMMYFUNCTION("REPLACE(JOIN("";"", INDEX(TRANSPOSE(GOOGLEFINANCE($A447, $I$2, TODAY() - 30, TODAY(), 1)), 2)), 1, 6, """")"),"2,28;2,22;2,2;2,23;2,2;2,23;2,32;2,41;2,29;2,31;2,24;2,26;2,24;2,26;2,25;2,25;2,2;2,19")</f>
        <v>2,28;2,22;2,2;2,23;2,2;2,23;2,32;2,41;2,29;2,31;2,24;2,26;2,24;2,26;2,25;2,25;2,2;2,19</v>
      </c>
    </row>
    <row r="448">
      <c r="A448" s="3" t="s">
        <v>906</v>
      </c>
      <c r="B448" s="4" t="s">
        <v>907</v>
      </c>
      <c r="C448" s="4">
        <f>IFERROR(__xludf.DUMMYFUNCTION("GOOGLEFINANCE($A448, C$2)"),4.59)</f>
        <v>4.59</v>
      </c>
      <c r="D448" s="4">
        <f>IFERROR(__xludf.DUMMYFUNCTION("GOOGLEFINANCE($A448, D$2)"),0.0)</f>
        <v>0</v>
      </c>
      <c r="E448" s="4">
        <f>IFERROR(__xludf.DUMMYFUNCTION("GOOGLEFINANCE($A448, E$2)"),4.38)</f>
        <v>4.38</v>
      </c>
      <c r="F448" s="4">
        <f>IFERROR(__xludf.DUMMYFUNCTION("GOOGLEFINANCE($A448, F$2)"),1.05)</f>
        <v>1.05</v>
      </c>
      <c r="G448" s="4">
        <f>IFERROR(__xludf.DUMMYFUNCTION("GOOGLEFINANCE($A448, G$2)"),4.85)</f>
        <v>4.85</v>
      </c>
      <c r="H448" s="4">
        <f>IFERROR(__xludf.DUMMYFUNCTION("GOOGLEFINANCE($A448, H$2)"),4.55)</f>
        <v>4.55</v>
      </c>
      <c r="I448" s="4" t="str">
        <f>IFERROR(__xludf.DUMMYFUNCTION("REPLACE(JOIN("";"", INDEX(TRANSPOSE(GOOGLEFINANCE($A448, $I$2, TODAY() - 30, TODAY(), 1)), 2)), 1, 6, """")"),"5,09;5,09;5,05;4,65;5,05;5,19;4,95;5,04;5;4,9;4,93;4,89;4,72;4,79;4,83;4,74;4,78;4,59")</f>
        <v>5,09;5,09;5,05;4,65;5,05;5,19;4,95;5,04;5;4,9;4,93;4,89;4,72;4,79;4,83;4,74;4,78;4,59</v>
      </c>
    </row>
    <row r="449">
      <c r="A449" s="3" t="s">
        <v>908</v>
      </c>
      <c r="B449" s="4" t="s">
        <v>909</v>
      </c>
      <c r="C449" s="4">
        <f>IFERROR(__xludf.DUMMYFUNCTION("GOOGLEFINANCE($A449, C$2)"),6.27)</f>
        <v>6.27</v>
      </c>
      <c r="D449" s="4">
        <f>IFERROR(__xludf.DUMMYFUNCTION("GOOGLEFINANCE($A449, D$2)"),0.0)</f>
        <v>0</v>
      </c>
      <c r="E449" s="4">
        <f>IFERROR(__xludf.DUMMYFUNCTION("GOOGLEFINANCE($A449, E$2)"),10.64)</f>
        <v>10.64</v>
      </c>
      <c r="F449" s="4">
        <f>IFERROR(__xludf.DUMMYFUNCTION("GOOGLEFINANCE($A449, F$2)"),0.59)</f>
        <v>0.59</v>
      </c>
      <c r="G449" s="4">
        <f>IFERROR(__xludf.DUMMYFUNCTION("GOOGLEFINANCE($A449, G$2)"),6.38)</f>
        <v>6.38</v>
      </c>
      <c r="H449" s="4">
        <f>IFERROR(__xludf.DUMMYFUNCTION("GOOGLEFINANCE($A449, H$2)"),6.26)</f>
        <v>6.26</v>
      </c>
      <c r="I449" s="4" t="str">
        <f>IFERROR(__xludf.DUMMYFUNCTION("REPLACE(JOIN("";"", INDEX(TRANSPOSE(GOOGLEFINANCE($A449, $I$2, TODAY() - 30, TODAY(), 1)), 2)), 1, 6, """")"),"6,69;6,74;6,67;6,94;6,79;6,96;6,85;6,8;6,68;6,55;6,58;6,39;6,38;6,36;6,35;6,42;6,34;6,27")</f>
        <v>6,69;6,74;6,67;6,94;6,79;6,96;6,85;6,8;6,68;6,55;6,58;6,39;6,38;6,36;6,35;6,42;6,34;6,27</v>
      </c>
    </row>
    <row r="450">
      <c r="A450" s="3" t="s">
        <v>910</v>
      </c>
      <c r="B450" s="4" t="s">
        <v>911</v>
      </c>
      <c r="C450" s="4">
        <f>IFERROR(__xludf.DUMMYFUNCTION("GOOGLEFINANCE($A450, C$2)"),9.46)</f>
        <v>9.46</v>
      </c>
      <c r="D450" s="4">
        <f>IFERROR(__xludf.DUMMYFUNCTION("GOOGLEFINANCE($A450, D$2)"),0.0)</f>
        <v>0</v>
      </c>
      <c r="E450" s="4" t="str">
        <f>IFERROR(__xludf.DUMMYFUNCTION("GOOGLEFINANCE($A450, E$2)"),"#N/A")</f>
        <v>#N/A</v>
      </c>
      <c r="F450" s="4">
        <f>IFERROR(__xludf.DUMMYFUNCTION("GOOGLEFINANCE($A450, F$2)"),-30.5)</f>
        <v>-30.5</v>
      </c>
      <c r="G450" s="4">
        <f>IFERROR(__xludf.DUMMYFUNCTION("GOOGLEFINANCE($A450, G$2)"),9.53)</f>
        <v>9.53</v>
      </c>
      <c r="H450" s="4">
        <f>IFERROR(__xludf.DUMMYFUNCTION("GOOGLEFINANCE($A450, H$2)"),9.15)</f>
        <v>9.15</v>
      </c>
      <c r="I450" s="4" t="str">
        <f>IFERROR(__xludf.DUMMYFUNCTION("REPLACE(JOIN("";"", INDEX(TRANSPOSE(GOOGLEFINANCE($A450, $I$2, TODAY() - 30, TODAY(), 1)), 2)), 1, 6, """")"),"9,02;8,88;8,72;9,39;9,2;9,2;9,3;9,31;9,39;9,46;9,75;9,68;9,32;9,39;9,32;9,5;9,32;9,46")</f>
        <v>9,02;8,88;8,72;9,39;9,2;9,2;9,3;9,31;9,39;9,46;9,75;9,68;9,32;9,39;9,32;9,5;9,32;9,46</v>
      </c>
    </row>
    <row r="451">
      <c r="A451" s="3" t="s">
        <v>912</v>
      </c>
      <c r="B451" s="4" t="s">
        <v>913</v>
      </c>
      <c r="C451" s="4">
        <f>IFERROR(__xludf.DUMMYFUNCTION("GOOGLEFINANCE($A451, C$2)"),420.6)</f>
        <v>420.6</v>
      </c>
      <c r="D451" s="4">
        <f>IFERROR(__xludf.DUMMYFUNCTION("GOOGLEFINANCE($A451, D$2)"),0.0)</f>
        <v>0</v>
      </c>
      <c r="E451" s="4" t="str">
        <f>IFERROR(__xludf.DUMMYFUNCTION("GOOGLEFINANCE($A451, E$2)"),"#N/A")</f>
        <v>#N/A</v>
      </c>
      <c r="F451" s="4" t="str">
        <f>IFERROR(__xludf.DUMMYFUNCTION("GOOGLEFINANCE($A451, F$2)"),"#N/A")</f>
        <v>#N/A</v>
      </c>
      <c r="G451" s="4" t="str">
        <f>IFERROR(__xludf.DUMMYFUNCTION("GOOGLEFINANCE($A451, G$2)"),"#N/A")</f>
        <v>#N/A</v>
      </c>
      <c r="H451" s="4" t="str">
        <f>IFERROR(__xludf.DUMMYFUNCTION("GOOGLEFINANCE($A451, H$2)"),"#N/A")</f>
        <v>#N/A</v>
      </c>
      <c r="I451" s="4" t="str">
        <f>IFERROR(__xludf.DUMMYFUNCTION("REPLACE(JOIN("";"", INDEX(TRANSPOSE(GOOGLEFINANCE($A451, $I$2, TODAY() - 30, TODAY(), 1)), 2)), 1, 6, """")"),"420,6")</f>
        <v>420,6</v>
      </c>
    </row>
    <row r="452">
      <c r="A452" s="3" t="s">
        <v>914</v>
      </c>
      <c r="B452" s="4" t="s">
        <v>915</v>
      </c>
      <c r="C452" s="4">
        <f>IFERROR(__xludf.DUMMYFUNCTION("GOOGLEFINANCE($A452, C$2)"),19.56)</f>
        <v>19.56</v>
      </c>
      <c r="D452" s="4">
        <f>IFERROR(__xludf.DUMMYFUNCTION("GOOGLEFINANCE($A452, D$2)"),0.0)</f>
        <v>0</v>
      </c>
      <c r="E452" s="4">
        <f>IFERROR(__xludf.DUMMYFUNCTION("GOOGLEFINANCE($A452, E$2)"),48.47)</f>
        <v>48.47</v>
      </c>
      <c r="F452" s="4">
        <f>IFERROR(__xludf.DUMMYFUNCTION("GOOGLEFINANCE($A452, F$2)"),0.4)</f>
        <v>0.4</v>
      </c>
      <c r="G452" s="4">
        <f>IFERROR(__xludf.DUMMYFUNCTION("GOOGLEFINANCE($A452, G$2)"),20.0)</f>
        <v>20</v>
      </c>
      <c r="H452" s="4">
        <f>IFERROR(__xludf.DUMMYFUNCTION("GOOGLEFINANCE($A452, H$2)"),19.08)</f>
        <v>19.08</v>
      </c>
      <c r="I452" s="4" t="str">
        <f>IFERROR(__xludf.DUMMYFUNCTION("REPLACE(JOIN("";"", INDEX(TRANSPOSE(GOOGLEFINANCE($A452, $I$2, TODAY() - 30, TODAY(), 1)), 2)), 1, 6, """")"),"21,63;21,95;21,44;21,5;21,47;21,49;21,5;21,69;21,04;21,18;20,98;20,99;20,59;20,74;20,48;20,37;19,92;19,56")</f>
        <v>21,63;21,95;21,44;21,5;21,47;21,49;21,5;21,69;21,04;21,18;20,98;20,99;20,59;20,74;20,48;20,37;19,92;19,56</v>
      </c>
    </row>
    <row r="453">
      <c r="A453" s="3" t="s">
        <v>916</v>
      </c>
      <c r="B453" s="4" t="s">
        <v>917</v>
      </c>
      <c r="C453" s="4">
        <f>IFERROR(__xludf.DUMMYFUNCTION("GOOGLEFINANCE($A453, C$2)"),18.1)</f>
        <v>18.1</v>
      </c>
      <c r="D453" s="4">
        <f>IFERROR(__xludf.DUMMYFUNCTION("GOOGLEFINANCE($A453, D$2)"),0.0)</f>
        <v>0</v>
      </c>
      <c r="E453" s="4">
        <f>IFERROR(__xludf.DUMMYFUNCTION("GOOGLEFINANCE($A453, E$2)"),44.85)</f>
        <v>44.85</v>
      </c>
      <c r="F453" s="4">
        <f>IFERROR(__xludf.DUMMYFUNCTION("GOOGLEFINANCE($A453, F$2)"),0.4)</f>
        <v>0.4</v>
      </c>
      <c r="G453" s="4">
        <f>IFERROR(__xludf.DUMMYFUNCTION("GOOGLEFINANCE($A453, G$2)"),19.24)</f>
        <v>19.24</v>
      </c>
      <c r="H453" s="4">
        <f>IFERROR(__xludf.DUMMYFUNCTION("GOOGLEFINANCE($A453, H$2)"),18.1)</f>
        <v>18.1</v>
      </c>
      <c r="I453" s="4" t="str">
        <f>IFERROR(__xludf.DUMMYFUNCTION("REPLACE(JOIN("";"", INDEX(TRANSPOSE(GOOGLEFINANCE($A453, $I$2, TODAY() - 30, TODAY(), 1)), 2)), 1, 6, """")"),"21;20,85;20,23;20,32;19,72;19,51;19,5;19,66;19,29;19,5;19,62;19,4;19,39;19,34;19,16;18,92;18,9;18,1")</f>
        <v>21;20,85;20,23;20,32;19,72;19,51;19,5;19,66;19,29;19,5;19,62;19,4;19,39;19,34;19,16;18,92;18,9;18,1</v>
      </c>
    </row>
    <row r="454">
      <c r="A454" s="3" t="s">
        <v>918</v>
      </c>
      <c r="B454" s="4" t="s">
        <v>919</v>
      </c>
      <c r="C454" s="4">
        <f>IFERROR(__xludf.DUMMYFUNCTION("GOOGLEFINANCE($A454, C$2)"),2.52)</f>
        <v>2.52</v>
      </c>
      <c r="D454" s="4">
        <f>IFERROR(__xludf.DUMMYFUNCTION("GOOGLEFINANCE($A454, D$2)"),0.0)</f>
        <v>0</v>
      </c>
      <c r="E454" s="4">
        <f>IFERROR(__xludf.DUMMYFUNCTION("GOOGLEFINANCE($A454, E$2)"),67.74)</f>
        <v>67.74</v>
      </c>
      <c r="F454" s="4">
        <f>IFERROR(__xludf.DUMMYFUNCTION("GOOGLEFINANCE($A454, F$2)"),0.04)</f>
        <v>0.04</v>
      </c>
      <c r="G454" s="4">
        <f>IFERROR(__xludf.DUMMYFUNCTION("GOOGLEFINANCE($A454, G$2)"),2.58)</f>
        <v>2.58</v>
      </c>
      <c r="H454" s="4">
        <f>IFERROR(__xludf.DUMMYFUNCTION("GOOGLEFINANCE($A454, H$2)"),2.51)</f>
        <v>2.51</v>
      </c>
      <c r="I454" s="4" t="str">
        <f>IFERROR(__xludf.DUMMYFUNCTION("REPLACE(JOIN("";"", INDEX(TRANSPOSE(GOOGLEFINANCE($A454, $I$2, TODAY() - 30, TODAY(), 1)), 2)), 1, 6, """")"),"2,66;2,7;2,76;2,87;2,71;2,75;2,79;2,82;2,79;2,71;2,71;2,65;2,63;2,65;2,63;2,6;2,56;2,52")</f>
        <v>2,66;2,7;2,76;2,87;2,71;2,75;2,79;2,82;2,79;2,71;2,71;2,65;2,63;2,65;2,63;2,6;2,56;2,52</v>
      </c>
    </row>
    <row r="455">
      <c r="A455" s="3" t="s">
        <v>920</v>
      </c>
      <c r="B455" s="4" t="s">
        <v>921</v>
      </c>
      <c r="C455" s="4">
        <f>IFERROR(__xludf.DUMMYFUNCTION("GOOGLEFINANCE($A455, C$2)"),2.62)</f>
        <v>2.62</v>
      </c>
      <c r="D455" s="4">
        <f>IFERROR(__xludf.DUMMYFUNCTION("GOOGLEFINANCE($A455, D$2)"),0.0)</f>
        <v>0</v>
      </c>
      <c r="E455" s="4">
        <f>IFERROR(__xludf.DUMMYFUNCTION("GOOGLEFINANCE($A455, E$2)"),70.43)</f>
        <v>70.43</v>
      </c>
      <c r="F455" s="4">
        <f>IFERROR(__xludf.DUMMYFUNCTION("GOOGLEFINANCE($A455, F$2)"),0.04)</f>
        <v>0.04</v>
      </c>
      <c r="G455" s="4">
        <f>IFERROR(__xludf.DUMMYFUNCTION("GOOGLEFINANCE($A455, G$2)"),2.66)</f>
        <v>2.66</v>
      </c>
      <c r="H455" s="4">
        <f>IFERROR(__xludf.DUMMYFUNCTION("GOOGLEFINANCE($A455, H$2)"),2.57)</f>
        <v>2.57</v>
      </c>
      <c r="I455" s="4" t="str">
        <f>IFERROR(__xludf.DUMMYFUNCTION("REPLACE(JOIN("";"", INDEX(TRANSPOSE(GOOGLEFINANCE($A455, $I$2, TODAY() - 30, TODAY(), 1)), 2)), 1, 6, """")"),"2,87;2,85;2,91;3,03;2,91;2,96;3,06;3,04;2,92;2,9;2,83;2,8;2,76;2,74;2,74;2,66;2,63;2,62")</f>
        <v>2,87;2,85;2,91;3,03;2,91;2,96;3,06;3,04;2,92;2,9;2,83;2,8;2,76;2,74;2,74;2,66;2,63;2,62</v>
      </c>
    </row>
    <row r="456">
      <c r="A456" s="3" t="s">
        <v>922</v>
      </c>
      <c r="B456" s="4" t="s">
        <v>923</v>
      </c>
      <c r="C456" s="4">
        <f>IFERROR(__xludf.DUMMYFUNCTION("GOOGLEFINANCE($A456, C$2)"),4.88)</f>
        <v>4.88</v>
      </c>
      <c r="D456" s="4">
        <f>IFERROR(__xludf.DUMMYFUNCTION("GOOGLEFINANCE($A456, D$2)"),0.0)</f>
        <v>0</v>
      </c>
      <c r="E456" s="4">
        <f>IFERROR(__xludf.DUMMYFUNCTION("GOOGLEFINANCE($A456, E$2)"),13.55)</f>
        <v>13.55</v>
      </c>
      <c r="F456" s="4">
        <f>IFERROR(__xludf.DUMMYFUNCTION("GOOGLEFINANCE($A456, F$2)"),0.36)</f>
        <v>0.36</v>
      </c>
      <c r="G456" s="4">
        <f>IFERROR(__xludf.DUMMYFUNCTION("GOOGLEFINANCE($A456, G$2)"),5.04)</f>
        <v>5.04</v>
      </c>
      <c r="H456" s="4">
        <f>IFERROR(__xludf.DUMMYFUNCTION("GOOGLEFINANCE($A456, H$2)"),4.83)</f>
        <v>4.83</v>
      </c>
      <c r="I456" s="4" t="str">
        <f>IFERROR(__xludf.DUMMYFUNCTION("REPLACE(JOIN("";"", INDEX(TRANSPOSE(GOOGLEFINANCE($A456, $I$2, TODAY() - 30, TODAY(), 1)), 2)), 1, 6, """")"),"4,45;4,22;4,43;4,56;4,53;4,52;4,59;4,65;4,6;4,64;4,84;5;4,76;4,76;4,83;5,13;4,93;4,88")</f>
        <v>4,45;4,22;4,43;4,56;4,53;4,52;4,59;4,65;4,6;4,64;4,84;5;4,76;4,76;4,83;5,13;4,93;4,88</v>
      </c>
    </row>
    <row r="457">
      <c r="A457" s="3" t="s">
        <v>924</v>
      </c>
      <c r="B457" s="4" t="s">
        <v>925</v>
      </c>
      <c r="C457" s="4">
        <f>IFERROR(__xludf.DUMMYFUNCTION("GOOGLEFINANCE($A457, C$2)"),88.89)</f>
        <v>88.89</v>
      </c>
      <c r="D457" s="4">
        <f>IFERROR(__xludf.DUMMYFUNCTION("GOOGLEFINANCE($A457, D$2)"),0.0)</f>
        <v>0</v>
      </c>
      <c r="E457" s="4">
        <f>IFERROR(__xludf.DUMMYFUNCTION("GOOGLEFINANCE($A457, E$2)"),24.35)</f>
        <v>24.35</v>
      </c>
      <c r="F457" s="4">
        <f>IFERROR(__xludf.DUMMYFUNCTION("GOOGLEFINANCE($A457, F$2)"),3.65)</f>
        <v>3.65</v>
      </c>
      <c r="G457" s="4">
        <f>IFERROR(__xludf.DUMMYFUNCTION("GOOGLEFINANCE($A457, G$2)"),89.25)</f>
        <v>89.25</v>
      </c>
      <c r="H457" s="4">
        <f>IFERROR(__xludf.DUMMYFUNCTION("GOOGLEFINANCE($A457, H$2)"),86.3)</f>
        <v>86.3</v>
      </c>
      <c r="I457" s="4" t="str">
        <f>IFERROR(__xludf.DUMMYFUNCTION("REPLACE(JOIN("";"", INDEX(TRANSPOSE(GOOGLEFINANCE($A457, $I$2, TODAY() - 30, TODAY(), 1)), 2)), 1, 6, """")"),"72;70,6;68,35;71,78;70,49;73,47;77,83;76,88;75,88;78,5;81,09;77,74;79,43;77,33;79,59;87,11;88,41;88,89")</f>
        <v>72;70,6;68,35;71,78;70,49;73,47;77,83;76,88;75,88;78,5;81,09;77,74;79,43;77,33;79,59;87,11;88,41;88,89</v>
      </c>
    </row>
    <row r="458">
      <c r="A458" s="3" t="s">
        <v>926</v>
      </c>
      <c r="B458" s="4" t="s">
        <v>927</v>
      </c>
      <c r="C458" s="4">
        <f>IFERROR(__xludf.DUMMYFUNCTION("GOOGLEFINANCE($A458, C$2)"),7.85)</f>
        <v>7.85</v>
      </c>
      <c r="D458" s="4">
        <f>IFERROR(__xludf.DUMMYFUNCTION("GOOGLEFINANCE($A458, D$2)"),0.0)</f>
        <v>0</v>
      </c>
      <c r="E458" s="4" t="str">
        <f>IFERROR(__xludf.DUMMYFUNCTION("GOOGLEFINANCE($A458, E$2)"),"#N/A")</f>
        <v>#N/A</v>
      </c>
      <c r="F458" s="4">
        <f>IFERROR(__xludf.DUMMYFUNCTION("GOOGLEFINANCE($A458, F$2)"),-0.59)</f>
        <v>-0.59</v>
      </c>
      <c r="G458" s="4">
        <f>IFERROR(__xludf.DUMMYFUNCTION("GOOGLEFINANCE($A458, G$2)"),7.97)</f>
        <v>7.97</v>
      </c>
      <c r="H458" s="4">
        <f>IFERROR(__xludf.DUMMYFUNCTION("GOOGLEFINANCE($A458, H$2)"),7.85)</f>
        <v>7.85</v>
      </c>
      <c r="I458" s="4" t="str">
        <f>IFERROR(__xludf.DUMMYFUNCTION("REPLACE(JOIN("";"", INDEX(TRANSPOSE(GOOGLEFINANCE($A458, $I$2, TODAY() - 30, TODAY(), 1)), 2)), 1, 6, """")"),"8,5;8,33;8,29;8,32;8,14;8,05;8,08;8,09;8,47;8,63;8,38;8,15;8,05;8;7,95;7,85;7,89;7,85")</f>
        <v>8,5;8,33;8,29;8,32;8,14;8,05;8,08;8,09;8,47;8,63;8,38;8,15;8,05;8;7,95;7,85;7,89;7,85</v>
      </c>
    </row>
    <row r="459">
      <c r="A459" s="3" t="s">
        <v>928</v>
      </c>
      <c r="B459" s="4" t="s">
        <v>929</v>
      </c>
      <c r="C459" s="4">
        <f>IFERROR(__xludf.DUMMYFUNCTION("GOOGLEFINANCE($A459, C$2)"),48.13)</f>
        <v>48.13</v>
      </c>
      <c r="D459" s="4">
        <f>IFERROR(__xludf.DUMMYFUNCTION("GOOGLEFINANCE($A459, D$2)"),0.0)</f>
        <v>0</v>
      </c>
      <c r="E459" s="4">
        <f>IFERROR(__xludf.DUMMYFUNCTION("GOOGLEFINANCE($A459, E$2)"),9.19)</f>
        <v>9.19</v>
      </c>
      <c r="F459" s="4">
        <f>IFERROR(__xludf.DUMMYFUNCTION("GOOGLEFINANCE($A459, F$2)"),5.24)</f>
        <v>5.24</v>
      </c>
      <c r="G459" s="4">
        <f>IFERROR(__xludf.DUMMYFUNCTION("GOOGLEFINANCE($A459, G$2)"),48.19)</f>
        <v>48.19</v>
      </c>
      <c r="H459" s="4">
        <f>IFERROR(__xludf.DUMMYFUNCTION("GOOGLEFINANCE($A459, H$2)"),47.56)</f>
        <v>47.56</v>
      </c>
      <c r="I459" s="4" t="str">
        <f>IFERROR(__xludf.DUMMYFUNCTION("REPLACE(JOIN("";"", INDEX(TRANSPOSE(GOOGLEFINANCE($A459, $I$2, TODAY() - 30, TODAY(), 1)), 2)), 1, 6, """")"),"49,37;48,76;48,07;50,04;48,18;48,76;49,29;49,85;49,52;51,29;49,86;49,44;49,15;48,64;48,17;47,81;47,71;48,13")</f>
        <v>49,37;48,76;48,07;50,04;48,18;48,76;49,29;49,85;49,52;51,29;49,86;49,44;49,15;48,64;48,17;47,81;47,71;48,13</v>
      </c>
    </row>
    <row r="460">
      <c r="A460" s="3" t="s">
        <v>930</v>
      </c>
      <c r="B460" s="4" t="s">
        <v>931</v>
      </c>
      <c r="C460" s="4">
        <f>IFERROR(__xludf.DUMMYFUNCTION("GOOGLEFINANCE($A460, C$2)"),8.94)</f>
        <v>8.94</v>
      </c>
      <c r="D460" s="4">
        <f>IFERROR(__xludf.DUMMYFUNCTION("GOOGLEFINANCE($A460, D$2)"),0.0)</f>
        <v>0</v>
      </c>
      <c r="E460" s="4">
        <f>IFERROR(__xludf.DUMMYFUNCTION("GOOGLEFINANCE($A460, E$2)"),13.52)</f>
        <v>13.52</v>
      </c>
      <c r="F460" s="4">
        <f>IFERROR(__xludf.DUMMYFUNCTION("GOOGLEFINANCE($A460, F$2)"),0.66)</f>
        <v>0.66</v>
      </c>
      <c r="G460" s="4">
        <f>IFERROR(__xludf.DUMMYFUNCTION("GOOGLEFINANCE($A460, G$2)"),9.18)</f>
        <v>9.18</v>
      </c>
      <c r="H460" s="4">
        <f>IFERROR(__xludf.DUMMYFUNCTION("GOOGLEFINANCE($A460, H$2)"),8.86)</f>
        <v>8.86</v>
      </c>
      <c r="I460" s="4" t="str">
        <f>IFERROR(__xludf.DUMMYFUNCTION("REPLACE(JOIN("";"", INDEX(TRANSPOSE(GOOGLEFINANCE($A460, $I$2, TODAY() - 30, TODAY(), 1)), 2)), 1, 6, """")"),"7,5;7,62;7,92;7,86;7,96;8,96;9,38;9,7;9,88;10,67;9,61;10,28;9,47;9,24;9,17;9,12;9,16;8,94")</f>
        <v>7,5;7,62;7,92;7,86;7,96;8,96;9,38;9,7;9,88;10,67;9,61;10,28;9,47;9,24;9,17;9,12;9,16;8,94</v>
      </c>
    </row>
    <row r="461">
      <c r="A461" s="3" t="s">
        <v>932</v>
      </c>
      <c r="B461" s="4" t="s">
        <v>933</v>
      </c>
      <c r="C461" s="4">
        <f>IFERROR(__xludf.DUMMYFUNCTION("GOOGLEFINANCE($A461, C$2)"),188.02)</f>
        <v>188.02</v>
      </c>
      <c r="D461" s="4">
        <f>IFERROR(__xludf.DUMMYFUNCTION("GOOGLEFINANCE($A461, D$2)"),0.0)</f>
        <v>0</v>
      </c>
      <c r="E461" s="4" t="str">
        <f>IFERROR(__xludf.DUMMYFUNCTION("GOOGLEFINANCE($A461, E$2)"),"#N/A")</f>
        <v>#N/A</v>
      </c>
      <c r="F461" s="4" t="str">
        <f>IFERROR(__xludf.DUMMYFUNCTION("GOOGLEFINANCE($A461, F$2)"),"#N/A")</f>
        <v>#N/A</v>
      </c>
      <c r="G461" s="4">
        <f>IFERROR(__xludf.DUMMYFUNCTION("GOOGLEFINANCE($A461, G$2)"),188.02)</f>
        <v>188.02</v>
      </c>
      <c r="H461" s="4">
        <f>IFERROR(__xludf.DUMMYFUNCTION("GOOGLEFINANCE($A461, H$2)"),188.02)</f>
        <v>188.02</v>
      </c>
      <c r="I461" s="4" t="str">
        <f>IFERROR(__xludf.DUMMYFUNCTION("REPLACE(JOIN("";"", INDEX(TRANSPOSE(GOOGLEFINANCE($A461, $I$2, TODAY() - 30, TODAY(), 1)), 2)), 1, 6, """")"),"179,75;166,51;170,3;169,1;166,51;166,01;164,51;164,01;171,6;169,9;169,01;169,9;191,5;190,3;188,02")</f>
        <v>179,75;166,51;170,3;169,1;166,51;166,01;164,51;164,01;171,6;169,9;169,01;169,9;191,5;190,3;188,02</v>
      </c>
    </row>
    <row r="462">
      <c r="A462" s="3" t="s">
        <v>934</v>
      </c>
      <c r="B462" s="4" t="s">
        <v>935</v>
      </c>
      <c r="C462" s="4">
        <f>IFERROR(__xludf.DUMMYFUNCTION("GOOGLEFINANCE($A462, C$2)"),7.88)</f>
        <v>7.88</v>
      </c>
      <c r="D462" s="4">
        <f>IFERROR(__xludf.DUMMYFUNCTION("GOOGLEFINANCE($A462, D$2)"),0.0)</f>
        <v>0</v>
      </c>
      <c r="E462" s="4">
        <f>IFERROR(__xludf.DUMMYFUNCTION("GOOGLEFINANCE($A462, E$2)"),19.92)</f>
        <v>19.92</v>
      </c>
      <c r="F462" s="4">
        <f>IFERROR(__xludf.DUMMYFUNCTION("GOOGLEFINANCE($A462, F$2)"),0.4)</f>
        <v>0.4</v>
      </c>
      <c r="G462" s="4">
        <f>IFERROR(__xludf.DUMMYFUNCTION("GOOGLEFINANCE($A462, G$2)"),8.73)</f>
        <v>8.73</v>
      </c>
      <c r="H462" s="4">
        <f>IFERROR(__xludf.DUMMYFUNCTION("GOOGLEFINANCE($A462, H$2)"),7.87)</f>
        <v>7.87</v>
      </c>
      <c r="I462" s="4" t="str">
        <f>IFERROR(__xludf.DUMMYFUNCTION("REPLACE(JOIN("";"", INDEX(TRANSPOSE(GOOGLEFINANCE($A462, $I$2, TODAY() - 30, TODAY(), 1)), 2)), 1, 6, """")"),"7,89;7,69;7,86;7,89;8,42;8,54;8,24;8,02;8,16;8,06;7,74;7,59;7,84;7,97;7,68;7,97;8,07;7,88")</f>
        <v>7,89;7,69;7,86;7,89;8,42;8,54;8,24;8,02;8,16;8,06;7,74;7,59;7,84;7,97;7,68;7,97;8,07;7,88</v>
      </c>
    </row>
    <row r="463">
      <c r="A463" s="3" t="s">
        <v>936</v>
      </c>
      <c r="B463" s="4" t="s">
        <v>937</v>
      </c>
      <c r="C463" s="4">
        <f>IFERROR(__xludf.DUMMYFUNCTION("GOOGLEFINANCE($A463, C$2)"),4.78)</f>
        <v>4.78</v>
      </c>
      <c r="D463" s="4">
        <f>IFERROR(__xludf.DUMMYFUNCTION("GOOGLEFINANCE($A463, D$2)"),0.0)</f>
        <v>0</v>
      </c>
      <c r="E463" s="4">
        <f>IFERROR(__xludf.DUMMYFUNCTION("GOOGLEFINANCE($A463, E$2)"),12.08)</f>
        <v>12.08</v>
      </c>
      <c r="F463" s="4">
        <f>IFERROR(__xludf.DUMMYFUNCTION("GOOGLEFINANCE($A463, F$2)"),0.4)</f>
        <v>0.4</v>
      </c>
      <c r="G463" s="4">
        <f>IFERROR(__xludf.DUMMYFUNCTION("GOOGLEFINANCE($A463, G$2)"),5.08)</f>
        <v>5.08</v>
      </c>
      <c r="H463" s="4">
        <f>IFERROR(__xludf.DUMMYFUNCTION("GOOGLEFINANCE($A463, H$2)"),4.78)</f>
        <v>4.78</v>
      </c>
      <c r="I463" s="4" t="str">
        <f>IFERROR(__xludf.DUMMYFUNCTION("REPLACE(JOIN("";"", INDEX(TRANSPOSE(GOOGLEFINANCE($A463, $I$2, TODAY() - 30, TODAY(), 1)), 2)), 1, 6, """")"),"4,91;4,87;4,87;4,82;4,68;4,89;4,78;5,04;5,04;4,91;4,91;4,91;4,9;4,88;4,93;4,94;5,04;4,78")</f>
        <v>4,91;4,87;4,87;4,82;4,68;4,89;4,78;5,04;5,04;4,91;4,91;4,91;4,9;4,88;4,93;4,94;5,04;4,78</v>
      </c>
    </row>
    <row r="464">
      <c r="A464" s="3" t="s">
        <v>938</v>
      </c>
      <c r="B464" s="4" t="s">
        <v>939</v>
      </c>
      <c r="C464" s="4">
        <f>IFERROR(__xludf.DUMMYFUNCTION("GOOGLEFINANCE($A464, C$2)"),79.0)</f>
        <v>79</v>
      </c>
      <c r="D464" s="4">
        <f>IFERROR(__xludf.DUMMYFUNCTION("GOOGLEFINANCE($A464, D$2)"),0.0)</f>
        <v>0</v>
      </c>
      <c r="E464" s="4" t="str">
        <f>IFERROR(__xludf.DUMMYFUNCTION("GOOGLEFINANCE($A464, E$2)"),"#N/A")</f>
        <v>#N/A</v>
      </c>
      <c r="F464" s="4" t="str">
        <f>IFERROR(__xludf.DUMMYFUNCTION("GOOGLEFINANCE($A464, F$2)"),"#N/A")</f>
        <v>#N/A</v>
      </c>
      <c r="G464" s="4">
        <f>IFERROR(__xludf.DUMMYFUNCTION("GOOGLEFINANCE($A464, G$2)"),80.15)</f>
        <v>80.15</v>
      </c>
      <c r="H464" s="4">
        <f>IFERROR(__xludf.DUMMYFUNCTION("GOOGLEFINANCE($A464, H$2)"),77.05)</f>
        <v>77.05</v>
      </c>
      <c r="I464" s="4" t="str">
        <f>IFERROR(__xludf.DUMMYFUNCTION("REPLACE(JOIN("";"", INDEX(TRANSPOSE(GOOGLEFINANCE($A464, $I$2, TODAY() - 30, TODAY(), 1)), 2)), 1, 6, """")"),"69,23;64,45;62,31;64,93;64,41;66,2;66,7;68,25;72,99;72,49;75,6;76,75;76,45;76,64;81;81;79,29;79")</f>
        <v>69,23;64,45;62,31;64,93;64,41;66,2;66,7;68,25;72,99;72,49;75,6;76,75;76,45;76,64;81;81;79,29;79</v>
      </c>
    </row>
    <row r="465">
      <c r="A465" s="3" t="s">
        <v>940</v>
      </c>
      <c r="B465" s="4" t="s">
        <v>941</v>
      </c>
      <c r="C465" s="4">
        <f>IFERROR(__xludf.DUMMYFUNCTION("GOOGLEFINANCE($A465, C$2)"),64.9)</f>
        <v>64.9</v>
      </c>
      <c r="D465" s="4">
        <f>IFERROR(__xludf.DUMMYFUNCTION("GOOGLEFINANCE($A465, D$2)"),0.0)</f>
        <v>0</v>
      </c>
      <c r="E465" s="4" t="str">
        <f>IFERROR(__xludf.DUMMYFUNCTION("GOOGLEFINANCE($A465, E$2)"),"#N/A")</f>
        <v>#N/A</v>
      </c>
      <c r="F465" s="4" t="str">
        <f>IFERROR(__xludf.DUMMYFUNCTION("GOOGLEFINANCE($A465, F$2)"),"#N/A")</f>
        <v>#N/A</v>
      </c>
      <c r="G465" s="4">
        <f>IFERROR(__xludf.DUMMYFUNCTION("GOOGLEFINANCE($A465, G$2)"),65.81)</f>
        <v>65.81</v>
      </c>
      <c r="H465" s="4">
        <f>IFERROR(__xludf.DUMMYFUNCTION("GOOGLEFINANCE($A465, H$2)"),64.64)</f>
        <v>64.64</v>
      </c>
      <c r="I465" s="4" t="str">
        <f>IFERROR(__xludf.DUMMYFUNCTION("REPLACE(JOIN("";"", INDEX(TRANSPOSE(GOOGLEFINANCE($A465, $I$2, TODAY() - 30, TODAY(), 1)), 2)), 1, 6, """")"),"74,22;72,7;69,11;71,09;71,09;73,45;73,41;72,88;66,8;65,45;65,73;65,6;65,3;65,3;66,03;67,09;65,3;64,9")</f>
        <v>74,22;72,7;69,11;71,09;71,09;73,45;73,41;72,88;66,8;65,45;65,73;65,6;65,3;65,3;66,03;67,09;65,3;64,9</v>
      </c>
    </row>
    <row r="466">
      <c r="A466" s="3" t="s">
        <v>942</v>
      </c>
      <c r="B466" s="4" t="s">
        <v>943</v>
      </c>
      <c r="C466" s="4">
        <f>IFERROR(__xludf.DUMMYFUNCTION("GOOGLEFINANCE($A466, C$2)"),32.75)</f>
        <v>32.75</v>
      </c>
      <c r="D466" s="4">
        <f>IFERROR(__xludf.DUMMYFUNCTION("GOOGLEFINANCE($A466, D$2)"),0.0)</f>
        <v>0</v>
      </c>
      <c r="E466" s="4">
        <f>IFERROR(__xludf.DUMMYFUNCTION("GOOGLEFINANCE($A466, E$2)"),23.59)</f>
        <v>23.59</v>
      </c>
      <c r="F466" s="4">
        <f>IFERROR(__xludf.DUMMYFUNCTION("GOOGLEFINANCE($A466, F$2)"),1.39)</f>
        <v>1.39</v>
      </c>
      <c r="G466" s="4">
        <f>IFERROR(__xludf.DUMMYFUNCTION("GOOGLEFINANCE($A466, G$2)"),32.78)</f>
        <v>32.78</v>
      </c>
      <c r="H466" s="4">
        <f>IFERROR(__xludf.DUMMYFUNCTION("GOOGLEFINANCE($A466, H$2)"),32.15)</f>
        <v>32.15</v>
      </c>
      <c r="I466" s="4" t="str">
        <f>IFERROR(__xludf.DUMMYFUNCTION("REPLACE(JOIN("";"", INDEX(TRANSPOSE(GOOGLEFINANCE($A466, $I$2, TODAY() - 30, TODAY(), 1)), 2)), 1, 6, """")"),"32,28;31,79;32,08;32,44;31,11;30,88;31,75;31,62;31,31;31,56;32,07;31,86;32,13;32,37;32,23;33,01;32,71;32,75")</f>
        <v>32,28;31,79;32,08;32,44;31,11;30,88;31,75;31,62;31,31;31,56;32,07;31,86;32,13;32,37;32,23;33,01;32,71;32,75</v>
      </c>
    </row>
    <row r="467">
      <c r="A467" s="3" t="s">
        <v>944</v>
      </c>
      <c r="B467" s="4" t="s">
        <v>945</v>
      </c>
      <c r="C467" s="4">
        <f>IFERROR(__xludf.DUMMYFUNCTION("GOOGLEFINANCE($A467, C$2)"),25.05)</f>
        <v>25.05</v>
      </c>
      <c r="D467" s="4">
        <f>IFERROR(__xludf.DUMMYFUNCTION("GOOGLEFINANCE($A467, D$2)"),0.0)</f>
        <v>0</v>
      </c>
      <c r="E467" s="4">
        <f>IFERROR(__xludf.DUMMYFUNCTION("GOOGLEFINANCE($A467, E$2)"),101.08)</f>
        <v>101.08</v>
      </c>
      <c r="F467" s="4">
        <f>IFERROR(__xludf.DUMMYFUNCTION("GOOGLEFINANCE($A467, F$2)"),0.25)</f>
        <v>0.25</v>
      </c>
      <c r="G467" s="4">
        <f>IFERROR(__xludf.DUMMYFUNCTION("GOOGLEFINANCE($A467, G$2)"),25.26)</f>
        <v>25.26</v>
      </c>
      <c r="H467" s="4">
        <f>IFERROR(__xludf.DUMMYFUNCTION("GOOGLEFINANCE($A467, H$2)"),24.63)</f>
        <v>24.63</v>
      </c>
      <c r="I467" s="4" t="str">
        <f>IFERROR(__xludf.DUMMYFUNCTION("REPLACE(JOIN("";"", INDEX(TRANSPOSE(GOOGLEFINANCE($A467, $I$2, TODAY() - 30, TODAY(), 1)), 2)), 1, 6, """")"),"25,04;25,87;25,16;25,35;24,92;25,03;25,27;25,44;24,88;25,25;25,36;25,61;25,45;25,98;25,88;25,04;24,78;25,05")</f>
        <v>25,04;25,87;25,16;25,35;24,92;25,03;25,27;25,44;24,88;25,25;25,36;25,61;25,45;25,98;25,88;25,04;24,78;25,05</v>
      </c>
    </row>
    <row r="468">
      <c r="A468" s="3" t="s">
        <v>946</v>
      </c>
      <c r="B468" s="4" t="s">
        <v>947</v>
      </c>
      <c r="C468" s="4">
        <f>IFERROR(__xludf.DUMMYFUNCTION("GOOGLEFINANCE($A468, C$2)"),19.57)</f>
        <v>19.57</v>
      </c>
      <c r="D468" s="4">
        <f>IFERROR(__xludf.DUMMYFUNCTION("GOOGLEFINANCE($A468, D$2)"),0.0)</f>
        <v>0</v>
      </c>
      <c r="E468" s="4">
        <f>IFERROR(__xludf.DUMMYFUNCTION("GOOGLEFINANCE($A468, E$2)"),109.88)</f>
        <v>109.88</v>
      </c>
      <c r="F468" s="4">
        <f>IFERROR(__xludf.DUMMYFUNCTION("GOOGLEFINANCE($A468, F$2)"),0.18)</f>
        <v>0.18</v>
      </c>
      <c r="G468" s="4">
        <f>IFERROR(__xludf.DUMMYFUNCTION("GOOGLEFINANCE($A468, G$2)"),20.43)</f>
        <v>20.43</v>
      </c>
      <c r="H468" s="4">
        <f>IFERROR(__xludf.DUMMYFUNCTION("GOOGLEFINANCE($A468, H$2)"),19.52)</f>
        <v>19.52</v>
      </c>
      <c r="I468" s="4" t="str">
        <f>IFERROR(__xludf.DUMMYFUNCTION("REPLACE(JOIN("";"", INDEX(TRANSPOSE(GOOGLEFINANCE($A468, $I$2, TODAY() - 30, TODAY(), 1)), 2)), 1, 6, """")"),"20,85;20,67;20,74;20,92;20,3;21,1;20,77;21,7;21,5;21,35;21,35;20,85;20,13;19,81;20,18;20,2;20,3;19,57")</f>
        <v>20,85;20,67;20,74;20,92;20,3;21,1;20,77;21,7;21,5;21,35;21,35;20,85;20,13;19,81;20,18;20,2;20,3;19,57</v>
      </c>
    </row>
    <row r="469">
      <c r="A469" s="3" t="s">
        <v>948</v>
      </c>
      <c r="B469" s="4" t="s">
        <v>949</v>
      </c>
      <c r="C469" s="4">
        <f>IFERROR(__xludf.DUMMYFUNCTION("GOOGLEFINANCE($A469, C$2)"),6.16)</f>
        <v>6.16</v>
      </c>
      <c r="D469" s="4">
        <f>IFERROR(__xludf.DUMMYFUNCTION("GOOGLEFINANCE($A469, D$2)"),0.0)</f>
        <v>0</v>
      </c>
      <c r="E469" s="4">
        <f>IFERROR(__xludf.DUMMYFUNCTION("GOOGLEFINANCE($A469, E$2)"),23.9)</f>
        <v>23.9</v>
      </c>
      <c r="F469" s="4">
        <f>IFERROR(__xludf.DUMMYFUNCTION("GOOGLEFINANCE($A469, F$2)"),0.26)</f>
        <v>0.26</v>
      </c>
      <c r="G469" s="4">
        <f>IFERROR(__xludf.DUMMYFUNCTION("GOOGLEFINANCE($A469, G$2)"),6.46)</f>
        <v>6.46</v>
      </c>
      <c r="H469" s="4">
        <f>IFERROR(__xludf.DUMMYFUNCTION("GOOGLEFINANCE($A469, H$2)"),6.11)</f>
        <v>6.11</v>
      </c>
      <c r="I469" s="4" t="str">
        <f>IFERROR(__xludf.DUMMYFUNCTION("REPLACE(JOIN("";"", INDEX(TRANSPOSE(GOOGLEFINANCE($A469, $I$2, TODAY() - 30, TODAY(), 1)), 2)), 1, 6, """")"),"5,69;5,57;5,6;5,8;5,57;5,9;5,93;6,23;6,24;6,45;6,28;6,18;6,08;6,19;6,16;6,12;6,3;6,16")</f>
        <v>5,69;5,57;5,6;5,8;5,57;5,9;5,93;6,23;6,24;6,45;6,28;6,18;6,08;6,19;6,16;6,12;6,3;6,16</v>
      </c>
    </row>
    <row r="470">
      <c r="A470" s="3" t="s">
        <v>950</v>
      </c>
      <c r="B470" s="4" t="s">
        <v>951</v>
      </c>
      <c r="C470" s="4">
        <f>IFERROR(__xludf.DUMMYFUNCTION("GOOGLEFINANCE($A470, C$2)"),10.95)</f>
        <v>10.95</v>
      </c>
      <c r="D470" s="4">
        <f>IFERROR(__xludf.DUMMYFUNCTION("GOOGLEFINANCE($A470, D$2)"),0.0)</f>
        <v>0</v>
      </c>
      <c r="E470" s="4">
        <f>IFERROR(__xludf.DUMMYFUNCTION("GOOGLEFINANCE($A470, E$2)"),15.69)</f>
        <v>15.69</v>
      </c>
      <c r="F470" s="4">
        <f>IFERROR(__xludf.DUMMYFUNCTION("GOOGLEFINANCE($A470, F$2)"),0.7)</f>
        <v>0.7</v>
      </c>
      <c r="G470" s="4">
        <f>IFERROR(__xludf.DUMMYFUNCTION("GOOGLEFINANCE($A470, G$2)"),11.02)</f>
        <v>11.02</v>
      </c>
      <c r="H470" s="4">
        <f>IFERROR(__xludf.DUMMYFUNCTION("GOOGLEFINANCE($A470, H$2)"),10.85)</f>
        <v>10.85</v>
      </c>
      <c r="I470" s="4" t="str">
        <f>IFERROR(__xludf.DUMMYFUNCTION("REPLACE(JOIN("";"", INDEX(TRANSPOSE(GOOGLEFINANCE($A470, $I$2, TODAY() - 30, TODAY(), 1)), 2)), 1, 6, """")"),"11,23;10,16;10,72;11,66;11;11,11;11,19;11,29;11,18;10,96;11,03;11,01;10,55;10,95;10,92;10,96;10,98;10,95")</f>
        <v>11,23;10,16;10,72;11,66;11;11,11;11,19;11,29;11,18;10,96;11,03;11,01;10,55;10,95;10,92;10,96;10,98;10,95</v>
      </c>
    </row>
    <row r="471">
      <c r="A471" s="3" t="s">
        <v>952</v>
      </c>
      <c r="B471" s="4" t="s">
        <v>953</v>
      </c>
      <c r="C471" s="4">
        <f>IFERROR(__xludf.DUMMYFUNCTION("GOOGLEFINANCE($A471, C$2)"),14.19)</f>
        <v>14.19</v>
      </c>
      <c r="D471" s="4">
        <f>IFERROR(__xludf.DUMMYFUNCTION("GOOGLEFINANCE($A471, D$2)"),0.0)</f>
        <v>0</v>
      </c>
      <c r="E471" s="4">
        <f>IFERROR(__xludf.DUMMYFUNCTION("GOOGLEFINANCE($A471, E$2)"),20.33)</f>
        <v>20.33</v>
      </c>
      <c r="F471" s="4">
        <f>IFERROR(__xludf.DUMMYFUNCTION("GOOGLEFINANCE($A471, F$2)"),0.7)</f>
        <v>0.7</v>
      </c>
      <c r="G471" s="4">
        <f>IFERROR(__xludf.DUMMYFUNCTION("GOOGLEFINANCE($A471, G$2)"),14.48)</f>
        <v>14.48</v>
      </c>
      <c r="H471" s="4">
        <f>IFERROR(__xludf.DUMMYFUNCTION("GOOGLEFINANCE($A471, H$2)"),13.93)</f>
        <v>13.93</v>
      </c>
      <c r="I471" s="4" t="str">
        <f>IFERROR(__xludf.DUMMYFUNCTION("REPLACE(JOIN("";"", INDEX(TRANSPOSE(GOOGLEFINANCE($A471, $I$2, TODAY() - 30, TODAY(), 1)), 2)), 1, 6, """")"),"14,46;13,93;14,06;14,93;13,91;14,42;14,35;14,26;14,15;14,28;14,37;14,62;14,1;14,32;14,53;14,56;14,23;14,19")</f>
        <v>14,46;13,93;14,06;14,93;13,91;14,42;14,35;14,26;14,15;14,28;14,37;14,62;14,1;14,32;14,53;14,56;14,23;14,19</v>
      </c>
    </row>
    <row r="472">
      <c r="A472" s="3" t="s">
        <v>954</v>
      </c>
      <c r="B472" s="4" t="s">
        <v>955</v>
      </c>
      <c r="C472" s="4">
        <f>IFERROR(__xludf.DUMMYFUNCTION("GOOGLEFINANCE($A472, C$2)"),8.74)</f>
        <v>8.74</v>
      </c>
      <c r="D472" s="4">
        <f>IFERROR(__xludf.DUMMYFUNCTION("GOOGLEFINANCE($A472, D$2)"),0.0)</f>
        <v>0</v>
      </c>
      <c r="E472" s="4" t="str">
        <f>IFERROR(__xludf.DUMMYFUNCTION("GOOGLEFINANCE($A472, E$2)"),"#N/A")</f>
        <v>#N/A</v>
      </c>
      <c r="F472" s="4">
        <f>IFERROR(__xludf.DUMMYFUNCTION("GOOGLEFINANCE($A472, F$2)"),-0.02)</f>
        <v>-0.02</v>
      </c>
      <c r="G472" s="4">
        <f>IFERROR(__xludf.DUMMYFUNCTION("GOOGLEFINANCE($A472, G$2)"),8.75)</f>
        <v>8.75</v>
      </c>
      <c r="H472" s="4">
        <f>IFERROR(__xludf.DUMMYFUNCTION("GOOGLEFINANCE($A472, H$2)"),8.12)</f>
        <v>8.12</v>
      </c>
      <c r="I472" s="4" t="str">
        <f>IFERROR(__xludf.DUMMYFUNCTION("REPLACE(JOIN("";"", INDEX(TRANSPOSE(GOOGLEFINANCE($A472, $I$2, TODAY() - 30, TODAY(), 1)), 2)), 1, 6, """")"),"7,91;7,37;7,36;8,85;7,97;8,13;8,15;8,6;8,77;9,4;8,97;9,14;9,11;9,21;9,63;8,93;8,44;8,74")</f>
        <v>7,91;7,37;7,36;8,85;7,97;8,13;8,15;8,6;8,77;9,4;8,97;9,14;9,11;9,21;9,63;8,93;8,44;8,74</v>
      </c>
    </row>
    <row r="473">
      <c r="A473" s="3" t="s">
        <v>956</v>
      </c>
      <c r="B473" s="4" t="s">
        <v>957</v>
      </c>
      <c r="C473" s="4">
        <f>IFERROR(__xludf.DUMMYFUNCTION("GOOGLEFINANCE($A473, C$2)"),1.41)</f>
        <v>1.41</v>
      </c>
      <c r="D473" s="4">
        <f>IFERROR(__xludf.DUMMYFUNCTION("GOOGLEFINANCE($A473, D$2)"),0.0)</f>
        <v>0</v>
      </c>
      <c r="E473" s="4" t="str">
        <f>IFERROR(__xludf.DUMMYFUNCTION("GOOGLEFINANCE($A473, E$2)"),"#N/A")</f>
        <v>#N/A</v>
      </c>
      <c r="F473" s="4">
        <f>IFERROR(__xludf.DUMMYFUNCTION("GOOGLEFINANCE($A473, F$2)"),-0.02)</f>
        <v>-0.02</v>
      </c>
      <c r="G473" s="4">
        <f>IFERROR(__xludf.DUMMYFUNCTION("GOOGLEFINANCE($A473, G$2)"),1.42)</f>
        <v>1.42</v>
      </c>
      <c r="H473" s="4">
        <f>IFERROR(__xludf.DUMMYFUNCTION("GOOGLEFINANCE($A473, H$2)"),1.4)</f>
        <v>1.4</v>
      </c>
      <c r="I473" s="4" t="str">
        <f>IFERROR(__xludf.DUMMYFUNCTION("REPLACE(JOIN("";"", INDEX(TRANSPOSE(GOOGLEFINANCE($A473, $I$2, TODAY() - 30, TODAY(), 1)), 2)), 1, 6, """")"),"1,39;1,38;1,35;1,4;1,38;1,41;1,47;1,45;1,44;1,45;1,42;1,41;1,38;1,45;1,43;1,4;1,39;1,41")</f>
        <v>1,39;1,38;1,35;1,4;1,38;1,41;1,47;1,45;1,44;1,45;1,42;1,41;1,38;1,45;1,43;1,4;1,39;1,41</v>
      </c>
    </row>
    <row r="474">
      <c r="A474" s="3" t="s">
        <v>958</v>
      </c>
      <c r="B474" s="4" t="s">
        <v>959</v>
      </c>
      <c r="C474" s="4">
        <f>IFERROR(__xludf.DUMMYFUNCTION("GOOGLEFINANCE($A474, C$2)"),10.53)</f>
        <v>10.53</v>
      </c>
      <c r="D474" s="4">
        <f>IFERROR(__xludf.DUMMYFUNCTION("GOOGLEFINANCE($A474, D$2)"),0.0)</f>
        <v>0</v>
      </c>
      <c r="E474" s="4" t="str">
        <f>IFERROR(__xludf.DUMMYFUNCTION("GOOGLEFINANCE($A474, E$2)"),"#N/A")</f>
        <v>#N/A</v>
      </c>
      <c r="F474" s="4">
        <f>IFERROR(__xludf.DUMMYFUNCTION("GOOGLEFINANCE($A474, F$2)"),-0.15)</f>
        <v>-0.15</v>
      </c>
      <c r="G474" s="4">
        <f>IFERROR(__xludf.DUMMYFUNCTION("GOOGLEFINANCE($A474, G$2)"),10.53)</f>
        <v>10.53</v>
      </c>
      <c r="H474" s="4">
        <f>IFERROR(__xludf.DUMMYFUNCTION("GOOGLEFINANCE($A474, H$2)"),10.23)</f>
        <v>10.23</v>
      </c>
      <c r="I474" s="4" t="str">
        <f>IFERROR(__xludf.DUMMYFUNCTION("REPLACE(JOIN("";"", INDEX(TRANSPOSE(GOOGLEFINANCE($A474, $I$2, TODAY() - 30, TODAY(), 1)), 2)), 1, 6, """")"),"11,01;10,85;10,87;10,87;10,75;10,8;10,85;10,9;10,9;10,81;10,78;10,7;10,5;10,5;10,43;10,31;10,24;10,53")</f>
        <v>11,01;10,85;10,87;10,87;10,75;10,8;10,85;10,9;10,9;10,81;10,78;10,7;10,5;10,5;10,43;10,31;10,24;10,53</v>
      </c>
    </row>
    <row r="475">
      <c r="A475" s="3" t="s">
        <v>960</v>
      </c>
      <c r="B475" s="4" t="s">
        <v>961</v>
      </c>
      <c r="C475" s="4">
        <f>IFERROR(__xludf.DUMMYFUNCTION("GOOGLEFINANCE($A475, C$2)"),73.02)</f>
        <v>73.02</v>
      </c>
      <c r="D475" s="4">
        <f>IFERROR(__xludf.DUMMYFUNCTION("GOOGLEFINANCE($A475, D$2)"),0.0)</f>
        <v>0</v>
      </c>
      <c r="E475" s="4">
        <f>IFERROR(__xludf.DUMMYFUNCTION("GOOGLEFINANCE($A475, E$2)"),253.94)</f>
        <v>253.94</v>
      </c>
      <c r="F475" s="4">
        <f>IFERROR(__xludf.DUMMYFUNCTION("GOOGLEFINANCE($A475, F$2)"),0.29)</f>
        <v>0.29</v>
      </c>
      <c r="G475" s="4">
        <f>IFERROR(__xludf.DUMMYFUNCTION("GOOGLEFINANCE($A475, G$2)"),73.28)</f>
        <v>73.28</v>
      </c>
      <c r="H475" s="4">
        <f>IFERROR(__xludf.DUMMYFUNCTION("GOOGLEFINANCE($A475, H$2)"),71.32)</f>
        <v>71.32</v>
      </c>
      <c r="I475" s="4" t="str">
        <f>IFERROR(__xludf.DUMMYFUNCTION("REPLACE(JOIN("";"", INDEX(TRANSPOSE(GOOGLEFINANCE($A475, $I$2, TODAY() - 30, TODAY(), 1)), 2)), 1, 6, """")"),"67,3;66,39;63,51;65,01;65,7;67,8;68,55;71;73,4;74,9;73,5;74,25;72,6;72,36;73,8;73,68;72;73,02")</f>
        <v>67,3;66,39;63,51;65,01;65,7;67,8;68,55;71;73,4;74,9;73,5;74,25;72,6;72,36;73,8;73,68;72;73,02</v>
      </c>
    </row>
    <row r="476">
      <c r="A476" s="3" t="s">
        <v>962</v>
      </c>
      <c r="B476" s="4" t="s">
        <v>963</v>
      </c>
      <c r="C476" s="4">
        <f>IFERROR(__xludf.DUMMYFUNCTION("GOOGLEFINANCE($A476, C$2)"),213.0)</f>
        <v>213</v>
      </c>
      <c r="D476" s="4">
        <f>IFERROR(__xludf.DUMMYFUNCTION("GOOGLEFINANCE($A476, D$2)"),0.0)</f>
        <v>0</v>
      </c>
      <c r="E476" s="4" t="str">
        <f>IFERROR(__xludf.DUMMYFUNCTION("GOOGLEFINANCE($A476, E$2)"),"#N/A")</f>
        <v>#N/A</v>
      </c>
      <c r="F476" s="4" t="str">
        <f>IFERROR(__xludf.DUMMYFUNCTION("GOOGLEFINANCE($A476, F$2)"),"#N/A")</f>
        <v>#N/A</v>
      </c>
      <c r="G476" s="4">
        <f>IFERROR(__xludf.DUMMYFUNCTION("GOOGLEFINANCE($A476, G$2)"),213.2)</f>
        <v>213.2</v>
      </c>
      <c r="H476" s="4">
        <f>IFERROR(__xludf.DUMMYFUNCTION("GOOGLEFINANCE($A476, H$2)"),212.8)</f>
        <v>212.8</v>
      </c>
      <c r="I476" s="4" t="str">
        <f>IFERROR(__xludf.DUMMYFUNCTION("REPLACE(JOIN("";"", INDEX(TRANSPOSE(GOOGLEFINANCE($A476, $I$2, TODAY() - 30, TODAY(), 1)), 2)), 1, 6, """")"),"214,41;206,8;207,7;203,5;199,99;194;198,85;198,35;202,65;207,8;207;204,4;201,2;207;221,4;213;213")</f>
        <v>214,41;206,8;207,7;203,5;199,99;194;198,85;198,35;202,65;207,8;207;204,4;201,2;207;221,4;213;213</v>
      </c>
    </row>
    <row r="477">
      <c r="A477" s="3" t="s">
        <v>964</v>
      </c>
      <c r="B477" s="4" t="s">
        <v>965</v>
      </c>
      <c r="C477" s="4">
        <f>IFERROR(__xludf.DUMMYFUNCTION("GOOGLEFINANCE($A477, C$2)"),11.73)</f>
        <v>11.73</v>
      </c>
      <c r="D477" s="4">
        <f>IFERROR(__xludf.DUMMYFUNCTION("GOOGLEFINANCE($A477, D$2)"),0.0)</f>
        <v>0</v>
      </c>
      <c r="E477" s="4">
        <f>IFERROR(__xludf.DUMMYFUNCTION("GOOGLEFINANCE($A477, E$2)"),35.68)</f>
        <v>35.68</v>
      </c>
      <c r="F477" s="4">
        <f>IFERROR(__xludf.DUMMYFUNCTION("GOOGLEFINANCE($A477, F$2)"),0.33)</f>
        <v>0.33</v>
      </c>
      <c r="G477" s="4">
        <f>IFERROR(__xludf.DUMMYFUNCTION("GOOGLEFINANCE($A477, G$2)"),11.73)</f>
        <v>11.73</v>
      </c>
      <c r="H477" s="4">
        <f>IFERROR(__xludf.DUMMYFUNCTION("GOOGLEFINANCE($A477, H$2)"),11.5)</f>
        <v>11.5</v>
      </c>
      <c r="I477" s="4" t="str">
        <f>IFERROR(__xludf.DUMMYFUNCTION("REPLACE(JOIN("";"", INDEX(TRANSPOSE(GOOGLEFINANCE($A477, $I$2, TODAY() - 30, TODAY(), 1)), 2)), 1, 6, """")"),"11,65;11,7;11,75;11,75;11,75;11,74;11,74;11,7;11,7;11,7;11,69;11,75;11,75;11,75;11,73")</f>
        <v>11,65;11,7;11,75;11,75;11,75;11,74;11,74;11,7;11,7;11,7;11,69;11,75;11,75;11,75;11,73</v>
      </c>
    </row>
    <row r="478">
      <c r="A478" s="3" t="s">
        <v>966</v>
      </c>
      <c r="B478" s="4" t="s">
        <v>967</v>
      </c>
      <c r="C478" s="4">
        <f>IFERROR(__xludf.DUMMYFUNCTION("GOOGLEFINANCE($A478, C$2)"),510.0)</f>
        <v>510</v>
      </c>
      <c r="D478" s="4">
        <f>IFERROR(__xludf.DUMMYFUNCTION("GOOGLEFINANCE($A478, D$2)"),0.0)</f>
        <v>0</v>
      </c>
      <c r="E478" s="4" t="str">
        <f>IFERROR(__xludf.DUMMYFUNCTION("GOOGLEFINANCE($A478, E$2)"),"#N/A")</f>
        <v>#N/A</v>
      </c>
      <c r="F478" s="4" t="str">
        <f>IFERROR(__xludf.DUMMYFUNCTION("GOOGLEFINANCE($A478, F$2)"),"#N/A")</f>
        <v>#N/A</v>
      </c>
      <c r="G478" s="4">
        <f>IFERROR(__xludf.DUMMYFUNCTION("GOOGLEFINANCE($A478, G$2)"),520.0)</f>
        <v>520</v>
      </c>
      <c r="H478" s="4">
        <f>IFERROR(__xludf.DUMMYFUNCTION("GOOGLEFINANCE($A478, H$2)"),506.0)</f>
        <v>506</v>
      </c>
      <c r="I478" s="4" t="str">
        <f>IFERROR(__xludf.DUMMYFUNCTION("REPLACE(JOIN("";"", INDEX(TRANSPOSE(GOOGLEFINANCE($A478, $I$2, TODAY() - 30, TODAY(), 1)), 2)), 1, 6, """")"),"597;588,1;558,1;551,3;554,2;551,5;538,95;527,4;542,4;540,2;531;523,9;527;526,5;523;524;517;510")</f>
        <v>597;588,1;558,1;551,3;554,2;551,5;538,95;527,4;542,4;540,2;531;523,9;527;526,5;523;524;517;510</v>
      </c>
    </row>
    <row r="479">
      <c r="A479" s="3" t="s">
        <v>968</v>
      </c>
      <c r="B479" s="4" t="s">
        <v>969</v>
      </c>
      <c r="C479" s="4">
        <f>IFERROR(__xludf.DUMMYFUNCTION("GOOGLEFINANCE($A479, C$2)"),65.1)</f>
        <v>65.1</v>
      </c>
      <c r="D479" s="4">
        <f>IFERROR(__xludf.DUMMYFUNCTION("GOOGLEFINANCE($A479, D$2)"),0.0)</f>
        <v>0</v>
      </c>
      <c r="E479" s="4">
        <f>IFERROR(__xludf.DUMMYFUNCTION("GOOGLEFINANCE($A479, E$2)"),56.31)</f>
        <v>56.31</v>
      </c>
      <c r="F479" s="4">
        <f>IFERROR(__xludf.DUMMYFUNCTION("GOOGLEFINANCE($A479, F$2)"),1.16)</f>
        <v>1.16</v>
      </c>
      <c r="G479" s="4">
        <f>IFERROR(__xludf.DUMMYFUNCTION("GOOGLEFINANCE($A479, G$2)"),65.11)</f>
        <v>65.11</v>
      </c>
      <c r="H479" s="4">
        <f>IFERROR(__xludf.DUMMYFUNCTION("GOOGLEFINANCE($A479, H$2)"),63.6)</f>
        <v>63.6</v>
      </c>
      <c r="I479" s="4" t="str">
        <f>IFERROR(__xludf.DUMMYFUNCTION("REPLACE(JOIN("";"", INDEX(TRANSPOSE(GOOGLEFINANCE($A479, $I$2, TODAY() - 30, TODAY(), 1)), 2)), 1, 6, """")"),"67,51;65,96;64,9;67,24;63,88;63,95;67,51;68,8;69,6;68,87;69,26;68,52;67,35;66,96;66,9;65,91;64,61;65,1")</f>
        <v>67,51;65,96;64,9;67,24;63,88;63,95;67,51;68,8;69,6;68,87;69,26;68,52;67,35;66,96;66,9;65,91;64,61;65,1</v>
      </c>
    </row>
    <row r="480">
      <c r="A480" s="3" t="s">
        <v>970</v>
      </c>
      <c r="B480" s="4" t="s">
        <v>971</v>
      </c>
      <c r="C480" s="4">
        <f>IFERROR(__xludf.DUMMYFUNCTION("GOOGLEFINANCE($A480, C$2)"),486.0)</f>
        <v>486</v>
      </c>
      <c r="D480" s="4">
        <f>IFERROR(__xludf.DUMMYFUNCTION("GOOGLEFINANCE($A480, D$2)"),0.0)</f>
        <v>0</v>
      </c>
      <c r="E480" s="4" t="str">
        <f>IFERROR(__xludf.DUMMYFUNCTION("GOOGLEFINANCE($A480, E$2)"),"#N/A")</f>
        <v>#N/A</v>
      </c>
      <c r="F480" s="4" t="str">
        <f>IFERROR(__xludf.DUMMYFUNCTION("GOOGLEFINANCE($A480, F$2)"),"#N/A")</f>
        <v>#N/A</v>
      </c>
      <c r="G480" s="4">
        <f>IFERROR(__xludf.DUMMYFUNCTION("GOOGLEFINANCE($A480, G$2)"),486.6)</f>
        <v>486.6</v>
      </c>
      <c r="H480" s="4">
        <f>IFERROR(__xludf.DUMMYFUNCTION("GOOGLEFINANCE($A480, H$2)"),480.0)</f>
        <v>480</v>
      </c>
      <c r="I480" s="4" t="str">
        <f>IFERROR(__xludf.DUMMYFUNCTION("REPLACE(JOIN("";"", INDEX(TRANSPOSE(GOOGLEFINANCE($A480, $I$2, TODAY() - 30, TODAY(), 1)), 2)), 1, 6, """")"),"445,9;436;427,09;429,9;421,1;430,3;413;417,6;422,4;418,6;432;439,7;451;475,21;481;486")</f>
        <v>445,9;436;427,09;429,9;421,1;430,3;413;417,6;422,4;418,6;432;439,7;451;475,21;481;486</v>
      </c>
    </row>
    <row r="481">
      <c r="A481" s="3" t="s">
        <v>972</v>
      </c>
      <c r="B481" s="4" t="s">
        <v>973</v>
      </c>
      <c r="C481" s="4">
        <f>IFERROR(__xludf.DUMMYFUNCTION("GOOGLEFINANCE($A481, C$2)"),21.58)</f>
        <v>21.58</v>
      </c>
      <c r="D481" s="4">
        <f>IFERROR(__xludf.DUMMYFUNCTION("GOOGLEFINANCE($A481, D$2)"),0.0)</f>
        <v>0</v>
      </c>
      <c r="E481" s="4">
        <f>IFERROR(__xludf.DUMMYFUNCTION("GOOGLEFINANCE($A481, E$2)"),86.55)</f>
        <v>86.55</v>
      </c>
      <c r="F481" s="4">
        <f>IFERROR(__xludf.DUMMYFUNCTION("GOOGLEFINANCE($A481, F$2)"),0.25)</f>
        <v>0.25</v>
      </c>
      <c r="G481" s="4">
        <f>IFERROR(__xludf.DUMMYFUNCTION("GOOGLEFINANCE($A481, G$2)"),21.72)</f>
        <v>21.72</v>
      </c>
      <c r="H481" s="4">
        <f>IFERROR(__xludf.DUMMYFUNCTION("GOOGLEFINANCE($A481, H$2)"),21.26)</f>
        <v>21.26</v>
      </c>
      <c r="I481" s="4" t="str">
        <f>IFERROR(__xludf.DUMMYFUNCTION("REPLACE(JOIN("";"", INDEX(TRANSPOSE(GOOGLEFINANCE($A481, $I$2, TODAY() - 30, TODAY(), 1)), 2)), 1, 6, """")"),"18,94;18,55;19,02;19,2;18,82;19,13;19,67;19,62;19,87;19,65;21,16;20,51;20,63;21,15;21,7;21,47;21,36;21,58")</f>
        <v>18,94;18,55;19,02;19,2;18,82;19,13;19,67;19,62;19,87;19,65;21,16;20,51;20,63;21,15;21,7;21,47;21,36;21,58</v>
      </c>
    </row>
    <row r="482">
      <c r="A482" s="3" t="s">
        <v>974</v>
      </c>
      <c r="B482" s="4" t="s">
        <v>975</v>
      </c>
      <c r="C482" s="4">
        <f>IFERROR(__xludf.DUMMYFUNCTION("GOOGLEFINANCE($A482, C$2)"),11.44)</f>
        <v>11.44</v>
      </c>
      <c r="D482" s="4">
        <f>IFERROR(__xludf.DUMMYFUNCTION("GOOGLEFINANCE($A482, D$2)"),0.0)</f>
        <v>0</v>
      </c>
      <c r="E482" s="4" t="str">
        <f>IFERROR(__xludf.DUMMYFUNCTION("GOOGLEFINANCE($A482, E$2)"),"#N/A")</f>
        <v>#N/A</v>
      </c>
      <c r="F482" s="4">
        <f>IFERROR(__xludf.DUMMYFUNCTION("GOOGLEFINANCE($A482, F$2)"),-33.23)</f>
        <v>-33.23</v>
      </c>
      <c r="G482" s="4">
        <f>IFERROR(__xludf.DUMMYFUNCTION("GOOGLEFINANCE($A482, G$2)"),11.48)</f>
        <v>11.48</v>
      </c>
      <c r="H482" s="4">
        <f>IFERROR(__xludf.DUMMYFUNCTION("GOOGLEFINANCE($A482, H$2)"),11.02)</f>
        <v>11.02</v>
      </c>
      <c r="I482" s="4" t="str">
        <f>IFERROR(__xludf.DUMMYFUNCTION("REPLACE(JOIN("";"", INDEX(TRANSPOSE(GOOGLEFINANCE($A482, $I$2, TODAY() - 30, TODAY(), 1)), 2)), 1, 6, """")"),"11,5;11,56;11,44;11,7;11,9;11,89;11,7;12,77;12,49;12,4;12,51;12,8;12,39;11,81;11,74;11,71;11,28;11,44")</f>
        <v>11,5;11,56;11,44;11,7;11,9;11,89;11,7;12,77;12,49;12,4;12,51;12,8;12,39;11,81;11,74;11,71;11,28;11,44</v>
      </c>
    </row>
    <row r="483">
      <c r="A483" s="3" t="s">
        <v>976</v>
      </c>
      <c r="B483" s="4" t="s">
        <v>977</v>
      </c>
      <c r="C483" s="4">
        <f>IFERROR(__xludf.DUMMYFUNCTION("GOOGLEFINANCE($A483, C$2)"),4.15)</f>
        <v>4.15</v>
      </c>
      <c r="D483" s="4">
        <f>IFERROR(__xludf.DUMMYFUNCTION("GOOGLEFINANCE($A483, D$2)"),0.0)</f>
        <v>0</v>
      </c>
      <c r="E483" s="4" t="str">
        <f>IFERROR(__xludf.DUMMYFUNCTION("GOOGLEFINANCE($A483, E$2)"),"#N/A")</f>
        <v>#N/A</v>
      </c>
      <c r="F483" s="4">
        <f>IFERROR(__xludf.DUMMYFUNCTION("GOOGLEFINANCE($A483, F$2)"),-33.23)</f>
        <v>-33.23</v>
      </c>
      <c r="G483" s="4">
        <f>IFERROR(__xludf.DUMMYFUNCTION("GOOGLEFINANCE($A483, G$2)"),4.28)</f>
        <v>4.28</v>
      </c>
      <c r="H483" s="4">
        <f>IFERROR(__xludf.DUMMYFUNCTION("GOOGLEFINANCE($A483, H$2)"),4.15)</f>
        <v>4.15</v>
      </c>
      <c r="I483" s="4" t="str">
        <f>IFERROR(__xludf.DUMMYFUNCTION("REPLACE(JOIN("";"", INDEX(TRANSPOSE(GOOGLEFINANCE($A483, $I$2, TODAY() - 30, TODAY(), 1)), 2)), 1, 6, """")"),"4,3;4,3;4,29;4,27;4,29;4,31;4,36;4,7;4,54;4,5;4,51;4,53;4,39;4,36;4,23;4,25;4,26;4,15")</f>
        <v>4,3;4,3;4,29;4,27;4,29;4,31;4,36;4,7;4,54;4,5;4,51;4,53;4,39;4,36;4,23;4,25;4,26;4,15</v>
      </c>
    </row>
    <row r="484">
      <c r="A484" s="3" t="s">
        <v>978</v>
      </c>
      <c r="B484" s="4" t="s">
        <v>979</v>
      </c>
      <c r="C484" s="4">
        <f>IFERROR(__xludf.DUMMYFUNCTION("GOOGLEFINANCE($A484, C$2)"),3.51)</f>
        <v>3.51</v>
      </c>
      <c r="D484" s="4">
        <f>IFERROR(__xludf.DUMMYFUNCTION("GOOGLEFINANCE($A484, D$2)"),0.0)</f>
        <v>0</v>
      </c>
      <c r="E484" s="4" t="str">
        <f>IFERROR(__xludf.DUMMYFUNCTION("GOOGLEFINANCE($A484, E$2)"),"#N/A")</f>
        <v>#N/A</v>
      </c>
      <c r="F484" s="4">
        <f>IFERROR(__xludf.DUMMYFUNCTION("GOOGLEFINANCE($A484, F$2)"),-33.23)</f>
        <v>-33.23</v>
      </c>
      <c r="G484" s="4">
        <f>IFERROR(__xludf.DUMMYFUNCTION("GOOGLEFINANCE($A484, G$2)"),3.66)</f>
        <v>3.66</v>
      </c>
      <c r="H484" s="4">
        <f>IFERROR(__xludf.DUMMYFUNCTION("GOOGLEFINANCE($A484, H$2)"),3.51)</f>
        <v>3.51</v>
      </c>
      <c r="I484" s="4" t="str">
        <f>IFERROR(__xludf.DUMMYFUNCTION("REPLACE(JOIN("";"", INDEX(TRANSPOSE(GOOGLEFINANCE($A484, $I$2, TODAY() - 30, TODAY(), 1)), 2)), 1, 6, """")"),"3,69;3,71;3,61;3,66;3,57;3,65;3,78;3,9;3,94;3,89;3,92;4,1;4,05;3,97;3,74;3,69;3,55;3,51")</f>
        <v>3,69;3,71;3,61;3,66;3,57;3,65;3,78;3,9;3,94;3,89;3,92;4,1;4,05;3,97;3,74;3,69;3,55;3,51</v>
      </c>
    </row>
    <row r="485">
      <c r="A485" s="3" t="s">
        <v>980</v>
      </c>
      <c r="B485" s="4" t="s">
        <v>981</v>
      </c>
      <c r="C485" s="4">
        <f>IFERROR(__xludf.DUMMYFUNCTION("GOOGLEFINANCE($A485, C$2)"),26.15)</f>
        <v>26.15</v>
      </c>
      <c r="D485" s="4">
        <f>IFERROR(__xludf.DUMMYFUNCTION("GOOGLEFINANCE($A485, D$2)"),0.0)</f>
        <v>0</v>
      </c>
      <c r="E485" s="4">
        <f>IFERROR(__xludf.DUMMYFUNCTION("GOOGLEFINANCE($A485, E$2)"),9.72)</f>
        <v>9.72</v>
      </c>
      <c r="F485" s="4">
        <f>IFERROR(__xludf.DUMMYFUNCTION("GOOGLEFINANCE($A485, F$2)"),2.69)</f>
        <v>2.69</v>
      </c>
      <c r="G485" s="4">
        <f>IFERROR(__xludf.DUMMYFUNCTION("GOOGLEFINANCE($A485, G$2)"),26.99)</f>
        <v>26.99</v>
      </c>
      <c r="H485" s="4">
        <f>IFERROR(__xludf.DUMMYFUNCTION("GOOGLEFINANCE($A485, H$2)"),25.53)</f>
        <v>25.53</v>
      </c>
      <c r="I485" s="4" t="str">
        <f>IFERROR(__xludf.DUMMYFUNCTION("REPLACE(JOIN("";"", INDEX(TRANSPOSE(GOOGLEFINANCE($A485, $I$2, TODAY() - 30, TODAY(), 1)), 2)), 1, 6, """")"),"16,79;16,47;15,96;16,67;15,88;17,63;17,59;17,76;17,26;17,39;18,25;18,5;21,19;21,42;24,1;25,12;26,26;26,15")</f>
        <v>16,79;16,47;15,96;16,67;15,88;17,63;17,59;17,76;17,26;17,39;18,25;18,5;21,19;21,42;24,1;25,12;26,26;26,15</v>
      </c>
    </row>
    <row r="486">
      <c r="A486" s="3" t="s">
        <v>982</v>
      </c>
      <c r="B486" s="4" t="s">
        <v>983</v>
      </c>
      <c r="C486" s="4">
        <f>IFERROR(__xludf.DUMMYFUNCTION("GOOGLEFINANCE($A486, C$2)"),324.03)</f>
        <v>324.03</v>
      </c>
      <c r="D486" s="4">
        <f>IFERROR(__xludf.DUMMYFUNCTION("GOOGLEFINANCE($A486, D$2)"),0.0)</f>
        <v>0</v>
      </c>
      <c r="E486" s="4" t="str">
        <f>IFERROR(__xludf.DUMMYFUNCTION("GOOGLEFINANCE($A486, E$2)"),"#N/A")</f>
        <v>#N/A</v>
      </c>
      <c r="F486" s="4" t="str">
        <f>IFERROR(__xludf.DUMMYFUNCTION("GOOGLEFINANCE($A486, F$2)"),"#N/A")</f>
        <v>#N/A</v>
      </c>
      <c r="G486" s="4">
        <f>IFERROR(__xludf.DUMMYFUNCTION("GOOGLEFINANCE($A486, G$2)"),324.03)</f>
        <v>324.03</v>
      </c>
      <c r="H486" s="4">
        <f>IFERROR(__xludf.DUMMYFUNCTION("GOOGLEFINANCE($A486, H$2)"),324.03)</f>
        <v>324.03</v>
      </c>
      <c r="I486" s="4" t="str">
        <f>IFERROR(__xludf.DUMMYFUNCTION("REPLACE(JOIN("";"", INDEX(TRANSPOSE(GOOGLEFINANCE($A486, $I$2, TODAY() - 30, TODAY(), 1)), 2)), 1, 6, """")"),"311,07;298;295,63;310,38;305,03;307,47;310,23;318,6;321,72;321,73;323,33;322;326,43;320,37;324,03")</f>
        <v>311,07;298;295,63;310,38;305,03;307,47;310,23;318,6;321,72;321,73;323,33;322;326,43;320,37;324,03</v>
      </c>
    </row>
    <row r="487">
      <c r="A487" s="3" t="s">
        <v>984</v>
      </c>
      <c r="B487" s="4" t="s">
        <v>985</v>
      </c>
      <c r="C487" s="4">
        <f>IFERROR(__xludf.DUMMYFUNCTION("GOOGLEFINANCE($A487, C$2)"),6.86)</f>
        <v>6.86</v>
      </c>
      <c r="D487" s="4">
        <f>IFERROR(__xludf.DUMMYFUNCTION("GOOGLEFINANCE($A487, D$2)"),0.0)</f>
        <v>0</v>
      </c>
      <c r="E487" s="4">
        <f>IFERROR(__xludf.DUMMYFUNCTION("GOOGLEFINANCE($A487, E$2)"),14.1)</f>
        <v>14.1</v>
      </c>
      <c r="F487" s="4">
        <f>IFERROR(__xludf.DUMMYFUNCTION("GOOGLEFINANCE($A487, F$2)"),0.49)</f>
        <v>0.49</v>
      </c>
      <c r="G487" s="4">
        <f>IFERROR(__xludf.DUMMYFUNCTION("GOOGLEFINANCE($A487, G$2)"),6.99)</f>
        <v>6.99</v>
      </c>
      <c r="H487" s="4">
        <f>IFERROR(__xludf.DUMMYFUNCTION("GOOGLEFINANCE($A487, H$2)"),6.86)</f>
        <v>6.86</v>
      </c>
      <c r="I487" s="4" t="str">
        <f>IFERROR(__xludf.DUMMYFUNCTION("REPLACE(JOIN("";"", INDEX(TRANSPOSE(GOOGLEFINANCE($A487, $I$2, TODAY() - 30, TODAY(), 1)), 2)), 1, 6, """")"),"7,69;7,62;7,41;7,39;7,3;7,26;7,2;7,76;7,55;7,42;7,19;7;6,9;6,81;6,86")</f>
        <v>7,69;7,62;7,41;7,39;7,3;7,26;7,2;7,76;7,55;7,42;7,19;7;6,9;6,81;6,86</v>
      </c>
    </row>
    <row r="488">
      <c r="A488" s="3" t="s">
        <v>986</v>
      </c>
      <c r="B488" s="4" t="s">
        <v>987</v>
      </c>
      <c r="C488" s="4">
        <f>IFERROR(__xludf.DUMMYFUNCTION("GOOGLEFINANCE($A488, C$2)"),9.29)</f>
        <v>9.29</v>
      </c>
      <c r="D488" s="4">
        <f>IFERROR(__xludf.DUMMYFUNCTION("GOOGLEFINANCE($A488, D$2)"),0.0)</f>
        <v>0</v>
      </c>
      <c r="E488" s="4">
        <f>IFERROR(__xludf.DUMMYFUNCTION("GOOGLEFINANCE($A488, E$2)"),19.1)</f>
        <v>19.1</v>
      </c>
      <c r="F488" s="4">
        <f>IFERROR(__xludf.DUMMYFUNCTION("GOOGLEFINANCE($A488, F$2)"),0.49)</f>
        <v>0.49</v>
      </c>
      <c r="G488" s="4" t="str">
        <f>IFERROR(__xludf.DUMMYFUNCTION("GOOGLEFINANCE($A488, G$2)"),"#N/A")</f>
        <v>#N/A</v>
      </c>
      <c r="H488" s="4" t="str">
        <f>IFERROR(__xludf.DUMMYFUNCTION("GOOGLEFINANCE($A488, H$2)"),"#N/A")</f>
        <v>#N/A</v>
      </c>
      <c r="I488" s="4" t="str">
        <f>IFERROR(__xludf.DUMMYFUNCTION("REPLACE(JOIN("";"", INDEX(TRANSPOSE(GOOGLEFINANCE($A488, $I$2, TODAY() - 30, TODAY(), 1)), 2)), 1, 6, """")"),"9,7;9,5;9,95;9,15;9,11;9,11;9,29;9,26;9,43;9,21;9,21;9,15;9,29")</f>
        <v>9,7;9,5;9,95;9,15;9,11;9,11;9,29;9,26;9,43;9,21;9,21;9,15;9,29</v>
      </c>
    </row>
    <row r="489">
      <c r="A489" s="3" t="s">
        <v>988</v>
      </c>
      <c r="B489" s="4" t="s">
        <v>989</v>
      </c>
      <c r="C489" s="4">
        <f>IFERROR(__xludf.DUMMYFUNCTION("GOOGLEFINANCE($A489, C$2)"),5.82)</f>
        <v>5.82</v>
      </c>
      <c r="D489" s="4">
        <f>IFERROR(__xludf.DUMMYFUNCTION("GOOGLEFINANCE($A489, D$2)"),0.0)</f>
        <v>0</v>
      </c>
      <c r="E489" s="4">
        <f>IFERROR(__xludf.DUMMYFUNCTION("GOOGLEFINANCE($A489, E$2)"),11.97)</f>
        <v>11.97</v>
      </c>
      <c r="F489" s="4">
        <f>IFERROR(__xludf.DUMMYFUNCTION("GOOGLEFINANCE($A489, F$2)"),0.49)</f>
        <v>0.49</v>
      </c>
      <c r="G489" s="4" t="str">
        <f>IFERROR(__xludf.DUMMYFUNCTION("GOOGLEFINANCE($A489, G$2)"),"#N/A")</f>
        <v>#N/A</v>
      </c>
      <c r="H489" s="4" t="str">
        <f>IFERROR(__xludf.DUMMYFUNCTION("GOOGLEFINANCE($A489, H$2)"),"#N/A")</f>
        <v>#N/A</v>
      </c>
      <c r="I489" s="4" t="str">
        <f>IFERROR(__xludf.DUMMYFUNCTION("REPLACE(JOIN("";"", INDEX(TRANSPOSE(GOOGLEFINANCE($A489, $I$2, TODAY() - 30, TODAY(), 1)), 2)), 1, 6, """")"),"6,4;6,31;6,21;5,99;6,1;5,88;5,88;5,86;5,72;5,77;5,71;5,75;5,63;5,82")</f>
        <v>6,4;6,31;6,21;5,99;6,1;5,88;5,88;5,86;5,72;5,77;5,71;5,75;5,63;5,82</v>
      </c>
    </row>
    <row r="490">
      <c r="A490" s="3" t="s">
        <v>990</v>
      </c>
      <c r="B490" s="4" t="s">
        <v>991</v>
      </c>
      <c r="C490" s="4">
        <f>IFERROR(__xludf.DUMMYFUNCTION("GOOGLEFINANCE($A490, C$2)"),3.16)</f>
        <v>3.16</v>
      </c>
      <c r="D490" s="4">
        <f>IFERROR(__xludf.DUMMYFUNCTION("GOOGLEFINANCE($A490, D$2)"),0.0)</f>
        <v>0</v>
      </c>
      <c r="E490" s="4" t="str">
        <f>IFERROR(__xludf.DUMMYFUNCTION("GOOGLEFINANCE($A490, E$2)"),"#N/A")</f>
        <v>#N/A</v>
      </c>
      <c r="F490" s="4">
        <f>IFERROR(__xludf.DUMMYFUNCTION("GOOGLEFINANCE($A490, F$2)"),-5.2)</f>
        <v>-5.2</v>
      </c>
      <c r="G490" s="4">
        <f>IFERROR(__xludf.DUMMYFUNCTION("GOOGLEFINANCE($A490, G$2)"),3.22)</f>
        <v>3.22</v>
      </c>
      <c r="H490" s="4">
        <f>IFERROR(__xludf.DUMMYFUNCTION("GOOGLEFINANCE($A490, H$2)"),3.02)</f>
        <v>3.02</v>
      </c>
      <c r="I490" s="4" t="str">
        <f>IFERROR(__xludf.DUMMYFUNCTION("REPLACE(JOIN("";"", INDEX(TRANSPOSE(GOOGLEFINANCE($A490, $I$2, TODAY() - 30, TODAY(), 1)), 2)), 1, 6, """")"),"2,81;2,8;3,03;3,2;3,11;3,36;3,25;3,34;3,33;3,26;3,25;3,18;3,17;3,2;3,3;3,21;3,2;3,16")</f>
        <v>2,81;2,8;3,03;3,2;3,11;3,36;3,25;3,34;3,33;3,26;3,25;3,18;3,17;3,2;3,3;3,21;3,2;3,16</v>
      </c>
    </row>
    <row r="491">
      <c r="A491" s="3" t="s">
        <v>992</v>
      </c>
      <c r="B491" s="4" t="s">
        <v>993</v>
      </c>
      <c r="C491" s="4">
        <f>IFERROR(__xludf.DUMMYFUNCTION("GOOGLEFINANCE($A491, C$2)"),13.33)</f>
        <v>13.33</v>
      </c>
      <c r="D491" s="4">
        <f>IFERROR(__xludf.DUMMYFUNCTION("GOOGLEFINANCE($A491, D$2)"),0.0)</f>
        <v>0</v>
      </c>
      <c r="E491" s="4" t="str">
        <f>IFERROR(__xludf.DUMMYFUNCTION("GOOGLEFINANCE($A491, E$2)"),"#N/A")</f>
        <v>#N/A</v>
      </c>
      <c r="F491" s="4">
        <f>IFERROR(__xludf.DUMMYFUNCTION("GOOGLEFINANCE($A491, F$2)"),-12.2)</f>
        <v>-12.2</v>
      </c>
      <c r="G491" s="4">
        <f>IFERROR(__xludf.DUMMYFUNCTION("GOOGLEFINANCE($A491, G$2)"),13.88)</f>
        <v>13.88</v>
      </c>
      <c r="H491" s="4">
        <f>IFERROR(__xludf.DUMMYFUNCTION("GOOGLEFINANCE($A491, H$2)"),13.0)</f>
        <v>13</v>
      </c>
      <c r="I491" s="4" t="str">
        <f>IFERROR(__xludf.DUMMYFUNCTION("REPLACE(JOIN("";"", INDEX(TRANSPOSE(GOOGLEFINANCE($A491, $I$2, TODAY() - 30, TODAY(), 1)), 2)), 1, 6, """")"),"12,2;14,5;13,18;13,1;12,41;12,49;14,1;14,02;13,71;13,23;13,34;13,84;13,06;13,06;13,48;13,23;13,39;13,33")</f>
        <v>12,2;14,5;13,18;13,1;12,41;12,49;14,1;14,02;13,71;13,23;13,34;13,84;13,06;13,06;13,48;13,23;13,39;13,33</v>
      </c>
    </row>
    <row r="492">
      <c r="A492" s="3" t="s">
        <v>994</v>
      </c>
      <c r="B492" s="4" t="s">
        <v>995</v>
      </c>
      <c r="C492" s="4">
        <f>IFERROR(__xludf.DUMMYFUNCTION("GOOGLEFINANCE($A492, C$2)"),66.68)</f>
        <v>66.68</v>
      </c>
      <c r="D492" s="4">
        <f>IFERROR(__xludf.DUMMYFUNCTION("GOOGLEFINANCE($A492, D$2)"),0.0)</f>
        <v>0</v>
      </c>
      <c r="E492" s="4" t="str">
        <f>IFERROR(__xludf.DUMMYFUNCTION("GOOGLEFINANCE($A492, E$2)"),"#N/A")</f>
        <v>#N/A</v>
      </c>
      <c r="F492" s="4" t="str">
        <f>IFERROR(__xludf.DUMMYFUNCTION("GOOGLEFINANCE($A492, F$2)"),"#N/A")</f>
        <v>#N/A</v>
      </c>
      <c r="G492" s="4">
        <f>IFERROR(__xludf.DUMMYFUNCTION("GOOGLEFINANCE($A492, G$2)"),66.68)</f>
        <v>66.68</v>
      </c>
      <c r="H492" s="4">
        <f>IFERROR(__xludf.DUMMYFUNCTION("GOOGLEFINANCE($A492, H$2)"),66.44)</f>
        <v>66.44</v>
      </c>
      <c r="I492" s="4" t="str">
        <f>IFERROR(__xludf.DUMMYFUNCTION("REPLACE(JOIN("";"", INDEX(TRANSPOSE(GOOGLEFINANCE($A492, $I$2, TODAY() - 30, TODAY(), 1)), 2)), 1, 6, """")"),"62,01;60,39;59,49;62,29;61,08;61,11;62,55;62,66;65,93;64,64;65,1;65,5;64,9;64,47;64,83;65,65;65,81;66,68")</f>
        <v>62,01;60,39;59,49;62,29;61,08;61,11;62,55;62,66;65,93;64,64;65,1;65,5;64,9;64,47;64,83;65,65;65,81;66,68</v>
      </c>
    </row>
    <row r="493">
      <c r="A493" s="3" t="s">
        <v>996</v>
      </c>
      <c r="B493" s="4" t="s">
        <v>997</v>
      </c>
      <c r="C493" s="4">
        <f>IFERROR(__xludf.DUMMYFUNCTION("GOOGLEFINANCE($A493, C$2)"),40.66)</f>
        <v>40.66</v>
      </c>
      <c r="D493" s="4">
        <f>IFERROR(__xludf.DUMMYFUNCTION("GOOGLEFINANCE($A493, D$2)"),0.0)</f>
        <v>0</v>
      </c>
      <c r="E493" s="4">
        <f>IFERROR(__xludf.DUMMYFUNCTION("GOOGLEFINANCE($A493, E$2)"),10.0)</f>
        <v>10</v>
      </c>
      <c r="F493" s="4">
        <f>IFERROR(__xludf.DUMMYFUNCTION("GOOGLEFINANCE($A493, F$2)"),4.07)</f>
        <v>4.07</v>
      </c>
      <c r="G493" s="4">
        <f>IFERROR(__xludf.DUMMYFUNCTION("GOOGLEFINANCE($A493, G$2)"),41.42)</f>
        <v>41.42</v>
      </c>
      <c r="H493" s="4">
        <f>IFERROR(__xludf.DUMMYFUNCTION("GOOGLEFINANCE($A493, H$2)"),40.41)</f>
        <v>40.41</v>
      </c>
      <c r="I493" s="4" t="str">
        <f>IFERROR(__xludf.DUMMYFUNCTION("REPLACE(JOIN("";"", INDEX(TRANSPOSE(GOOGLEFINANCE($A493, $I$2, TODAY() - 30, TODAY(), 1)), 2)), 1, 6, """")"),"40,6;39,29;39,04;40,61;39,26;40,8;41;40,84;41,21;41,56;40,21;40,86;40,19;40,6;40,77;41,01;40,41;40,66")</f>
        <v>40,6;39,29;39,04;40,61;39,26;40,8;41;40,84;41,21;41,56;40,21;40,86;40,19;40,6;40,77;41,01;40,41;40,66</v>
      </c>
    </row>
    <row r="494">
      <c r="A494" s="3" t="s">
        <v>998</v>
      </c>
      <c r="B494" s="4" t="s">
        <v>999</v>
      </c>
      <c r="C494" s="4">
        <f>IFERROR(__xludf.DUMMYFUNCTION("GOOGLEFINANCE($A494, C$2)"),19.6)</f>
        <v>19.6</v>
      </c>
      <c r="D494" s="4">
        <f>IFERROR(__xludf.DUMMYFUNCTION("GOOGLEFINANCE($A494, D$2)"),0.0)</f>
        <v>0</v>
      </c>
      <c r="E494" s="4">
        <f>IFERROR(__xludf.DUMMYFUNCTION("GOOGLEFINANCE($A494, E$2)"),4.82)</f>
        <v>4.82</v>
      </c>
      <c r="F494" s="4">
        <f>IFERROR(__xludf.DUMMYFUNCTION("GOOGLEFINANCE($A494, F$2)"),4.07)</f>
        <v>4.07</v>
      </c>
      <c r="G494" s="4">
        <f>IFERROR(__xludf.DUMMYFUNCTION("GOOGLEFINANCE($A494, G$2)"),19.98)</f>
        <v>19.98</v>
      </c>
      <c r="H494" s="4">
        <f>IFERROR(__xludf.DUMMYFUNCTION("GOOGLEFINANCE($A494, H$2)"),19.42)</f>
        <v>19.42</v>
      </c>
      <c r="I494" s="4" t="str">
        <f>IFERROR(__xludf.DUMMYFUNCTION("REPLACE(JOIN("";"", INDEX(TRANSPOSE(GOOGLEFINANCE($A494, $I$2, TODAY() - 30, TODAY(), 1)), 2)), 1, 6, """")"),"19,7;18,91;19,07;19,75;18,93;19,78;19,85;19,7;20;20,06;19,46;19,8;19,28;19,5;19,64;19,82;19,4;19,6")</f>
        <v>19,7;18,91;19,07;19,75;18,93;19,78;19,85;19,7;20;20,06;19,46;19,8;19,28;19,5;19,64;19,82;19,4;19,6</v>
      </c>
    </row>
    <row r="495">
      <c r="A495" s="3" t="s">
        <v>1000</v>
      </c>
      <c r="B495" s="4" t="s">
        <v>1001</v>
      </c>
      <c r="C495" s="4">
        <f>IFERROR(__xludf.DUMMYFUNCTION("GOOGLEFINANCE($A495, C$2)"),21.28)</f>
        <v>21.28</v>
      </c>
      <c r="D495" s="4">
        <f>IFERROR(__xludf.DUMMYFUNCTION("GOOGLEFINANCE($A495, D$2)"),0.0)</f>
        <v>0</v>
      </c>
      <c r="E495" s="4">
        <f>IFERROR(__xludf.DUMMYFUNCTION("GOOGLEFINANCE($A495, E$2)"),5.23)</f>
        <v>5.23</v>
      </c>
      <c r="F495" s="4">
        <f>IFERROR(__xludf.DUMMYFUNCTION("GOOGLEFINANCE($A495, F$2)"),4.07)</f>
        <v>4.07</v>
      </c>
      <c r="G495" s="4">
        <f>IFERROR(__xludf.DUMMYFUNCTION("GOOGLEFINANCE($A495, G$2)"),21.41)</f>
        <v>21.41</v>
      </c>
      <c r="H495" s="4">
        <f>IFERROR(__xludf.DUMMYFUNCTION("GOOGLEFINANCE($A495, H$2)"),21.0)</f>
        <v>21</v>
      </c>
      <c r="I495" s="4" t="str">
        <f>IFERROR(__xludf.DUMMYFUNCTION("REPLACE(JOIN("";"", INDEX(TRANSPOSE(GOOGLEFINANCE($A495, $I$2, TODAY() - 30, TODAY(), 1)), 2)), 1, 6, """")"),"20,8;20,1;20,13;20,9;20,28;21,01;21,2;21,03;21,25;21,39;20,9;21,29;20,85;21,18;21,02;21,29;21,12;21,28")</f>
        <v>20,8;20,1;20,13;20,9;20,28;21,01;21,2;21,03;21,25;21,39;20,9;21,29;20,85;21,18;21,02;21,29;21,12;21,28</v>
      </c>
    </row>
    <row r="496">
      <c r="A496" s="3" t="s">
        <v>1002</v>
      </c>
      <c r="B496" s="4" t="s">
        <v>1003</v>
      </c>
      <c r="C496" s="4">
        <f>IFERROR(__xludf.DUMMYFUNCTION("GOOGLEFINANCE($A496, C$2)"),682.0)</f>
        <v>682</v>
      </c>
      <c r="D496" s="4">
        <f>IFERROR(__xludf.DUMMYFUNCTION("GOOGLEFINANCE($A496, D$2)"),0.0)</f>
        <v>0</v>
      </c>
      <c r="E496" s="4" t="str">
        <f>IFERROR(__xludf.DUMMYFUNCTION("GOOGLEFINANCE($A496, E$2)"),"#N/A")</f>
        <v>#N/A</v>
      </c>
      <c r="F496" s="4" t="str">
        <f>IFERROR(__xludf.DUMMYFUNCTION("GOOGLEFINANCE($A496, F$2)"),"#N/A")</f>
        <v>#N/A</v>
      </c>
      <c r="G496" s="4">
        <f>IFERROR(__xludf.DUMMYFUNCTION("GOOGLEFINANCE($A496, G$2)"),686.0)</f>
        <v>686</v>
      </c>
      <c r="H496" s="4">
        <f>IFERROR(__xludf.DUMMYFUNCTION("GOOGLEFINANCE($A496, H$2)"),682.0)</f>
        <v>682</v>
      </c>
      <c r="I496" s="4" t="str">
        <f>IFERROR(__xludf.DUMMYFUNCTION("REPLACE(JOIN("";"", INDEX(TRANSPOSE(GOOGLEFINANCE($A496, $I$2, TODAY() - 30, TODAY(), 1)), 2)), 1, 6, """")"),"700,3;720;720,06;717,1;697,3;709,5;692,5;715;720;727;704,5;714;698,1;713,33;709,1;686;699,5;682")</f>
        <v>700,3;720;720,06;717,1;697,3;709,5;692,5;715;720;727;704,5;714;698,1;713,33;709,1;686;699,5;682</v>
      </c>
    </row>
    <row r="497">
      <c r="A497" s="3" t="s">
        <v>1004</v>
      </c>
      <c r="B497" s="4" t="s">
        <v>1005</v>
      </c>
      <c r="C497" s="4">
        <f>IFERROR(__xludf.DUMMYFUNCTION("GOOGLEFINANCE($A497, C$2)"),21.08)</f>
        <v>21.08</v>
      </c>
      <c r="D497" s="4">
        <f>IFERROR(__xludf.DUMMYFUNCTION("GOOGLEFINANCE($A497, D$2)"),0.0)</f>
        <v>0</v>
      </c>
      <c r="E497" s="4">
        <f>IFERROR(__xludf.DUMMYFUNCTION("GOOGLEFINANCE($A497, E$2)"),31.97)</f>
        <v>31.97</v>
      </c>
      <c r="F497" s="4">
        <f>IFERROR(__xludf.DUMMYFUNCTION("GOOGLEFINANCE($A497, F$2)"),0.66)</f>
        <v>0.66</v>
      </c>
      <c r="G497" s="4">
        <f>IFERROR(__xludf.DUMMYFUNCTION("GOOGLEFINANCE($A497, G$2)"),21.41)</f>
        <v>21.41</v>
      </c>
      <c r="H497" s="4">
        <f>IFERROR(__xludf.DUMMYFUNCTION("GOOGLEFINANCE($A497, H$2)"),20.93)</f>
        <v>20.93</v>
      </c>
      <c r="I497" s="4" t="str">
        <f>IFERROR(__xludf.DUMMYFUNCTION("REPLACE(JOIN("";"", INDEX(TRANSPOSE(GOOGLEFINANCE($A497, $I$2, TODAY() - 30, TODAY(), 1)), 2)), 1, 6, """")"),"21,68;21,48;21,79;22,09;21,8;21,86;22,28;22,26;21,79;22,21;22,03;22,47;22,03;22,28;21,98;21,69;21,32;21,08")</f>
        <v>21,68;21,48;21,79;22,09;21,8;21,86;22,28;22,26;21,79;22,21;22,03;22,47;22,03;22,28;21,98;21,69;21,32;21,08</v>
      </c>
    </row>
    <row r="498">
      <c r="A498" s="3" t="s">
        <v>1006</v>
      </c>
      <c r="B498" s="4" t="s">
        <v>1007</v>
      </c>
      <c r="C498" s="4">
        <f>IFERROR(__xludf.DUMMYFUNCTION("GOOGLEFINANCE($A498, C$2)"),4.37)</f>
        <v>4.37</v>
      </c>
      <c r="D498" s="4">
        <f>IFERROR(__xludf.DUMMYFUNCTION("GOOGLEFINANCE($A498, D$2)"),0.0)</f>
        <v>0</v>
      </c>
      <c r="E498" s="4">
        <f>IFERROR(__xludf.DUMMYFUNCTION("GOOGLEFINANCE($A498, E$2)"),6.63)</f>
        <v>6.63</v>
      </c>
      <c r="F498" s="4">
        <f>IFERROR(__xludf.DUMMYFUNCTION("GOOGLEFINANCE($A498, F$2)"),0.66)</f>
        <v>0.66</v>
      </c>
      <c r="G498" s="4">
        <f>IFERROR(__xludf.DUMMYFUNCTION("GOOGLEFINANCE($A498, G$2)"),4.51)</f>
        <v>4.51</v>
      </c>
      <c r="H498" s="4">
        <f>IFERROR(__xludf.DUMMYFUNCTION("GOOGLEFINANCE($A498, H$2)"),4.33)</f>
        <v>4.33</v>
      </c>
      <c r="I498" s="4" t="str">
        <f>IFERROR(__xludf.DUMMYFUNCTION("REPLACE(JOIN("";"", INDEX(TRANSPOSE(GOOGLEFINANCE($A498, $I$2, TODAY() - 30, TODAY(), 1)), 2)), 1, 6, """")"),"4,65;4,57;4,6;4,67;4,74;4,66;4,71;4,69;4,58;4,67;4,67;4,75;4,66;4,73;4,66;4,61;4,46;4,37")</f>
        <v>4,65;4,57;4,6;4,67;4,74;4,66;4,71;4,69;4,58;4,67;4,67;4,75;4,66;4,73;4,66;4,61;4,46;4,37</v>
      </c>
    </row>
    <row r="499">
      <c r="A499" s="3" t="s">
        <v>1008</v>
      </c>
      <c r="B499" s="4" t="s">
        <v>1009</v>
      </c>
      <c r="C499" s="4">
        <f>IFERROR(__xludf.DUMMYFUNCTION("GOOGLEFINANCE($A499, C$2)"),4.23)</f>
        <v>4.23</v>
      </c>
      <c r="D499" s="4">
        <f>IFERROR(__xludf.DUMMYFUNCTION("GOOGLEFINANCE($A499, D$2)"),0.0)</f>
        <v>0</v>
      </c>
      <c r="E499" s="4">
        <f>IFERROR(__xludf.DUMMYFUNCTION("GOOGLEFINANCE($A499, E$2)"),6.42)</f>
        <v>6.42</v>
      </c>
      <c r="F499" s="4">
        <f>IFERROR(__xludf.DUMMYFUNCTION("GOOGLEFINANCE($A499, F$2)"),0.66)</f>
        <v>0.66</v>
      </c>
      <c r="G499" s="4">
        <f>IFERROR(__xludf.DUMMYFUNCTION("GOOGLEFINANCE($A499, G$2)"),4.28)</f>
        <v>4.28</v>
      </c>
      <c r="H499" s="4">
        <f>IFERROR(__xludf.DUMMYFUNCTION("GOOGLEFINANCE($A499, H$2)"),4.2)</f>
        <v>4.2</v>
      </c>
      <c r="I499" s="4" t="str">
        <f>IFERROR(__xludf.DUMMYFUNCTION("REPLACE(JOIN("";"", INDEX(TRANSPOSE(GOOGLEFINANCE($A499, $I$2, TODAY() - 30, TODAY(), 1)), 2)), 1, 6, """")"),"4,3;4,28;4,33;4,38;4,31;4,35;4,42;4,43;4,37;4,41;4,38;4,44;4,35;4,41;4,35;4,32;4,25;4,23")</f>
        <v>4,3;4,28;4,33;4,38;4,31;4,35;4,42;4,43;4,37;4,41;4,38;4,44;4,35;4,41;4,35;4,32;4,25;4,23</v>
      </c>
    </row>
    <row r="500">
      <c r="A500" s="3" t="s">
        <v>1010</v>
      </c>
      <c r="B500" s="4" t="s">
        <v>1011</v>
      </c>
      <c r="C500" s="4">
        <f>IFERROR(__xludf.DUMMYFUNCTION("GOOGLEFINANCE($A500, C$2)"),579.77)</f>
        <v>579.77</v>
      </c>
      <c r="D500" s="4">
        <f>IFERROR(__xludf.DUMMYFUNCTION("GOOGLEFINANCE($A500, D$2)"),0.0)</f>
        <v>0</v>
      </c>
      <c r="E500" s="4" t="str">
        <f>IFERROR(__xludf.DUMMYFUNCTION("GOOGLEFINANCE($A500, E$2)"),"#N/A")</f>
        <v>#N/A</v>
      </c>
      <c r="F500" s="4" t="str">
        <f>IFERROR(__xludf.DUMMYFUNCTION("GOOGLEFINANCE($A500, F$2)"),"#N/A")</f>
        <v>#N/A</v>
      </c>
      <c r="G500" s="4">
        <f>IFERROR(__xludf.DUMMYFUNCTION("GOOGLEFINANCE($A500, G$2)"),579.77)</f>
        <v>579.77</v>
      </c>
      <c r="H500" s="4">
        <f>IFERROR(__xludf.DUMMYFUNCTION("GOOGLEFINANCE($A500, H$2)"),579.77)</f>
        <v>579.77</v>
      </c>
      <c r="I500" s="4" t="str">
        <f>IFERROR(__xludf.DUMMYFUNCTION("REPLACE(JOIN("";"", INDEX(TRANSPOSE(GOOGLEFINANCE($A500, $I$2, TODAY() - 30, TODAY(), 1)), 2)), 1, 6, """")"),"580,5;574;579,77")</f>
        <v>580,5;574;579,77</v>
      </c>
    </row>
    <row r="501">
      <c r="A501" s="3" t="s">
        <v>1012</v>
      </c>
      <c r="B501" s="4" t="s">
        <v>1013</v>
      </c>
      <c r="C501" s="4">
        <f>IFERROR(__xludf.DUMMYFUNCTION("GOOGLEFINANCE($A501, C$2)"),39.25)</f>
        <v>39.25</v>
      </c>
      <c r="D501" s="4">
        <f>IFERROR(__xludf.DUMMYFUNCTION("GOOGLEFINANCE($A501, D$2)"),0.0)</f>
        <v>0</v>
      </c>
      <c r="E501" s="4">
        <f>IFERROR(__xludf.DUMMYFUNCTION("GOOGLEFINANCE($A501, E$2)"),22.38)</f>
        <v>22.38</v>
      </c>
      <c r="F501" s="4">
        <f>IFERROR(__xludf.DUMMYFUNCTION("GOOGLEFINANCE($A501, F$2)"),1.75)</f>
        <v>1.75</v>
      </c>
      <c r="G501" s="4">
        <f>IFERROR(__xludf.DUMMYFUNCTION("GOOGLEFINANCE($A501, G$2)"),40.3)</f>
        <v>40.3</v>
      </c>
      <c r="H501" s="4">
        <f>IFERROR(__xludf.DUMMYFUNCTION("GOOGLEFINANCE($A501, H$2)"),38.96)</f>
        <v>38.96</v>
      </c>
      <c r="I501" s="4" t="str">
        <f>IFERROR(__xludf.DUMMYFUNCTION("REPLACE(JOIN("";"", INDEX(TRANSPOSE(GOOGLEFINANCE($A501, $I$2, TODAY() - 30, TODAY(), 1)), 2)), 1, 6, """")"),"40,98;40,6;40,8;41,86;40,87;41,57;42,24;41,73;40,45;40,45;39,74;42,56;41,2;42,14;41,68;41,24;39,89;39,25")</f>
        <v>40,98;40,6;40,8;41,86;40,87;41,57;42,24;41,73;40,45;40,45;39,74;42,56;41,2;42,14;41,68;41,24;39,89;39,25</v>
      </c>
    </row>
    <row r="502">
      <c r="A502" s="3" t="s">
        <v>1014</v>
      </c>
      <c r="B502" s="4" t="s">
        <v>1015</v>
      </c>
      <c r="C502" s="4">
        <f>IFERROR(__xludf.DUMMYFUNCTION("GOOGLEFINANCE($A502, C$2)"),557.54)</f>
        <v>557.54</v>
      </c>
      <c r="D502" s="4">
        <f>IFERROR(__xludf.DUMMYFUNCTION("GOOGLEFINANCE($A502, D$2)"),0.0)</f>
        <v>0</v>
      </c>
      <c r="E502" s="4" t="str">
        <f>IFERROR(__xludf.DUMMYFUNCTION("GOOGLEFINANCE($A502, E$2)"),"#N/A")</f>
        <v>#N/A</v>
      </c>
      <c r="F502" s="4" t="str">
        <f>IFERROR(__xludf.DUMMYFUNCTION("GOOGLEFINANCE($A502, F$2)"),"#N/A")</f>
        <v>#N/A</v>
      </c>
      <c r="G502" s="4">
        <f>IFERROR(__xludf.DUMMYFUNCTION("GOOGLEFINANCE($A502, G$2)"),577.76)</f>
        <v>577.76</v>
      </c>
      <c r="H502" s="4">
        <f>IFERROR(__xludf.DUMMYFUNCTION("GOOGLEFINANCE($A502, H$2)"),557.54)</f>
        <v>557.54</v>
      </c>
      <c r="I502" s="4" t="str">
        <f>IFERROR(__xludf.DUMMYFUNCTION("REPLACE(JOIN("";"", INDEX(TRANSPOSE(GOOGLEFINANCE($A502, $I$2, TODAY() - 30, TODAY(), 1)), 2)), 1, 6, """")"),"570,6;562;526;536;529,55;539;547;547,1;563,5;574,21;569,87;572,6;569,22;569;566,25;568;569,5;557,54")</f>
        <v>570,6;562;526;536;529,55;539;547;547,1;563,5;574,21;569,87;572,6;569,22;569;566,25;568;569,5;557,54</v>
      </c>
    </row>
    <row r="503">
      <c r="A503" s="3" t="s">
        <v>1016</v>
      </c>
      <c r="B503" s="4" t="s">
        <v>1017</v>
      </c>
      <c r="C503" s="4">
        <f>IFERROR(__xludf.DUMMYFUNCTION("GOOGLEFINANCE($A503, C$2)"),37.15)</f>
        <v>37.15</v>
      </c>
      <c r="D503" s="4">
        <f>IFERROR(__xludf.DUMMYFUNCTION("GOOGLEFINANCE($A503, D$2)"),0.0)</f>
        <v>0</v>
      </c>
      <c r="E503" s="4">
        <f>IFERROR(__xludf.DUMMYFUNCTION("GOOGLEFINANCE($A503, E$2)"),25.13)</f>
        <v>25.13</v>
      </c>
      <c r="F503" s="4">
        <f>IFERROR(__xludf.DUMMYFUNCTION("GOOGLEFINANCE($A503, F$2)"),1.48)</f>
        <v>1.48</v>
      </c>
      <c r="G503" s="4">
        <f>IFERROR(__xludf.DUMMYFUNCTION("GOOGLEFINANCE($A503, G$2)"),37.94)</f>
        <v>37.94</v>
      </c>
      <c r="H503" s="4">
        <f>IFERROR(__xludf.DUMMYFUNCTION("GOOGLEFINANCE($A503, H$2)"),37.15)</f>
        <v>37.15</v>
      </c>
      <c r="I503" s="4" t="str">
        <f>IFERROR(__xludf.DUMMYFUNCTION("REPLACE(JOIN("";"", INDEX(TRANSPOSE(GOOGLEFINANCE($A503, $I$2, TODAY() - 30, TODAY(), 1)), 2)), 1, 6, """")"),"38,9;38,96;38,8;38,94;38,12;38,68;39,09;41,3;40,99;41,89;40,92;40,94;40;39,59;36,81;37,14;37,15;37,15")</f>
        <v>38,9;38,96;38,8;38,94;38,12;38,68;39,09;41,3;40,99;41,89;40,92;40,94;40;39,59;36,81;37,14;37,15;37,15</v>
      </c>
    </row>
    <row r="504">
      <c r="A504" s="3" t="s">
        <v>1018</v>
      </c>
      <c r="B504" s="4" t="s">
        <v>1019</v>
      </c>
      <c r="C504" s="4">
        <f>IFERROR(__xludf.DUMMYFUNCTION("GOOGLEFINANCE($A504, C$2)"),83.65)</f>
        <v>83.65</v>
      </c>
      <c r="D504" s="4">
        <f>IFERROR(__xludf.DUMMYFUNCTION("GOOGLEFINANCE($A504, D$2)"),0.0)</f>
        <v>0</v>
      </c>
      <c r="E504" s="4" t="str">
        <f>IFERROR(__xludf.DUMMYFUNCTION("GOOGLEFINANCE($A504, E$2)"),"#N/A")</f>
        <v>#N/A</v>
      </c>
      <c r="F504" s="4" t="str">
        <f>IFERROR(__xludf.DUMMYFUNCTION("GOOGLEFINANCE($A504, F$2)"),"#N/A")</f>
        <v>#N/A</v>
      </c>
      <c r="G504" s="4">
        <f>IFERROR(__xludf.DUMMYFUNCTION("GOOGLEFINANCE($A504, G$2)"),84.75)</f>
        <v>84.75</v>
      </c>
      <c r="H504" s="4">
        <f>IFERROR(__xludf.DUMMYFUNCTION("GOOGLEFINANCE($A504, H$2)"),83.65)</f>
        <v>83.65</v>
      </c>
      <c r="I504" s="4" t="str">
        <f>IFERROR(__xludf.DUMMYFUNCTION("REPLACE(JOIN("";"", INDEX(TRANSPOSE(GOOGLEFINANCE($A504, $I$2, TODAY() - 30, TODAY(), 1)), 2)), 1, 6, """")"),"80,34;75,41;72,86;74,2;71,76;72,85;73,56;72,25;74,13;75,32;74,65;75,36;75,75;75,1;78,06;83,24;84,32;83,65")</f>
        <v>80,34;75,41;72,86;74,2;71,76;72,85;73,56;72,25;74,13;75,32;74,65;75,36;75,75;75,1;78,06;83,24;84,32;83,65</v>
      </c>
    </row>
    <row r="505">
      <c r="A505" s="3" t="s">
        <v>1020</v>
      </c>
      <c r="B505" s="4" t="s">
        <v>1021</v>
      </c>
      <c r="C505" s="4">
        <f>IFERROR(__xludf.DUMMYFUNCTION("GOOGLEFINANCE($A505, C$2)"),13.6)</f>
        <v>13.6</v>
      </c>
      <c r="D505" s="4">
        <f>IFERROR(__xludf.DUMMYFUNCTION("GOOGLEFINANCE($A505, D$2)"),0.0)</f>
        <v>0</v>
      </c>
      <c r="E505" s="4">
        <f>IFERROR(__xludf.DUMMYFUNCTION("GOOGLEFINANCE($A505, E$2)"),42.76)</f>
        <v>42.76</v>
      </c>
      <c r="F505" s="4">
        <f>IFERROR(__xludf.DUMMYFUNCTION("GOOGLEFINANCE($A505, F$2)"),0.32)</f>
        <v>0.32</v>
      </c>
      <c r="G505" s="4">
        <f>IFERROR(__xludf.DUMMYFUNCTION("GOOGLEFINANCE($A505, G$2)"),13.68)</f>
        <v>13.68</v>
      </c>
      <c r="H505" s="4">
        <f>IFERROR(__xludf.DUMMYFUNCTION("GOOGLEFINANCE($A505, H$2)"),13.14)</f>
        <v>13.14</v>
      </c>
      <c r="I505" s="4" t="str">
        <f>IFERROR(__xludf.DUMMYFUNCTION("REPLACE(JOIN("";"", INDEX(TRANSPOSE(GOOGLEFINANCE($A505, $I$2, TODAY() - 30, TODAY(), 1)), 2)), 1, 6, """")"),"15;14,88;14,95;15,29;14,71;14,89;15,49;15,26;15,14;15,64;15,32;14,96;14,46;14,31;14,12;13,84;13,42;13,6")</f>
        <v>15;14,88;14,95;15,29;14,71;14,89;15,49;15,26;15,14;15,64;15,32;14,96;14,46;14,31;14,12;13,84;13,42;13,6</v>
      </c>
    </row>
    <row r="506">
      <c r="A506" s="3" t="s">
        <v>1022</v>
      </c>
      <c r="B506" s="4" t="s">
        <v>1023</v>
      </c>
      <c r="C506" s="4">
        <f>IFERROR(__xludf.DUMMYFUNCTION("GOOGLEFINANCE($A506, C$2)"),31.25)</f>
        <v>31.25</v>
      </c>
      <c r="D506" s="4">
        <f>IFERROR(__xludf.DUMMYFUNCTION("GOOGLEFINANCE($A506, D$2)"),0.0)</f>
        <v>0</v>
      </c>
      <c r="E506" s="4" t="str">
        <f>IFERROR(__xludf.DUMMYFUNCTION("GOOGLEFINANCE($A506, E$2)"),"#N/A")</f>
        <v>#N/A</v>
      </c>
      <c r="F506" s="4">
        <f>IFERROR(__xludf.DUMMYFUNCTION("GOOGLEFINANCE($A506, F$2)"),-0.04)</f>
        <v>-0.04</v>
      </c>
      <c r="G506" s="4">
        <f>IFERROR(__xludf.DUMMYFUNCTION("GOOGLEFINANCE($A506, G$2)"),31.31)</f>
        <v>31.31</v>
      </c>
      <c r="H506" s="4">
        <f>IFERROR(__xludf.DUMMYFUNCTION("GOOGLEFINANCE($A506, H$2)"),29.36)</f>
        <v>29.36</v>
      </c>
      <c r="I506" s="4" t="str">
        <f>IFERROR(__xludf.DUMMYFUNCTION("REPLACE(JOIN("";"", INDEX(TRANSPOSE(GOOGLEFINANCE($A506, $I$2, TODAY() - 30, TODAY(), 1)), 2)), 1, 6, """")"),"28,2;29;26,55;28,59;27,97;29,02;28,97;28,87;30,29;29,65;29,57;29,89;29,27;28,87;28,46;28,79;29,48;31,25")</f>
        <v>28,2;29;26,55;28,59;27,97;29,02;28,97;28,87;30,29;29,65;29,57;29,89;29,27;28,87;28,46;28,79;29,48;31,25</v>
      </c>
    </row>
    <row r="507">
      <c r="A507" s="3" t="s">
        <v>1024</v>
      </c>
      <c r="B507" s="4" t="s">
        <v>1025</v>
      </c>
      <c r="C507" s="4">
        <f>IFERROR(__xludf.DUMMYFUNCTION("GOOGLEFINANCE($A507, C$2)"),6.26)</f>
        <v>6.26</v>
      </c>
      <c r="D507" s="4">
        <f>IFERROR(__xludf.DUMMYFUNCTION("GOOGLEFINANCE($A507, D$2)"),0.0)</f>
        <v>0</v>
      </c>
      <c r="E507" s="4" t="str">
        <f>IFERROR(__xludf.DUMMYFUNCTION("GOOGLEFINANCE($A507, E$2)"),"#N/A")</f>
        <v>#N/A</v>
      </c>
      <c r="F507" s="4">
        <f>IFERROR(__xludf.DUMMYFUNCTION("GOOGLEFINANCE($A507, F$2)"),-6.53)</f>
        <v>-6.53</v>
      </c>
      <c r="G507" s="4">
        <f>IFERROR(__xludf.DUMMYFUNCTION("GOOGLEFINANCE($A507, G$2)"),6.3)</f>
        <v>6.3</v>
      </c>
      <c r="H507" s="4">
        <f>IFERROR(__xludf.DUMMYFUNCTION("GOOGLEFINANCE($A507, H$2)"),6.1)</f>
        <v>6.1</v>
      </c>
      <c r="I507" s="4" t="str">
        <f>IFERROR(__xludf.DUMMYFUNCTION("REPLACE(JOIN("";"", INDEX(TRANSPOSE(GOOGLEFINANCE($A507, $I$2, TODAY() - 30, TODAY(), 1)), 2)), 1, 6, """")"),"6,05;6;6,1;6,33;6,03;6,26;6,4;6,44;6,28;6,52;6,38;6,35;6,15;6,34;6,28;6,25;6,09;6,26")</f>
        <v>6,05;6;6,1;6,33;6,03;6,26;6,4;6,44;6,28;6,52;6,38;6,35;6,15;6,34;6,28;6,25;6,09;6,26</v>
      </c>
    </row>
    <row r="508">
      <c r="A508" s="3" t="s">
        <v>1026</v>
      </c>
      <c r="B508" s="4" t="s">
        <v>1027</v>
      </c>
      <c r="C508" s="4">
        <f>IFERROR(__xludf.DUMMYFUNCTION("GOOGLEFINANCE($A508, C$2)"),3.51)</f>
        <v>3.51</v>
      </c>
      <c r="D508" s="4">
        <f>IFERROR(__xludf.DUMMYFUNCTION("GOOGLEFINANCE($A508, D$2)"),0.0)</f>
        <v>0</v>
      </c>
      <c r="E508" s="4" t="str">
        <f>IFERROR(__xludf.DUMMYFUNCTION("GOOGLEFINANCE($A508, E$2)"),"#N/A")</f>
        <v>#N/A</v>
      </c>
      <c r="F508" s="4">
        <f>IFERROR(__xludf.DUMMYFUNCTION("GOOGLEFINANCE($A508, F$2)"),-0.85)</f>
        <v>-0.85</v>
      </c>
      <c r="G508" s="4">
        <f>IFERROR(__xludf.DUMMYFUNCTION("GOOGLEFINANCE($A508, G$2)"),3.59)</f>
        <v>3.59</v>
      </c>
      <c r="H508" s="4">
        <f>IFERROR(__xludf.DUMMYFUNCTION("GOOGLEFINANCE($A508, H$2)"),3.5)</f>
        <v>3.5</v>
      </c>
      <c r="I508" s="4" t="str">
        <f>IFERROR(__xludf.DUMMYFUNCTION("REPLACE(JOIN("";"", INDEX(TRANSPOSE(GOOGLEFINANCE($A508, $I$2, TODAY() - 30, TODAY(), 1)), 2)), 1, 6, """")"),"3,6;3,38;3,29;3,49;3,51;3,48;3,68;3,71;3,7;3,69;3,64;3,68;3,5;3,53;3,56;3,62;3,54;3,51")</f>
        <v>3,6;3,38;3,29;3,49;3,51;3,48;3,68;3,71;3,7;3,69;3,64;3,68;3,5;3,53;3,56;3,62;3,54;3,51</v>
      </c>
    </row>
    <row r="509">
      <c r="A509" s="3" t="s">
        <v>1028</v>
      </c>
      <c r="B509" s="4" t="s">
        <v>1029</v>
      </c>
      <c r="C509" s="4">
        <f>IFERROR(__xludf.DUMMYFUNCTION("GOOGLEFINANCE($A509, C$2)"),13.15)</f>
        <v>13.15</v>
      </c>
      <c r="D509" s="4">
        <f>IFERROR(__xludf.DUMMYFUNCTION("GOOGLEFINANCE($A509, D$2)"),0.0)</f>
        <v>0</v>
      </c>
      <c r="E509" s="4">
        <f>IFERROR(__xludf.DUMMYFUNCTION("GOOGLEFINANCE($A509, E$2)"),14.48)</f>
        <v>14.48</v>
      </c>
      <c r="F509" s="4">
        <f>IFERROR(__xludf.DUMMYFUNCTION("GOOGLEFINANCE($A509, F$2)"),0.91)</f>
        <v>0.91</v>
      </c>
      <c r="G509" s="4">
        <f>IFERROR(__xludf.DUMMYFUNCTION("GOOGLEFINANCE($A509, G$2)"),13.2)</f>
        <v>13.2</v>
      </c>
      <c r="H509" s="4">
        <f>IFERROR(__xludf.DUMMYFUNCTION("GOOGLEFINANCE($A509, H$2)"),12.95)</f>
        <v>12.95</v>
      </c>
      <c r="I509" s="4" t="str">
        <f>IFERROR(__xludf.DUMMYFUNCTION("REPLACE(JOIN("";"", INDEX(TRANSPOSE(GOOGLEFINANCE($A509, $I$2, TODAY() - 30, TODAY(), 1)), 2)), 1, 6, """")"),"13,76;13,3;13,31;13,63;13,4;13,74;14;13,89;13,7;13,31;13,57;13,53;13,77;13,57;13,7;13,3;13,2;13,15")</f>
        <v>13,76;13,3;13,31;13,63;13,4;13,74;14;13,89;13,7;13,31;13,57;13,53;13,77;13,57;13,7;13,3;13,2;13,15</v>
      </c>
    </row>
    <row r="510">
      <c r="A510" s="3" t="s">
        <v>1030</v>
      </c>
      <c r="B510" s="4" t="s">
        <v>1031</v>
      </c>
      <c r="C510" s="4">
        <f>IFERROR(__xludf.DUMMYFUNCTION("GOOGLEFINANCE($A510, C$2)"),41.1)</f>
        <v>41.1</v>
      </c>
      <c r="D510" s="4">
        <f>IFERROR(__xludf.DUMMYFUNCTION("GOOGLEFINANCE($A510, D$2)"),0.0)</f>
        <v>0</v>
      </c>
      <c r="E510" s="4">
        <f>IFERROR(__xludf.DUMMYFUNCTION("GOOGLEFINANCE($A510, E$2)"),44.56)</f>
        <v>44.56</v>
      </c>
      <c r="F510" s="4">
        <f>IFERROR(__xludf.DUMMYFUNCTION("GOOGLEFINANCE($A510, F$2)"),0.92)</f>
        <v>0.92</v>
      </c>
      <c r="G510" s="4">
        <f>IFERROR(__xludf.DUMMYFUNCTION("GOOGLEFINANCE($A510, G$2)"),41.76)</f>
        <v>41.76</v>
      </c>
      <c r="H510" s="4">
        <f>IFERROR(__xludf.DUMMYFUNCTION("GOOGLEFINANCE($A510, H$2)"),40.3)</f>
        <v>40.3</v>
      </c>
      <c r="I510" s="4" t="str">
        <f>IFERROR(__xludf.DUMMYFUNCTION("REPLACE(JOIN("";"", INDEX(TRANSPOSE(GOOGLEFINANCE($A510, $I$2, TODAY() - 30, TODAY(), 1)), 2)), 1, 6, """")"),"34,63;32,99;33,8;35,21;35,4;37,7;38,41;39,6;40,22;42,29;43,24;42,38;41,73;41,9;41,64;41,66;41,02;41,1")</f>
        <v>34,63;32,99;33,8;35,21;35,4;37,7;38,41;39,6;40,22;42,29;43,24;42,38;41,73;41,9;41,64;41,66;41,02;41,1</v>
      </c>
    </row>
    <row r="511">
      <c r="A511" s="3" t="s">
        <v>1032</v>
      </c>
      <c r="B511" s="4" t="s">
        <v>1033</v>
      </c>
      <c r="C511" s="4">
        <f>IFERROR(__xludf.DUMMYFUNCTION("GOOGLEFINANCE($A511, C$2)"),147.9)</f>
        <v>147.9</v>
      </c>
      <c r="D511" s="4">
        <f>IFERROR(__xludf.DUMMYFUNCTION("GOOGLEFINANCE($A511, D$2)"),0.0)</f>
        <v>0</v>
      </c>
      <c r="E511" s="4" t="str">
        <f>IFERROR(__xludf.DUMMYFUNCTION("GOOGLEFINANCE($A511, E$2)"),"#N/A")</f>
        <v>#N/A</v>
      </c>
      <c r="F511" s="4" t="str">
        <f>IFERROR(__xludf.DUMMYFUNCTION("GOOGLEFINANCE($A511, F$2)"),"#N/A")</f>
        <v>#N/A</v>
      </c>
      <c r="G511" s="4">
        <f>IFERROR(__xludf.DUMMYFUNCTION("GOOGLEFINANCE($A511, G$2)"),148.0)</f>
        <v>148</v>
      </c>
      <c r="H511" s="4">
        <f>IFERROR(__xludf.DUMMYFUNCTION("GOOGLEFINANCE($A511, H$2)"),144.9)</f>
        <v>144.9</v>
      </c>
      <c r="I511" s="4" t="str">
        <f>IFERROR(__xludf.DUMMYFUNCTION("REPLACE(JOIN("";"", INDEX(TRANSPOSE(GOOGLEFINANCE($A511, $I$2, TODAY() - 30, TODAY(), 1)), 2)), 1, 6, """")"),"131;130,3;130,25;132,9;127;125,1;124,1;122,51;130,5;129,9;132,56;137,75;141,35;147,5;147,1;146,9;144,7;147,9")</f>
        <v>131;130,3;130,25;132,9;127;125,1;124,1;122,51;130,5;129,9;132,56;137,75;141,35;147,5;147,1;146,9;144,7;147,9</v>
      </c>
    </row>
    <row r="512">
      <c r="A512" s="3" t="s">
        <v>1034</v>
      </c>
      <c r="B512" s="4" t="s">
        <v>1035</v>
      </c>
      <c r="C512" s="4">
        <f>IFERROR(__xludf.DUMMYFUNCTION("GOOGLEFINANCE($A512, C$2)"),41.58)</f>
        <v>41.58</v>
      </c>
      <c r="D512" s="4">
        <f>IFERROR(__xludf.DUMMYFUNCTION("GOOGLEFINANCE($A512, D$2)"),0.0)</f>
        <v>0</v>
      </c>
      <c r="E512" s="4">
        <f>IFERROR(__xludf.DUMMYFUNCTION("GOOGLEFINANCE($A512, E$2)"),19.99)</f>
        <v>19.99</v>
      </c>
      <c r="F512" s="4">
        <f>IFERROR(__xludf.DUMMYFUNCTION("GOOGLEFINANCE($A512, F$2)"),2.08)</f>
        <v>2.08</v>
      </c>
      <c r="G512" s="4">
        <f>IFERROR(__xludf.DUMMYFUNCTION("GOOGLEFINANCE($A512, G$2)"),41.87)</f>
        <v>41.87</v>
      </c>
      <c r="H512" s="4">
        <f>IFERROR(__xludf.DUMMYFUNCTION("GOOGLEFINANCE($A512, H$2)"),41.1)</f>
        <v>41.1</v>
      </c>
      <c r="I512" s="4" t="str">
        <f>IFERROR(__xludf.DUMMYFUNCTION("REPLACE(JOIN("";"", INDEX(TRANSPOSE(GOOGLEFINANCE($A512, $I$2, TODAY() - 30, TODAY(), 1)), 2)), 1, 6, """")"),"34,37;34,64;34,32;34,22;34,63;35;36,6;37,89;36,85;37,16;38,9;39,33;39,87;41,59;42,6;41,85;41,53;41,58")</f>
        <v>34,37;34,64;34,32;34,22;34,63;35;36,6;37,89;36,85;37,16;38,9;39,33;39,87;41,59;42,6;41,85;41,53;41,58</v>
      </c>
    </row>
    <row r="513">
      <c r="A513" s="3" t="s">
        <v>1036</v>
      </c>
      <c r="B513" s="4" t="s">
        <v>1037</v>
      </c>
      <c r="C513" s="4">
        <f>IFERROR(__xludf.DUMMYFUNCTION("GOOGLEFINANCE($A513, C$2)"),0.98)</f>
        <v>0.98</v>
      </c>
      <c r="D513" s="4">
        <f>IFERROR(__xludf.DUMMYFUNCTION("GOOGLEFINANCE($A513, D$2)"),0.0)</f>
        <v>0</v>
      </c>
      <c r="E513" s="4" t="str">
        <f>IFERROR(__xludf.DUMMYFUNCTION("GOOGLEFINANCE($A513, E$2)"),"#N/A")</f>
        <v>#N/A</v>
      </c>
      <c r="F513" s="4">
        <f>IFERROR(__xludf.DUMMYFUNCTION("GOOGLEFINANCE($A513, F$2)"),-12.59)</f>
        <v>-12.59</v>
      </c>
      <c r="G513" s="4">
        <f>IFERROR(__xludf.DUMMYFUNCTION("GOOGLEFINANCE($A513, G$2)"),1.0)</f>
        <v>1</v>
      </c>
      <c r="H513" s="4">
        <f>IFERROR(__xludf.DUMMYFUNCTION("GOOGLEFINANCE($A513, H$2)"),0.97)</f>
        <v>0.97</v>
      </c>
      <c r="I513" s="4" t="str">
        <f>IFERROR(__xludf.DUMMYFUNCTION("REPLACE(JOIN("";"", INDEX(TRANSPOSE(GOOGLEFINANCE($A513, $I$2, TODAY() - 30, TODAY(), 1)), 2)), 1, 6, """")"),"1,16;1,04;1,02;1,03;1,01;1,03;1,02;1,02;1,03;1,02;1,01;1;0,99;0,99;0,97;1;0,99;0,98")</f>
        <v>1,16;1,04;1,02;1,03;1,01;1,03;1,02;1,02;1,03;1,02;1,01;1;0,99;0,99;0,97;1;0,99;0,98</v>
      </c>
    </row>
    <row r="514">
      <c r="A514" s="3" t="s">
        <v>1038</v>
      </c>
      <c r="B514" s="4" t="s">
        <v>1039</v>
      </c>
      <c r="C514" s="4">
        <f>IFERROR(__xludf.DUMMYFUNCTION("GOOGLEFINANCE($A514, C$2)"),0.58)</f>
        <v>0.58</v>
      </c>
      <c r="D514" s="4">
        <f>IFERROR(__xludf.DUMMYFUNCTION("GOOGLEFINANCE($A514, D$2)"),0.0)</f>
        <v>0</v>
      </c>
      <c r="E514" s="4" t="str">
        <f>IFERROR(__xludf.DUMMYFUNCTION("GOOGLEFINANCE($A514, E$2)"),"#N/A")</f>
        <v>#N/A</v>
      </c>
      <c r="F514" s="4">
        <f>IFERROR(__xludf.DUMMYFUNCTION("GOOGLEFINANCE($A514, F$2)"),-12.59)</f>
        <v>-12.59</v>
      </c>
      <c r="G514" s="4">
        <f>IFERROR(__xludf.DUMMYFUNCTION("GOOGLEFINANCE($A514, G$2)"),0.58)</f>
        <v>0.58</v>
      </c>
      <c r="H514" s="4">
        <f>IFERROR(__xludf.DUMMYFUNCTION("GOOGLEFINANCE($A514, H$2)"),0.57)</f>
        <v>0.57</v>
      </c>
      <c r="I514" s="4" t="str">
        <f>IFERROR(__xludf.DUMMYFUNCTION("REPLACE(JOIN("";"", INDEX(TRANSPOSE(GOOGLEFINANCE($A514, $I$2, TODAY() - 30, TODAY(), 1)), 2)), 1, 6, """")"),"0,63;0,6;0,59;0,6;0,59;0,6;0,59;0,6;0,59;0,6;0,58;0,58;0,57;0,58;0,59;0,59;0,58;0,58")</f>
        <v>0,63;0,6;0,59;0,6;0,59;0,6;0,59;0,6;0,59;0,6;0,58;0,58;0,57;0,58;0,59;0,59;0,58;0,58</v>
      </c>
    </row>
    <row r="515">
      <c r="A515" s="3" t="s">
        <v>1040</v>
      </c>
      <c r="B515" s="4" t="s">
        <v>1041</v>
      </c>
      <c r="C515" s="4">
        <f>IFERROR(__xludf.DUMMYFUNCTION("GOOGLEFINANCE($A515, C$2)"),22.37)</f>
        <v>22.37</v>
      </c>
      <c r="D515" s="4">
        <f>IFERROR(__xludf.DUMMYFUNCTION("GOOGLEFINANCE($A515, D$2)"),0.0)</f>
        <v>0</v>
      </c>
      <c r="E515" s="4">
        <f>IFERROR(__xludf.DUMMYFUNCTION("GOOGLEFINANCE($A515, E$2)"),9.72)</f>
        <v>9.72</v>
      </c>
      <c r="F515" s="4">
        <f>IFERROR(__xludf.DUMMYFUNCTION("GOOGLEFINANCE($A515, F$2)"),2.3)</f>
        <v>2.3</v>
      </c>
      <c r="G515" s="4">
        <f>IFERROR(__xludf.DUMMYFUNCTION("GOOGLEFINANCE($A515, G$2)"),22.38)</f>
        <v>22.38</v>
      </c>
      <c r="H515" s="4">
        <f>IFERROR(__xludf.DUMMYFUNCTION("GOOGLEFINANCE($A515, H$2)"),22.0)</f>
        <v>22</v>
      </c>
      <c r="I515" s="4" t="str">
        <f>IFERROR(__xludf.DUMMYFUNCTION("REPLACE(JOIN("";"", INDEX(TRANSPOSE(GOOGLEFINANCE($A515, $I$2, TODAY() - 30, TODAY(), 1)), 2)), 1, 6, """")"),"21;20,51;20,96;21,63;21,47;21,78;21,49;21,94;21,89;21,95;22,09;22,2;21,94;22,27;22,37;22,28;22,09;22,37")</f>
        <v>21;20,51;20,96;21,63;21,47;21,78;21,49;21,94;21,89;21,95;22,09;22,2;21,94;22,27;22,37;22,28;22,09;22,37</v>
      </c>
    </row>
    <row r="516">
      <c r="A516" s="3" t="s">
        <v>1042</v>
      </c>
      <c r="B516" s="4" t="s">
        <v>1043</v>
      </c>
      <c r="C516" s="4">
        <f>IFERROR(__xludf.DUMMYFUNCTION("GOOGLEFINANCE($A516, C$2)"),35.5)</f>
        <v>35.5</v>
      </c>
      <c r="D516" s="4">
        <f>IFERROR(__xludf.DUMMYFUNCTION("GOOGLEFINANCE($A516, D$2)"),0.0)</f>
        <v>0</v>
      </c>
      <c r="E516" s="4">
        <f>IFERROR(__xludf.DUMMYFUNCTION("GOOGLEFINANCE($A516, E$2)"),14.55)</f>
        <v>14.55</v>
      </c>
      <c r="F516" s="4">
        <f>IFERROR(__xludf.DUMMYFUNCTION("GOOGLEFINANCE($A516, F$2)"),2.44)</f>
        <v>2.44</v>
      </c>
      <c r="G516" s="4">
        <f>IFERROR(__xludf.DUMMYFUNCTION("GOOGLEFINANCE($A516, G$2)"),35.79)</f>
        <v>35.79</v>
      </c>
      <c r="H516" s="4">
        <f>IFERROR(__xludf.DUMMYFUNCTION("GOOGLEFINANCE($A516, H$2)"),34.66)</f>
        <v>34.66</v>
      </c>
      <c r="I516" s="4" t="str">
        <f>IFERROR(__xludf.DUMMYFUNCTION("REPLACE(JOIN("";"", INDEX(TRANSPOSE(GOOGLEFINANCE($A516, $I$2, TODAY() - 30, TODAY(), 1)), 2)), 1, 6, """")"),"30,31;30,43;30,02;30,4;29,79;30,84;30,48;30,4;30,21;30,6;33,36;32,7;33,83;35,22;34,44;34,03;35,28;35,5")</f>
        <v>30,31;30,43;30,02;30,4;29,79;30,84;30,48;30,4;30,21;30,6;33,36;32,7;33,83;35,22;34,44;34,03;35,28;35,5</v>
      </c>
    </row>
    <row r="517">
      <c r="A517" s="3" t="s">
        <v>1044</v>
      </c>
      <c r="B517" s="4" t="s">
        <v>1045</v>
      </c>
      <c r="C517" s="4">
        <f>IFERROR(__xludf.DUMMYFUNCTION("GOOGLEFINANCE($A517, C$2)"),625.5)</f>
        <v>625.5</v>
      </c>
      <c r="D517" s="4">
        <f>IFERROR(__xludf.DUMMYFUNCTION("GOOGLEFINANCE($A517, D$2)"),0.0)</f>
        <v>0</v>
      </c>
      <c r="E517" s="4" t="str">
        <f>IFERROR(__xludf.DUMMYFUNCTION("GOOGLEFINANCE($A517, E$2)"),"#N/A")</f>
        <v>#N/A</v>
      </c>
      <c r="F517" s="4" t="str">
        <f>IFERROR(__xludf.DUMMYFUNCTION("GOOGLEFINANCE($A517, F$2)"),"#N/A")</f>
        <v>#N/A</v>
      </c>
      <c r="G517" s="4">
        <f>IFERROR(__xludf.DUMMYFUNCTION("GOOGLEFINANCE($A517, G$2)"),631.5)</f>
        <v>631.5</v>
      </c>
      <c r="H517" s="4">
        <f>IFERROR(__xludf.DUMMYFUNCTION("GOOGLEFINANCE($A517, H$2)"),614.57)</f>
        <v>614.57</v>
      </c>
      <c r="I517" s="4" t="str">
        <f>IFERROR(__xludf.DUMMYFUNCTION("REPLACE(JOIN("";"", INDEX(TRANSPOSE(GOOGLEFINANCE($A517, $I$2, TODAY() - 30, TODAY(), 1)), 2)), 1, 6, """")"),"554,79;534,48;527,69;533,73;525,39;535,8;532,21;598,71;605;631,29;618,11;606,29;611,89;612,99;610,5;622,69;650;625,5")</f>
        <v>554,79;534,48;527,69;533,73;525,39;535,8;532,21;598,71;605;631,29;618,11;606,29;611,89;612,99;610,5;622,69;650;625,5</v>
      </c>
    </row>
    <row r="518">
      <c r="A518" s="3" t="s">
        <v>1046</v>
      </c>
      <c r="B518" s="4" t="s">
        <v>1047</v>
      </c>
      <c r="C518" s="4">
        <f>IFERROR(__xludf.DUMMYFUNCTION("GOOGLEFINANCE($A518, C$2)"),20.02)</f>
        <v>20.02</v>
      </c>
      <c r="D518" s="4">
        <f>IFERROR(__xludf.DUMMYFUNCTION("GOOGLEFINANCE($A518, D$2)"),0.0)</f>
        <v>0</v>
      </c>
      <c r="E518" s="4" t="str">
        <f>IFERROR(__xludf.DUMMYFUNCTION("GOOGLEFINANCE($A518, E$2)"),"#N/A")</f>
        <v>#N/A</v>
      </c>
      <c r="F518" s="4">
        <f>IFERROR(__xludf.DUMMYFUNCTION("GOOGLEFINANCE($A518, F$2)"),-18.55)</f>
        <v>-18.55</v>
      </c>
      <c r="G518" s="4">
        <f>IFERROR(__xludf.DUMMYFUNCTION("GOOGLEFINANCE($A518, G$2)"),21.3)</f>
        <v>21.3</v>
      </c>
      <c r="H518" s="4">
        <f>IFERROR(__xludf.DUMMYFUNCTION("GOOGLEFINANCE($A518, H$2)"),20.02)</f>
        <v>20.02</v>
      </c>
      <c r="I518" s="4" t="str">
        <f>IFERROR(__xludf.DUMMYFUNCTION("REPLACE(JOIN("";"", INDEX(TRANSPOSE(GOOGLEFINANCE($A518, $I$2, TODAY() - 30, TODAY(), 1)), 2)), 1, 6, """")"),"22,99;20,21;21,1;21;21,79;22,2;22,9;23;22,6;21,99;20,43;20,06;20;20;20,47;20,87;20,12;20,02")</f>
        <v>22,99;20,21;21,1;21;21,79;22,2;22,9;23;22,6;21,99;20,43;20,06;20;20;20,47;20,87;20,12;20,02</v>
      </c>
    </row>
    <row r="519">
      <c r="A519" s="3" t="s">
        <v>1048</v>
      </c>
      <c r="B519" s="4" t="s">
        <v>1049</v>
      </c>
      <c r="C519" s="4">
        <f>IFERROR(__xludf.DUMMYFUNCTION("GOOGLEFINANCE($A519, C$2)"),5.96)</f>
        <v>5.96</v>
      </c>
      <c r="D519" s="4">
        <f>IFERROR(__xludf.DUMMYFUNCTION("GOOGLEFINANCE($A519, D$2)"),0.0)</f>
        <v>0</v>
      </c>
      <c r="E519" s="4" t="str">
        <f>IFERROR(__xludf.DUMMYFUNCTION("GOOGLEFINANCE($A519, E$2)"),"#N/A")</f>
        <v>#N/A</v>
      </c>
      <c r="F519" s="4">
        <f>IFERROR(__xludf.DUMMYFUNCTION("GOOGLEFINANCE($A519, F$2)"),-18.55)</f>
        <v>-18.55</v>
      </c>
      <c r="G519" s="4">
        <f>IFERROR(__xludf.DUMMYFUNCTION("GOOGLEFINANCE($A519, G$2)"),6.2)</f>
        <v>6.2</v>
      </c>
      <c r="H519" s="4">
        <f>IFERROR(__xludf.DUMMYFUNCTION("GOOGLEFINANCE($A519, H$2)"),5.96)</f>
        <v>5.96</v>
      </c>
      <c r="I519" s="4" t="str">
        <f>IFERROR(__xludf.DUMMYFUNCTION("REPLACE(JOIN("";"", INDEX(TRANSPOSE(GOOGLEFINANCE($A519, $I$2, TODAY() - 30, TODAY(), 1)), 2)), 1, 6, """")"),"6,01;6;6,05;6,14;5,98;6;6;6,05;6,1;6,19;6,22;6,01;5,98;5,96;5,96;6,12;6,1;5,96")</f>
        <v>6,01;6;6,05;6,14;5,98;6;6;6,05;6,1;6,19;6,22;6,01;5,98;5,96;5,96;6,12;6,1;5,96</v>
      </c>
    </row>
    <row r="520">
      <c r="A520" s="3" t="s">
        <v>1050</v>
      </c>
      <c r="B520" s="4" t="s">
        <v>1051</v>
      </c>
      <c r="C520" s="4">
        <f>IFERROR(__xludf.DUMMYFUNCTION("GOOGLEFINANCE($A520, C$2)"),14.5)</f>
        <v>14.5</v>
      </c>
      <c r="D520" s="4">
        <f>IFERROR(__xludf.DUMMYFUNCTION("GOOGLEFINANCE($A520, D$2)"),0.0)</f>
        <v>0</v>
      </c>
      <c r="E520" s="4" t="str">
        <f>IFERROR(__xludf.DUMMYFUNCTION("GOOGLEFINANCE($A520, E$2)"),"#N/A")</f>
        <v>#N/A</v>
      </c>
      <c r="F520" s="4">
        <f>IFERROR(__xludf.DUMMYFUNCTION("GOOGLEFINANCE($A520, F$2)"),-0.21)</f>
        <v>-0.21</v>
      </c>
      <c r="G520" s="4">
        <f>IFERROR(__xludf.DUMMYFUNCTION("GOOGLEFINANCE($A520, G$2)"),14.69)</f>
        <v>14.69</v>
      </c>
      <c r="H520" s="4">
        <f>IFERROR(__xludf.DUMMYFUNCTION("GOOGLEFINANCE($A520, H$2)"),14.41)</f>
        <v>14.41</v>
      </c>
      <c r="I520" s="4" t="str">
        <f>IFERROR(__xludf.DUMMYFUNCTION("REPLACE(JOIN("";"", INDEX(TRANSPOSE(GOOGLEFINANCE($A520, $I$2, TODAY() - 30, TODAY(), 1)), 2)), 1, 6, """")"),"14,99;15,73;15,4;15,41;14,97;15,27;15,33;15,13;15,16;14,72;15;15,37;15;15,13;14,76;14,5;14,66;14,5")</f>
        <v>14,99;15,73;15,4;15,41;14,97;15,27;15,33;15,13;15,16;14,72;15;15,37;15;15,13;14,76;14,5;14,66;14,5</v>
      </c>
    </row>
    <row r="521">
      <c r="A521" s="3" t="s">
        <v>1052</v>
      </c>
      <c r="B521" s="4" t="s">
        <v>1053</v>
      </c>
      <c r="C521" s="4">
        <f>IFERROR(__xludf.DUMMYFUNCTION("GOOGLEFINANCE($A521, C$2)"),45.06)</f>
        <v>45.06</v>
      </c>
      <c r="D521" s="4">
        <f>IFERROR(__xludf.DUMMYFUNCTION("GOOGLEFINANCE($A521, D$2)"),0.0)</f>
        <v>0</v>
      </c>
      <c r="E521" s="4">
        <f>IFERROR(__xludf.DUMMYFUNCTION("GOOGLEFINANCE($A521, E$2)"),5.13)</f>
        <v>5.13</v>
      </c>
      <c r="F521" s="4">
        <f>IFERROR(__xludf.DUMMYFUNCTION("GOOGLEFINANCE($A521, F$2)"),8.79)</f>
        <v>8.79</v>
      </c>
      <c r="G521" s="4" t="str">
        <f>IFERROR(__xludf.DUMMYFUNCTION("GOOGLEFINANCE($A521, G$2)"),"#N/A")</f>
        <v>#N/A</v>
      </c>
      <c r="H521" s="4" t="str">
        <f>IFERROR(__xludf.DUMMYFUNCTION("GOOGLEFINANCE($A521, H$2)"),"#N/A")</f>
        <v>#N/A</v>
      </c>
      <c r="I521" s="4" t="str">
        <f>IFERROR(__xludf.DUMMYFUNCTION("REPLACE(JOIN("";"", INDEX(TRANSPOSE(GOOGLEFINANCE($A521, $I$2, TODAY() - 30, TODAY(), 1)), 2)), 1, 6, """")"),"48,01;44,53;43,81;45;45,06")</f>
        <v>48,01;44,53;43,81;45;45,06</v>
      </c>
    </row>
    <row r="522">
      <c r="A522" s="3" t="s">
        <v>1054</v>
      </c>
      <c r="B522" s="4" t="s">
        <v>1055</v>
      </c>
      <c r="C522" s="4">
        <f>IFERROR(__xludf.DUMMYFUNCTION("GOOGLEFINANCE($A522, C$2)"),45.0)</f>
        <v>45</v>
      </c>
      <c r="D522" s="4">
        <f>IFERROR(__xludf.DUMMYFUNCTION("GOOGLEFINANCE($A522, D$2)"),0.0)</f>
        <v>0</v>
      </c>
      <c r="E522" s="4">
        <f>IFERROR(__xludf.DUMMYFUNCTION("GOOGLEFINANCE($A522, E$2)"),5.12)</f>
        <v>5.12</v>
      </c>
      <c r="F522" s="4">
        <f>IFERROR(__xludf.DUMMYFUNCTION("GOOGLEFINANCE($A522, F$2)"),8.79)</f>
        <v>8.79</v>
      </c>
      <c r="G522" s="4" t="str">
        <f>IFERROR(__xludf.DUMMYFUNCTION("GOOGLEFINANCE($A522, G$2)"),"#N/A")</f>
        <v>#N/A</v>
      </c>
      <c r="H522" s="4" t="str">
        <f>IFERROR(__xludf.DUMMYFUNCTION("GOOGLEFINANCE($A522, H$2)"),"#N/A")</f>
        <v>#N/A</v>
      </c>
      <c r="I522" s="4" t="str">
        <f>IFERROR(__xludf.DUMMYFUNCTION("REPLACE(JOIN("";"", INDEX(TRANSPOSE(GOOGLEFINANCE($A522, $I$2, TODAY() - 30, TODAY(), 1)), 2)), 1, 6, """")"),"43,62;45;45")</f>
        <v>43,62;45;45</v>
      </c>
    </row>
    <row r="523">
      <c r="A523" s="3" t="s">
        <v>1056</v>
      </c>
      <c r="B523" s="4" t="s">
        <v>1057</v>
      </c>
      <c r="C523" s="4">
        <f>IFERROR(__xludf.DUMMYFUNCTION("GOOGLEFINANCE($A523, C$2)"),455.1)</f>
        <v>455.1</v>
      </c>
      <c r="D523" s="4">
        <f>IFERROR(__xludf.DUMMYFUNCTION("GOOGLEFINANCE($A523, D$2)"),0.0)</f>
        <v>0</v>
      </c>
      <c r="E523" s="4" t="str">
        <f>IFERROR(__xludf.DUMMYFUNCTION("GOOGLEFINANCE($A523, E$2)"),"#N/A")</f>
        <v>#N/A</v>
      </c>
      <c r="F523" s="4" t="str">
        <f>IFERROR(__xludf.DUMMYFUNCTION("GOOGLEFINANCE($A523, F$2)"),"#N/A")</f>
        <v>#N/A</v>
      </c>
      <c r="G523" s="4" t="str">
        <f>IFERROR(__xludf.DUMMYFUNCTION("GOOGLEFINANCE($A523, G$2)"),"#N/A")</f>
        <v>#N/A</v>
      </c>
      <c r="H523" s="4" t="str">
        <f>IFERROR(__xludf.DUMMYFUNCTION("GOOGLEFINANCE($A523, H$2)"),"#N/A")</f>
        <v>#N/A</v>
      </c>
      <c r="I523" s="4" t="str">
        <f>IFERROR(__xludf.DUMMYFUNCTION("REPLACE(JOIN("";"", INDEX(TRANSPOSE(GOOGLEFINANCE($A523, $I$2, TODAY() - 30, TODAY(), 1)), 2)), 1, 6, """")"),"425,75;411,5;433;434,43;439,4;453;454,05;455,1")</f>
        <v>425,75;411,5;433;434,43;439,4;453;454,05;455,1</v>
      </c>
    </row>
    <row r="524">
      <c r="A524" s="3" t="s">
        <v>1058</v>
      </c>
      <c r="B524" s="4" t="s">
        <v>1059</v>
      </c>
      <c r="C524" s="4">
        <f>IFERROR(__xludf.DUMMYFUNCTION("GOOGLEFINANCE($A524, C$2)"),23.63)</f>
        <v>23.63</v>
      </c>
      <c r="D524" s="4">
        <f>IFERROR(__xludf.DUMMYFUNCTION("GOOGLEFINANCE($A524, D$2)"),0.0)</f>
        <v>0</v>
      </c>
      <c r="E524" s="4">
        <f>IFERROR(__xludf.DUMMYFUNCTION("GOOGLEFINANCE($A524, E$2)"),801.02)</f>
        <v>801.02</v>
      </c>
      <c r="F524" s="4">
        <f>IFERROR(__xludf.DUMMYFUNCTION("GOOGLEFINANCE($A524, F$2)"),0.03)</f>
        <v>0.03</v>
      </c>
      <c r="G524" s="4">
        <f>IFERROR(__xludf.DUMMYFUNCTION("GOOGLEFINANCE($A524, G$2)"),23.63)</f>
        <v>23.63</v>
      </c>
      <c r="H524" s="4">
        <f>IFERROR(__xludf.DUMMYFUNCTION("GOOGLEFINANCE($A524, H$2)"),22.06)</f>
        <v>22.06</v>
      </c>
      <c r="I524" s="4" t="str">
        <f>IFERROR(__xludf.DUMMYFUNCTION("REPLACE(JOIN("";"", INDEX(TRANSPOSE(GOOGLEFINANCE($A524, $I$2, TODAY() - 30, TODAY(), 1)), 2)), 1, 6, """")"),"21,87;21,61;21,15;21,45;21,88;21,98;23,84;23,37;22,77;22,4;22,99;22,81;21,98;22,08;22,4;21,95;21,8;23,63")</f>
        <v>21,87;21,61;21,15;21,45;21,88;21,98;23,84;23,37;22,77;22,4;22,99;22,81;21,98;22,08;22,4;21,95;21,8;23,63</v>
      </c>
    </row>
    <row r="525">
      <c r="A525" s="3" t="s">
        <v>1060</v>
      </c>
      <c r="B525" s="4" t="s">
        <v>1061</v>
      </c>
      <c r="C525" s="4">
        <f>IFERROR(__xludf.DUMMYFUNCTION("GOOGLEFINANCE($A525, C$2)"),32.64)</f>
        <v>32.64</v>
      </c>
      <c r="D525" s="4">
        <f>IFERROR(__xludf.DUMMYFUNCTION("GOOGLEFINANCE($A525, D$2)"),0.05)</f>
        <v>0.05</v>
      </c>
      <c r="E525" s="4" t="str">
        <f>IFERROR(__xludf.DUMMYFUNCTION("GOOGLEFINANCE($A525, E$2)"),"#N/A")</f>
        <v>#N/A</v>
      </c>
      <c r="F525" s="4" t="str">
        <f>IFERROR(__xludf.DUMMYFUNCTION("GOOGLEFINANCE($A525, F$2)"),"#N/A")</f>
        <v>#N/A</v>
      </c>
      <c r="G525" s="4" t="str">
        <f>IFERROR(__xludf.DUMMYFUNCTION("GOOGLEFINANCE($A525, G$2)"),"#N/A")</f>
        <v>#N/A</v>
      </c>
      <c r="H525" s="4" t="str">
        <f>IFERROR(__xludf.DUMMYFUNCTION("GOOGLEFINANCE($A525, H$2)"),"#N/A")</f>
        <v>#N/A</v>
      </c>
      <c r="I525" s="4" t="str">
        <f>IFERROR(__xludf.DUMMYFUNCTION("REPLACE(JOIN("";"", INDEX(TRANSPOSE(GOOGLEFINANCE($A525, $I$2, TODAY() - 30, TODAY(), 1)), 2)), 1, 6, """")"),"33,5;36,7;33,12;33,25;32,64")</f>
        <v>33,5;36,7;33,12;33,25;32,64</v>
      </c>
    </row>
    <row r="526">
      <c r="A526" s="3" t="s">
        <v>1062</v>
      </c>
      <c r="B526" s="4" t="s">
        <v>1063</v>
      </c>
      <c r="C526" s="4">
        <f>IFERROR(__xludf.DUMMYFUNCTION("GOOGLEFINANCE($A526, C$2)"),60.36)</f>
        <v>60.36</v>
      </c>
      <c r="D526" s="4">
        <f>IFERROR(__xludf.DUMMYFUNCTION("GOOGLEFINANCE($A526, D$2)"),0.0)</f>
        <v>0</v>
      </c>
      <c r="E526" s="4" t="str">
        <f>IFERROR(__xludf.DUMMYFUNCTION("GOOGLEFINANCE($A526, E$2)"),"#N/A")</f>
        <v>#N/A</v>
      </c>
      <c r="F526" s="4" t="str">
        <f>IFERROR(__xludf.DUMMYFUNCTION("GOOGLEFINANCE($A526, F$2)"),"#N/A")</f>
        <v>#N/A</v>
      </c>
      <c r="G526" s="4">
        <f>IFERROR(__xludf.DUMMYFUNCTION("GOOGLEFINANCE($A526, G$2)"),61.58)</f>
        <v>61.58</v>
      </c>
      <c r="H526" s="4">
        <f>IFERROR(__xludf.DUMMYFUNCTION("GOOGLEFINANCE($A526, H$2)"),60.36)</f>
        <v>60.36</v>
      </c>
      <c r="I526" s="4" t="str">
        <f>IFERROR(__xludf.DUMMYFUNCTION("REPLACE(JOIN("";"", INDEX(TRANSPOSE(GOOGLEFINANCE($A526, $I$2, TODAY() - 30, TODAY(), 1)), 2)), 1, 6, """")"),"56,29;56,99;55,18;56,2;56,24;56,75;57,1;57,49;58,69;58,18;59,5;57,9;57,73;59,05;58,6;61,06;60,1;60,36")</f>
        <v>56,29;56,99;55,18;56,2;56,24;56,75;57,1;57,49;58,69;58,18;59,5;57,9;57,73;59,05;58,6;61,06;60,1;60,36</v>
      </c>
    </row>
    <row r="527">
      <c r="A527" s="3" t="s">
        <v>1064</v>
      </c>
      <c r="B527" s="4" t="s">
        <v>1065</v>
      </c>
      <c r="C527" s="4">
        <f>IFERROR(__xludf.DUMMYFUNCTION("GOOGLEFINANCE($A527, C$2)"),6.47)</f>
        <v>6.47</v>
      </c>
      <c r="D527" s="4">
        <f>IFERROR(__xludf.DUMMYFUNCTION("GOOGLEFINANCE($A527, D$2)"),0.0)</f>
        <v>0</v>
      </c>
      <c r="E527" s="4" t="str">
        <f>IFERROR(__xludf.DUMMYFUNCTION("GOOGLEFINANCE($A527, E$2)"),"#N/A")</f>
        <v>#N/A</v>
      </c>
      <c r="F527" s="4">
        <f>IFERROR(__xludf.DUMMYFUNCTION("GOOGLEFINANCE($A527, F$2)"),-0.03)</f>
        <v>-0.03</v>
      </c>
      <c r="G527" s="4">
        <f>IFERROR(__xludf.DUMMYFUNCTION("GOOGLEFINANCE($A527, G$2)"),6.7)</f>
        <v>6.7</v>
      </c>
      <c r="H527" s="4">
        <f>IFERROR(__xludf.DUMMYFUNCTION("GOOGLEFINANCE($A527, H$2)"),6.43)</f>
        <v>6.43</v>
      </c>
      <c r="I527" s="4" t="str">
        <f>IFERROR(__xludf.DUMMYFUNCTION("REPLACE(JOIN("";"", INDEX(TRANSPOSE(GOOGLEFINANCE($A527, $I$2, TODAY() - 30, TODAY(), 1)), 2)), 1, 6, """")"),"6,1;5,9;5,99;6,25;6,16;6,49;6,48;6,54;6,39;6,41;6,55;6,55;6,59;6,63;6,62;6,58;6,62;6,47")</f>
        <v>6,1;5,9;5,99;6,25;6,16;6,49;6,48;6,54;6,39;6,41;6,55;6,55;6,59;6,63;6,62;6,58;6,62;6,47</v>
      </c>
    </row>
    <row r="528">
      <c r="A528" s="3" t="s">
        <v>1066</v>
      </c>
      <c r="B528" s="4" t="s">
        <v>1067</v>
      </c>
      <c r="C528" s="4">
        <f>IFERROR(__xludf.DUMMYFUNCTION("GOOGLEFINANCE($A528, C$2)"),305.1)</f>
        <v>305.1</v>
      </c>
      <c r="D528" s="4">
        <f>IFERROR(__xludf.DUMMYFUNCTION("GOOGLEFINANCE($A528, D$2)"),0.0)</f>
        <v>0</v>
      </c>
      <c r="E528" s="4" t="str">
        <f>IFERROR(__xludf.DUMMYFUNCTION("GOOGLEFINANCE($A528, E$2)"),"#N/A")</f>
        <v>#N/A</v>
      </c>
      <c r="F528" s="4" t="str">
        <f>IFERROR(__xludf.DUMMYFUNCTION("GOOGLEFINANCE($A528, F$2)"),"#N/A")</f>
        <v>#N/A</v>
      </c>
      <c r="G528" s="4">
        <f>IFERROR(__xludf.DUMMYFUNCTION("GOOGLEFINANCE($A528, G$2)"),306.6)</f>
        <v>306.6</v>
      </c>
      <c r="H528" s="4">
        <f>IFERROR(__xludf.DUMMYFUNCTION("GOOGLEFINANCE($A528, H$2)"),305.1)</f>
        <v>305.1</v>
      </c>
      <c r="I528" s="4" t="str">
        <f>IFERROR(__xludf.DUMMYFUNCTION("REPLACE(JOIN("";"", INDEX(TRANSPOSE(GOOGLEFINANCE($A528, $I$2, TODAY() - 30, TODAY(), 1)), 2)), 1, 6, """")"),"295,3;290,5;290,51;294,4;292;296,9;309,3;320,25;309,7;305,1")</f>
        <v>295,3;290,5;290,51;294,4;292;296,9;309,3;320,25;309,7;305,1</v>
      </c>
    </row>
    <row r="529">
      <c r="A529" s="3" t="s">
        <v>1068</v>
      </c>
      <c r="B529" s="4" t="s">
        <v>1069</v>
      </c>
      <c r="C529" s="4">
        <f>IFERROR(__xludf.DUMMYFUNCTION("GOOGLEFINANCE($A529, C$2)"),36.94)</f>
        <v>36.94</v>
      </c>
      <c r="D529" s="4">
        <f>IFERROR(__xludf.DUMMYFUNCTION("GOOGLEFINANCE($A529, D$2)"),0.0)</f>
        <v>0</v>
      </c>
      <c r="E529" s="4">
        <f>IFERROR(__xludf.DUMMYFUNCTION("GOOGLEFINANCE($A529, E$2)"),5.32)</f>
        <v>5.32</v>
      </c>
      <c r="F529" s="4">
        <f>IFERROR(__xludf.DUMMYFUNCTION("GOOGLEFINANCE($A529, F$2)"),6.94)</f>
        <v>6.94</v>
      </c>
      <c r="G529" s="4">
        <f>IFERROR(__xludf.DUMMYFUNCTION("GOOGLEFINANCE($A529, G$2)"),37.59)</f>
        <v>37.59</v>
      </c>
      <c r="H529" s="4">
        <f>IFERROR(__xludf.DUMMYFUNCTION("GOOGLEFINANCE($A529, H$2)"),36.82)</f>
        <v>36.82</v>
      </c>
      <c r="I529" s="4" t="str">
        <f>IFERROR(__xludf.DUMMYFUNCTION("REPLACE(JOIN("";"", INDEX(TRANSPOSE(GOOGLEFINANCE($A529, $I$2, TODAY() - 30, TODAY(), 1)), 2)), 1, 6, """")"),"39,94;40,05;39,86;41,38;39,91;39,51;39,8;40,4;39,58;40,18;39,67;38,99;38,52;38,55;38,18;38,25;37,52;36,94")</f>
        <v>39,94;40,05;39,86;41,38;39,91;39,51;39,8;40,4;39,58;40,18;39,67;38,99;38,52;38,55;38,18;38,25;37,52;36,94</v>
      </c>
    </row>
    <row r="530">
      <c r="A530" s="3" t="s">
        <v>1070</v>
      </c>
      <c r="B530" s="4" t="s">
        <v>1071</v>
      </c>
      <c r="C530" s="4">
        <f>IFERROR(__xludf.DUMMYFUNCTION("GOOGLEFINANCE($A530, C$2)"),14.25)</f>
        <v>14.25</v>
      </c>
      <c r="D530" s="4">
        <f>IFERROR(__xludf.DUMMYFUNCTION("GOOGLEFINANCE($A530, D$2)"),0.0)</f>
        <v>0</v>
      </c>
      <c r="E530" s="4">
        <f>IFERROR(__xludf.DUMMYFUNCTION("GOOGLEFINANCE($A530, E$2)"),2.05)</f>
        <v>2.05</v>
      </c>
      <c r="F530" s="4">
        <f>IFERROR(__xludf.DUMMYFUNCTION("GOOGLEFINANCE($A530, F$2)"),6.94)</f>
        <v>6.94</v>
      </c>
      <c r="G530" s="4">
        <f>IFERROR(__xludf.DUMMYFUNCTION("GOOGLEFINANCE($A530, G$2)"),14.47)</f>
        <v>14.47</v>
      </c>
      <c r="H530" s="4">
        <f>IFERROR(__xludf.DUMMYFUNCTION("GOOGLEFINANCE($A530, H$2)"),14.11)</f>
        <v>14.11</v>
      </c>
      <c r="I530" s="4" t="str">
        <f>IFERROR(__xludf.DUMMYFUNCTION("REPLACE(JOIN("";"", INDEX(TRANSPOSE(GOOGLEFINANCE($A530, $I$2, TODAY() - 30, TODAY(), 1)), 2)), 1, 6, """")"),"15,78;15,26;15,45;16;15,3;15,24;15,31;15,7;15,21;15,41;15,36;15,11;14,71;14,9;14,7;14,75;14,49;14,25")</f>
        <v>15,78;15,26;15,45;16;15,3;15,24;15,31;15,7;15,21;15,41;15,36;15,11;14,71;14,9;14,7;14,75;14,49;14,25</v>
      </c>
    </row>
    <row r="531">
      <c r="A531" s="3" t="s">
        <v>1072</v>
      </c>
      <c r="B531" s="4" t="s">
        <v>1073</v>
      </c>
      <c r="C531" s="4">
        <f>IFERROR(__xludf.DUMMYFUNCTION("GOOGLEFINANCE($A531, C$2)"),11.45)</f>
        <v>11.45</v>
      </c>
      <c r="D531" s="4">
        <f>IFERROR(__xludf.DUMMYFUNCTION("GOOGLEFINANCE($A531, D$2)"),0.0)</f>
        <v>0</v>
      </c>
      <c r="E531" s="4">
        <f>IFERROR(__xludf.DUMMYFUNCTION("GOOGLEFINANCE($A531, E$2)"),1.65)</f>
        <v>1.65</v>
      </c>
      <c r="F531" s="4">
        <f>IFERROR(__xludf.DUMMYFUNCTION("GOOGLEFINANCE($A531, F$2)"),6.94)</f>
        <v>6.94</v>
      </c>
      <c r="G531" s="4">
        <f>IFERROR(__xludf.DUMMYFUNCTION("GOOGLEFINANCE($A531, G$2)"),11.6)</f>
        <v>11.6</v>
      </c>
      <c r="H531" s="4">
        <f>IFERROR(__xludf.DUMMYFUNCTION("GOOGLEFINANCE($A531, H$2)"),11.36)</f>
        <v>11.36</v>
      </c>
      <c r="I531" s="4" t="str">
        <f>IFERROR(__xludf.DUMMYFUNCTION("REPLACE(JOIN("";"", INDEX(TRANSPOSE(GOOGLEFINANCE($A531, $I$2, TODAY() - 30, TODAY(), 1)), 2)), 1, 6, """")"),"12,37;12,22;12,19;12,6;12,34;12,2;12,19;12,5;12,12;12,25;12,15;11,95;11,83;11,84;11,75;11,69;11,55;11,45")</f>
        <v>12,37;12,22;12,19;12,6;12,34;12,2;12,19;12,5;12,12;12,25;12,15;11,95;11,83;11,84;11,75;11,69;11,55;11,45</v>
      </c>
    </row>
    <row r="532">
      <c r="A532" s="3" t="s">
        <v>1074</v>
      </c>
      <c r="B532" s="4" t="s">
        <v>1075</v>
      </c>
      <c r="C532" s="4">
        <f>IFERROR(__xludf.DUMMYFUNCTION("GOOGLEFINANCE($A532, C$2)"),75.03)</f>
        <v>75.03</v>
      </c>
      <c r="D532" s="4">
        <f>IFERROR(__xludf.DUMMYFUNCTION("GOOGLEFINANCE($A532, D$2)"),0.0)</f>
        <v>0</v>
      </c>
      <c r="E532" s="4" t="str">
        <f>IFERROR(__xludf.DUMMYFUNCTION("GOOGLEFINANCE($A532, E$2)"),"#N/A")</f>
        <v>#N/A</v>
      </c>
      <c r="F532" s="4">
        <f>IFERROR(__xludf.DUMMYFUNCTION("GOOGLEFINANCE($A532, F$2)"),-7.95)</f>
        <v>-7.95</v>
      </c>
      <c r="G532" s="4">
        <f>IFERROR(__xludf.DUMMYFUNCTION("GOOGLEFINANCE($A532, G$2)"),75.48)</f>
        <v>75.48</v>
      </c>
      <c r="H532" s="4">
        <f>IFERROR(__xludf.DUMMYFUNCTION("GOOGLEFINANCE($A532, H$2)"),73.21)</f>
        <v>73.21</v>
      </c>
      <c r="I532" s="4" t="str">
        <f>IFERROR(__xludf.DUMMYFUNCTION("REPLACE(JOIN("";"", INDEX(TRANSPOSE(GOOGLEFINANCE($A532, $I$2, TODAY() - 30, TODAY(), 1)), 2)), 1, 6, """")"),"64,36;66,2;62,27;62,93;62,05;64,23;63,08;63,85;64,66;66,5;65,97;66,7;68,2;70,66;70,72;72,39;74,04;75,03")</f>
        <v>64,36;66,2;62,27;62,93;62,05;64,23;63,08;63,85;64,66;66,5;65,97;66,7;68,2;70,66;70,72;72,39;74,04;75,03</v>
      </c>
    </row>
    <row r="533">
      <c r="A533" s="3" t="s">
        <v>1076</v>
      </c>
      <c r="B533" s="4" t="s">
        <v>1077</v>
      </c>
      <c r="C533" s="4">
        <f>IFERROR(__xludf.DUMMYFUNCTION("GOOGLEFINANCE($A533, C$2)"),39.3)</f>
        <v>39.3</v>
      </c>
      <c r="D533" s="4">
        <f>IFERROR(__xludf.DUMMYFUNCTION("GOOGLEFINANCE($A533, D$2)"),0.0)</f>
        <v>0</v>
      </c>
      <c r="E533" s="4" t="str">
        <f>IFERROR(__xludf.DUMMYFUNCTION("GOOGLEFINANCE($A533, E$2)"),"#N/A")</f>
        <v>#N/A</v>
      </c>
      <c r="F533" s="4" t="str">
        <f>IFERROR(__xludf.DUMMYFUNCTION("GOOGLEFINANCE($A533, F$2)"),"#N/A")</f>
        <v>#N/A</v>
      </c>
      <c r="G533" s="4">
        <f>IFERROR(__xludf.DUMMYFUNCTION("GOOGLEFINANCE($A533, G$2)"),39.4)</f>
        <v>39.4</v>
      </c>
      <c r="H533" s="4">
        <f>IFERROR(__xludf.DUMMYFUNCTION("GOOGLEFINANCE($A533, H$2)"),38.56)</f>
        <v>38.56</v>
      </c>
      <c r="I533" s="4" t="str">
        <f>IFERROR(__xludf.DUMMYFUNCTION("REPLACE(JOIN("";"", INDEX(TRANSPOSE(GOOGLEFINANCE($A533, $I$2, TODAY() - 30, TODAY(), 1)), 2)), 1, 6, """")"),"60,3;57,49;58,13;58,9;57;58,95;58,6;56,8;56,73;56,51;42,15;39;39,3")</f>
        <v>60,3;57,49;58,13;58,9;57;58,95;58,6;56,8;56,73;56,51;42,15;39;39,3</v>
      </c>
    </row>
    <row r="534">
      <c r="A534" s="3" t="s">
        <v>1078</v>
      </c>
      <c r="B534" s="4" t="s">
        <v>1079</v>
      </c>
      <c r="C534" s="4">
        <f>IFERROR(__xludf.DUMMYFUNCTION("GOOGLEFINANCE($A534, C$2)"),32.11)</f>
        <v>32.11</v>
      </c>
      <c r="D534" s="4">
        <f>IFERROR(__xludf.DUMMYFUNCTION("GOOGLEFINANCE($A534, D$2)"),0.0)</f>
        <v>0</v>
      </c>
      <c r="E534" s="4">
        <f>IFERROR(__xludf.DUMMYFUNCTION("GOOGLEFINANCE($A534, E$2)"),6.86)</f>
        <v>6.86</v>
      </c>
      <c r="F534" s="4">
        <f>IFERROR(__xludf.DUMMYFUNCTION("GOOGLEFINANCE($A534, F$2)"),4.68)</f>
        <v>4.68</v>
      </c>
      <c r="G534" s="4">
        <f>IFERROR(__xludf.DUMMYFUNCTION("GOOGLEFINANCE($A534, G$2)"),32.19)</f>
        <v>32.19</v>
      </c>
      <c r="H534" s="4">
        <f>IFERROR(__xludf.DUMMYFUNCTION("GOOGLEFINANCE($A534, H$2)"),31.9)</f>
        <v>31.9</v>
      </c>
      <c r="I534" s="4" t="str">
        <f>IFERROR(__xludf.DUMMYFUNCTION("REPLACE(JOIN("";"", INDEX(TRANSPOSE(GOOGLEFINANCE($A534, $I$2, TODAY() - 30, TODAY(), 1)), 2)), 1, 6, """")"),"32,5;32,15;32,18;32,5;32,09;32,67;33,2;33,3;33,14;33,13;32,89;32,81;32,61;32,51;32,59;32,32;31,92;32,11")</f>
        <v>32,5;32,15;32,18;32,5;32,09;32,67;33,2;33,3;33,14;33,13;32,89;32,81;32,61;32,51;32,59;32,32;31,92;32,11</v>
      </c>
    </row>
    <row r="535">
      <c r="A535" s="3" t="s">
        <v>1080</v>
      </c>
      <c r="B535" s="4" t="s">
        <v>1081</v>
      </c>
      <c r="C535" s="4">
        <f>IFERROR(__xludf.DUMMYFUNCTION("GOOGLEFINANCE($A535, C$2)"),10.71)</f>
        <v>10.71</v>
      </c>
      <c r="D535" s="4">
        <f>IFERROR(__xludf.DUMMYFUNCTION("GOOGLEFINANCE($A535, D$2)"),0.0)</f>
        <v>0</v>
      </c>
      <c r="E535" s="4">
        <f>IFERROR(__xludf.DUMMYFUNCTION("GOOGLEFINANCE($A535, E$2)"),2.29)</f>
        <v>2.29</v>
      </c>
      <c r="F535" s="4">
        <f>IFERROR(__xludf.DUMMYFUNCTION("GOOGLEFINANCE($A535, F$2)"),4.68)</f>
        <v>4.68</v>
      </c>
      <c r="G535" s="4">
        <f>IFERROR(__xludf.DUMMYFUNCTION("GOOGLEFINANCE($A535, G$2)"),10.85)</f>
        <v>10.85</v>
      </c>
      <c r="H535" s="4">
        <f>IFERROR(__xludf.DUMMYFUNCTION("GOOGLEFINANCE($A535, H$2)"),10.66)</f>
        <v>10.66</v>
      </c>
      <c r="I535" s="4" t="str">
        <f>IFERROR(__xludf.DUMMYFUNCTION("REPLACE(JOIN("";"", INDEX(TRANSPOSE(GOOGLEFINANCE($A535, $I$2, TODAY() - 30, TODAY(), 1)), 2)), 1, 6, """")"),"10,86;10,71;10,72;10,81;10,75;10,85;11,05;11,07;11,01;11,1;10,98;10,94;10,91;10,85;10,89;10,83;10,71;10,71")</f>
        <v>10,86;10,71;10,72;10,81;10,75;10,85;11,05;11,07;11,01;11,1;10,98;10,94;10,91;10,85;10,89;10,83;10,71;10,71</v>
      </c>
    </row>
    <row r="536">
      <c r="A536" s="3" t="s">
        <v>1082</v>
      </c>
      <c r="B536" s="4" t="s">
        <v>1083</v>
      </c>
      <c r="C536" s="4">
        <f>IFERROR(__xludf.DUMMYFUNCTION("GOOGLEFINANCE($A536, C$2)"),10.75)</f>
        <v>10.75</v>
      </c>
      <c r="D536" s="4">
        <f>IFERROR(__xludf.DUMMYFUNCTION("GOOGLEFINANCE($A536, D$2)"),0.0)</f>
        <v>0</v>
      </c>
      <c r="E536" s="4">
        <f>IFERROR(__xludf.DUMMYFUNCTION("GOOGLEFINANCE($A536, E$2)"),2.3)</f>
        <v>2.3</v>
      </c>
      <c r="F536" s="4">
        <f>IFERROR(__xludf.DUMMYFUNCTION("GOOGLEFINANCE($A536, F$2)"),4.68)</f>
        <v>4.68</v>
      </c>
      <c r="G536" s="4">
        <f>IFERROR(__xludf.DUMMYFUNCTION("GOOGLEFINANCE($A536, G$2)"),10.75)</f>
        <v>10.75</v>
      </c>
      <c r="H536" s="4">
        <f>IFERROR(__xludf.DUMMYFUNCTION("GOOGLEFINANCE($A536, H$2)"),10.63)</f>
        <v>10.63</v>
      </c>
      <c r="I536" s="4" t="str">
        <f>IFERROR(__xludf.DUMMYFUNCTION("REPLACE(JOIN("";"", INDEX(TRANSPOSE(GOOGLEFINANCE($A536, $I$2, TODAY() - 30, TODAY(), 1)), 2)), 1, 6, """")"),"10,86;10,71;10,7;10,92;10,79;10,95;11,14;11,14;11,05;11,08;11,02;10,96;10,9;10,88;10,85;10,81;10,67;10,75")</f>
        <v>10,86;10,71;10,7;10,92;10,79;10,95;11,14;11,14;11,05;11,08;11,02;10,96;10,9;10,88;10,85;10,81;10,67;10,75</v>
      </c>
    </row>
    <row r="537">
      <c r="A537" s="3" t="s">
        <v>1084</v>
      </c>
      <c r="B537" s="4" t="s">
        <v>1085</v>
      </c>
      <c r="C537" s="4">
        <f>IFERROR(__xludf.DUMMYFUNCTION("GOOGLEFINANCE($A537, C$2)"),95.4)</f>
        <v>95.4</v>
      </c>
      <c r="D537" s="4">
        <f>IFERROR(__xludf.DUMMYFUNCTION("GOOGLEFINANCE($A537, D$2)"),0.0)</f>
        <v>0</v>
      </c>
      <c r="E537" s="4" t="str">
        <f>IFERROR(__xludf.DUMMYFUNCTION("GOOGLEFINANCE($A537, E$2)"),"#N/A")</f>
        <v>#N/A</v>
      </c>
      <c r="F537" s="4" t="str">
        <f>IFERROR(__xludf.DUMMYFUNCTION("GOOGLEFINANCE($A537, F$2)"),"#N/A")</f>
        <v>#N/A</v>
      </c>
      <c r="G537" s="4" t="str">
        <f>IFERROR(__xludf.DUMMYFUNCTION("GOOGLEFINANCE($A537, G$2)"),"#N/A")</f>
        <v>#N/A</v>
      </c>
      <c r="H537" s="4" t="str">
        <f>IFERROR(__xludf.DUMMYFUNCTION("GOOGLEFINANCE($A537, H$2)"),"#N/A")</f>
        <v>#N/A</v>
      </c>
      <c r="I537" s="4" t="str">
        <f>IFERROR(__xludf.DUMMYFUNCTION("REPLACE(JOIN("";"", INDEX(TRANSPOSE(GOOGLEFINANCE($A537, $I$2, TODAY() - 30, TODAY(), 1)), 2)), 1, 6, """")"),"99,55;98,88;97,69;96,5;93,8;93,8;92,05;92;95,75;95,4")</f>
        <v>99,55;98,88;97,69;96,5;93,8;93,8;92,05;92;95,75;95,4</v>
      </c>
    </row>
    <row r="538">
      <c r="A538" s="3" t="s">
        <v>1086</v>
      </c>
      <c r="B538" s="4" t="s">
        <v>1087</v>
      </c>
      <c r="C538" s="4">
        <f>IFERROR(__xludf.DUMMYFUNCTION("GOOGLEFINANCE($A538, C$2)"),20.56)</f>
        <v>20.56</v>
      </c>
      <c r="D538" s="4">
        <f>IFERROR(__xludf.DUMMYFUNCTION("GOOGLEFINANCE($A538, D$2)"),0.0)</f>
        <v>0</v>
      </c>
      <c r="E538" s="4">
        <f>IFERROR(__xludf.DUMMYFUNCTION("GOOGLEFINANCE($A538, E$2)"),292.29)</f>
        <v>292.29</v>
      </c>
      <c r="F538" s="4">
        <f>IFERROR(__xludf.DUMMYFUNCTION("GOOGLEFINANCE($A538, F$2)"),0.07)</f>
        <v>0.07</v>
      </c>
      <c r="G538" s="4">
        <f>IFERROR(__xludf.DUMMYFUNCTION("GOOGLEFINANCE($A538, G$2)"),21.15)</f>
        <v>21.15</v>
      </c>
      <c r="H538" s="4">
        <f>IFERROR(__xludf.DUMMYFUNCTION("GOOGLEFINANCE($A538, H$2)"),19.93)</f>
        <v>19.93</v>
      </c>
      <c r="I538" s="4" t="str">
        <f>IFERROR(__xludf.DUMMYFUNCTION("REPLACE(JOIN("";"", INDEX(TRANSPOSE(GOOGLEFINANCE($A538, $I$2, TODAY() - 30, TODAY(), 1)), 2)), 1, 6, """")"),"19,21;18,47;17,66;18,1;17,98;18,2;18,67;18,68;18,1;18,21;18,3;18,2;17,71;17,92;18,71;21,42;20,55;20,65")</f>
        <v>19,21;18,47;17,66;18,1;17,98;18,2;18,67;18,68;18,1;18,21;18,3;18,2;17,71;17,92;18,71;21,42;20,55;20,65</v>
      </c>
    </row>
    <row r="539">
      <c r="A539" s="3" t="s">
        <v>1088</v>
      </c>
      <c r="B539" s="4" t="s">
        <v>1089</v>
      </c>
      <c r="C539" s="4">
        <f>IFERROR(__xludf.DUMMYFUNCTION("GOOGLEFINANCE($A539, C$2)"),20.65)</f>
        <v>20.65</v>
      </c>
      <c r="D539" s="4">
        <f>IFERROR(__xludf.DUMMYFUNCTION("GOOGLEFINANCE($A539, D$2)"),0.0)</f>
        <v>0</v>
      </c>
      <c r="E539" s="4">
        <f>IFERROR(__xludf.DUMMYFUNCTION("GOOGLEFINANCE($A539, E$2)"),293.57)</f>
        <v>293.57</v>
      </c>
      <c r="F539" s="4">
        <f>IFERROR(__xludf.DUMMYFUNCTION("GOOGLEFINANCE($A539, F$2)"),0.07)</f>
        <v>0.07</v>
      </c>
      <c r="G539" s="4">
        <f>IFERROR(__xludf.DUMMYFUNCTION("GOOGLEFINANCE($A539, G$2)"),21.04)</f>
        <v>21.04</v>
      </c>
      <c r="H539" s="4">
        <f>IFERROR(__xludf.DUMMYFUNCTION("GOOGLEFINANCE($A539, H$2)"),19.79)</f>
        <v>19.79</v>
      </c>
      <c r="I539" s="4" t="str">
        <f>IFERROR(__xludf.DUMMYFUNCTION("REPLACE(JOIN("";"", INDEX(TRANSPOSE(GOOGLEFINANCE($A539, $I$2, TODAY() - 30, TODAY(), 1)), 2)), 1, 6, """")"),"18,28;17,46;17,01;17;17,35;17,77;18,14;17,99;17,66;17,72;17,54;17,88;17,42;17,93;18,72;21,67;20,5;20,6")</f>
        <v>18,28;17,46;17,01;17;17,35;17,77;18,14;17,99;17,66;17,72;17,54;17,88;17,42;17,93;18,72;21,67;20,5;20,6</v>
      </c>
    </row>
    <row r="540">
      <c r="A540" s="3" t="s">
        <v>1090</v>
      </c>
      <c r="B540" s="4" t="s">
        <v>1091</v>
      </c>
      <c r="C540" s="4">
        <f>IFERROR(__xludf.DUMMYFUNCTION("GOOGLEFINANCE($A540, C$2)"),2.0)</f>
        <v>2</v>
      </c>
      <c r="D540" s="4">
        <f>IFERROR(__xludf.DUMMYFUNCTION("GOOGLEFINANCE($A540, D$2)"),0.0)</f>
        <v>0</v>
      </c>
      <c r="E540" s="4" t="str">
        <f>IFERROR(__xludf.DUMMYFUNCTION("GOOGLEFINANCE($A540, E$2)"),"#N/A")</f>
        <v>#N/A</v>
      </c>
      <c r="F540" s="4">
        <f>IFERROR(__xludf.DUMMYFUNCTION("GOOGLEFINANCE($A540, F$2)"),-0.17)</f>
        <v>-0.17</v>
      </c>
      <c r="G540" s="4">
        <f>IFERROR(__xludf.DUMMYFUNCTION("GOOGLEFINANCE($A540, G$2)"),2.04)</f>
        <v>2.04</v>
      </c>
      <c r="H540" s="4">
        <f>IFERROR(__xludf.DUMMYFUNCTION("GOOGLEFINANCE($A540, H$2)"),2.0)</f>
        <v>2</v>
      </c>
      <c r="I540" s="4" t="str">
        <f>IFERROR(__xludf.DUMMYFUNCTION("REPLACE(JOIN("";"", INDEX(TRANSPOSE(GOOGLEFINANCE($A540, $I$2, TODAY() - 30, TODAY(), 1)), 2)), 1, 6, """")"),"2,24;2,13;2,02;2,1;2,09;2,08;2,11;2,15;2,12;2,15;2,11;2,12;2,08;2,09;2,07;2,04;2,02;2")</f>
        <v>2,24;2,13;2,02;2,1;2,09;2,08;2,11;2,15;2,12;2,15;2,11;2,12;2,08;2,09;2,07;2,04;2,02;2</v>
      </c>
    </row>
    <row r="541">
      <c r="A541" s="3" t="s">
        <v>1092</v>
      </c>
      <c r="B541" s="4" t="s">
        <v>1093</v>
      </c>
      <c r="C541" s="4">
        <f>IFERROR(__xludf.DUMMYFUNCTION("GOOGLEFINANCE($A541, C$2)"),1.36)</f>
        <v>1.36</v>
      </c>
      <c r="D541" s="4">
        <f>IFERROR(__xludf.DUMMYFUNCTION("GOOGLEFINANCE($A541, D$2)"),0.0)</f>
        <v>0</v>
      </c>
      <c r="E541" s="4" t="str">
        <f>IFERROR(__xludf.DUMMYFUNCTION("GOOGLEFINANCE($A541, E$2)"),"#N/A")</f>
        <v>#N/A</v>
      </c>
      <c r="F541" s="4">
        <f>IFERROR(__xludf.DUMMYFUNCTION("GOOGLEFINANCE($A541, F$2)"),-0.17)</f>
        <v>-0.17</v>
      </c>
      <c r="G541" s="4">
        <f>IFERROR(__xludf.DUMMYFUNCTION("GOOGLEFINANCE($A541, G$2)"),1.4)</f>
        <v>1.4</v>
      </c>
      <c r="H541" s="4">
        <f>IFERROR(__xludf.DUMMYFUNCTION("GOOGLEFINANCE($A541, H$2)"),1.35)</f>
        <v>1.35</v>
      </c>
      <c r="I541" s="4" t="str">
        <f>IFERROR(__xludf.DUMMYFUNCTION("REPLACE(JOIN("";"", INDEX(TRANSPOSE(GOOGLEFINANCE($A541, $I$2, TODAY() - 30, TODAY(), 1)), 2)), 1, 6, """")"),"1,46;1,42;1,41;1,41;1,38;1,41;1,41;1,42;1,41;1,41;1,38;1,38;1,37;1,37;1,37;1,38;1,37;1,36")</f>
        <v>1,46;1,42;1,41;1,41;1,38;1,41;1,41;1,42;1,41;1,41;1,38;1,38;1,37;1,37;1,37;1,38;1,37;1,36</v>
      </c>
    </row>
    <row r="542">
      <c r="A542" s="3" t="s">
        <v>1094</v>
      </c>
      <c r="B542" s="4" t="s">
        <v>1095</v>
      </c>
      <c r="C542" s="4">
        <f>IFERROR(__xludf.DUMMYFUNCTION("GOOGLEFINANCE($A542, C$2)"),7.9)</f>
        <v>7.9</v>
      </c>
      <c r="D542" s="4">
        <f>IFERROR(__xludf.DUMMYFUNCTION("GOOGLEFINANCE($A542, D$2)"),0.0)</f>
        <v>0</v>
      </c>
      <c r="E542" s="4" t="str">
        <f>IFERROR(__xludf.DUMMYFUNCTION("GOOGLEFINANCE($A542, E$2)"),"#N/A")</f>
        <v>#N/A</v>
      </c>
      <c r="F542" s="4">
        <f>IFERROR(__xludf.DUMMYFUNCTION("GOOGLEFINANCE($A542, F$2)"),-2.63)</f>
        <v>-2.63</v>
      </c>
      <c r="G542" s="4">
        <f>IFERROR(__xludf.DUMMYFUNCTION("GOOGLEFINANCE($A542, G$2)"),8.03)</f>
        <v>8.03</v>
      </c>
      <c r="H542" s="4">
        <f>IFERROR(__xludf.DUMMYFUNCTION("GOOGLEFINANCE($A542, H$2)"),7.77)</f>
        <v>7.77</v>
      </c>
      <c r="I542" s="4" t="str">
        <f>IFERROR(__xludf.DUMMYFUNCTION("REPLACE(JOIN("";"", INDEX(TRANSPOSE(GOOGLEFINANCE($A542, $I$2, TODAY() - 30, TODAY(), 1)), 2)), 1, 6, """")"),"8,7;8,67;8,45;8,65;8,65;8,6;8,71;9,13;9,06;9,17;9,04;9,03;8,66;8,64;8,55;8,37;7,99;7,9")</f>
        <v>8,7;8,67;8,45;8,65;8,65;8,6;8,71;9,13;9,06;9,17;9,04;9,03;8,66;8,64;8,55;8,37;7,99;7,9</v>
      </c>
    </row>
    <row r="543">
      <c r="A543" s="3" t="s">
        <v>1096</v>
      </c>
      <c r="B543" s="4" t="s">
        <v>1097</v>
      </c>
      <c r="C543" s="4">
        <f>IFERROR(__xludf.DUMMYFUNCTION("GOOGLEFINANCE($A543, C$2)"),1.56)</f>
        <v>1.56</v>
      </c>
      <c r="D543" s="4">
        <f>IFERROR(__xludf.DUMMYFUNCTION("GOOGLEFINANCE($A543, D$2)"),0.0)</f>
        <v>0</v>
      </c>
      <c r="E543" s="4" t="str">
        <f>IFERROR(__xludf.DUMMYFUNCTION("GOOGLEFINANCE($A543, E$2)"),"#N/A")</f>
        <v>#N/A</v>
      </c>
      <c r="F543" s="4">
        <f>IFERROR(__xludf.DUMMYFUNCTION("GOOGLEFINANCE($A543, F$2)"),-1.35)</f>
        <v>-1.35</v>
      </c>
      <c r="G543" s="4">
        <f>IFERROR(__xludf.DUMMYFUNCTION("GOOGLEFINANCE($A543, G$2)"),1.59)</f>
        <v>1.59</v>
      </c>
      <c r="H543" s="4">
        <f>IFERROR(__xludf.DUMMYFUNCTION("GOOGLEFINANCE($A543, H$2)"),1.54)</f>
        <v>1.54</v>
      </c>
      <c r="I543" s="4" t="str">
        <f>IFERROR(__xludf.DUMMYFUNCTION("REPLACE(JOIN("";"", INDEX(TRANSPOSE(GOOGLEFINANCE($A543, $I$2, TODAY() - 30, TODAY(), 1)), 2)), 1, 6, """")"),"1,22;1,22;1,24;1,25;1,22;1,27;1,29;1,4;1,36;1,37;1,39;1,61;1,57;1,57;1,56;1,64;1,55;1,56")</f>
        <v>1,22;1,22;1,24;1,25;1,22;1,27;1,29;1,4;1,36;1,37;1,39;1,61;1,57;1,57;1,56;1,64;1,55;1,56</v>
      </c>
    </row>
    <row r="544">
      <c r="A544" s="3" t="s">
        <v>1098</v>
      </c>
      <c r="B544" s="4" t="s">
        <v>1099</v>
      </c>
      <c r="C544" s="4">
        <f>IFERROR(__xludf.DUMMYFUNCTION("GOOGLEFINANCE($A544, C$2)"),55.0)</f>
        <v>55</v>
      </c>
      <c r="D544" s="4">
        <f>IFERROR(__xludf.DUMMYFUNCTION("GOOGLEFINANCE($A544, D$2)"),0.0)</f>
        <v>0</v>
      </c>
      <c r="E544" s="4" t="str">
        <f>IFERROR(__xludf.DUMMYFUNCTION("GOOGLEFINANCE($A544, E$2)"),"#N/A")</f>
        <v>#N/A</v>
      </c>
      <c r="F544" s="4">
        <f>IFERROR(__xludf.DUMMYFUNCTION("GOOGLEFINANCE($A544, F$2)"),-229.22)</f>
        <v>-229.22</v>
      </c>
      <c r="G544" s="4" t="str">
        <f>IFERROR(__xludf.DUMMYFUNCTION("GOOGLEFINANCE($A544, G$2)"),"#N/A")</f>
        <v>#N/A</v>
      </c>
      <c r="H544" s="4" t="str">
        <f>IFERROR(__xludf.DUMMYFUNCTION("GOOGLEFINANCE($A544, H$2)"),"#N/A")</f>
        <v>#N/A</v>
      </c>
      <c r="I544" s="4" t="str">
        <f>IFERROR(__xludf.DUMMYFUNCTION("REPLACE(JOIN("";"", INDEX(TRANSPOSE(GOOGLEFINANCE($A544, $I$2, TODAY() - 30, TODAY(), 1)), 2)), 1, 6, """")"),"74,9;67;67,8;62;62;57;55")</f>
        <v>74,9;67;67,8;62;62;57;55</v>
      </c>
    </row>
    <row r="545">
      <c r="A545" s="3" t="s">
        <v>1100</v>
      </c>
      <c r="B545" s="4" t="s">
        <v>1101</v>
      </c>
      <c r="C545" s="4">
        <f>IFERROR(__xludf.DUMMYFUNCTION("GOOGLEFINANCE($A545, C$2)"),22.01)</f>
        <v>22.01</v>
      </c>
      <c r="D545" s="4">
        <f>IFERROR(__xludf.DUMMYFUNCTION("GOOGLEFINANCE($A545, D$2)"),0.0)</f>
        <v>0</v>
      </c>
      <c r="E545" s="4" t="str">
        <f>IFERROR(__xludf.DUMMYFUNCTION("GOOGLEFINANCE($A545, E$2)"),"#N/A")</f>
        <v>#N/A</v>
      </c>
      <c r="F545" s="4">
        <f>IFERROR(__xludf.DUMMYFUNCTION("GOOGLEFINANCE($A545, F$2)"),-229.22)</f>
        <v>-229.22</v>
      </c>
      <c r="G545" s="4">
        <f>IFERROR(__xludf.DUMMYFUNCTION("GOOGLEFINANCE($A545, G$2)"),23.3)</f>
        <v>23.3</v>
      </c>
      <c r="H545" s="4">
        <f>IFERROR(__xludf.DUMMYFUNCTION("GOOGLEFINANCE($A545, H$2)"),22.0)</f>
        <v>22</v>
      </c>
      <c r="I545" s="4" t="str">
        <f>IFERROR(__xludf.DUMMYFUNCTION("REPLACE(JOIN("";"", INDEX(TRANSPOSE(GOOGLEFINANCE($A545, $I$2, TODAY() - 30, TODAY(), 1)), 2)), 1, 6, """")"),"23,18;23,07;23,47;23,14;23;22,5;21,45;22;24,49;23,45;22,4;22,6;22,89;21,5;22,95;23,49;23,31;22,01")</f>
        <v>23,18;23,07;23,47;23,14;23;22,5;21,45;22;24,49;23,45;22,4;22,6;22,89;21,5;22,95;23,49;23,31;22,01</v>
      </c>
    </row>
    <row r="546">
      <c r="A546" s="3" t="s">
        <v>1102</v>
      </c>
      <c r="B546" s="4" t="s">
        <v>1103</v>
      </c>
      <c r="C546" s="4">
        <f>IFERROR(__xludf.DUMMYFUNCTION("GOOGLEFINANCE($A546, C$2)"),75.01)</f>
        <v>75.01</v>
      </c>
      <c r="D546" s="4">
        <f>IFERROR(__xludf.DUMMYFUNCTION("GOOGLEFINANCE($A546, D$2)"),0.0)</f>
        <v>0</v>
      </c>
      <c r="E546" s="4">
        <f>IFERROR(__xludf.DUMMYFUNCTION("GOOGLEFINANCE($A546, E$2)"),119.13)</f>
        <v>119.13</v>
      </c>
      <c r="F546" s="4">
        <f>IFERROR(__xludf.DUMMYFUNCTION("GOOGLEFINANCE($A546, F$2)"),0.63)</f>
        <v>0.63</v>
      </c>
      <c r="G546" s="4">
        <f>IFERROR(__xludf.DUMMYFUNCTION("GOOGLEFINANCE($A546, G$2)"),75.5)</f>
        <v>75.5</v>
      </c>
      <c r="H546" s="4">
        <f>IFERROR(__xludf.DUMMYFUNCTION("GOOGLEFINANCE($A546, H$2)"),72.62)</f>
        <v>72.62</v>
      </c>
      <c r="I546" s="4" t="str">
        <f>IFERROR(__xludf.DUMMYFUNCTION("REPLACE(JOIN("";"", INDEX(TRANSPOSE(GOOGLEFINANCE($A546, $I$2, TODAY() - 30, TODAY(), 1)), 2)), 1, 6, """")"),"81,2;81;77,5;78;77,85;80,01;83;85,52;85,54;85,45;85,49;82,9;82,95;80,57;76,5;74,1;75,01")</f>
        <v>81,2;81;77,5;78;77,85;80,01;83;85,52;85,54;85,45;85,49;82,9;82,95;80,57;76,5;74,1;75,01</v>
      </c>
    </row>
    <row r="547">
      <c r="A547" s="3" t="s">
        <v>1104</v>
      </c>
      <c r="B547" s="4" t="s">
        <v>1105</v>
      </c>
      <c r="C547" s="4">
        <f>IFERROR(__xludf.DUMMYFUNCTION("GOOGLEFINANCE($A547, C$2)"),28.01)</f>
        <v>28.01</v>
      </c>
      <c r="D547" s="4">
        <f>IFERROR(__xludf.DUMMYFUNCTION("GOOGLEFINANCE($A547, D$2)"),0.0)</f>
        <v>0</v>
      </c>
      <c r="E547" s="4">
        <f>IFERROR(__xludf.DUMMYFUNCTION("GOOGLEFINANCE($A547, E$2)"),44.48)</f>
        <v>44.48</v>
      </c>
      <c r="F547" s="4">
        <f>IFERROR(__xludf.DUMMYFUNCTION("GOOGLEFINANCE($A547, F$2)"),0.63)</f>
        <v>0.63</v>
      </c>
      <c r="G547" s="4">
        <f>IFERROR(__xludf.DUMMYFUNCTION("GOOGLEFINANCE($A547, G$2)"),28.97)</f>
        <v>28.97</v>
      </c>
      <c r="H547" s="4">
        <f>IFERROR(__xludf.DUMMYFUNCTION("GOOGLEFINANCE($A547, H$2)"),28.0)</f>
        <v>28</v>
      </c>
      <c r="I547" s="4" t="str">
        <f>IFERROR(__xludf.DUMMYFUNCTION("REPLACE(JOIN("";"", INDEX(TRANSPOSE(GOOGLEFINANCE($A547, $I$2, TODAY() - 30, TODAY(), 1)), 2)), 1, 6, """")"),"29,17;27,98;28;28,7;27,9;29,2;29,66;29,45;29,3;29,3;29,36;29,04;28,97;28,8;29,3;29,43;28,97;28,01")</f>
        <v>29,17;27,98;28;28,7;27,9;29,2;29,66;29,45;29,3;29,3;29,36;29,04;28,97;28,8;29,3;29,43;28,97;28,01</v>
      </c>
    </row>
    <row r="548">
      <c r="A548" s="3" t="s">
        <v>1106</v>
      </c>
      <c r="B548" s="4" t="s">
        <v>1107</v>
      </c>
      <c r="C548" s="4">
        <f>IFERROR(__xludf.DUMMYFUNCTION("GOOGLEFINANCE($A548, C$2)"),26.75)</f>
        <v>26.75</v>
      </c>
      <c r="D548" s="4">
        <f>IFERROR(__xludf.DUMMYFUNCTION("GOOGLEFINANCE($A548, D$2)"),0.0)</f>
        <v>0</v>
      </c>
      <c r="E548" s="4">
        <f>IFERROR(__xludf.DUMMYFUNCTION("GOOGLEFINANCE($A548, E$2)"),13.95)</f>
        <v>13.95</v>
      </c>
      <c r="F548" s="4">
        <f>IFERROR(__xludf.DUMMYFUNCTION("GOOGLEFINANCE($A548, F$2)"),1.92)</f>
        <v>1.92</v>
      </c>
      <c r="G548" s="4">
        <f>IFERROR(__xludf.DUMMYFUNCTION("GOOGLEFINANCE($A548, G$2)"),26.77)</f>
        <v>26.77</v>
      </c>
      <c r="H548" s="4">
        <f>IFERROR(__xludf.DUMMYFUNCTION("GOOGLEFINANCE($A548, H$2)"),25.46)</f>
        <v>25.46</v>
      </c>
      <c r="I548" s="4" t="str">
        <f>IFERROR(__xludf.DUMMYFUNCTION("REPLACE(JOIN("";"", INDEX(TRANSPOSE(GOOGLEFINANCE($A548, $I$2, TODAY() - 30, TODAY(), 1)), 2)), 1, 6, """")"),"28,28;28,82;28,38;29,39;29,07;28,65;29,11;29,29;29,25;29,2;29,12;28,31;27,28;27,56;27,1;26,31;25,88;26,75")</f>
        <v>28,28;28,82;28,38;29,39;29,07;28,65;29,11;29,29;29,25;29,2;29,12;28,31;27,28;27,56;27,1;26,31;25,88;26,75</v>
      </c>
    </row>
    <row r="549">
      <c r="A549" s="3" t="s">
        <v>1108</v>
      </c>
      <c r="B549" s="4" t="s">
        <v>1109</v>
      </c>
      <c r="C549" s="4">
        <f>IFERROR(__xludf.DUMMYFUNCTION("GOOGLEFINANCE($A549, C$2)"),31.0)</f>
        <v>31</v>
      </c>
      <c r="D549" s="4">
        <f>IFERROR(__xludf.DUMMYFUNCTION("GOOGLEFINANCE($A549, D$2)"),0.0)</f>
        <v>0</v>
      </c>
      <c r="E549" s="4" t="str">
        <f>IFERROR(__xludf.DUMMYFUNCTION("GOOGLEFINANCE($A549, E$2)"),"#N/A")</f>
        <v>#N/A</v>
      </c>
      <c r="F549" s="4">
        <f>IFERROR(__xludf.DUMMYFUNCTION("GOOGLEFINANCE($A549, F$2)"),-3.98)</f>
        <v>-3.98</v>
      </c>
      <c r="G549" s="4">
        <f>IFERROR(__xludf.DUMMYFUNCTION("GOOGLEFINANCE($A549, G$2)"),31.59)</f>
        <v>31.59</v>
      </c>
      <c r="H549" s="4">
        <f>IFERROR(__xludf.DUMMYFUNCTION("GOOGLEFINANCE($A549, H$2)"),30.5)</f>
        <v>30.5</v>
      </c>
      <c r="I549" s="4" t="str">
        <f>IFERROR(__xludf.DUMMYFUNCTION("REPLACE(JOIN("";"", INDEX(TRANSPOSE(GOOGLEFINANCE($A549, $I$2, TODAY() - 30, TODAY(), 1)), 2)), 1, 6, """")"),"27,5;27;26,81;27;26,48;26,85;27,62;27,66;27,5;26,91;27,81;28,22;28,42;29,55;33,52;32;31,6;31")</f>
        <v>27,5;27;26,81;27;26,48;26,85;27,62;27,66;27,5;26,91;27,81;28,22;28,42;29,55;33,52;32;31,6;31</v>
      </c>
    </row>
    <row r="550">
      <c r="A550" s="3" t="s">
        <v>1110</v>
      </c>
      <c r="B550" s="4" t="s">
        <v>1111</v>
      </c>
      <c r="C550" s="4">
        <f>IFERROR(__xludf.DUMMYFUNCTION("GOOGLEFINANCE($A550, C$2)"),64.0)</f>
        <v>64</v>
      </c>
      <c r="D550" s="4">
        <f>IFERROR(__xludf.DUMMYFUNCTION("GOOGLEFINANCE($A550, D$2)"),0.0)</f>
        <v>0</v>
      </c>
      <c r="E550" s="4" t="str">
        <f>IFERROR(__xludf.DUMMYFUNCTION("GOOGLEFINANCE($A550, E$2)"),"#N/A")</f>
        <v>#N/A</v>
      </c>
      <c r="F550" s="4" t="str">
        <f>IFERROR(__xludf.DUMMYFUNCTION("GOOGLEFINANCE($A550, F$2)"),"#N/A")</f>
        <v>#N/A</v>
      </c>
      <c r="G550" s="4">
        <f>IFERROR(__xludf.DUMMYFUNCTION("GOOGLEFINANCE($A550, G$2)"),64.52)</f>
        <v>64.52</v>
      </c>
      <c r="H550" s="4">
        <f>IFERROR(__xludf.DUMMYFUNCTION("GOOGLEFINANCE($A550, H$2)"),63.87)</f>
        <v>63.87</v>
      </c>
      <c r="I550" s="4" t="str">
        <f>IFERROR(__xludf.DUMMYFUNCTION("REPLACE(JOIN("";"", INDEX(TRANSPOSE(GOOGLEFINANCE($A550, $I$2, TODAY() - 30, TODAY(), 1)), 2)), 1, 6, """")"),"63,37;61,47;58,85;62;60,8;62,6;62,6;60,63;62,06;60,86;62,55;62,5;62,56;64,05;64,45;64,79;63,9;64")</f>
        <v>63,37;61,47;58,85;62;60,8;62,6;62,6;60,63;62,06;60,86;62,55;62,5;62,56;64,05;64,45;64,79;63,9;64</v>
      </c>
    </row>
    <row r="551">
      <c r="A551" s="3" t="s">
        <v>1112</v>
      </c>
      <c r="B551" s="4" t="s">
        <v>1113</v>
      </c>
      <c r="C551" s="4">
        <f>IFERROR(__xludf.DUMMYFUNCTION("GOOGLEFINANCE($A551, C$2)"),23.45)</f>
        <v>23.45</v>
      </c>
      <c r="D551" s="4">
        <f>IFERROR(__xludf.DUMMYFUNCTION("GOOGLEFINANCE($A551, D$2)"),0.0)</f>
        <v>0</v>
      </c>
      <c r="E551" s="4">
        <f>IFERROR(__xludf.DUMMYFUNCTION("GOOGLEFINANCE($A551, E$2)"),17.51)</f>
        <v>17.51</v>
      </c>
      <c r="F551" s="4">
        <f>IFERROR(__xludf.DUMMYFUNCTION("GOOGLEFINANCE($A551, F$2)"),1.34)</f>
        <v>1.34</v>
      </c>
      <c r="G551" s="4">
        <f>IFERROR(__xludf.DUMMYFUNCTION("GOOGLEFINANCE($A551, G$2)"),23.88)</f>
        <v>23.88</v>
      </c>
      <c r="H551" s="4">
        <f>IFERROR(__xludf.DUMMYFUNCTION("GOOGLEFINANCE($A551, H$2)"),23.24)</f>
        <v>23.24</v>
      </c>
      <c r="I551" s="4" t="str">
        <f>IFERROR(__xludf.DUMMYFUNCTION("REPLACE(JOIN("";"", INDEX(TRANSPOSE(GOOGLEFINANCE($A551, $I$2, TODAY() - 30, TODAY(), 1)), 2)), 1, 6, """")"),"25,18;24,8;25;25,65;25,25;25,45;26,42;26,25;25,91;25,64;24,94;24,3;23,65;23,46;23,45;23,13;23,6;23,45")</f>
        <v>25,18;24,8;25;25,65;25,25;25,45;26,42;26,25;25,91;25,64;24,94;24,3;23,65;23,46;23,45;23,13;23,6;23,45</v>
      </c>
    </row>
    <row r="552">
      <c r="A552" s="3" t="s">
        <v>1114</v>
      </c>
      <c r="B552" s="4" t="s">
        <v>1115</v>
      </c>
      <c r="C552" s="4">
        <f>IFERROR(__xludf.DUMMYFUNCTION("GOOGLEFINANCE($A552, C$2)"),1025.0)</f>
        <v>1025</v>
      </c>
      <c r="D552" s="4">
        <f>IFERROR(__xludf.DUMMYFUNCTION("GOOGLEFINANCE($A552, D$2)"),0.0)</f>
        <v>0</v>
      </c>
      <c r="E552" s="4" t="str">
        <f>IFERROR(__xludf.DUMMYFUNCTION("GOOGLEFINANCE($A552, E$2)"),"#N/A")</f>
        <v>#N/A</v>
      </c>
      <c r="F552" s="4" t="str">
        <f>IFERROR(__xludf.DUMMYFUNCTION("GOOGLEFINANCE($A552, F$2)"),"#N/A")</f>
        <v>#N/A</v>
      </c>
      <c r="G552" s="4">
        <f>IFERROR(__xludf.DUMMYFUNCTION("GOOGLEFINANCE($A552, G$2)"),1033.0)</f>
        <v>1033</v>
      </c>
      <c r="H552" s="4">
        <f>IFERROR(__xludf.DUMMYFUNCTION("GOOGLEFINANCE($A552, H$2)"),1024.0)</f>
        <v>1024</v>
      </c>
      <c r="I552" s="4" t="str">
        <f>IFERROR(__xludf.DUMMYFUNCTION("REPLACE(JOIN("";"", INDEX(TRANSPOSE(GOOGLEFINANCE($A552, $I$2, TODAY() - 30, TODAY(), 1)), 2)), 1, 6, """")"),"1049,5;999,1;960,55;1003,5;996,5;1002,7;998,7;996;1023,61;1016,4;1035,83;1046,5;1040,98;1039,28;1075;1056;1045;1025")</f>
        <v>1049,5;999,1;960,55;1003,5;996,5;1002,7;998,7;996;1023,61;1016,4;1035,83;1046,5;1040,98;1039,28;1075;1056;1045;1025</v>
      </c>
    </row>
    <row r="553">
      <c r="A553" s="3" t="s">
        <v>1116</v>
      </c>
      <c r="B553" s="4" t="s">
        <v>1117</v>
      </c>
      <c r="C553" s="4">
        <f>IFERROR(__xludf.DUMMYFUNCTION("GOOGLEFINANCE($A553, C$2)"),16.18)</f>
        <v>16.18</v>
      </c>
      <c r="D553" s="4">
        <f>IFERROR(__xludf.DUMMYFUNCTION("GOOGLEFINANCE($A553, D$2)"),0.0)</f>
        <v>0</v>
      </c>
      <c r="E553" s="4">
        <f>IFERROR(__xludf.DUMMYFUNCTION("GOOGLEFINANCE($A553, E$2)"),18.74)</f>
        <v>18.74</v>
      </c>
      <c r="F553" s="4">
        <f>IFERROR(__xludf.DUMMYFUNCTION("GOOGLEFINANCE($A553, F$2)"),0.86)</f>
        <v>0.86</v>
      </c>
      <c r="G553" s="4">
        <f>IFERROR(__xludf.DUMMYFUNCTION("GOOGLEFINANCE($A553, G$2)"),16.32)</f>
        <v>16.32</v>
      </c>
      <c r="H553" s="4">
        <f>IFERROR(__xludf.DUMMYFUNCTION("GOOGLEFINANCE($A553, H$2)"),16.12)</f>
        <v>16.12</v>
      </c>
      <c r="I553" s="4" t="str">
        <f>IFERROR(__xludf.DUMMYFUNCTION("REPLACE(JOIN("";"", INDEX(TRANSPOSE(GOOGLEFINANCE($A553, $I$2, TODAY() - 30, TODAY(), 1)), 2)), 1, 6, """")"),"16,94;16,77;17,02;17,2;16,84;16,84;16,81;16,83;16,8;16,95;16,92;16,76;16,39;16,5;16,48;16,22;16,26;16,18")</f>
        <v>16,94;16,77;17,02;17,2;16,84;16,84;16,81;16,83;16,8;16,95;16,92;16,76;16,39;16,5;16,48;16,22;16,26;16,18</v>
      </c>
    </row>
    <row r="554">
      <c r="A554" s="3" t="s">
        <v>1118</v>
      </c>
      <c r="B554" s="4" t="s">
        <v>1119</v>
      </c>
      <c r="C554" s="4">
        <f>IFERROR(__xludf.DUMMYFUNCTION("GOOGLEFINANCE($A554, C$2)"),3.24)</f>
        <v>3.24</v>
      </c>
      <c r="D554" s="4">
        <f>IFERROR(__xludf.DUMMYFUNCTION("GOOGLEFINANCE($A554, D$2)"),0.0)</f>
        <v>0</v>
      </c>
      <c r="E554" s="4">
        <f>IFERROR(__xludf.DUMMYFUNCTION("GOOGLEFINANCE($A554, E$2)"),3.75)</f>
        <v>3.75</v>
      </c>
      <c r="F554" s="4">
        <f>IFERROR(__xludf.DUMMYFUNCTION("GOOGLEFINANCE($A554, F$2)"),0.86)</f>
        <v>0.86</v>
      </c>
      <c r="G554" s="4">
        <f>IFERROR(__xludf.DUMMYFUNCTION("GOOGLEFINANCE($A554, G$2)"),3.27)</f>
        <v>3.27</v>
      </c>
      <c r="H554" s="4">
        <f>IFERROR(__xludf.DUMMYFUNCTION("GOOGLEFINANCE($A554, H$2)"),3.22)</f>
        <v>3.22</v>
      </c>
      <c r="I554" s="4" t="str">
        <f>IFERROR(__xludf.DUMMYFUNCTION("REPLACE(JOIN("";"", INDEX(TRANSPOSE(GOOGLEFINANCE($A554, $I$2, TODAY() - 30, TODAY(), 1)), 2)), 1, 6, """")"),"3,39;3,37;3,41;3,47;3,36;3,37;3,4;3,39;3,34;3,39;3,39;3,4;3,3;3,33;3,28;3,27;3,26;3,24")</f>
        <v>3,39;3,37;3,41;3,47;3,36;3,37;3,4;3,39;3,34;3,39;3,39;3,4;3,3;3,33;3,28;3,27;3,26;3,24</v>
      </c>
    </row>
    <row r="555">
      <c r="A555" s="3" t="s">
        <v>1120</v>
      </c>
      <c r="B555" s="4" t="s">
        <v>1121</v>
      </c>
      <c r="C555" s="4">
        <f>IFERROR(__xludf.DUMMYFUNCTION("GOOGLEFINANCE($A555, C$2)"),3.25)</f>
        <v>3.25</v>
      </c>
      <c r="D555" s="4">
        <f>IFERROR(__xludf.DUMMYFUNCTION("GOOGLEFINANCE($A555, D$2)"),0.0)</f>
        <v>0</v>
      </c>
      <c r="E555" s="4">
        <f>IFERROR(__xludf.DUMMYFUNCTION("GOOGLEFINANCE($A555, E$2)"),3.76)</f>
        <v>3.76</v>
      </c>
      <c r="F555" s="4">
        <f>IFERROR(__xludf.DUMMYFUNCTION("GOOGLEFINANCE($A555, F$2)"),0.86)</f>
        <v>0.86</v>
      </c>
      <c r="G555" s="4">
        <f>IFERROR(__xludf.DUMMYFUNCTION("GOOGLEFINANCE($A555, G$2)"),3.26)</f>
        <v>3.26</v>
      </c>
      <c r="H555" s="4">
        <f>IFERROR(__xludf.DUMMYFUNCTION("GOOGLEFINANCE($A555, H$2)"),3.22)</f>
        <v>3.22</v>
      </c>
      <c r="I555" s="4" t="str">
        <f>IFERROR(__xludf.DUMMYFUNCTION("REPLACE(JOIN("";"", INDEX(TRANSPOSE(GOOGLEFINANCE($A555, $I$2, TODAY() - 30, TODAY(), 1)), 2)), 1, 6, """")"),"3,4;3,35;3,41;3,43;3,37;3,39;3,37;3,37;3,38;3,38;3,38;3,37;3,32;3,31;3,3;3,25;3,26;3,25")</f>
        <v>3,4;3,35;3,41;3,43;3,37;3,39;3,37;3,37;3,38;3,38;3,38;3,37;3,32;3,31;3,3;3,25;3,26;3,25</v>
      </c>
    </row>
    <row r="556">
      <c r="A556" s="3" t="s">
        <v>1122</v>
      </c>
      <c r="B556" s="4" t="e">
        <v>#N/A</v>
      </c>
      <c r="C556" s="4" t="str">
        <f>IFERROR(__xludf.DUMMYFUNCTION("GOOGLEFINANCE($A556, C$2)"),"#N/A")</f>
        <v>#N/A</v>
      </c>
      <c r="D556" s="4" t="str">
        <f>IFERROR(__xludf.DUMMYFUNCTION("GOOGLEFINANCE($A556, D$2)"),"#N/A")</f>
        <v>#N/A</v>
      </c>
      <c r="E556" s="4" t="str">
        <f>IFERROR(__xludf.DUMMYFUNCTION("GOOGLEFINANCE($A556, E$2)"),"#N/A")</f>
        <v>#N/A</v>
      </c>
      <c r="F556" s="4" t="str">
        <f>IFERROR(__xludf.DUMMYFUNCTION("GOOGLEFINANCE($A556, F$2)"),"#N/A")</f>
        <v>#N/A</v>
      </c>
      <c r="G556" s="4" t="str">
        <f>IFERROR(__xludf.DUMMYFUNCTION("GOOGLEFINANCE($A556, G$2)"),"#N/A")</f>
        <v>#N/A</v>
      </c>
      <c r="H556" s="4" t="str">
        <f>IFERROR(__xludf.DUMMYFUNCTION("GOOGLEFINANCE($A556, H$2)"),"#N/A")</f>
        <v>#N/A</v>
      </c>
      <c r="I556" s="4" t="str">
        <f>IFERROR(__xludf.DUMMYFUNCTION("REPLACE(JOIN("";"", INDEX(TRANSPOSE(GOOGLEFINANCE($A556, $I$2, TODAY() - 30, TODAY(), 1)), 2)), 1, 6, """")"),"#N/A")</f>
        <v>#N/A</v>
      </c>
    </row>
    <row r="557">
      <c r="A557" s="3" t="s">
        <v>1123</v>
      </c>
      <c r="B557" s="4" t="s">
        <v>1124</v>
      </c>
      <c r="C557" s="4">
        <f>IFERROR(__xludf.DUMMYFUNCTION("GOOGLEFINANCE($A557, C$2)"),13.7)</f>
        <v>13.7</v>
      </c>
      <c r="D557" s="4">
        <f>IFERROR(__xludf.DUMMYFUNCTION("GOOGLEFINANCE($A557, D$2)"),0.0)</f>
        <v>0</v>
      </c>
      <c r="E557" s="4">
        <f>IFERROR(__xludf.DUMMYFUNCTION("GOOGLEFINANCE($A557, E$2)"),17.99)</f>
        <v>17.99</v>
      </c>
      <c r="F557" s="4">
        <f>IFERROR(__xludf.DUMMYFUNCTION("GOOGLEFINANCE($A557, F$2)"),0.76)</f>
        <v>0.76</v>
      </c>
      <c r="G557" s="4">
        <f>IFERROR(__xludf.DUMMYFUNCTION("GOOGLEFINANCE($A557, G$2)"),13.79)</f>
        <v>13.79</v>
      </c>
      <c r="H557" s="4">
        <f>IFERROR(__xludf.DUMMYFUNCTION("GOOGLEFINANCE($A557, H$2)"),13.59)</f>
        <v>13.59</v>
      </c>
      <c r="I557" s="4" t="str">
        <f>IFERROR(__xludf.DUMMYFUNCTION("REPLACE(JOIN("";"", INDEX(TRANSPOSE(GOOGLEFINANCE($A557, $I$2, TODAY() - 30, TODAY(), 1)), 2)), 1, 6, """")"),"13,17;13,16;13,34;13,6;13,39;13,46;13,73;14,19;13,82;13,84;13,68;13,65;13,84;14,6;13,8;14,31;13,55;13,7")</f>
        <v>13,17;13,16;13,34;13,6;13,39;13,46;13,73;14,19;13,82;13,84;13,68;13,65;13,84;14,6;13,8;14,31;13,55;13,7</v>
      </c>
    </row>
    <row r="558">
      <c r="A558" s="3" t="s">
        <v>1125</v>
      </c>
      <c r="B558" s="4" t="s">
        <v>1126</v>
      </c>
      <c r="C558" s="4">
        <f>IFERROR(__xludf.DUMMYFUNCTION("GOOGLEFINANCE($A558, C$2)"),368.29)</f>
        <v>368.29</v>
      </c>
      <c r="D558" s="4">
        <f>IFERROR(__xludf.DUMMYFUNCTION("GOOGLEFINANCE($A558, D$2)"),0.0)</f>
        <v>0</v>
      </c>
      <c r="E558" s="4" t="str">
        <f>IFERROR(__xludf.DUMMYFUNCTION("GOOGLEFINANCE($A558, E$2)"),"#N/A")</f>
        <v>#N/A</v>
      </c>
      <c r="F558" s="4" t="str">
        <f>IFERROR(__xludf.DUMMYFUNCTION("GOOGLEFINANCE($A558, F$2)"),"#N/A")</f>
        <v>#N/A</v>
      </c>
      <c r="G558" s="4">
        <f>IFERROR(__xludf.DUMMYFUNCTION("GOOGLEFINANCE($A558, G$2)"),370.88)</f>
        <v>370.88</v>
      </c>
      <c r="H558" s="4">
        <f>IFERROR(__xludf.DUMMYFUNCTION("GOOGLEFINANCE($A558, H$2)"),368.29)</f>
        <v>368.29</v>
      </c>
      <c r="I558" s="4" t="str">
        <f>IFERROR(__xludf.DUMMYFUNCTION("REPLACE(JOIN("";"", INDEX(TRANSPOSE(GOOGLEFINANCE($A558, $I$2, TODAY() - 30, TODAY(), 1)), 2)), 1, 6, """")"),"368,77;346,77;345,73;357,76;350,58;351,97;352,33;373,23;365,2;371,73;364,6;363,57;371,73;368,29")</f>
        <v>368,77;346,77;345,73;357,76;350,58;351,97;352,33;373,23;365,2;371,73;364,6;363,57;371,73;368,29</v>
      </c>
    </row>
    <row r="559">
      <c r="A559" s="3" t="s">
        <v>1127</v>
      </c>
      <c r="B559" s="4" t="s">
        <v>1128</v>
      </c>
      <c r="C559" s="4">
        <f>IFERROR(__xludf.DUMMYFUNCTION("GOOGLEFINANCE($A559, C$2)"),46.0)</f>
        <v>46</v>
      </c>
      <c r="D559" s="4">
        <f>IFERROR(__xludf.DUMMYFUNCTION("GOOGLEFINANCE($A559, D$2)"),0.0)</f>
        <v>0</v>
      </c>
      <c r="E559" s="4">
        <f>IFERROR(__xludf.DUMMYFUNCTION("GOOGLEFINANCE($A559, E$2)"),15.89)</f>
        <v>15.89</v>
      </c>
      <c r="F559" s="4">
        <f>IFERROR(__xludf.DUMMYFUNCTION("GOOGLEFINANCE($A559, F$2)"),2.89)</f>
        <v>2.89</v>
      </c>
      <c r="G559" s="4" t="str">
        <f>IFERROR(__xludf.DUMMYFUNCTION("GOOGLEFINANCE($A559, G$2)"),"#N/A")</f>
        <v>#N/A</v>
      </c>
      <c r="H559" s="4" t="str">
        <f>IFERROR(__xludf.DUMMYFUNCTION("GOOGLEFINANCE($A559, H$2)"),"#N/A")</f>
        <v>#N/A</v>
      </c>
      <c r="I559" s="4" t="str">
        <f>IFERROR(__xludf.DUMMYFUNCTION("REPLACE(JOIN("";"", INDEX(TRANSPOSE(GOOGLEFINANCE($A559, $I$2, TODAY() - 30, TODAY(), 1)), 2)), 1, 6, """")"),"43;40,2;44;49,89;45,85;44,46;42,7;46")</f>
        <v>43;40,2;44;49,89;45,85;44,46;42,7;46</v>
      </c>
    </row>
    <row r="560">
      <c r="A560" s="3" t="s">
        <v>1129</v>
      </c>
      <c r="B560" s="4" t="s">
        <v>1130</v>
      </c>
      <c r="C560" s="4">
        <f>IFERROR(__xludf.DUMMYFUNCTION("GOOGLEFINANCE($A560, C$2)"),24.32)</f>
        <v>24.32</v>
      </c>
      <c r="D560" s="4">
        <f>IFERROR(__xludf.DUMMYFUNCTION("GOOGLEFINANCE($A560, D$2)"),0.0)</f>
        <v>0</v>
      </c>
      <c r="E560" s="4" t="str">
        <f>IFERROR(__xludf.DUMMYFUNCTION("GOOGLEFINANCE($A560, E$2)"),"#N/A")</f>
        <v>#N/A</v>
      </c>
      <c r="F560" s="4" t="str">
        <f>IFERROR(__xludf.DUMMYFUNCTION("GOOGLEFINANCE($A560, F$2)"),"#N/A")</f>
        <v>#N/A</v>
      </c>
      <c r="G560" s="4">
        <f>IFERROR(__xludf.DUMMYFUNCTION("GOOGLEFINANCE($A560, G$2)"),25.0)</f>
        <v>25</v>
      </c>
      <c r="H560" s="4">
        <f>IFERROR(__xludf.DUMMYFUNCTION("GOOGLEFINANCE($A560, H$2)"),24.32)</f>
        <v>24.32</v>
      </c>
      <c r="I560" s="4" t="str">
        <f>IFERROR(__xludf.DUMMYFUNCTION("REPLACE(JOIN("";"", INDEX(TRANSPOSE(GOOGLEFINANCE($A560, $I$2, TODAY() - 30, TODAY(), 1)), 2)), 1, 6, """")"),"24,33;24,06;24,33;23,97;23,82;23,82;23,52;24,3;24,84;24,95;24,75;24,66;24,96;24,8;24,9;25,08;25;24,32")</f>
        <v>24,33;24,06;24,33;23,97;23,82;23,82;23,52;24,3;24,84;24,95;24,75;24,66;24,96;24,8;24,9;25,08;25;24,32</v>
      </c>
    </row>
    <row r="561">
      <c r="A561" s="3" t="s">
        <v>1131</v>
      </c>
      <c r="B561" s="4" t="s">
        <v>1132</v>
      </c>
      <c r="C561" s="4">
        <f>IFERROR(__xludf.DUMMYFUNCTION("GOOGLEFINANCE($A561, C$2)"),830.9)</f>
        <v>830.9</v>
      </c>
      <c r="D561" s="4">
        <f>IFERROR(__xludf.DUMMYFUNCTION("GOOGLEFINANCE($A561, D$2)"),0.0)</f>
        <v>0</v>
      </c>
      <c r="E561" s="4" t="str">
        <f>IFERROR(__xludf.DUMMYFUNCTION("GOOGLEFINANCE($A561, E$2)"),"#N/A")</f>
        <v>#N/A</v>
      </c>
      <c r="F561" s="4" t="str">
        <f>IFERROR(__xludf.DUMMYFUNCTION("GOOGLEFINANCE($A561, F$2)"),"#N/A")</f>
        <v>#N/A</v>
      </c>
      <c r="G561" s="4">
        <f>IFERROR(__xludf.DUMMYFUNCTION("GOOGLEFINANCE($A561, G$2)"),835.1)</f>
        <v>835.1</v>
      </c>
      <c r="H561" s="4">
        <f>IFERROR(__xludf.DUMMYFUNCTION("GOOGLEFINANCE($A561, H$2)"),826.7)</f>
        <v>826.7</v>
      </c>
      <c r="I561" s="4" t="str">
        <f>IFERROR(__xludf.DUMMYFUNCTION("REPLACE(JOIN("";"", INDEX(TRANSPOSE(GOOGLEFINANCE($A561, $I$2, TODAY() - 30, TODAY(), 1)), 2)), 1, 6, """")"),"807,2;783,5;771;782;775,1;766,1;763,6;800,7;794,5;814,5;814,4;827,7;875;855,4;860;845,6;835,1;830,9")</f>
        <v>807,2;783,5;771;782;775,1;766,1;763,6;800,7;794,5;814,5;814,4;827,7;875;855,4;860;845,6;835,1;830,9</v>
      </c>
    </row>
    <row r="562">
      <c r="A562" s="3" t="s">
        <v>1133</v>
      </c>
      <c r="B562" s="4" t="s">
        <v>1134</v>
      </c>
      <c r="C562" s="4">
        <f>IFERROR(__xludf.DUMMYFUNCTION("GOOGLEFINANCE($A562, C$2)"),53.9)</f>
        <v>53.9</v>
      </c>
      <c r="D562" s="4">
        <f>IFERROR(__xludf.DUMMYFUNCTION("GOOGLEFINANCE($A562, D$2)"),0.0)</f>
        <v>0</v>
      </c>
      <c r="E562" s="4" t="str">
        <f>IFERROR(__xludf.DUMMYFUNCTION("GOOGLEFINANCE($A562, E$2)"),"#N/A")</f>
        <v>#N/A</v>
      </c>
      <c r="F562" s="4" t="str">
        <f>IFERROR(__xludf.DUMMYFUNCTION("GOOGLEFINANCE($A562, F$2)"),"#N/A")</f>
        <v>#N/A</v>
      </c>
      <c r="G562" s="4">
        <f>IFERROR(__xludf.DUMMYFUNCTION("GOOGLEFINANCE($A562, G$2)"),55.6)</f>
        <v>55.6</v>
      </c>
      <c r="H562" s="4">
        <f>IFERROR(__xludf.DUMMYFUNCTION("GOOGLEFINANCE($A562, H$2)"),53.9)</f>
        <v>53.9</v>
      </c>
      <c r="I562" s="4" t="str">
        <f>IFERROR(__xludf.DUMMYFUNCTION("REPLACE(JOIN("";"", INDEX(TRANSPOSE(GOOGLEFINANCE($A562, $I$2, TODAY() - 30, TODAY(), 1)), 2)), 1, 6, """")"),"58,69;56,75;54,39;56,64;58,49;58,61;58,06;55,89;55,31;55,25;54,85;54,9;54,23;55,26;56,97;56,45;55,6;53,9")</f>
        <v>58,69;56,75;54,39;56,64;58,49;58,61;58,06;55,89;55,31;55,25;54,85;54,9;54,23;55,26;56,97;56,45;55,6;53,9</v>
      </c>
    </row>
    <row r="563">
      <c r="A563" s="3" t="s">
        <v>1135</v>
      </c>
      <c r="B563" s="4" t="s">
        <v>1136</v>
      </c>
      <c r="C563" s="4">
        <f>IFERROR(__xludf.DUMMYFUNCTION("GOOGLEFINANCE($A563, C$2)"),34.73)</f>
        <v>34.73</v>
      </c>
      <c r="D563" s="4">
        <f>IFERROR(__xludf.DUMMYFUNCTION("GOOGLEFINANCE($A563, D$2)"),0.0)</f>
        <v>0</v>
      </c>
      <c r="E563" s="4">
        <f>IFERROR(__xludf.DUMMYFUNCTION("GOOGLEFINANCE($A563, E$2)"),66.65)</f>
        <v>66.65</v>
      </c>
      <c r="F563" s="4">
        <f>IFERROR(__xludf.DUMMYFUNCTION("GOOGLEFINANCE($A563, F$2)"),0.52)</f>
        <v>0.52</v>
      </c>
      <c r="G563" s="4">
        <f>IFERROR(__xludf.DUMMYFUNCTION("GOOGLEFINANCE($A563, G$2)"),34.79)</f>
        <v>34.79</v>
      </c>
      <c r="H563" s="4">
        <f>IFERROR(__xludf.DUMMYFUNCTION("GOOGLEFINANCE($A563, H$2)"),33.58)</f>
        <v>33.58</v>
      </c>
      <c r="I563" s="4" t="str">
        <f>IFERROR(__xludf.DUMMYFUNCTION("REPLACE(JOIN("";"", INDEX(TRANSPOSE(GOOGLEFINANCE($A563, $I$2, TODAY() - 30, TODAY(), 1)), 2)), 1, 6, """")"),"30,07;30,11;28,74;29,46;28,4;28,36;30,28;29,58;29,72;29,56;30,45;30,83;31,41;33,85;34,64;34,08;33,9;34,73")</f>
        <v>30,07;30,11;28,74;29,46;28,4;28,36;30,28;29,58;29,72;29,56;30,45;30,83;31,41;33,85;34,64;34,08;33,9;34,73</v>
      </c>
    </row>
    <row r="564">
      <c r="A564" s="3" t="s">
        <v>1137</v>
      </c>
      <c r="B564" s="4" t="s">
        <v>1138</v>
      </c>
      <c r="C564" s="4">
        <f>IFERROR(__xludf.DUMMYFUNCTION("GOOGLEFINANCE($A564, C$2)"),1.9)</f>
        <v>1.9</v>
      </c>
      <c r="D564" s="4">
        <f>IFERROR(__xludf.DUMMYFUNCTION("GOOGLEFINANCE($A564, D$2)"),0.0)</f>
        <v>0</v>
      </c>
      <c r="E564" s="4" t="str">
        <f>IFERROR(__xludf.DUMMYFUNCTION("GOOGLEFINANCE($A564, E$2)"),"#N/A")</f>
        <v>#N/A</v>
      </c>
      <c r="F564" s="4">
        <f>IFERROR(__xludf.DUMMYFUNCTION("GOOGLEFINANCE($A564, F$2)"),-0.21)</f>
        <v>-0.21</v>
      </c>
      <c r="G564" s="4">
        <f>IFERROR(__xludf.DUMMYFUNCTION("GOOGLEFINANCE($A564, G$2)"),1.98)</f>
        <v>1.98</v>
      </c>
      <c r="H564" s="4">
        <f>IFERROR(__xludf.DUMMYFUNCTION("GOOGLEFINANCE($A564, H$2)"),1.89)</f>
        <v>1.89</v>
      </c>
      <c r="I564" s="4" t="str">
        <f>IFERROR(__xludf.DUMMYFUNCTION("REPLACE(JOIN("";"", INDEX(TRANSPOSE(GOOGLEFINANCE($A564, $I$2, TODAY() - 30, TODAY(), 1)), 2)), 1, 6, """")"),"1,84;1,87;1,95;1,9;1,83;1,84;1,88;2,13;2,09;1,99;2,04;2,02;1,93;1,93;2,03;1,97;1,94;1,9")</f>
        <v>1,84;1,87;1,95;1,9;1,83;1,84;1,88;2,13;2,09;1,99;2,04;2,02;1,93;1,93;2,03;1,97;1,94;1,9</v>
      </c>
    </row>
    <row r="565">
      <c r="A565" s="3" t="s">
        <v>1139</v>
      </c>
      <c r="B565" s="4" t="s">
        <v>1140</v>
      </c>
      <c r="C565" s="4">
        <f>IFERROR(__xludf.DUMMYFUNCTION("GOOGLEFINANCE($A565, C$2)"),210.31)</f>
        <v>210.31</v>
      </c>
      <c r="D565" s="4">
        <f>IFERROR(__xludf.DUMMYFUNCTION("GOOGLEFINANCE($A565, D$2)"),0.0)</f>
        <v>0</v>
      </c>
      <c r="E565" s="4" t="str">
        <f>IFERROR(__xludf.DUMMYFUNCTION("GOOGLEFINANCE($A565, E$2)"),"#N/A")</f>
        <v>#N/A</v>
      </c>
      <c r="F565" s="4" t="str">
        <f>IFERROR(__xludf.DUMMYFUNCTION("GOOGLEFINANCE($A565, F$2)"),"#N/A")</f>
        <v>#N/A</v>
      </c>
      <c r="G565" s="4">
        <f>IFERROR(__xludf.DUMMYFUNCTION("GOOGLEFINANCE($A565, G$2)"),210.31)</f>
        <v>210.31</v>
      </c>
      <c r="H565" s="4">
        <f>IFERROR(__xludf.DUMMYFUNCTION("GOOGLEFINANCE($A565, H$2)"),209.55)</f>
        <v>209.55</v>
      </c>
      <c r="I565" s="4" t="str">
        <f>IFERROR(__xludf.DUMMYFUNCTION("REPLACE(JOIN("";"", INDEX(TRANSPOSE(GOOGLEFINANCE($A565, $I$2, TODAY() - 30, TODAY(), 1)), 2)), 1, 6, """")"),"186,36;177,07;167,2;173,66;175,76;172,92;178,99;184,16;197,9;201,08;202,7;207,92;210,36;209,19;208,36;210,2;207,68;210,31")</f>
        <v>186,36;177,07;167,2;173,66;175,76;172,92;178,99;184,16;197,9;201,08;202,7;207,92;210,36;209,19;208,36;210,2;207,68;210,31</v>
      </c>
    </row>
    <row r="566">
      <c r="A566" s="3" t="s">
        <v>1141</v>
      </c>
      <c r="B566" s="4" t="s">
        <v>1142</v>
      </c>
      <c r="C566" s="4">
        <f>IFERROR(__xludf.DUMMYFUNCTION("GOOGLEFINANCE($A566, C$2)"),10.32)</f>
        <v>10.32</v>
      </c>
      <c r="D566" s="4">
        <f>IFERROR(__xludf.DUMMYFUNCTION("GOOGLEFINANCE($A566, D$2)"),0.0)</f>
        <v>0</v>
      </c>
      <c r="E566" s="4">
        <f>IFERROR(__xludf.DUMMYFUNCTION("GOOGLEFINANCE($A566, E$2)"),11.9)</f>
        <v>11.9</v>
      </c>
      <c r="F566" s="4">
        <f>IFERROR(__xludf.DUMMYFUNCTION("GOOGLEFINANCE($A566, F$2)"),0.87)</f>
        <v>0.87</v>
      </c>
      <c r="G566" s="4">
        <f>IFERROR(__xludf.DUMMYFUNCTION("GOOGLEFINANCE($A566, G$2)"),10.32)</f>
        <v>10.32</v>
      </c>
      <c r="H566" s="4">
        <f>IFERROR(__xludf.DUMMYFUNCTION("GOOGLEFINANCE($A566, H$2)"),10.12)</f>
        <v>10.12</v>
      </c>
      <c r="I566" s="4" t="str">
        <f>IFERROR(__xludf.DUMMYFUNCTION("REPLACE(JOIN("";"", INDEX(TRANSPOSE(GOOGLEFINANCE($A566, $I$2, TODAY() - 30, TODAY(), 1)), 2)), 1, 6, """")"),"10,41;10,49;10,61;10,91;10,8;11,2;11,36;11,45;11,38;11,22;11,33;10,97;10,5;10,59;10,58;10,39;10,22;10,32")</f>
        <v>10,41;10,49;10,61;10,91;10,8;11,2;11,36;11,45;11,38;11,22;11,33;10,97;10,5;10,59;10,58;10,39;10,22;10,32</v>
      </c>
    </row>
    <row r="567">
      <c r="A567" s="3" t="s">
        <v>1143</v>
      </c>
      <c r="B567" s="4" t="s">
        <v>1144</v>
      </c>
      <c r="C567" s="4">
        <f>IFERROR(__xludf.DUMMYFUNCTION("GOOGLEFINANCE($A567, C$2)"),29.26)</f>
        <v>29.26</v>
      </c>
      <c r="D567" s="4">
        <f>IFERROR(__xludf.DUMMYFUNCTION("GOOGLEFINANCE($A567, D$2)"),0.0)</f>
        <v>0</v>
      </c>
      <c r="E567" s="4">
        <f>IFERROR(__xludf.DUMMYFUNCTION("GOOGLEFINANCE($A567, E$2)"),8.45)</f>
        <v>8.45</v>
      </c>
      <c r="F567" s="4">
        <f>IFERROR(__xludf.DUMMYFUNCTION("GOOGLEFINANCE($A567, F$2)"),3.46)</f>
        <v>3.46</v>
      </c>
      <c r="G567" s="4">
        <f>IFERROR(__xludf.DUMMYFUNCTION("GOOGLEFINANCE($A567, G$2)"),29.3)</f>
        <v>29.3</v>
      </c>
      <c r="H567" s="4">
        <f>IFERROR(__xludf.DUMMYFUNCTION("GOOGLEFINANCE($A567, H$2)"),29.26)</f>
        <v>29.26</v>
      </c>
      <c r="I567" s="4" t="str">
        <f>IFERROR(__xludf.DUMMYFUNCTION("REPLACE(JOIN("";"", INDEX(TRANSPOSE(GOOGLEFINANCE($A567, $I$2, TODAY() - 30, TODAY(), 1)), 2)), 1, 6, """")"),"29,4;30;29,55;30;29,83;29,77;29,5;30;29,69;29,26;29,25;29,29;29,25;29,4;29,39;29,25;29,26;29,26")</f>
        <v>29,4;30;29,55;30;29,83;29,77;29,5;30;29,69;29,26;29,25;29,29;29,25;29,4;29,39;29,25;29,26;29,26</v>
      </c>
    </row>
    <row r="568">
      <c r="A568" s="3" t="s">
        <v>1145</v>
      </c>
      <c r="B568" s="4" t="s">
        <v>1146</v>
      </c>
      <c r="C568" s="4">
        <f>IFERROR(__xludf.DUMMYFUNCTION("GOOGLEFINANCE($A568, C$2)"),24.99)</f>
        <v>24.99</v>
      </c>
      <c r="D568" s="4">
        <f>IFERROR(__xludf.DUMMYFUNCTION("GOOGLEFINANCE($A568, D$2)"),0.0)</f>
        <v>0</v>
      </c>
      <c r="E568" s="4">
        <f>IFERROR(__xludf.DUMMYFUNCTION("GOOGLEFINANCE($A568, E$2)"),7.21)</f>
        <v>7.21</v>
      </c>
      <c r="F568" s="4">
        <f>IFERROR(__xludf.DUMMYFUNCTION("GOOGLEFINANCE($A568, F$2)"),3.46)</f>
        <v>3.46</v>
      </c>
      <c r="G568" s="4">
        <f>IFERROR(__xludf.DUMMYFUNCTION("GOOGLEFINANCE($A568, G$2)"),25.23)</f>
        <v>25.23</v>
      </c>
      <c r="H568" s="4">
        <f>IFERROR(__xludf.DUMMYFUNCTION("GOOGLEFINANCE($A568, H$2)"),24.87)</f>
        <v>24.87</v>
      </c>
      <c r="I568" s="4" t="str">
        <f>IFERROR(__xludf.DUMMYFUNCTION("REPLACE(JOIN("";"", INDEX(TRANSPOSE(GOOGLEFINANCE($A568, $I$2, TODAY() - 30, TODAY(), 1)), 2)), 1, 6, """")"),"27,1;26,92;27,02;26,93;26,35;26,66;26,34;26,51;26,03;26,07;25,97;25,77;25,54;25,35;25,25;24,85;25;24,99")</f>
        <v>27,1;26,92;27,02;26,93;26,35;26,66;26,34;26,51;26,03;26,07;25,97;25,77;25,54;25,35;25,25;24,85;25;24,99</v>
      </c>
    </row>
    <row r="569">
      <c r="A569" s="3" t="s">
        <v>1147</v>
      </c>
      <c r="B569" s="4" t="s">
        <v>1148</v>
      </c>
      <c r="C569" s="4">
        <f>IFERROR(__xludf.DUMMYFUNCTION("GOOGLEFINANCE($A569, C$2)"),380.8)</f>
        <v>380.8</v>
      </c>
      <c r="D569" s="4">
        <f>IFERROR(__xludf.DUMMYFUNCTION("GOOGLEFINANCE($A569, D$2)"),0.0)</f>
        <v>0</v>
      </c>
      <c r="E569" s="4" t="str">
        <f>IFERROR(__xludf.DUMMYFUNCTION("GOOGLEFINANCE($A569, E$2)"),"#N/A")</f>
        <v>#N/A</v>
      </c>
      <c r="F569" s="4" t="str">
        <f>IFERROR(__xludf.DUMMYFUNCTION("GOOGLEFINANCE($A569, F$2)"),"#N/A")</f>
        <v>#N/A</v>
      </c>
      <c r="G569" s="4" t="str">
        <f>IFERROR(__xludf.DUMMYFUNCTION("GOOGLEFINANCE($A569, G$2)"),"#N/A")</f>
        <v>#N/A</v>
      </c>
      <c r="H569" s="4" t="str">
        <f>IFERROR(__xludf.DUMMYFUNCTION("GOOGLEFINANCE($A569, H$2)"),"#N/A")</f>
        <v>#N/A</v>
      </c>
      <c r="I569" s="4" t="str">
        <f>IFERROR(__xludf.DUMMYFUNCTION("REPLACE(JOIN("";"", INDEX(TRANSPOSE(GOOGLEFINANCE($A569, $I$2, TODAY() - 30, TODAY(), 1)), 2)), 1, 6, """")"),"#N/A")</f>
        <v>#N/A</v>
      </c>
    </row>
    <row r="570">
      <c r="A570" s="3" t="s">
        <v>1149</v>
      </c>
      <c r="B570" s="4" t="s">
        <v>1150</v>
      </c>
      <c r="C570" s="4">
        <f>IFERROR(__xludf.DUMMYFUNCTION("GOOGLEFINANCE($A570, C$2)"),131.55)</f>
        <v>131.55</v>
      </c>
      <c r="D570" s="4">
        <f>IFERROR(__xludf.DUMMYFUNCTION("GOOGLEFINANCE($A570, D$2)"),0.0)</f>
        <v>0</v>
      </c>
      <c r="E570" s="4" t="str">
        <f>IFERROR(__xludf.DUMMYFUNCTION("GOOGLEFINANCE($A570, E$2)"),"#N/A")</f>
        <v>#N/A</v>
      </c>
      <c r="F570" s="4" t="str">
        <f>IFERROR(__xludf.DUMMYFUNCTION("GOOGLEFINANCE($A570, F$2)"),"#N/A")</f>
        <v>#N/A</v>
      </c>
      <c r="G570" s="4">
        <f>IFERROR(__xludf.DUMMYFUNCTION("GOOGLEFINANCE($A570, G$2)"),135.12)</f>
        <v>135.12</v>
      </c>
      <c r="H570" s="4">
        <f>IFERROR(__xludf.DUMMYFUNCTION("GOOGLEFINANCE($A570, H$2)"),131.0)</f>
        <v>131</v>
      </c>
      <c r="I570" s="4" t="str">
        <f>IFERROR(__xludf.DUMMYFUNCTION("REPLACE(JOIN("";"", INDEX(TRANSPOSE(GOOGLEFINANCE($A570, $I$2, TODAY() - 30, TODAY(), 1)), 2)), 1, 6, """")"),"144,9;147,8;147,07;142,25;136,04;143;146,5;144,78;144,49;143,35;144,4;143,1;135,55;136,61;137,16;134,95;133,7;131,55")</f>
        <v>144,9;147,8;147,07;142,25;136,04;143;146,5;144,78;144,49;143,35;144,4;143,1;135,55;136,61;137,16;134,95;133,7;131,55</v>
      </c>
    </row>
    <row r="571">
      <c r="A571" s="3" t="s">
        <v>1151</v>
      </c>
      <c r="B571" s="4" t="s">
        <v>1152</v>
      </c>
      <c r="C571" s="4">
        <f>IFERROR(__xludf.DUMMYFUNCTION("GOOGLEFINANCE($A571, C$2)"),92.03)</f>
        <v>92.03</v>
      </c>
      <c r="D571" s="4">
        <f>IFERROR(__xludf.DUMMYFUNCTION("GOOGLEFINANCE($A571, D$2)"),0.0)</f>
        <v>0</v>
      </c>
      <c r="E571" s="4" t="str">
        <f>IFERROR(__xludf.DUMMYFUNCTION("GOOGLEFINANCE($A571, E$2)"),"#N/A")</f>
        <v>#N/A</v>
      </c>
      <c r="F571" s="4" t="str">
        <f>IFERROR(__xludf.DUMMYFUNCTION("GOOGLEFINANCE($A571, F$2)"),"#N/A")</f>
        <v>#N/A</v>
      </c>
      <c r="G571" s="4">
        <f>IFERROR(__xludf.DUMMYFUNCTION("GOOGLEFINANCE($A571, G$2)"),93.03)</f>
        <v>93.03</v>
      </c>
      <c r="H571" s="4">
        <f>IFERROR(__xludf.DUMMYFUNCTION("GOOGLEFINANCE($A571, H$2)"),91.89)</f>
        <v>91.89</v>
      </c>
      <c r="I571" s="4" t="str">
        <f>IFERROR(__xludf.DUMMYFUNCTION("REPLACE(JOIN("";"", INDEX(TRANSPOSE(GOOGLEFINANCE($A571, $I$2, TODAY() - 30, TODAY(), 1)), 2)), 1, 6, """")"),"88,56;84,55;82,4;86,05;83,84;88,33;86,12;85,69;86,84;85,85;88,94;89,37;89,75;93,03;94,06;92,7;91,66;92,03")</f>
        <v>88,56;84,55;82,4;86,05;83,84;88,33;86,12;85,69;86,84;85,85;88,94;89,37;89,75;93,03;94,06;92,7;91,66;92,03</v>
      </c>
    </row>
    <row r="572">
      <c r="A572" s="3" t="s">
        <v>1153</v>
      </c>
      <c r="B572" s="4" t="s">
        <v>1154</v>
      </c>
      <c r="C572" s="4">
        <f>IFERROR(__xludf.DUMMYFUNCTION("GOOGLEFINANCE($A572, C$2)"),367.32)</f>
        <v>367.32</v>
      </c>
      <c r="D572" s="4">
        <f>IFERROR(__xludf.DUMMYFUNCTION("GOOGLEFINANCE($A572, D$2)"),0.0)</f>
        <v>0</v>
      </c>
      <c r="E572" s="4" t="str">
        <f>IFERROR(__xludf.DUMMYFUNCTION("GOOGLEFINANCE($A572, E$2)"),"#N/A")</f>
        <v>#N/A</v>
      </c>
      <c r="F572" s="4" t="str">
        <f>IFERROR(__xludf.DUMMYFUNCTION("GOOGLEFINANCE($A572, F$2)"),"#N/A")</f>
        <v>#N/A</v>
      </c>
      <c r="G572" s="4">
        <f>IFERROR(__xludf.DUMMYFUNCTION("GOOGLEFINANCE($A572, G$2)"),367.32)</f>
        <v>367.32</v>
      </c>
      <c r="H572" s="4">
        <f>IFERROR(__xludf.DUMMYFUNCTION("GOOGLEFINANCE($A572, H$2)"),367.32)</f>
        <v>367.32</v>
      </c>
      <c r="I572" s="4" t="str">
        <f>IFERROR(__xludf.DUMMYFUNCTION("REPLACE(JOIN("";"", INDEX(TRANSPOSE(GOOGLEFINANCE($A572, $I$2, TODAY() - 30, TODAY(), 1)), 2)), 1, 6, """")"),"361;344,87;351;369,2;367,32")</f>
        <v>361;344,87;351;369,2;367,32</v>
      </c>
    </row>
    <row r="573">
      <c r="A573" s="3" t="s">
        <v>1155</v>
      </c>
      <c r="B573" s="4" t="s">
        <v>1156</v>
      </c>
      <c r="C573" s="4">
        <f>IFERROR(__xludf.DUMMYFUNCTION("GOOGLEFINANCE($A573, C$2)"),21.28)</f>
        <v>21.28</v>
      </c>
      <c r="D573" s="4">
        <f>IFERROR(__xludf.DUMMYFUNCTION("GOOGLEFINANCE($A573, D$2)"),0.0)</f>
        <v>0</v>
      </c>
      <c r="E573" s="4" t="str">
        <f>IFERROR(__xludf.DUMMYFUNCTION("GOOGLEFINANCE($A573, E$2)"),"#N/A")</f>
        <v>#N/A</v>
      </c>
      <c r="F573" s="4">
        <f>IFERROR(__xludf.DUMMYFUNCTION("GOOGLEFINANCE($A573, F$2)"),-0.63)</f>
        <v>-0.63</v>
      </c>
      <c r="G573" s="4">
        <f>IFERROR(__xludf.DUMMYFUNCTION("GOOGLEFINANCE($A573, G$2)"),21.69)</f>
        <v>21.69</v>
      </c>
      <c r="H573" s="4">
        <f>IFERROR(__xludf.DUMMYFUNCTION("GOOGLEFINANCE($A573, H$2)"),21.14)</f>
        <v>21.14</v>
      </c>
      <c r="I573" s="4" t="str">
        <f>IFERROR(__xludf.DUMMYFUNCTION("REPLACE(JOIN("";"", INDEX(TRANSPOSE(GOOGLEFINANCE($A573, $I$2, TODAY() - 30, TODAY(), 1)), 2)), 1, 6, """")"),"21,22;21,26;21,29;21,87;21,13;22,4;22,69;22,73;22,4;22,08;21,9;21,69;21,22;21,26;21,48;21,51;21,77;21,28")</f>
        <v>21,22;21,26;21,29;21,87;21,13;22,4;22,69;22,73;22,4;22,08;21,9;21,69;21,22;21,26;21,48;21,51;21,77;21,28</v>
      </c>
    </row>
    <row r="574">
      <c r="A574" s="3" t="s">
        <v>1157</v>
      </c>
      <c r="B574" s="4" t="s">
        <v>1158</v>
      </c>
      <c r="C574" s="4">
        <f>IFERROR(__xludf.DUMMYFUNCTION("GOOGLEFINANCE($A574, C$2)"),196.0)</f>
        <v>196</v>
      </c>
      <c r="D574" s="4">
        <f>IFERROR(__xludf.DUMMYFUNCTION("GOOGLEFINANCE($A574, D$2)"),0.0)</f>
        <v>0</v>
      </c>
      <c r="E574" s="4" t="str">
        <f>IFERROR(__xludf.DUMMYFUNCTION("GOOGLEFINANCE($A574, E$2)"),"#N/A")</f>
        <v>#N/A</v>
      </c>
      <c r="F574" s="4" t="str">
        <f>IFERROR(__xludf.DUMMYFUNCTION("GOOGLEFINANCE($A574, F$2)"),"#N/A")</f>
        <v>#N/A</v>
      </c>
      <c r="G574" s="4">
        <f>IFERROR(__xludf.DUMMYFUNCTION("GOOGLEFINANCE($A574, G$2)"),201.0)</f>
        <v>201</v>
      </c>
      <c r="H574" s="4">
        <f>IFERROR(__xludf.DUMMYFUNCTION("GOOGLEFINANCE($A574, H$2)"),194.5)</f>
        <v>194.5</v>
      </c>
      <c r="I574" s="4" t="str">
        <f>IFERROR(__xludf.DUMMYFUNCTION("REPLACE(JOIN("";"", INDEX(TRANSPOSE(GOOGLEFINANCE($A574, $I$2, TODAY() - 30, TODAY(), 1)), 2)), 1, 6, """")"),"131,85;133,29;131,16;140,15;138,9;143;145,85;147,34;153,05;152,56;160;161,3;182,1;185;193;194,96;197,76;196")</f>
        <v>131,85;133,29;131,16;140,15;138,9;143;145,85;147,34;153,05;152,56;160;161,3;182,1;185;193;194,96;197,76;196</v>
      </c>
    </row>
    <row r="575">
      <c r="A575" s="3" t="s">
        <v>1159</v>
      </c>
      <c r="B575" s="4" t="s">
        <v>1160</v>
      </c>
      <c r="C575" s="4">
        <f>IFERROR(__xludf.DUMMYFUNCTION("GOOGLEFINANCE($A575, C$2)"),51.77)</f>
        <v>51.77</v>
      </c>
      <c r="D575" s="4">
        <f>IFERROR(__xludf.DUMMYFUNCTION("GOOGLEFINANCE($A575, D$2)"),0.0)</f>
        <v>0</v>
      </c>
      <c r="E575" s="4">
        <f>IFERROR(__xludf.DUMMYFUNCTION("GOOGLEFINANCE($A575, E$2)"),91.72)</f>
        <v>91.72</v>
      </c>
      <c r="F575" s="4">
        <f>IFERROR(__xludf.DUMMYFUNCTION("GOOGLEFINANCE($A575, F$2)"),0.56)</f>
        <v>0.56</v>
      </c>
      <c r="G575" s="4">
        <f>IFERROR(__xludf.DUMMYFUNCTION("GOOGLEFINANCE($A575, G$2)"),51.77)</f>
        <v>51.77</v>
      </c>
      <c r="H575" s="4">
        <f>IFERROR(__xludf.DUMMYFUNCTION("GOOGLEFINANCE($A575, H$2)"),51.7)</f>
        <v>51.7</v>
      </c>
      <c r="I575" s="4" t="str">
        <f>IFERROR(__xludf.DUMMYFUNCTION("REPLACE(JOIN("";"", INDEX(TRANSPOSE(GOOGLEFINANCE($A575, $I$2, TODAY() - 30, TODAY(), 1)), 2)), 1, 6, """")"),"72,15;71;59;68,82;68,5;63;58,59;59,34;59,34;59,33;59,32;52;50,01;51,77;51,77")</f>
        <v>72,15;71;59;68,82;68,5;63;58,59;59,34;59,34;59,33;59,32;52;50,01;51,77;51,77</v>
      </c>
    </row>
    <row r="576">
      <c r="A576" s="3" t="s">
        <v>1161</v>
      </c>
      <c r="B576" s="4" t="s">
        <v>1162</v>
      </c>
      <c r="C576" s="4">
        <f>IFERROR(__xludf.DUMMYFUNCTION("GOOGLEFINANCE($A576, C$2)"),9.51)</f>
        <v>9.51</v>
      </c>
      <c r="D576" s="4">
        <f>IFERROR(__xludf.DUMMYFUNCTION("GOOGLEFINANCE($A576, D$2)"),0.0)</f>
        <v>0</v>
      </c>
      <c r="E576" s="4">
        <f>IFERROR(__xludf.DUMMYFUNCTION("GOOGLEFINANCE($A576, E$2)"),16.85)</f>
        <v>16.85</v>
      </c>
      <c r="F576" s="4">
        <f>IFERROR(__xludf.DUMMYFUNCTION("GOOGLEFINANCE($A576, F$2)"),0.56)</f>
        <v>0.56</v>
      </c>
      <c r="G576" s="4">
        <f>IFERROR(__xludf.DUMMYFUNCTION("GOOGLEFINANCE($A576, G$2)"),9.58)</f>
        <v>9.58</v>
      </c>
      <c r="H576" s="4">
        <f>IFERROR(__xludf.DUMMYFUNCTION("GOOGLEFINANCE($A576, H$2)"),9.41)</f>
        <v>9.41</v>
      </c>
      <c r="I576" s="4" t="str">
        <f>IFERROR(__xludf.DUMMYFUNCTION("REPLACE(JOIN("";"", INDEX(TRANSPOSE(GOOGLEFINANCE($A576, $I$2, TODAY() - 30, TODAY(), 1)), 2)), 1, 6, """")"),"11,74;10,61;10,71;10,88;9,76;9,79;9,77;9,96;10,23;9,97;9,9;9,8;9,8;9,76;9,7;9,78;9,42;9,51")</f>
        <v>11,74;10,61;10,71;10,88;9,76;9,79;9,77;9,96;10,23;9,97;9,9;9,8;9,8;9,76;9,7;9,78;9,42;9,51</v>
      </c>
    </row>
    <row r="577">
      <c r="A577" s="3" t="s">
        <v>1163</v>
      </c>
      <c r="B577" s="4" t="s">
        <v>1164</v>
      </c>
      <c r="C577" s="4">
        <f>IFERROR(__xludf.DUMMYFUNCTION("GOOGLEFINANCE($A577, C$2)"),78.6)</f>
        <v>78.6</v>
      </c>
      <c r="D577" s="4">
        <f>IFERROR(__xludf.DUMMYFUNCTION("GOOGLEFINANCE($A577, D$2)"),0.0)</f>
        <v>0</v>
      </c>
      <c r="E577" s="4" t="str">
        <f>IFERROR(__xludf.DUMMYFUNCTION("GOOGLEFINANCE($A577, E$2)"),"#N/A")</f>
        <v>#N/A</v>
      </c>
      <c r="F577" s="4" t="str">
        <f>IFERROR(__xludf.DUMMYFUNCTION("GOOGLEFINANCE($A577, F$2)"),"#N/A")</f>
        <v>#N/A</v>
      </c>
      <c r="G577" s="4">
        <f>IFERROR(__xludf.DUMMYFUNCTION("GOOGLEFINANCE($A577, G$2)"),81.14)</f>
        <v>81.14</v>
      </c>
      <c r="H577" s="4">
        <f>IFERROR(__xludf.DUMMYFUNCTION("GOOGLEFINANCE($A577, H$2)"),77.8)</f>
        <v>77.8</v>
      </c>
      <c r="I577" s="4" t="str">
        <f>IFERROR(__xludf.DUMMYFUNCTION("REPLACE(JOIN("";"", INDEX(TRANSPOSE(GOOGLEFINANCE($A577, $I$2, TODAY() - 30, TODAY(), 1)), 2)), 1, 6, """")"),"75;69,61;65,32;70,5;69,92;71,9;76,3;76,64;79;78,7;79,64;80,26;85;81,7;81,57;82,88;80,51;78,6")</f>
        <v>75;69,61;65,32;70,5;69,92;71,9;76,3;76,64;79;78,7;79,64;80,26;85;81,7;81,57;82,88;80,51;78,6</v>
      </c>
    </row>
    <row r="578">
      <c r="A578" s="3" t="s">
        <v>1165</v>
      </c>
      <c r="B578" s="4" t="s">
        <v>1166</v>
      </c>
      <c r="C578" s="4">
        <f>IFERROR(__xludf.DUMMYFUNCTION("GOOGLEFINANCE($A578, C$2)"),87.4)</f>
        <v>87.4</v>
      </c>
      <c r="D578" s="4">
        <f>IFERROR(__xludf.DUMMYFUNCTION("GOOGLEFINANCE($A578, D$2)"),0.0)</f>
        <v>0</v>
      </c>
      <c r="E578" s="4" t="str">
        <f>IFERROR(__xludf.DUMMYFUNCTION("GOOGLEFINANCE($A578, E$2)"),"#N/A")</f>
        <v>#N/A</v>
      </c>
      <c r="F578" s="4" t="str">
        <f>IFERROR(__xludf.DUMMYFUNCTION("GOOGLEFINANCE($A578, F$2)"),"#N/A")</f>
        <v>#N/A</v>
      </c>
      <c r="G578" s="4" t="str">
        <f>IFERROR(__xludf.DUMMYFUNCTION("GOOGLEFINANCE($A578, G$2)"),"#N/A")</f>
        <v>#N/A</v>
      </c>
      <c r="H578" s="4" t="str">
        <f>IFERROR(__xludf.DUMMYFUNCTION("GOOGLEFINANCE($A578, H$2)"),"#N/A")</f>
        <v>#N/A</v>
      </c>
      <c r="I578" s="4" t="str">
        <f>IFERROR(__xludf.DUMMYFUNCTION("REPLACE(JOIN("";"", INDEX(TRANSPOSE(GOOGLEFINANCE($A578, $I$2, TODAY() - 30, TODAY(), 1)), 2)), 1, 6, """")"),"82,25;78,73;78,23;79,25;79;76,9;78,15;77,92;80,3;80,85;83,43;85,28;85,95;87,4")</f>
        <v>82,25;78,73;78,23;79,25;79;76,9;78,15;77,92;80,3;80,85;83,43;85,28;85,95;87,4</v>
      </c>
    </row>
    <row r="579">
      <c r="A579" s="3" t="s">
        <v>1167</v>
      </c>
      <c r="B579" s="4" t="s">
        <v>1168</v>
      </c>
      <c r="C579" s="4">
        <f>IFERROR(__xludf.DUMMYFUNCTION("GOOGLEFINANCE($A579, C$2)"),83.6)</f>
        <v>83.6</v>
      </c>
      <c r="D579" s="4">
        <f>IFERROR(__xludf.DUMMYFUNCTION("GOOGLEFINANCE($A579, D$2)"),0.0)</f>
        <v>0</v>
      </c>
      <c r="E579" s="4" t="str">
        <f>IFERROR(__xludf.DUMMYFUNCTION("GOOGLEFINANCE($A579, E$2)"),"#N/A")</f>
        <v>#N/A</v>
      </c>
      <c r="F579" s="4" t="str">
        <f>IFERROR(__xludf.DUMMYFUNCTION("GOOGLEFINANCE($A579, F$2)"),"#N/A")</f>
        <v>#N/A</v>
      </c>
      <c r="G579" s="4" t="str">
        <f>IFERROR(__xludf.DUMMYFUNCTION("GOOGLEFINANCE($A579, G$2)"),"#N/A")</f>
        <v>#N/A</v>
      </c>
      <c r="H579" s="4" t="str">
        <f>IFERROR(__xludf.DUMMYFUNCTION("GOOGLEFINANCE($A579, H$2)"),"#N/A")</f>
        <v>#N/A</v>
      </c>
      <c r="I579" s="4" t="str">
        <f>IFERROR(__xludf.DUMMYFUNCTION("REPLACE(JOIN("";"", INDEX(TRANSPOSE(GOOGLEFINANCE($A579, $I$2, TODAY() - 30, TODAY(), 1)), 2)), 1, 6, """")"),"81,59;79,8;79,05;81,3;78,9;79,1;79,25;80,55;80;82,55;82,5;83;82,95;82,6;84,55;83,6")</f>
        <v>81,59;79,8;79,05;81,3;78,9;79,1;79,25;80,55;80;82,55;82,5;83;82,95;82,6;84,55;83,6</v>
      </c>
    </row>
    <row r="580">
      <c r="A580" s="3" t="s">
        <v>1169</v>
      </c>
      <c r="B580" s="4" t="s">
        <v>1170</v>
      </c>
      <c r="C580" s="4">
        <f>IFERROR(__xludf.DUMMYFUNCTION("GOOGLEFINANCE($A580, C$2)"),4.64)</f>
        <v>4.64</v>
      </c>
      <c r="D580" s="4">
        <f>IFERROR(__xludf.DUMMYFUNCTION("GOOGLEFINANCE($A580, D$2)"),0.0)</f>
        <v>0</v>
      </c>
      <c r="E580" s="4">
        <f>IFERROR(__xludf.DUMMYFUNCTION("GOOGLEFINANCE($A580, E$2)"),25.81)</f>
        <v>25.81</v>
      </c>
      <c r="F580" s="4">
        <f>IFERROR(__xludf.DUMMYFUNCTION("GOOGLEFINANCE($A580, F$2)"),0.18)</f>
        <v>0.18</v>
      </c>
      <c r="G580" s="4">
        <f>IFERROR(__xludf.DUMMYFUNCTION("GOOGLEFINANCE($A580, G$2)"),4.78)</f>
        <v>4.78</v>
      </c>
      <c r="H580" s="4">
        <f>IFERROR(__xludf.DUMMYFUNCTION("GOOGLEFINANCE($A580, H$2)"),4.56)</f>
        <v>4.56</v>
      </c>
      <c r="I580" s="4" t="str">
        <f>IFERROR(__xludf.DUMMYFUNCTION("REPLACE(JOIN("";"", INDEX(TRANSPOSE(GOOGLEFINANCE($A580, $I$2, TODAY() - 30, TODAY(), 1)), 2)), 1, 6, """")"),"4,67;4,51;4,49;4,45;4,3;4,5;4,6;4,6;4,78;4,92;4,94;4,72;4,69;4,76;4,64;4,76;4,63;4,64")</f>
        <v>4,67;4,51;4,49;4,45;4,3;4,5;4,6;4,6;4,78;4,92;4,94;4,72;4,69;4,76;4,64;4,76;4,63;4,64</v>
      </c>
    </row>
    <row r="581">
      <c r="A581" s="3" t="s">
        <v>1171</v>
      </c>
      <c r="B581" s="4" t="s">
        <v>1172</v>
      </c>
      <c r="C581" s="4">
        <f>IFERROR(__xludf.DUMMYFUNCTION("GOOGLEFINANCE($A581, C$2)"),22.86)</f>
        <v>22.86</v>
      </c>
      <c r="D581" s="4">
        <f>IFERROR(__xludf.DUMMYFUNCTION("GOOGLEFINANCE($A581, D$2)"),0.0)</f>
        <v>0</v>
      </c>
      <c r="E581" s="4">
        <f>IFERROR(__xludf.DUMMYFUNCTION("GOOGLEFINANCE($A581, E$2)"),124.92)</f>
        <v>124.92</v>
      </c>
      <c r="F581" s="4">
        <f>IFERROR(__xludf.DUMMYFUNCTION("GOOGLEFINANCE($A581, F$2)"),0.18)</f>
        <v>0.18</v>
      </c>
      <c r="G581" s="4">
        <f>IFERROR(__xludf.DUMMYFUNCTION("GOOGLEFINANCE($A581, G$2)"),23.01)</f>
        <v>23.01</v>
      </c>
      <c r="H581" s="4">
        <f>IFERROR(__xludf.DUMMYFUNCTION("GOOGLEFINANCE($A581, H$2)"),22.18)</f>
        <v>22.18</v>
      </c>
      <c r="I581" s="4" t="str">
        <f>IFERROR(__xludf.DUMMYFUNCTION("REPLACE(JOIN("";"", INDEX(TRANSPOSE(GOOGLEFINANCE($A581, $I$2, TODAY() - 30, TODAY(), 1)), 2)), 1, 6, """")"),"21,91;22,08;22,03;22,97;21,78;22,22;22,83;23,45;23,31;23,6;23,86;24,39;23,71;23,41;23,4;23,31;22,5;22,86")</f>
        <v>21,91;22,08;22,03;22,97;21,78;22,22;22,83;23,45;23,31;23,6;23,86;24,39;23,71;23,41;23,4;23,31;22,5;22,86</v>
      </c>
    </row>
    <row r="582">
      <c r="A582" s="3" t="s">
        <v>1173</v>
      </c>
      <c r="B582" s="4" t="s">
        <v>1174</v>
      </c>
      <c r="C582" s="4">
        <f>IFERROR(__xludf.DUMMYFUNCTION("GOOGLEFINANCE($A582, C$2)"),294.6)</f>
        <v>294.6</v>
      </c>
      <c r="D582" s="4">
        <f>IFERROR(__xludf.DUMMYFUNCTION("GOOGLEFINANCE($A582, D$2)"),0.0)</f>
        <v>0</v>
      </c>
      <c r="E582" s="4" t="str">
        <f>IFERROR(__xludf.DUMMYFUNCTION("GOOGLEFINANCE($A582, E$2)"),"#N/A")</f>
        <v>#N/A</v>
      </c>
      <c r="F582" s="4" t="str">
        <f>IFERROR(__xludf.DUMMYFUNCTION("GOOGLEFINANCE($A582, F$2)"),"#N/A")</f>
        <v>#N/A</v>
      </c>
      <c r="G582" s="4">
        <f>IFERROR(__xludf.DUMMYFUNCTION("GOOGLEFINANCE($A582, G$2)"),304.0)</f>
        <v>304</v>
      </c>
      <c r="H582" s="4">
        <f>IFERROR(__xludf.DUMMYFUNCTION("GOOGLEFINANCE($A582, H$2)"),293.7)</f>
        <v>293.7</v>
      </c>
      <c r="I582" s="4" t="str">
        <f>IFERROR(__xludf.DUMMYFUNCTION("REPLACE(JOIN("";"", INDEX(TRANSPOSE(GOOGLEFINANCE($A582, $I$2, TODAY() - 30, TODAY(), 1)), 2)), 1, 6, """")"),"327;325,1;323,8;322;319,5;318,37;314,5;319,4;304,22;296,55;294;295,7;293,1;292;296,6;299,23;302,2;294,6")</f>
        <v>327;325,1;323,8;322;319,5;318,37;314,5;319,4;304,22;296,55;294;295,7;293,1;292;296,6;299,23;302,2;294,6</v>
      </c>
    </row>
    <row r="583">
      <c r="A583" s="3" t="s">
        <v>1175</v>
      </c>
      <c r="B583" s="4" t="s">
        <v>1176</v>
      </c>
      <c r="C583" s="4">
        <f>IFERROR(__xludf.DUMMYFUNCTION("GOOGLEFINANCE($A583, C$2)"),50.26)</f>
        <v>50.26</v>
      </c>
      <c r="D583" s="4">
        <f>IFERROR(__xludf.DUMMYFUNCTION("GOOGLEFINANCE($A583, D$2)"),0.0)</f>
        <v>0</v>
      </c>
      <c r="E583" s="4" t="str">
        <f>IFERROR(__xludf.DUMMYFUNCTION("GOOGLEFINANCE($A583, E$2)"),"#N/A")</f>
        <v>#N/A</v>
      </c>
      <c r="F583" s="4" t="str">
        <f>IFERROR(__xludf.DUMMYFUNCTION("GOOGLEFINANCE($A583, F$2)"),"#N/A")</f>
        <v>#N/A</v>
      </c>
      <c r="G583" s="4">
        <f>IFERROR(__xludf.DUMMYFUNCTION("GOOGLEFINANCE($A583, G$2)"),51.05)</f>
        <v>51.05</v>
      </c>
      <c r="H583" s="4">
        <f>IFERROR(__xludf.DUMMYFUNCTION("GOOGLEFINANCE($A583, H$2)"),50.11)</f>
        <v>50.11</v>
      </c>
      <c r="I583" s="4" t="str">
        <f>IFERROR(__xludf.DUMMYFUNCTION("REPLACE(JOIN("";"", INDEX(TRANSPOSE(GOOGLEFINANCE($A583, $I$2, TODAY() - 30, TODAY(), 1)), 2)), 1, 6, """")"),"54,49;52,73;51,35;52,61;52,5;52,35;52,22;52,57;51,33;50;49,85;50,88;51,45;51,08;50,66;50,69;51,19;50,26")</f>
        <v>54,49;52,73;51,35;52,61;52,5;52,35;52,22;52,57;51,33;50;49,85;50,88;51,45;51,08;50,66;50,69;51,19;50,26</v>
      </c>
    </row>
    <row r="584">
      <c r="A584" s="3" t="s">
        <v>1177</v>
      </c>
      <c r="B584" s="4" t="s">
        <v>1178</v>
      </c>
      <c r="C584" s="4">
        <f>IFERROR(__xludf.DUMMYFUNCTION("GOOGLEFINANCE($A584, C$2)"),55.59)</f>
        <v>55.59</v>
      </c>
      <c r="D584" s="4">
        <f>IFERROR(__xludf.DUMMYFUNCTION("GOOGLEFINANCE($A584, D$2)"),0.0)</f>
        <v>0</v>
      </c>
      <c r="E584" s="4">
        <f>IFERROR(__xludf.DUMMYFUNCTION("GOOGLEFINANCE($A584, E$2)"),28.51)</f>
        <v>28.51</v>
      </c>
      <c r="F584" s="4">
        <f>IFERROR(__xludf.DUMMYFUNCTION("GOOGLEFINANCE($A584, F$2)"),1.95)</f>
        <v>1.95</v>
      </c>
      <c r="G584" s="4">
        <f>IFERROR(__xludf.DUMMYFUNCTION("GOOGLEFINANCE($A584, G$2)"),56.07)</f>
        <v>56.07</v>
      </c>
      <c r="H584" s="4">
        <f>IFERROR(__xludf.DUMMYFUNCTION("GOOGLEFINANCE($A584, H$2)"),55.0)</f>
        <v>55</v>
      </c>
      <c r="I584" s="4" t="str">
        <f>IFERROR(__xludf.DUMMYFUNCTION("REPLACE(JOIN("";"", INDEX(TRANSPOSE(GOOGLEFINANCE($A584, $I$2, TODAY() - 30, TODAY(), 1)), 2)), 1, 6, """")"),"53,49;53,97;52,5;52,69;52,78;54;53,49;55,5;55,39;55,49;55,64;55,5;53,77;53,58;54,99;56,18;56,49;55,59")</f>
        <v>53,49;53,97;52,5;52,69;52,78;54;53,49;55,5;55,39;55,49;55,64;55,5;53,77;53,58;54,99;56,18;56,49;55,59</v>
      </c>
    </row>
    <row r="585">
      <c r="A585" s="3" t="s">
        <v>1179</v>
      </c>
      <c r="B585" s="4" t="s">
        <v>1180</v>
      </c>
      <c r="C585" s="4">
        <f>IFERROR(__xludf.DUMMYFUNCTION("GOOGLEFINANCE($A585, C$2)"),54.0)</f>
        <v>54</v>
      </c>
      <c r="D585" s="4">
        <f>IFERROR(__xludf.DUMMYFUNCTION("GOOGLEFINANCE($A585, D$2)"),0.0)</f>
        <v>0</v>
      </c>
      <c r="E585" s="4">
        <f>IFERROR(__xludf.DUMMYFUNCTION("GOOGLEFINANCE($A585, E$2)"),27.7)</f>
        <v>27.7</v>
      </c>
      <c r="F585" s="4">
        <f>IFERROR(__xludf.DUMMYFUNCTION("GOOGLEFINANCE($A585, F$2)"),1.95)</f>
        <v>1.95</v>
      </c>
      <c r="G585" s="4">
        <f>IFERROR(__xludf.DUMMYFUNCTION("GOOGLEFINANCE($A585, G$2)"),54.5)</f>
        <v>54.5</v>
      </c>
      <c r="H585" s="4">
        <f>IFERROR(__xludf.DUMMYFUNCTION("GOOGLEFINANCE($A585, H$2)"),54.0)</f>
        <v>54</v>
      </c>
      <c r="I585" s="4" t="str">
        <f>IFERROR(__xludf.DUMMYFUNCTION("REPLACE(JOIN("";"", INDEX(TRANSPOSE(GOOGLEFINANCE($A585, $I$2, TODAY() - 30, TODAY(), 1)), 2)), 1, 6, """")"),"50,21;51,21;51,61;51,96;55,2;58;57,7;56;53,6;53,11;54,89;56,2;56;54")</f>
        <v>50,21;51,21;51,61;51,96;55,2;58;57,7;56;53,6;53,11;54,89;56,2;56;54</v>
      </c>
    </row>
    <row r="586">
      <c r="A586" s="3" t="s">
        <v>1181</v>
      </c>
      <c r="B586" s="4" t="s">
        <v>1182</v>
      </c>
      <c r="C586" s="4">
        <f>IFERROR(__xludf.DUMMYFUNCTION("GOOGLEFINANCE($A586, C$2)"),54.54)</f>
        <v>54.54</v>
      </c>
      <c r="D586" s="4">
        <f>IFERROR(__xludf.DUMMYFUNCTION("GOOGLEFINANCE($A586, D$2)"),0.0)</f>
        <v>0</v>
      </c>
      <c r="E586" s="4">
        <f>IFERROR(__xludf.DUMMYFUNCTION("GOOGLEFINANCE($A586, E$2)"),27.97)</f>
        <v>27.97</v>
      </c>
      <c r="F586" s="4">
        <f>IFERROR(__xludf.DUMMYFUNCTION("GOOGLEFINANCE($A586, F$2)"),1.95)</f>
        <v>1.95</v>
      </c>
      <c r="G586" s="4">
        <f>IFERROR(__xludf.DUMMYFUNCTION("GOOGLEFINANCE($A586, G$2)"),56.39)</f>
        <v>56.39</v>
      </c>
      <c r="H586" s="4">
        <f>IFERROR(__xludf.DUMMYFUNCTION("GOOGLEFINANCE($A586, H$2)"),54.41)</f>
        <v>54.41</v>
      </c>
      <c r="I586" s="4" t="str">
        <f>IFERROR(__xludf.DUMMYFUNCTION("REPLACE(JOIN("";"", INDEX(TRANSPOSE(GOOGLEFINANCE($A586, $I$2, TODAY() - 30, TODAY(), 1)), 2)), 1, 6, """")"),"50,83;52,52;49,9;51,04;50;52,73;55,64;58,85;57,92;58,71;57,53;56,79;54,35;54,74;53,7;56,56;56,48;54,54")</f>
        <v>50,83;52,52;49,9;51,04;50;52,73;55,64;58,85;57,92;58,71;57,53;56,79;54,35;54,74;53,7;56,56;56,48;54,54</v>
      </c>
    </row>
    <row r="587">
      <c r="A587" s="3" t="s">
        <v>1183</v>
      </c>
      <c r="B587" s="4" t="s">
        <v>1184</v>
      </c>
      <c r="C587" s="4">
        <f>IFERROR(__xludf.DUMMYFUNCTION("GOOGLEFINANCE($A587, C$2)"),274.6)</f>
        <v>274.6</v>
      </c>
      <c r="D587" s="4">
        <f>IFERROR(__xludf.DUMMYFUNCTION("GOOGLEFINANCE($A587, D$2)"),0.0)</f>
        <v>0</v>
      </c>
      <c r="E587" s="4" t="str">
        <f>IFERROR(__xludf.DUMMYFUNCTION("GOOGLEFINANCE($A587, E$2)"),"#N/A")</f>
        <v>#N/A</v>
      </c>
      <c r="F587" s="4" t="str">
        <f>IFERROR(__xludf.DUMMYFUNCTION("GOOGLEFINANCE($A587, F$2)"),"#N/A")</f>
        <v>#N/A</v>
      </c>
      <c r="G587" s="4" t="str">
        <f>IFERROR(__xludf.DUMMYFUNCTION("GOOGLEFINANCE($A587, G$2)"),"#N/A")</f>
        <v>#N/A</v>
      </c>
      <c r="H587" s="4" t="str">
        <f>IFERROR(__xludf.DUMMYFUNCTION("GOOGLEFINANCE($A587, H$2)"),"#N/A")</f>
        <v>#N/A</v>
      </c>
      <c r="I587" s="4" t="str">
        <f>IFERROR(__xludf.DUMMYFUNCTION("REPLACE(JOIN("";"", INDEX(TRANSPOSE(GOOGLEFINANCE($A587, $I$2, TODAY() - 30, TODAY(), 1)), 2)), 1, 6, """")"),"284,2;264;277,8;270;273,7;273,4;274,6")</f>
        <v>284,2;264;277,8;270;273,7;273,4;274,6</v>
      </c>
    </row>
    <row r="588">
      <c r="A588" s="3" t="s">
        <v>1185</v>
      </c>
      <c r="B588" s="4" t="s">
        <v>1186</v>
      </c>
      <c r="C588" s="4">
        <f>IFERROR(__xludf.DUMMYFUNCTION("GOOGLEFINANCE($A588, C$2)"),54.45)</f>
        <v>54.45</v>
      </c>
      <c r="D588" s="4">
        <f>IFERROR(__xludf.DUMMYFUNCTION("GOOGLEFINANCE($A588, D$2)"),0.0)</f>
        <v>0</v>
      </c>
      <c r="E588" s="4" t="str">
        <f>IFERROR(__xludf.DUMMYFUNCTION("GOOGLEFINANCE($A588, E$2)"),"#N/A")</f>
        <v>#N/A</v>
      </c>
      <c r="F588" s="4" t="str">
        <f>IFERROR(__xludf.DUMMYFUNCTION("GOOGLEFINANCE($A588, F$2)"),"#N/A")</f>
        <v>#N/A</v>
      </c>
      <c r="G588" s="4">
        <f>IFERROR(__xludf.DUMMYFUNCTION("GOOGLEFINANCE($A588, G$2)"),55.1)</f>
        <v>55.1</v>
      </c>
      <c r="H588" s="4">
        <f>IFERROR(__xludf.DUMMYFUNCTION("GOOGLEFINANCE($A588, H$2)"),54.15)</f>
        <v>54.15</v>
      </c>
      <c r="I588" s="4" t="str">
        <f>IFERROR(__xludf.DUMMYFUNCTION("REPLACE(JOIN("";"", INDEX(TRANSPOSE(GOOGLEFINANCE($A588, $I$2, TODAY() - 30, TODAY(), 1)), 2)), 1, 6, """")"),"54,56;54,4;55;53,68;53,27;53,23;54,34;53,38;55,09;55,5;54,67;56,36;55,82;54,45;54,9;56,93;55,08;54,45")</f>
        <v>54,56;54,4;55;53,68;53,27;53,23;54,34;53,38;55,09;55,5;54,67;56,36;55,82;54,45;54,9;56,93;55,08;54,45</v>
      </c>
    </row>
    <row r="589">
      <c r="A589" s="3" t="s">
        <v>1187</v>
      </c>
      <c r="B589" s="4" t="s">
        <v>1188</v>
      </c>
      <c r="C589" s="4">
        <f>IFERROR(__xludf.DUMMYFUNCTION("GOOGLEFINANCE($A589, C$2)"),67.5)</f>
        <v>67.5</v>
      </c>
      <c r="D589" s="4">
        <f>IFERROR(__xludf.DUMMYFUNCTION("GOOGLEFINANCE($A589, D$2)"),0.0)</f>
        <v>0</v>
      </c>
      <c r="E589" s="4" t="str">
        <f>IFERROR(__xludf.DUMMYFUNCTION("GOOGLEFINANCE($A589, E$2)"),"#N/A")</f>
        <v>#N/A</v>
      </c>
      <c r="F589" s="4" t="str">
        <f>IFERROR(__xludf.DUMMYFUNCTION("GOOGLEFINANCE($A589, F$2)"),"#N/A")</f>
        <v>#N/A</v>
      </c>
      <c r="G589" s="4">
        <f>IFERROR(__xludf.DUMMYFUNCTION("GOOGLEFINANCE($A589, G$2)"),67.5)</f>
        <v>67.5</v>
      </c>
      <c r="H589" s="4">
        <f>IFERROR(__xludf.DUMMYFUNCTION("GOOGLEFINANCE($A589, H$2)"),67.3)</f>
        <v>67.3</v>
      </c>
      <c r="I589" s="4" t="str">
        <f>IFERROR(__xludf.DUMMYFUNCTION("REPLACE(JOIN("";"", INDEX(TRANSPOSE(GOOGLEFINANCE($A589, $I$2, TODAY() - 30, TODAY(), 1)), 2)), 1, 6, """")"),"58,25;60,03;58,38;63;63,2;64,2;64,2;64,39;66,7;66,45;67,5")</f>
        <v>58,25;60,03;58,38;63;63,2;64,2;64,2;64,39;66,7;66,45;67,5</v>
      </c>
    </row>
    <row r="590">
      <c r="A590" s="3" t="s">
        <v>1189</v>
      </c>
      <c r="B590" s="4" t="s">
        <v>1190</v>
      </c>
      <c r="C590" s="4">
        <f>IFERROR(__xludf.DUMMYFUNCTION("GOOGLEFINANCE($A590, C$2)"),15.56)</f>
        <v>15.56</v>
      </c>
      <c r="D590" s="4">
        <f>IFERROR(__xludf.DUMMYFUNCTION("GOOGLEFINANCE($A590, D$2)"),0.0)</f>
        <v>0</v>
      </c>
      <c r="E590" s="4">
        <f>IFERROR(__xludf.DUMMYFUNCTION("GOOGLEFINANCE($A590, E$2)"),28.45)</f>
        <v>28.45</v>
      </c>
      <c r="F590" s="4">
        <f>IFERROR(__xludf.DUMMYFUNCTION("GOOGLEFINANCE($A590, F$2)"),0.55)</f>
        <v>0.55</v>
      </c>
      <c r="G590" s="4">
        <f>IFERROR(__xludf.DUMMYFUNCTION("GOOGLEFINANCE($A590, G$2)"),15.69)</f>
        <v>15.69</v>
      </c>
      <c r="H590" s="4">
        <f>IFERROR(__xludf.DUMMYFUNCTION("GOOGLEFINANCE($A590, H$2)"),14.99)</f>
        <v>14.99</v>
      </c>
      <c r="I590" s="4" t="str">
        <f>IFERROR(__xludf.DUMMYFUNCTION("REPLACE(JOIN("";"", INDEX(TRANSPOSE(GOOGLEFINANCE($A590, $I$2, TODAY() - 30, TODAY(), 1)), 2)), 1, 6, """")"),"15,4;14,7;14,33;14,97;14,17;14,07;14,18;14,13;14,03;14,06;14,1;14,36;14,11;14,38;14,6;15,28;15,1;15,56")</f>
        <v>15,4;14,7;14,33;14,97;14,17;14,07;14,18;14,13;14,03;14,06;14,1;14,36;14,11;14,38;14,6;15,28;15,1;15,56</v>
      </c>
    </row>
    <row r="591">
      <c r="A591" s="3" t="s">
        <v>1191</v>
      </c>
      <c r="B591" s="4" t="s">
        <v>1192</v>
      </c>
      <c r="C591" s="4">
        <f>IFERROR(__xludf.DUMMYFUNCTION("GOOGLEFINANCE($A591, C$2)"),14.97)</f>
        <v>14.97</v>
      </c>
      <c r="D591" s="4">
        <f>IFERROR(__xludf.DUMMYFUNCTION("GOOGLEFINANCE($A591, D$2)"),0.0)</f>
        <v>0</v>
      </c>
      <c r="E591" s="4">
        <f>IFERROR(__xludf.DUMMYFUNCTION("GOOGLEFINANCE($A591, E$2)"),27.37)</f>
        <v>27.37</v>
      </c>
      <c r="F591" s="4">
        <f>IFERROR(__xludf.DUMMYFUNCTION("GOOGLEFINANCE($A591, F$2)"),0.55)</f>
        <v>0.55</v>
      </c>
      <c r="G591" s="4">
        <f>IFERROR(__xludf.DUMMYFUNCTION("GOOGLEFINANCE($A591, G$2)"),15.02)</f>
        <v>15.02</v>
      </c>
      <c r="H591" s="4">
        <f>IFERROR(__xludf.DUMMYFUNCTION("GOOGLEFINANCE($A591, H$2)"),14.57)</f>
        <v>14.57</v>
      </c>
      <c r="I591" s="4" t="str">
        <f>IFERROR(__xludf.DUMMYFUNCTION("REPLACE(JOIN("";"", INDEX(TRANSPOSE(GOOGLEFINANCE($A591, $I$2, TODAY() - 30, TODAY(), 1)), 2)), 1, 6, """")"),"14,16;13,52;13,1;13,91;13,2;13,35;13,07;13,02;13,15;13,73;13,88;14,06;13,81;14,14;14,19;15,01;14,83;14,97")</f>
        <v>14,16;13,52;13,1;13,91;13,2;13,35;13,07;13,02;13,15;13,73;13,88;14,06;13,81;14,14;14,19;15,01;14,83;14,97</v>
      </c>
    </row>
    <row r="592">
      <c r="A592" s="3" t="s">
        <v>1193</v>
      </c>
      <c r="B592" s="4" t="s">
        <v>1194</v>
      </c>
      <c r="C592" s="4">
        <f>IFERROR(__xludf.DUMMYFUNCTION("GOOGLEFINANCE($A592, C$2)"),97.77)</f>
        <v>97.77</v>
      </c>
      <c r="D592" s="4">
        <f>IFERROR(__xludf.DUMMYFUNCTION("GOOGLEFINANCE($A592, D$2)"),0.0)</f>
        <v>0</v>
      </c>
      <c r="E592" s="4">
        <f>IFERROR(__xludf.DUMMYFUNCTION("GOOGLEFINANCE($A592, E$2)"),32.4)</f>
        <v>32.4</v>
      </c>
      <c r="F592" s="4">
        <f>IFERROR(__xludf.DUMMYFUNCTION("GOOGLEFINANCE($A592, F$2)"),3.02)</f>
        <v>3.02</v>
      </c>
      <c r="G592" s="4">
        <f>IFERROR(__xludf.DUMMYFUNCTION("GOOGLEFINANCE($A592, G$2)"),98.85)</f>
        <v>98.85</v>
      </c>
      <c r="H592" s="4">
        <f>IFERROR(__xludf.DUMMYFUNCTION("GOOGLEFINANCE($A592, H$2)"),96.33)</f>
        <v>96.33</v>
      </c>
      <c r="I592" s="4" t="str">
        <f>IFERROR(__xludf.DUMMYFUNCTION("REPLACE(JOIN("";"", INDEX(TRANSPOSE(GOOGLEFINANCE($A592, $I$2, TODAY() - 30, TODAY(), 1)), 2)), 1, 6, """")"),"93,17;91,75;89,25;91,1;87,95;91,27;87,66;90,43;89,29;92,69;94,01;94,25;94,7;93,1;93,89;96,35;97,4;97,77")</f>
        <v>93,17;91,75;89,25;91,1;87,95;91,27;87,66;90,43;89,29;92,69;94,01;94,25;94,7;93,1;93,89;96,35;97,4;97,77</v>
      </c>
    </row>
    <row r="593">
      <c r="A593" s="3" t="s">
        <v>1195</v>
      </c>
      <c r="B593" s="4" t="s">
        <v>1196</v>
      </c>
      <c r="C593" s="4">
        <f>IFERROR(__xludf.DUMMYFUNCTION("GOOGLEFINANCE($A593, C$2)"),232.07)</f>
        <v>232.07</v>
      </c>
      <c r="D593" s="4">
        <f>IFERROR(__xludf.DUMMYFUNCTION("GOOGLEFINANCE($A593, D$2)"),0.0)</f>
        <v>0</v>
      </c>
      <c r="E593" s="4" t="str">
        <f>IFERROR(__xludf.DUMMYFUNCTION("GOOGLEFINANCE($A593, E$2)"),"#N/A")</f>
        <v>#N/A</v>
      </c>
      <c r="F593" s="4" t="str">
        <f>IFERROR(__xludf.DUMMYFUNCTION("GOOGLEFINANCE($A593, F$2)"),"#N/A")</f>
        <v>#N/A</v>
      </c>
      <c r="G593" s="4" t="str">
        <f>IFERROR(__xludf.DUMMYFUNCTION("GOOGLEFINANCE($A593, G$2)"),"#N/A")</f>
        <v>#N/A</v>
      </c>
      <c r="H593" s="4" t="str">
        <f>IFERROR(__xludf.DUMMYFUNCTION("GOOGLEFINANCE($A593, H$2)"),"#N/A")</f>
        <v>#N/A</v>
      </c>
      <c r="I593" s="4" t="str">
        <f>IFERROR(__xludf.DUMMYFUNCTION("REPLACE(JOIN("";"", INDEX(TRANSPOSE(GOOGLEFINANCE($A593, $I$2, TODAY() - 30, TODAY(), 1)), 2)), 1, 6, """")"),"#N/A")</f>
        <v>#N/A</v>
      </c>
    </row>
    <row r="594">
      <c r="A594" s="3" t="s">
        <v>1197</v>
      </c>
      <c r="B594" s="4" t="s">
        <v>1198</v>
      </c>
      <c r="C594" s="4">
        <f>IFERROR(__xludf.DUMMYFUNCTION("GOOGLEFINANCE($A594, C$2)"),55.2)</f>
        <v>55.2</v>
      </c>
      <c r="D594" s="4">
        <f>IFERROR(__xludf.DUMMYFUNCTION("GOOGLEFINANCE($A594, D$2)"),0.0)</f>
        <v>0</v>
      </c>
      <c r="E594" s="4" t="str">
        <f>IFERROR(__xludf.DUMMYFUNCTION("GOOGLEFINANCE($A594, E$2)"),"#N/A")</f>
        <v>#N/A</v>
      </c>
      <c r="F594" s="4" t="str">
        <f>IFERROR(__xludf.DUMMYFUNCTION("GOOGLEFINANCE($A594, F$2)"),"#N/A")</f>
        <v>#N/A</v>
      </c>
      <c r="G594" s="4">
        <f>IFERROR(__xludf.DUMMYFUNCTION("GOOGLEFINANCE($A594, G$2)"),56.97)</f>
        <v>56.97</v>
      </c>
      <c r="H594" s="4">
        <f>IFERROR(__xludf.DUMMYFUNCTION("GOOGLEFINANCE($A594, H$2)"),55.0)</f>
        <v>55</v>
      </c>
      <c r="I594" s="4" t="str">
        <f>IFERROR(__xludf.DUMMYFUNCTION("REPLACE(JOIN("";"", INDEX(TRANSPOSE(GOOGLEFINANCE($A594, $I$2, TODAY() - 30, TODAY(), 1)), 2)), 1, 6, """")"),"55,5;56,1;52,75;54,12;53,49;53,97;54,6;54;56,76;56,76;55,39;55,56;56,04;56,43;56,6;56,25;56,89;55,2")</f>
        <v>55,5;56,1;52,75;54,12;53,49;53,97;54,6;54;56,76;56,76;55,39;55,56;56,04;56,43;56,6;56,25;56,89;55,2</v>
      </c>
    </row>
    <row r="595">
      <c r="A595" s="3" t="s">
        <v>1199</v>
      </c>
      <c r="B595" s="4" t="s">
        <v>1200</v>
      </c>
      <c r="C595" s="4">
        <f>IFERROR(__xludf.DUMMYFUNCTION("GOOGLEFINANCE($A595, C$2)"),25.88)</f>
        <v>25.88</v>
      </c>
      <c r="D595" s="4">
        <f>IFERROR(__xludf.DUMMYFUNCTION("GOOGLEFINANCE($A595, D$2)"),0.0)</f>
        <v>0</v>
      </c>
      <c r="E595" s="4">
        <f>IFERROR(__xludf.DUMMYFUNCTION("GOOGLEFINANCE($A595, E$2)"),40.46)</f>
        <v>40.46</v>
      </c>
      <c r="F595" s="4">
        <f>IFERROR(__xludf.DUMMYFUNCTION("GOOGLEFINANCE($A595, F$2)"),0.64)</f>
        <v>0.64</v>
      </c>
      <c r="G595" s="4">
        <f>IFERROR(__xludf.DUMMYFUNCTION("GOOGLEFINANCE($A595, G$2)"),26.07)</f>
        <v>26.07</v>
      </c>
      <c r="H595" s="4">
        <f>IFERROR(__xludf.DUMMYFUNCTION("GOOGLEFINANCE($A595, H$2)"),25.52)</f>
        <v>25.52</v>
      </c>
      <c r="I595" s="4" t="str">
        <f>IFERROR(__xludf.DUMMYFUNCTION("REPLACE(JOIN("";"", INDEX(TRANSPOSE(GOOGLEFINANCE($A595, $I$2, TODAY() - 30, TODAY(), 1)), 2)), 1, 6, """")"),"25,93;25,42;25,5;26,33;25,48;25,75;25,84;26,2;26,72;27,06;26,7;27,03;26,4;25,67;26,02;25,82;25,64;25,88")</f>
        <v>25,93;25,42;25,5;26,33;25,48;25,75;25,84;26,2;26,72;27,06;26,7;27,03;26,4;25,67;26,02;25,82;25,64;25,88</v>
      </c>
    </row>
    <row r="596">
      <c r="A596" s="3" t="s">
        <v>1201</v>
      </c>
      <c r="B596" s="4" t="s">
        <v>1202</v>
      </c>
      <c r="C596" s="4">
        <f>IFERROR(__xludf.DUMMYFUNCTION("GOOGLEFINANCE($A596, C$2)"),1.16)</f>
        <v>1.16</v>
      </c>
      <c r="D596" s="4">
        <f>IFERROR(__xludf.DUMMYFUNCTION("GOOGLEFINANCE($A596, D$2)"),0.0)</f>
        <v>0</v>
      </c>
      <c r="E596" s="4" t="str">
        <f>IFERROR(__xludf.DUMMYFUNCTION("GOOGLEFINANCE($A596, E$2)"),"#N/A")</f>
        <v>#N/A</v>
      </c>
      <c r="F596" s="4">
        <f>IFERROR(__xludf.DUMMYFUNCTION("GOOGLEFINANCE($A596, F$2)"),-2.99)</f>
        <v>-2.99</v>
      </c>
      <c r="G596" s="4">
        <f>IFERROR(__xludf.DUMMYFUNCTION("GOOGLEFINANCE($A596, G$2)"),1.18)</f>
        <v>1.18</v>
      </c>
      <c r="H596" s="4">
        <f>IFERROR(__xludf.DUMMYFUNCTION("GOOGLEFINANCE($A596, H$2)"),1.15)</f>
        <v>1.15</v>
      </c>
      <c r="I596" s="4" t="str">
        <f>IFERROR(__xludf.DUMMYFUNCTION("REPLACE(JOIN("";"", INDEX(TRANSPOSE(GOOGLEFINANCE($A596, $I$2, TODAY() - 30, TODAY(), 1)), 2)), 1, 6, """")"),"1,18;1,14;1,16;1,17;1,14;1,29;1,25;1,22;1,19;1,2;1,17;1,2;1,16;1,19;1,17;1,19;1,16;1,16")</f>
        <v>1,18;1,14;1,16;1,17;1,14;1,29;1,25;1,22;1,19;1,2;1,17;1,2;1,16;1,19;1,17;1,19;1,16;1,16</v>
      </c>
    </row>
    <row r="597">
      <c r="A597" s="3" t="s">
        <v>1203</v>
      </c>
      <c r="B597" s="4" t="s">
        <v>1204</v>
      </c>
      <c r="C597" s="4">
        <f>IFERROR(__xludf.DUMMYFUNCTION("GOOGLEFINANCE($A597, C$2)"),46.44)</f>
        <v>46.44</v>
      </c>
      <c r="D597" s="4">
        <f>IFERROR(__xludf.DUMMYFUNCTION("GOOGLEFINANCE($A597, D$2)"),0.0)</f>
        <v>0</v>
      </c>
      <c r="E597" s="4">
        <f>IFERROR(__xludf.DUMMYFUNCTION("GOOGLEFINANCE($A597, E$2)"),16.5)</f>
        <v>16.5</v>
      </c>
      <c r="F597" s="4">
        <f>IFERROR(__xludf.DUMMYFUNCTION("GOOGLEFINANCE($A597, F$2)"),2.81)</f>
        <v>2.81</v>
      </c>
      <c r="G597" s="4">
        <f>IFERROR(__xludf.DUMMYFUNCTION("GOOGLEFINANCE($A597, G$2)"),46.6)</f>
        <v>46.6</v>
      </c>
      <c r="H597" s="4">
        <f>IFERROR(__xludf.DUMMYFUNCTION("GOOGLEFINANCE($A597, H$2)"),46.12)</f>
        <v>46.12</v>
      </c>
      <c r="I597" s="4" t="str">
        <f>IFERROR(__xludf.DUMMYFUNCTION("REPLACE(JOIN("";"", INDEX(TRANSPOSE(GOOGLEFINANCE($A597, $I$2, TODAY() - 30, TODAY(), 1)), 2)), 1, 6, """")"),"44,14;44,83;45,66;45,71;45,2;45,93;46,61;48,39;48,39;47,85;47,53;47,52;47,65;48,95;48,4;47,35;46,22;46,44")</f>
        <v>44,14;44,83;45,66;45,71;45,2;45,93;46,61;48,39;48,39;47,85;47,53;47,52;47,65;48,95;48,4;47,35;46,22;46,44</v>
      </c>
    </row>
    <row r="598">
      <c r="A598" s="3" t="s">
        <v>1205</v>
      </c>
      <c r="B598" s="4" t="s">
        <v>1206</v>
      </c>
      <c r="C598" s="4">
        <f>IFERROR(__xludf.DUMMYFUNCTION("GOOGLEFINANCE($A598, C$2)"),8.36)</f>
        <v>8.36</v>
      </c>
      <c r="D598" s="4">
        <f>IFERROR(__xludf.DUMMYFUNCTION("GOOGLEFINANCE($A598, D$2)"),0.0)</f>
        <v>0</v>
      </c>
      <c r="E598" s="4" t="str">
        <f>IFERROR(__xludf.DUMMYFUNCTION("GOOGLEFINANCE($A598, E$2)"),"#N/A")</f>
        <v>#N/A</v>
      </c>
      <c r="F598" s="4">
        <f>IFERROR(__xludf.DUMMYFUNCTION("GOOGLEFINANCE($A598, F$2)"),-2.09)</f>
        <v>-2.09</v>
      </c>
      <c r="G598" s="4">
        <f>IFERROR(__xludf.DUMMYFUNCTION("GOOGLEFINANCE($A598, G$2)"),8.57)</f>
        <v>8.57</v>
      </c>
      <c r="H598" s="4">
        <f>IFERROR(__xludf.DUMMYFUNCTION("GOOGLEFINANCE($A598, H$2)"),8.33)</f>
        <v>8.33</v>
      </c>
      <c r="I598" s="4" t="str">
        <f>IFERROR(__xludf.DUMMYFUNCTION("REPLACE(JOIN("";"", INDEX(TRANSPOSE(GOOGLEFINANCE($A598, $I$2, TODAY() - 30, TODAY(), 1)), 2)), 1, 6, """")"),"8,72;8,31;8,41;8,88;8,61;8,74;8,85;8,89;8,83;8,92;8,98;8,91;8,55;8,7;8,54;8,51;8,54;8,36")</f>
        <v>8,72;8,31;8,41;8,88;8,61;8,74;8,85;8,89;8,83;8,92;8,98;8,91;8,55;8,7;8,54;8,51;8,54;8,36</v>
      </c>
    </row>
    <row r="599">
      <c r="A599" s="3" t="s">
        <v>1207</v>
      </c>
      <c r="B599" s="4" t="s">
        <v>1208</v>
      </c>
      <c r="C599" s="4">
        <f>IFERROR(__xludf.DUMMYFUNCTION("GOOGLEFINANCE($A599, C$2)"),190.7)</f>
        <v>190.7</v>
      </c>
      <c r="D599" s="4">
        <f>IFERROR(__xludf.DUMMYFUNCTION("GOOGLEFINANCE($A599, D$2)"),0.0)</f>
        <v>0</v>
      </c>
      <c r="E599" s="4" t="str">
        <f>IFERROR(__xludf.DUMMYFUNCTION("GOOGLEFINANCE($A599, E$2)"),"#N/A")</f>
        <v>#N/A</v>
      </c>
      <c r="F599" s="4" t="str">
        <f>IFERROR(__xludf.DUMMYFUNCTION("GOOGLEFINANCE($A599, F$2)"),"#N/A")</f>
        <v>#N/A</v>
      </c>
      <c r="G599" s="4">
        <f>IFERROR(__xludf.DUMMYFUNCTION("GOOGLEFINANCE($A599, G$2)"),190.7)</f>
        <v>190.7</v>
      </c>
      <c r="H599" s="4">
        <f>IFERROR(__xludf.DUMMYFUNCTION("GOOGLEFINANCE($A599, H$2)"),183.2)</f>
        <v>183.2</v>
      </c>
      <c r="I599" s="4" t="str">
        <f>IFERROR(__xludf.DUMMYFUNCTION("REPLACE(JOIN("";"", INDEX(TRANSPOSE(GOOGLEFINANCE($A599, $I$2, TODAY() - 30, TODAY(), 1)), 2)), 1, 6, """")"),"160,1;156,55;158,8;157,75;154;151,5;155,5;161,85;166,2;166,65;169,88;176,99;172,8;172,3;184,3;184,6;190,7")</f>
        <v>160,1;156,55;158,8;157,75;154;151,5;155,5;161,85;166,2;166,65;169,88;176,99;172,8;172,3;184,3;184,6;190,7</v>
      </c>
    </row>
    <row r="600">
      <c r="A600" s="3" t="s">
        <v>1209</v>
      </c>
      <c r="B600" s="4" t="s">
        <v>1210</v>
      </c>
      <c r="C600" s="4">
        <f>IFERROR(__xludf.DUMMYFUNCTION("GOOGLEFINANCE($A600, C$2)"),270.64)</f>
        <v>270.64</v>
      </c>
      <c r="D600" s="4">
        <f>IFERROR(__xludf.DUMMYFUNCTION("GOOGLEFINANCE($A600, D$2)"),0.0)</f>
        <v>0</v>
      </c>
      <c r="E600" s="4" t="str">
        <f>IFERROR(__xludf.DUMMYFUNCTION("GOOGLEFINANCE($A600, E$2)"),"#N/A")</f>
        <v>#N/A</v>
      </c>
      <c r="F600" s="4" t="str">
        <f>IFERROR(__xludf.DUMMYFUNCTION("GOOGLEFINANCE($A600, F$2)"),"#N/A")</f>
        <v>#N/A</v>
      </c>
      <c r="G600" s="4" t="str">
        <f>IFERROR(__xludf.DUMMYFUNCTION("GOOGLEFINANCE($A600, G$2)"),"#N/A")</f>
        <v>#N/A</v>
      </c>
      <c r="H600" s="4" t="str">
        <f>IFERROR(__xludf.DUMMYFUNCTION("GOOGLEFINANCE($A600, H$2)"),"#N/A")</f>
        <v>#N/A</v>
      </c>
      <c r="I600" s="4" t="str">
        <f>IFERROR(__xludf.DUMMYFUNCTION("REPLACE(JOIN("";"", INDEX(TRANSPOSE(GOOGLEFINANCE($A600, $I$2, TODAY() - 30, TODAY(), 1)), 2)), 1, 6, """")"),"270,64")</f>
        <v>270,64</v>
      </c>
    </row>
    <row r="601">
      <c r="A601" s="3" t="s">
        <v>1211</v>
      </c>
      <c r="B601" s="4" t="s">
        <v>1212</v>
      </c>
      <c r="C601" s="4">
        <f>IFERROR(__xludf.DUMMYFUNCTION("GOOGLEFINANCE($A601, C$2)"),279.0)</f>
        <v>279</v>
      </c>
      <c r="D601" s="4">
        <f>IFERROR(__xludf.DUMMYFUNCTION("GOOGLEFINANCE($A601, D$2)"),0.0)</f>
        <v>0</v>
      </c>
      <c r="E601" s="4" t="str">
        <f>IFERROR(__xludf.DUMMYFUNCTION("GOOGLEFINANCE($A601, E$2)"),"#N/A")</f>
        <v>#N/A</v>
      </c>
      <c r="F601" s="4" t="str">
        <f>IFERROR(__xludf.DUMMYFUNCTION("GOOGLEFINANCE($A601, F$2)"),"#N/A")</f>
        <v>#N/A</v>
      </c>
      <c r="G601" s="4">
        <f>IFERROR(__xludf.DUMMYFUNCTION("GOOGLEFINANCE($A601, G$2)"),285.8)</f>
        <v>285.8</v>
      </c>
      <c r="H601" s="4">
        <f>IFERROR(__xludf.DUMMYFUNCTION("GOOGLEFINANCE($A601, H$2)"),279.0)</f>
        <v>279</v>
      </c>
      <c r="I601" s="4" t="str">
        <f>IFERROR(__xludf.DUMMYFUNCTION("REPLACE(JOIN("";"", INDEX(TRANSPOSE(GOOGLEFINANCE($A601, $I$2, TODAY() - 30, TODAY(), 1)), 2)), 1, 6, """")"),"326,6;318,5;306,8;315,5;316,9;316,9;291;286,7;289,4;288,1;287;289,2;287;284,6;283;289,7;289,4;279")</f>
        <v>326,6;318,5;306,8;315,5;316,9;316,9;291;286,7;289,4;288,1;287;289,2;287;284,6;283;289,7;289,4;279</v>
      </c>
    </row>
    <row r="602">
      <c r="A602" s="3" t="s">
        <v>1213</v>
      </c>
      <c r="B602" s="4" t="s">
        <v>1214</v>
      </c>
      <c r="C602" s="4">
        <f>IFERROR(__xludf.DUMMYFUNCTION("GOOGLEFINANCE($A602, C$2)"),7.92)</f>
        <v>7.92</v>
      </c>
      <c r="D602" s="4">
        <f>IFERROR(__xludf.DUMMYFUNCTION("GOOGLEFINANCE($A602, D$2)"),0.0)</f>
        <v>0</v>
      </c>
      <c r="E602" s="4">
        <f>IFERROR(__xludf.DUMMYFUNCTION("GOOGLEFINANCE($A602, E$2)"),90.89)</f>
        <v>90.89</v>
      </c>
      <c r="F602" s="4">
        <f>IFERROR(__xludf.DUMMYFUNCTION("GOOGLEFINANCE($A602, F$2)"),0.09)</f>
        <v>0.09</v>
      </c>
      <c r="G602" s="4">
        <f>IFERROR(__xludf.DUMMYFUNCTION("GOOGLEFINANCE($A602, G$2)"),8.31)</f>
        <v>8.31</v>
      </c>
      <c r="H602" s="4">
        <f>IFERROR(__xludf.DUMMYFUNCTION("GOOGLEFINANCE($A602, H$2)"),7.92)</f>
        <v>7.92</v>
      </c>
      <c r="I602" s="4" t="str">
        <f>IFERROR(__xludf.DUMMYFUNCTION("REPLACE(JOIN("";"", INDEX(TRANSPOSE(GOOGLEFINANCE($A602, $I$2, TODAY() - 30, TODAY(), 1)), 2)), 1, 6, """")"),"8,06;8,31;8,17;8,36;8,17;8,74;8,77;8,87;8,85;8,86;8,73;8,62;8,36;8,43;8,3;8,38;8,23;7,92")</f>
        <v>8,06;8,31;8,17;8,36;8,17;8,74;8,77;8,87;8,85;8,86;8,73;8,62;8,36;8,43;8,3;8,38;8,23;7,92</v>
      </c>
    </row>
    <row r="603">
      <c r="A603" s="3" t="s">
        <v>1215</v>
      </c>
      <c r="B603" s="4" t="s">
        <v>1216</v>
      </c>
      <c r="C603" s="4">
        <f>IFERROR(__xludf.DUMMYFUNCTION("GOOGLEFINANCE($A603, C$2)"),14.0)</f>
        <v>14</v>
      </c>
      <c r="D603" s="4">
        <f>IFERROR(__xludf.DUMMYFUNCTION("GOOGLEFINANCE($A603, D$2)"),0.0)</f>
        <v>0</v>
      </c>
      <c r="E603" s="4" t="str">
        <f>IFERROR(__xludf.DUMMYFUNCTION("GOOGLEFINANCE($A603, E$2)"),"#N/A")</f>
        <v>#N/A</v>
      </c>
      <c r="F603" s="4">
        <f>IFERROR(__xludf.DUMMYFUNCTION("GOOGLEFINANCE($A603, F$2)"),-0.25)</f>
        <v>-0.25</v>
      </c>
      <c r="G603" s="4">
        <f>IFERROR(__xludf.DUMMYFUNCTION("GOOGLEFINANCE($A603, G$2)"),14.62)</f>
        <v>14.62</v>
      </c>
      <c r="H603" s="4">
        <f>IFERROR(__xludf.DUMMYFUNCTION("GOOGLEFINANCE($A603, H$2)"),14.0)</f>
        <v>14</v>
      </c>
      <c r="I603" s="4" t="str">
        <f>IFERROR(__xludf.DUMMYFUNCTION("REPLACE(JOIN("";"", INDEX(TRANSPOSE(GOOGLEFINANCE($A603, $I$2, TODAY() - 30, TODAY(), 1)), 2)), 1, 6, """")"),"14,19;14,52;14,16;15,29;14,69;14,38;15,28;15,08;15;15,08;15,22;14,93;14,35;14,6;14,48;14,62;14,49;14")</f>
        <v>14,19;14,52;14,16;15,29;14,69;14,38;15,28;15,08;15;15,08;15,22;14,93;14,35;14,6;14,48;14,62;14,49;14</v>
      </c>
    </row>
    <row r="604">
      <c r="A604" s="3" t="s">
        <v>1217</v>
      </c>
      <c r="B604" s="4" t="s">
        <v>1218</v>
      </c>
      <c r="C604" s="4">
        <f>IFERROR(__xludf.DUMMYFUNCTION("GOOGLEFINANCE($A604, C$2)"),46.69)</f>
        <v>46.69</v>
      </c>
      <c r="D604" s="4">
        <f>IFERROR(__xludf.DUMMYFUNCTION("GOOGLEFINANCE($A604, D$2)"),0.0)</f>
        <v>0</v>
      </c>
      <c r="E604" s="4" t="str">
        <f>IFERROR(__xludf.DUMMYFUNCTION("GOOGLEFINANCE($A604, E$2)"),"#N/A")</f>
        <v>#N/A</v>
      </c>
      <c r="F604" s="4" t="str">
        <f>IFERROR(__xludf.DUMMYFUNCTION("GOOGLEFINANCE($A604, F$2)"),"#N/A")</f>
        <v>#N/A</v>
      </c>
      <c r="G604" s="4">
        <f>IFERROR(__xludf.DUMMYFUNCTION("GOOGLEFINANCE($A604, G$2)"),47.15)</f>
        <v>47.15</v>
      </c>
      <c r="H604" s="4">
        <f>IFERROR(__xludf.DUMMYFUNCTION("GOOGLEFINANCE($A604, H$2)"),46.5)</f>
        <v>46.5</v>
      </c>
      <c r="I604" s="4" t="str">
        <f>IFERROR(__xludf.DUMMYFUNCTION("REPLACE(JOIN("";"", INDEX(TRANSPOSE(GOOGLEFINANCE($A604, $I$2, TODAY() - 30, TODAY(), 1)), 2)), 1, 6, """")"),"50,18;49,56;48,63;48,92;48,28;47,68;47,46;47,67;48,48;48,72;48,77;49,15;48,65;48,33;48,66;49,93;47,15;46,69")</f>
        <v>50,18;49,56;48,63;48,92;48,28;47,68;47,46;47,67;48,48;48,72;48,77;49,15;48,65;48,33;48,66;49,93;47,15;46,69</v>
      </c>
    </row>
    <row r="605">
      <c r="A605" s="3" t="s">
        <v>1219</v>
      </c>
      <c r="B605" s="4" t="s">
        <v>1220</v>
      </c>
      <c r="C605" s="4">
        <f>IFERROR(__xludf.DUMMYFUNCTION("GOOGLEFINANCE($A605, C$2)"),347.21)</f>
        <v>347.21</v>
      </c>
      <c r="D605" s="4">
        <f>IFERROR(__xludf.DUMMYFUNCTION("GOOGLEFINANCE($A605, D$2)"),0.0)</f>
        <v>0</v>
      </c>
      <c r="E605" s="4" t="str">
        <f>IFERROR(__xludf.DUMMYFUNCTION("GOOGLEFINANCE($A605, E$2)"),"#N/A")</f>
        <v>#N/A</v>
      </c>
      <c r="F605" s="4" t="str">
        <f>IFERROR(__xludf.DUMMYFUNCTION("GOOGLEFINANCE($A605, F$2)"),"#N/A")</f>
        <v>#N/A</v>
      </c>
      <c r="G605" s="4" t="str">
        <f>IFERROR(__xludf.DUMMYFUNCTION("GOOGLEFINANCE($A605, G$2)"),"#N/A")</f>
        <v>#N/A</v>
      </c>
      <c r="H605" s="4" t="str">
        <f>IFERROR(__xludf.DUMMYFUNCTION("GOOGLEFINANCE($A605, H$2)"),"#N/A")</f>
        <v>#N/A</v>
      </c>
      <c r="I605" s="4" t="str">
        <f>IFERROR(__xludf.DUMMYFUNCTION("REPLACE(JOIN("";"", INDEX(TRANSPOSE(GOOGLEFINANCE($A605, $I$2, TODAY() - 30, TODAY(), 1)), 2)), 1, 6, """")"),"#N/A")</f>
        <v>#N/A</v>
      </c>
    </row>
    <row r="606">
      <c r="A606" s="3" t="s">
        <v>1221</v>
      </c>
      <c r="B606" s="4" t="s">
        <v>1222</v>
      </c>
      <c r="C606" s="4">
        <f>IFERROR(__xludf.DUMMYFUNCTION("GOOGLEFINANCE($A606, C$2)"),83.24)</f>
        <v>83.24</v>
      </c>
      <c r="D606" s="4">
        <f>IFERROR(__xludf.DUMMYFUNCTION("GOOGLEFINANCE($A606, D$2)"),0.0)</f>
        <v>0</v>
      </c>
      <c r="E606" s="4">
        <f>IFERROR(__xludf.DUMMYFUNCTION("GOOGLEFINANCE($A606, E$2)"),83.22)</f>
        <v>83.22</v>
      </c>
      <c r="F606" s="4">
        <f>IFERROR(__xludf.DUMMYFUNCTION("GOOGLEFINANCE($A606, F$2)"),1.0)</f>
        <v>1</v>
      </c>
      <c r="G606" s="4">
        <f>IFERROR(__xludf.DUMMYFUNCTION("GOOGLEFINANCE($A606, G$2)"),84.5)</f>
        <v>84.5</v>
      </c>
      <c r="H606" s="4">
        <f>IFERROR(__xludf.DUMMYFUNCTION("GOOGLEFINANCE($A606, H$2)"),82.64)</f>
        <v>82.64</v>
      </c>
      <c r="I606" s="4" t="str">
        <f>IFERROR(__xludf.DUMMYFUNCTION("REPLACE(JOIN("";"", INDEX(TRANSPOSE(GOOGLEFINANCE($A606, $I$2, TODAY() - 30, TODAY(), 1)), 2)), 1, 6, """")"),"88,97;88,95;88,74;87,97;83,79;84,54;85,23;88,67;85,57;84,5;85,5;85,01;86,03;87;86,67;83,95;83,38;83,24")</f>
        <v>88,97;88,95;88,74;87,97;83,79;84,54;85,23;88,67;85,57;84,5;85,5;85,01;86,03;87;86,67;83,95;83,38;83,24</v>
      </c>
    </row>
    <row r="607">
      <c r="A607" s="3" t="s">
        <v>1223</v>
      </c>
      <c r="B607" s="4" t="s">
        <v>1224</v>
      </c>
      <c r="C607" s="4">
        <f>IFERROR(__xludf.DUMMYFUNCTION("GOOGLEFINANCE($A607, C$2)"),51.0)</f>
        <v>51</v>
      </c>
      <c r="D607" s="4">
        <f>IFERROR(__xludf.DUMMYFUNCTION("GOOGLEFINANCE($A607, D$2)"),0.0)</f>
        <v>0</v>
      </c>
      <c r="E607" s="4" t="str">
        <f>IFERROR(__xludf.DUMMYFUNCTION("GOOGLEFINANCE($A607, E$2)"),"#N/A")</f>
        <v>#N/A</v>
      </c>
      <c r="F607" s="4" t="str">
        <f>IFERROR(__xludf.DUMMYFUNCTION("GOOGLEFINANCE($A607, F$2)"),"#N/A")</f>
        <v>#N/A</v>
      </c>
      <c r="G607" s="4">
        <f>IFERROR(__xludf.DUMMYFUNCTION("GOOGLEFINANCE($A607, G$2)"),51.0)</f>
        <v>51</v>
      </c>
      <c r="H607" s="4">
        <f>IFERROR(__xludf.DUMMYFUNCTION("GOOGLEFINANCE($A607, H$2)"),49.01)</f>
        <v>49.01</v>
      </c>
      <c r="I607" s="4" t="str">
        <f>IFERROR(__xludf.DUMMYFUNCTION("REPLACE(JOIN("";"", INDEX(TRANSPOSE(GOOGLEFINANCE($A607, $I$2, TODAY() - 30, TODAY(), 1)), 2)), 1, 6, """")"),"43,9;42,38;41,07;41,93;41,15;41,02;41,37;42,63;44,17;43,93;44,76;44,87;44,75;44;45,26;49,54;50,4;51")</f>
        <v>43,9;42,38;41,07;41,93;41,15;41,02;41,37;42,63;44,17;43,93;44,76;44,87;44,75;44;45,26;49,54;50,4;51</v>
      </c>
    </row>
    <row r="608">
      <c r="A608" s="3" t="s">
        <v>1225</v>
      </c>
      <c r="B608" s="4" t="s">
        <v>1226</v>
      </c>
      <c r="C608" s="4">
        <f>IFERROR(__xludf.DUMMYFUNCTION("GOOGLEFINANCE($A608, C$2)"),132.8)</f>
        <v>132.8</v>
      </c>
      <c r="D608" s="4">
        <f>IFERROR(__xludf.DUMMYFUNCTION("GOOGLEFINANCE($A608, D$2)"),0.0)</f>
        <v>0</v>
      </c>
      <c r="E608" s="4" t="str">
        <f>IFERROR(__xludf.DUMMYFUNCTION("GOOGLEFINANCE($A608, E$2)"),"#N/A")</f>
        <v>#N/A</v>
      </c>
      <c r="F608" s="4" t="str">
        <f>IFERROR(__xludf.DUMMYFUNCTION("GOOGLEFINANCE($A608, F$2)"),"#N/A")</f>
        <v>#N/A</v>
      </c>
      <c r="G608" s="4">
        <f>IFERROR(__xludf.DUMMYFUNCTION("GOOGLEFINANCE($A608, G$2)"),132.8)</f>
        <v>132.8</v>
      </c>
      <c r="H608" s="4">
        <f>IFERROR(__xludf.DUMMYFUNCTION("GOOGLEFINANCE($A608, H$2)"),132.3)</f>
        <v>132.3</v>
      </c>
      <c r="I608" s="4" t="str">
        <f>IFERROR(__xludf.DUMMYFUNCTION("REPLACE(JOIN("";"", INDEX(TRANSPOSE(GOOGLEFINANCE($A608, $I$2, TODAY() - 30, TODAY(), 1)), 2)), 1, 6, """")"),"128,3;130,87;137,64;138,35;138,4;135,38;130;131,7;133,9;134,55;132,45;136,1;137,08;135,1;135,6;135,99;133,84;132,8")</f>
        <v>128,3;130,87;137,64;138,35;138,4;135,38;130;131,7;133,9;134,55;132,45;136,1;137,08;135,1;135,6;135,99;133,84;132,8</v>
      </c>
    </row>
    <row r="609">
      <c r="A609" s="3" t="s">
        <v>1227</v>
      </c>
      <c r="B609" s="4" t="s">
        <v>1228</v>
      </c>
      <c r="C609" s="4">
        <f>IFERROR(__xludf.DUMMYFUNCTION("GOOGLEFINANCE($A609, C$2)"),7.1)</f>
        <v>7.1</v>
      </c>
      <c r="D609" s="4">
        <f>IFERROR(__xludf.DUMMYFUNCTION("GOOGLEFINANCE($A609, D$2)"),0.0)</f>
        <v>0</v>
      </c>
      <c r="E609" s="4">
        <f>IFERROR(__xludf.DUMMYFUNCTION("GOOGLEFINANCE($A609, E$2)"),17.93)</f>
        <v>17.93</v>
      </c>
      <c r="F609" s="4">
        <f>IFERROR(__xludf.DUMMYFUNCTION("GOOGLEFINANCE($A609, F$2)"),0.4)</f>
        <v>0.4</v>
      </c>
      <c r="G609" s="4">
        <f>IFERROR(__xludf.DUMMYFUNCTION("GOOGLEFINANCE($A609, G$2)"),7.34)</f>
        <v>7.34</v>
      </c>
      <c r="H609" s="4">
        <f>IFERROR(__xludf.DUMMYFUNCTION("GOOGLEFINANCE($A609, H$2)"),7.1)</f>
        <v>7.1</v>
      </c>
      <c r="I609" s="4" t="str">
        <f>IFERROR(__xludf.DUMMYFUNCTION("REPLACE(JOIN("";"", INDEX(TRANSPOSE(GOOGLEFINANCE($A609, $I$2, TODAY() - 30, TODAY(), 1)), 2)), 1, 6, """")"),"7,2;7,33;7,31;7,29;7,25;7,25;7,32;7,31;7,28;7,25;7,21;7,26;7,37;7,35;7,35;7,34;7,25;7,1")</f>
        <v>7,2;7,33;7,31;7,29;7,25;7,25;7,32;7,31;7,28;7,25;7,21;7,26;7,37;7,35;7,35;7,34;7,25;7,1</v>
      </c>
    </row>
    <row r="610">
      <c r="A610" s="3" t="s">
        <v>1229</v>
      </c>
      <c r="B610" s="4" t="s">
        <v>1230</v>
      </c>
      <c r="C610" s="4">
        <f>IFERROR(__xludf.DUMMYFUNCTION("GOOGLEFINANCE($A610, C$2)"),7.85)</f>
        <v>7.85</v>
      </c>
      <c r="D610" s="4">
        <f>IFERROR(__xludf.DUMMYFUNCTION("GOOGLEFINANCE($A610, D$2)"),0.0)</f>
        <v>0</v>
      </c>
      <c r="E610" s="4">
        <f>IFERROR(__xludf.DUMMYFUNCTION("GOOGLEFINANCE($A610, E$2)"),19.83)</f>
        <v>19.83</v>
      </c>
      <c r="F610" s="4">
        <f>IFERROR(__xludf.DUMMYFUNCTION("GOOGLEFINANCE($A610, F$2)"),0.4)</f>
        <v>0.4</v>
      </c>
      <c r="G610" s="4">
        <f>IFERROR(__xludf.DUMMYFUNCTION("GOOGLEFINANCE($A610, G$2)"),7.93)</f>
        <v>7.93</v>
      </c>
      <c r="H610" s="4">
        <f>IFERROR(__xludf.DUMMYFUNCTION("GOOGLEFINANCE($A610, H$2)"),7.84)</f>
        <v>7.84</v>
      </c>
      <c r="I610" s="4" t="str">
        <f>IFERROR(__xludf.DUMMYFUNCTION("REPLACE(JOIN("";"", INDEX(TRANSPOSE(GOOGLEFINANCE($A610, $I$2, TODAY() - 30, TODAY(), 1)), 2)), 1, 6, """")"),"7,85;7,8;7,77;7,8;7,91;7,99;7,87;7,89;7,8;7,91;7,85;7,91;7,91;7,9;7,88;7,87;7,88;7,85")</f>
        <v>7,85;7,8;7,77;7,8;7,91;7,99;7,87;7,89;7,8;7,91;7,85;7,91;7,91;7,9;7,88;7,87;7,88;7,85</v>
      </c>
    </row>
    <row r="611">
      <c r="A611" s="3" t="s">
        <v>1231</v>
      </c>
      <c r="B611" s="4" t="s">
        <v>1232</v>
      </c>
      <c r="C611" s="4">
        <f>IFERROR(__xludf.DUMMYFUNCTION("GOOGLEFINANCE($A611, C$2)"),6.33)</f>
        <v>6.33</v>
      </c>
      <c r="D611" s="4">
        <f>IFERROR(__xludf.DUMMYFUNCTION("GOOGLEFINANCE($A611, D$2)"),0.0)</f>
        <v>0</v>
      </c>
      <c r="E611" s="4">
        <f>IFERROR(__xludf.DUMMYFUNCTION("GOOGLEFINANCE($A611, E$2)"),4.74)</f>
        <v>4.74</v>
      </c>
      <c r="F611" s="4">
        <f>IFERROR(__xludf.DUMMYFUNCTION("GOOGLEFINANCE($A611, F$2)"),1.33)</f>
        <v>1.33</v>
      </c>
      <c r="G611" s="4">
        <f>IFERROR(__xludf.DUMMYFUNCTION("GOOGLEFINANCE($A611, G$2)"),6.67)</f>
        <v>6.67</v>
      </c>
      <c r="H611" s="4">
        <f>IFERROR(__xludf.DUMMYFUNCTION("GOOGLEFINANCE($A611, H$2)"),6.3)</f>
        <v>6.3</v>
      </c>
      <c r="I611" s="4" t="str">
        <f>IFERROR(__xludf.DUMMYFUNCTION("REPLACE(JOIN("";"", INDEX(TRANSPOSE(GOOGLEFINANCE($A611, $I$2, TODAY() - 30, TODAY(), 1)), 2)), 1, 6, """")"),"7,74;7,78;7,73;7,9;7,67;7,77;8,19;7,98;8,13;8,35;8,18;8,15;7,87;7,86;7,84;7,02;6,61;6,33")</f>
        <v>7,74;7,78;7,73;7,9;7,67;7,77;8,19;7,98;8,13;8,35;8,18;8,15;7,87;7,86;7,84;7,02;6,61;6,33</v>
      </c>
    </row>
    <row r="612">
      <c r="A612" s="3" t="s">
        <v>1233</v>
      </c>
      <c r="B612" s="4" t="s">
        <v>1234</v>
      </c>
      <c r="C612" s="4">
        <f>IFERROR(__xludf.DUMMYFUNCTION("GOOGLEFINANCE($A612, C$2)"),20.98)</f>
        <v>20.98</v>
      </c>
      <c r="D612" s="4">
        <f>IFERROR(__xludf.DUMMYFUNCTION("GOOGLEFINANCE($A612, D$2)"),0.0)</f>
        <v>0</v>
      </c>
      <c r="E612" s="4">
        <f>IFERROR(__xludf.DUMMYFUNCTION("GOOGLEFINANCE($A612, E$2)"),13.01)</f>
        <v>13.01</v>
      </c>
      <c r="F612" s="4">
        <f>IFERROR(__xludf.DUMMYFUNCTION("GOOGLEFINANCE($A612, F$2)"),1.61)</f>
        <v>1.61</v>
      </c>
      <c r="G612" s="4">
        <f>IFERROR(__xludf.DUMMYFUNCTION("GOOGLEFINANCE($A612, G$2)"),20.98)</f>
        <v>20.98</v>
      </c>
      <c r="H612" s="4">
        <f>IFERROR(__xludf.DUMMYFUNCTION("GOOGLEFINANCE($A612, H$2)"),20.5)</f>
        <v>20.5</v>
      </c>
      <c r="I612" s="4" t="str">
        <f>IFERROR(__xludf.DUMMYFUNCTION("REPLACE(JOIN("";"", INDEX(TRANSPOSE(GOOGLEFINANCE($A612, $I$2, TODAY() - 30, TODAY(), 1)), 2)), 1, 6, """")"),"22,31;21,1;21,16;21,27;21,35;21,6;21,55;21,6;21,95;21,8;20,56;20,05;19,9;19,91;20,1;20,5;20,98")</f>
        <v>22,31;21,1;21,16;21,27;21,35;21,6;21,55;21,6;21,95;21,8;20,56;20,05;19,9;19,91;20,1;20,5;20,98</v>
      </c>
    </row>
    <row r="613">
      <c r="A613" s="3" t="s">
        <v>1235</v>
      </c>
      <c r="B613" s="4" t="s">
        <v>1236</v>
      </c>
      <c r="C613" s="4">
        <f>IFERROR(__xludf.DUMMYFUNCTION("GOOGLEFINANCE($A613, C$2)"),30.7)</f>
        <v>30.7</v>
      </c>
      <c r="D613" s="4">
        <f>IFERROR(__xludf.DUMMYFUNCTION("GOOGLEFINANCE($A613, D$2)"),0.0)</f>
        <v>0</v>
      </c>
      <c r="E613" s="4">
        <f>IFERROR(__xludf.DUMMYFUNCTION("GOOGLEFINANCE($A613, E$2)"),19.04)</f>
        <v>19.04</v>
      </c>
      <c r="F613" s="4">
        <f>IFERROR(__xludf.DUMMYFUNCTION("GOOGLEFINANCE($A613, F$2)"),1.61)</f>
        <v>1.61</v>
      </c>
      <c r="G613" s="4">
        <f>IFERROR(__xludf.DUMMYFUNCTION("GOOGLEFINANCE($A613, G$2)"),30.7)</f>
        <v>30.7</v>
      </c>
      <c r="H613" s="4">
        <f>IFERROR(__xludf.DUMMYFUNCTION("GOOGLEFINANCE($A613, H$2)"),30.5)</f>
        <v>30.5</v>
      </c>
      <c r="I613" s="4" t="str">
        <f>IFERROR(__xludf.DUMMYFUNCTION("REPLACE(JOIN("";"", INDEX(TRANSPOSE(GOOGLEFINANCE($A613, $I$2, TODAY() - 30, TODAY(), 1)), 2)), 1, 6, """")"),"27,7;28,17;27,9;26,63;27,24;27;28,37;28,21;28,89;27;27,2;28;27;29,19;29,97;30,49;30,5;30,7")</f>
        <v>27,7;28,17;27,9;26,63;27,24;27;28,37;28,21;28,89;27;27,2;28;27;29,19;29,97;30,49;30,5;30,7</v>
      </c>
    </row>
    <row r="614">
      <c r="A614" s="3" t="s">
        <v>1237</v>
      </c>
      <c r="B614" s="4" t="s">
        <v>1238</v>
      </c>
      <c r="C614" s="4">
        <f>IFERROR(__xludf.DUMMYFUNCTION("GOOGLEFINANCE($A614, C$2)"),44.15)</f>
        <v>44.15</v>
      </c>
      <c r="D614" s="4">
        <f>IFERROR(__xludf.DUMMYFUNCTION("GOOGLEFINANCE($A614, D$2)"),0.0)</f>
        <v>0</v>
      </c>
      <c r="E614" s="4">
        <f>IFERROR(__xludf.DUMMYFUNCTION("GOOGLEFINANCE($A614, E$2)"),34.03)</f>
        <v>34.03</v>
      </c>
      <c r="F614" s="4">
        <f>IFERROR(__xludf.DUMMYFUNCTION("GOOGLEFINANCE($A614, F$2)"),1.3)</f>
        <v>1.3</v>
      </c>
      <c r="G614" s="4">
        <f>IFERROR(__xludf.DUMMYFUNCTION("GOOGLEFINANCE($A614, G$2)"),44.48)</f>
        <v>44.48</v>
      </c>
      <c r="H614" s="4">
        <f>IFERROR(__xludf.DUMMYFUNCTION("GOOGLEFINANCE($A614, H$2)"),43.6)</f>
        <v>43.6</v>
      </c>
      <c r="I614" s="4" t="str">
        <f>IFERROR(__xludf.DUMMYFUNCTION("REPLACE(JOIN("";"", INDEX(TRANSPOSE(GOOGLEFINANCE($A614, $I$2, TODAY() - 30, TODAY(), 1)), 2)), 1, 6, """")"),"44;43,8;43,73;43,5;43,05;44;43,98;45,15;45,86;43,11;44,08;43,97;43,5;42,55;43,99;43,23;44,22;44,15")</f>
        <v>44;43,8;43,73;43,5;43,05;44;43,98;45,15;45,86;43,11;44,08;43,97;43,5;42,55;43,99;43,23;44,22;44,15</v>
      </c>
    </row>
    <row r="615">
      <c r="A615" s="3" t="s">
        <v>1239</v>
      </c>
      <c r="B615" s="4" t="s">
        <v>1240</v>
      </c>
      <c r="C615" s="4">
        <f>IFERROR(__xludf.DUMMYFUNCTION("GOOGLEFINANCE($A615, C$2)"),129.8)</f>
        <v>129.8</v>
      </c>
      <c r="D615" s="4">
        <f>IFERROR(__xludf.DUMMYFUNCTION("GOOGLEFINANCE($A615, D$2)"),0.0)</f>
        <v>0</v>
      </c>
      <c r="E615" s="4" t="str">
        <f>IFERROR(__xludf.DUMMYFUNCTION("GOOGLEFINANCE($A615, E$2)"),"#N/A")</f>
        <v>#N/A</v>
      </c>
      <c r="F615" s="4" t="str">
        <f>IFERROR(__xludf.DUMMYFUNCTION("GOOGLEFINANCE($A615, F$2)"),"#N/A")</f>
        <v>#N/A</v>
      </c>
      <c r="G615" s="4">
        <f>IFERROR(__xludf.DUMMYFUNCTION("GOOGLEFINANCE($A615, G$2)"),129.8)</f>
        <v>129.8</v>
      </c>
      <c r="H615" s="4">
        <f>IFERROR(__xludf.DUMMYFUNCTION("GOOGLEFINANCE($A615, H$2)"),129.8)</f>
        <v>129.8</v>
      </c>
      <c r="I615" s="4" t="str">
        <f>IFERROR(__xludf.DUMMYFUNCTION("REPLACE(JOIN("";"", INDEX(TRANSPOSE(GOOGLEFINANCE($A615, $I$2, TODAY() - 30, TODAY(), 1)), 2)), 1, 6, """")"),"128;121,8;125,5;126,46;129,8")</f>
        <v>128;121,8;125,5;126,46;129,8</v>
      </c>
    </row>
    <row r="616">
      <c r="A616" s="3" t="s">
        <v>1241</v>
      </c>
      <c r="B616" s="4" t="s">
        <v>1242</v>
      </c>
      <c r="C616" s="4">
        <f>IFERROR(__xludf.DUMMYFUNCTION("GOOGLEFINANCE($A616, C$2)"),304.19)</f>
        <v>304.19</v>
      </c>
      <c r="D616" s="4">
        <f>IFERROR(__xludf.DUMMYFUNCTION("GOOGLEFINANCE($A616, D$2)"),0.0)</f>
        <v>0</v>
      </c>
      <c r="E616" s="4" t="str">
        <f>IFERROR(__xludf.DUMMYFUNCTION("GOOGLEFINANCE($A616, E$2)"),"#N/A")</f>
        <v>#N/A</v>
      </c>
      <c r="F616" s="4" t="str">
        <f>IFERROR(__xludf.DUMMYFUNCTION("GOOGLEFINANCE($A616, F$2)"),"#N/A")</f>
        <v>#N/A</v>
      </c>
      <c r="G616" s="4" t="str">
        <f>IFERROR(__xludf.DUMMYFUNCTION("GOOGLEFINANCE($A616, G$2)"),"#N/A")</f>
        <v>#N/A</v>
      </c>
      <c r="H616" s="4" t="str">
        <f>IFERROR(__xludf.DUMMYFUNCTION("GOOGLEFINANCE($A616, H$2)"),"#N/A")</f>
        <v>#N/A</v>
      </c>
      <c r="I616" s="4" t="str">
        <f>IFERROR(__xludf.DUMMYFUNCTION("REPLACE(JOIN("";"", INDEX(TRANSPOSE(GOOGLEFINANCE($A616, $I$2, TODAY() - 30, TODAY(), 1)), 2)), 1, 6, """")"),"#N/A")</f>
        <v>#N/A</v>
      </c>
    </row>
    <row r="617">
      <c r="A617" s="3" t="s">
        <v>1243</v>
      </c>
      <c r="B617" s="4" t="s">
        <v>1244</v>
      </c>
      <c r="C617" s="4">
        <f>IFERROR(__xludf.DUMMYFUNCTION("GOOGLEFINANCE($A617, C$2)"),128.0)</f>
        <v>128</v>
      </c>
      <c r="D617" s="4">
        <f>IFERROR(__xludf.DUMMYFUNCTION("GOOGLEFINANCE($A617, D$2)"),0.0)</f>
        <v>0</v>
      </c>
      <c r="E617" s="4" t="str">
        <f>IFERROR(__xludf.DUMMYFUNCTION("GOOGLEFINANCE($A617, E$2)"),"#N/A")</f>
        <v>#N/A</v>
      </c>
      <c r="F617" s="4" t="str">
        <f>IFERROR(__xludf.DUMMYFUNCTION("GOOGLEFINANCE($A617, F$2)"),"#N/A")</f>
        <v>#N/A</v>
      </c>
      <c r="G617" s="4">
        <f>IFERROR(__xludf.DUMMYFUNCTION("GOOGLEFINANCE($A617, G$2)"),128.0)</f>
        <v>128</v>
      </c>
      <c r="H617" s="4">
        <f>IFERROR(__xludf.DUMMYFUNCTION("GOOGLEFINANCE($A617, H$2)"),128.0)</f>
        <v>128</v>
      </c>
      <c r="I617" s="4" t="str">
        <f>IFERROR(__xludf.DUMMYFUNCTION("REPLACE(JOIN("";"", INDEX(TRANSPOSE(GOOGLEFINANCE($A617, $I$2, TODAY() - 30, TODAY(), 1)), 2)), 1, 6, """")"),"114,95;127,5;124,33;126;128")</f>
        <v>114,95;127,5;124,33;126;128</v>
      </c>
    </row>
    <row r="618">
      <c r="A618" s="3" t="s">
        <v>1245</v>
      </c>
      <c r="B618" s="4" t="s">
        <v>1246</v>
      </c>
      <c r="C618" s="4">
        <f>IFERROR(__xludf.DUMMYFUNCTION("GOOGLEFINANCE($A618, C$2)"),32.75)</f>
        <v>32.75</v>
      </c>
      <c r="D618" s="4">
        <f>IFERROR(__xludf.DUMMYFUNCTION("GOOGLEFINANCE($A618, D$2)"),0.0)</f>
        <v>0</v>
      </c>
      <c r="E618" s="4">
        <f>IFERROR(__xludf.DUMMYFUNCTION("GOOGLEFINANCE($A618, E$2)"),38.08)</f>
        <v>38.08</v>
      </c>
      <c r="F618" s="4">
        <f>IFERROR(__xludf.DUMMYFUNCTION("GOOGLEFINANCE($A618, F$2)"),0.86)</f>
        <v>0.86</v>
      </c>
      <c r="G618" s="4">
        <f>IFERROR(__xludf.DUMMYFUNCTION("GOOGLEFINANCE($A618, G$2)"),33.05)</f>
        <v>33.05</v>
      </c>
      <c r="H618" s="4">
        <f>IFERROR(__xludf.DUMMYFUNCTION("GOOGLEFINANCE($A618, H$2)"),32.34)</f>
        <v>32.34</v>
      </c>
      <c r="I618" s="4" t="str">
        <f>IFERROR(__xludf.DUMMYFUNCTION("REPLACE(JOIN("";"", INDEX(TRANSPOSE(GOOGLEFINANCE($A618, $I$2, TODAY() - 30, TODAY(), 1)), 2)), 1, 6, """")"),"33,5;33,4;33,17;34,52;33,38;33,78;34,72;34,44;33,25;33,38;33,34;32,71;32;32,93;32,63;32,97;32,6;32,68")</f>
        <v>33,5;33,4;33,17;34,52;33,38;33,78;34,72;34,44;33,25;33,38;33,34;32,71;32;32,93;32,63;32,97;32,6;32,68</v>
      </c>
    </row>
    <row r="619">
      <c r="A619" s="3" t="s">
        <v>1247</v>
      </c>
      <c r="B619" s="4" t="s">
        <v>1248</v>
      </c>
      <c r="C619" s="4">
        <f>IFERROR(__xludf.DUMMYFUNCTION("GOOGLEFINANCE($A619, C$2)"),286.0)</f>
        <v>286</v>
      </c>
      <c r="D619" s="4">
        <f>IFERROR(__xludf.DUMMYFUNCTION("GOOGLEFINANCE($A619, D$2)"),0.0)</f>
        <v>0</v>
      </c>
      <c r="E619" s="4" t="str">
        <f>IFERROR(__xludf.DUMMYFUNCTION("GOOGLEFINANCE($A619, E$2)"),"#N/A")</f>
        <v>#N/A</v>
      </c>
      <c r="F619" s="4" t="str">
        <f>IFERROR(__xludf.DUMMYFUNCTION("GOOGLEFINANCE($A619, F$2)"),"#N/A")</f>
        <v>#N/A</v>
      </c>
      <c r="G619" s="4" t="str">
        <f>IFERROR(__xludf.DUMMYFUNCTION("GOOGLEFINANCE($A619, G$2)"),"#N/A")</f>
        <v>#N/A</v>
      </c>
      <c r="H619" s="4" t="str">
        <f>IFERROR(__xludf.DUMMYFUNCTION("GOOGLEFINANCE($A619, H$2)"),"#N/A")</f>
        <v>#N/A</v>
      </c>
      <c r="I619" s="4" t="str">
        <f>IFERROR(__xludf.DUMMYFUNCTION("REPLACE(JOIN("";"", INDEX(TRANSPOSE(GOOGLEFINANCE($A619, $I$2, TODAY() - 30, TODAY(), 1)), 2)), 1, 6, """")"),"289;286")</f>
        <v>289;286</v>
      </c>
    </row>
    <row r="620">
      <c r="A620" s="5" t="s">
        <v>1249</v>
      </c>
      <c r="B620" s="4" t="s">
        <v>1250</v>
      </c>
      <c r="C620" s="4">
        <f>IFERROR(__xludf.DUMMYFUNCTION("GOOGLEFINANCE($A620, C$2)"),118430.53)</f>
        <v>118430.53</v>
      </c>
      <c r="D620" s="4">
        <f>IFERROR(__xludf.DUMMYFUNCTION("GOOGLEFINANCE($A620, D$2)"),-768.44)</f>
        <v>-768.44</v>
      </c>
      <c r="E620" s="4" t="str">
        <f>IFERROR(__xludf.DUMMYFUNCTION("GOOGLEFINANCE($A620, E$2)"),"#N/A")</f>
        <v>#N/A</v>
      </c>
      <c r="F620" s="4" t="str">
        <f>IFERROR(__xludf.DUMMYFUNCTION("GOOGLEFINANCE($A620, F$2)"),"#N/A")</f>
        <v>#N/A</v>
      </c>
      <c r="G620" s="4">
        <f>IFERROR(__xludf.DUMMYFUNCTION("GOOGLEFINANCE($A620, G$2)"),119249.77)</f>
        <v>119249.77</v>
      </c>
      <c r="H620" s="4">
        <f>IFERROR(__xludf.DUMMYFUNCTION("GOOGLEFINANCE($A620, H$2)"),117867.3)</f>
        <v>117867.3</v>
      </c>
      <c r="I620" s="4" t="str">
        <f>IFERROR(__xludf.DUMMYFUNCTION("REPLACE(JOIN("";"", INDEX(TRANSPOSE(GOOGLEFINANCE($A620, $I$2, TODAY() - 30, TODAY(), 1)), 2)), 1, 6, """")"),"117380,49;116464,06;115882,3;118883,25;115067,55;117517,57;118233,81;119724,72;119260,82;120240,26;119696,36;119471,62;118435,33;119299,83;119428,72;120355,79;119198,97;118430,53")</f>
        <v>117380,49;116464,06;115882,3;118883,25;115067,55;117517,57;118233,81;119724,72;119260,82;120240,26;119696,36;119471,62;118435,33;119299,83;119428,72;120355,79;119198,97;118430,53</v>
      </c>
    </row>
    <row r="621">
      <c r="A621" s="5" t="s">
        <v>1251</v>
      </c>
      <c r="B621" s="4" t="s">
        <v>1252</v>
      </c>
      <c r="C621" s="4">
        <f>IFERROR(__xludf.DUMMYFUNCTION("GOOGLEFINANCE($A621, C$2)"),3906.71)</f>
        <v>3906.71</v>
      </c>
      <c r="D621" s="4">
        <f>IFERROR(__xludf.DUMMYFUNCTION("GOOGLEFINANCE($A621, D$2)"),-7.26)</f>
        <v>-7.26</v>
      </c>
      <c r="E621" s="4" t="str">
        <f>IFERROR(__xludf.DUMMYFUNCTION("GOOGLEFINANCE($A621, E$2)"),"#N/A")</f>
        <v>#N/A</v>
      </c>
      <c r="F621" s="4" t="str">
        <f>IFERROR(__xludf.DUMMYFUNCTION("GOOGLEFINANCE($A621, F$2)"),"#N/A")</f>
        <v>#N/A</v>
      </c>
      <c r="G621" s="4">
        <f>IFERROR(__xludf.DUMMYFUNCTION("GOOGLEFINANCE($A621, G$2)"),3930.41)</f>
        <v>3930.41</v>
      </c>
      <c r="H621" s="4">
        <f>IFERROR(__xludf.DUMMYFUNCTION("GOOGLEFINANCE($A621, H$2)"),3903.07)</f>
        <v>3903.07</v>
      </c>
      <c r="I621" s="4" t="str">
        <f>IFERROR(__xludf.DUMMYFUNCTION("REPLACE(JOIN("";"", INDEX(TRANSPOSE(GOOGLEFINANCE($A621, $I$2, TODAY() - 30, TODAY(), 1)), 2)), 1, 6, """")"),"3841,47;3855,36;3849,62;3750,77;3787,38;3714,24;3773,86;3826,31;3830,17;3871,74;3886,83;3915,59;3911,23;3909,88;3916,38;3934,83;3932,59;3931,33;3913,97;3906,71")</f>
        <v>3841,47;3855,36;3849,62;3750,77;3787,38;3714,24;3773,86;3826,31;3830,17;3871,74;3886,83;3915,59;3911,23;3909,88;3916,38;3934,83;3932,59;3931,33;3913,97;3906,71</v>
      </c>
    </row>
  </sheetData>
  <drawing r:id="rId1"/>
</worksheet>
</file>