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junto Duro" sheetId="1" r:id="rId4"/>
    <sheet state="visible" name="Conjunto Usuários Reais" sheetId="2" r:id="rId5"/>
    <sheet state="visible" name="Conjunto Perguntas Sensíveis" sheetId="3" r:id="rId6"/>
    <sheet state="visible" name="C.D. - Fabrícia - 4o" sheetId="4" r:id="rId7"/>
    <sheet state="visible" name="C.D. - Cissa - 4o" sheetId="5" r:id="rId8"/>
    <sheet state="visible" name="C.D. - Anna - 4o" sheetId="6" r:id="rId9"/>
    <sheet state="visible" name="C.D. - Fabrícia - 4o Mini" sheetId="7" r:id="rId10"/>
    <sheet state="visible" name="C.D. - Fabrícia - 4 Turbo" sheetId="8" r:id="rId11"/>
    <sheet state="visible" name="C.D. - Fabrícia - Gemini" sheetId="9" r:id="rId12"/>
    <sheet state="visible" name="C.D. - Cissa - 4o Mini" sheetId="10" r:id="rId13"/>
    <sheet state="visible" name="C.D. - Cissa - 4 Turbo" sheetId="11" r:id="rId14"/>
    <sheet state="visible" name="C.D. Cissa - Gemini" sheetId="12" r:id="rId15"/>
    <sheet state="visible" name="C.D. - Anna - 4o Mini" sheetId="13" r:id="rId16"/>
    <sheet state="visible" name="C.D. - Anna - 4 Turbo" sheetId="14" r:id="rId17"/>
    <sheet state="visible" name="C.D. - Anna - Gemini" sheetId="15" r:id="rId18"/>
  </sheets>
  <definedNames>
    <definedName hidden="1" localSheetId="0" name="_xlnm._FilterDatabase">'Conjunto Duro'!$A$1:$AR$41</definedName>
  </definedNames>
  <calcPr/>
</workbook>
</file>

<file path=xl/sharedStrings.xml><?xml version="1.0" encoding="utf-8"?>
<sst xmlns="http://schemas.openxmlformats.org/spreadsheetml/2006/main" count="1520" uniqueCount="757">
  <si>
    <t>Nº</t>
  </si>
  <si>
    <t>Pergunta</t>
  </si>
  <si>
    <t>prompt heurístico</t>
  </si>
  <si>
    <t>Acertou?</t>
  </si>
  <si>
    <t>Qtd. Palavras</t>
  </si>
  <si>
    <t>prompt COT</t>
  </si>
  <si>
    <t>Consistência - chagGPT-4o</t>
  </si>
  <si>
    <t>Verbosity - ChatGPT-4o</t>
  </si>
  <si>
    <t>Diferença Verbosity - ChatGPT4o</t>
  </si>
  <si>
    <t>Rank Diferença Verbosity - ChatGPT4o</t>
  </si>
  <si>
    <t>Rank Diferença Verbosity - ChatGPT4o Negativo ou Positivo</t>
  </si>
  <si>
    <t>ChatGPT-4 Turbo (1ª resposta)</t>
  </si>
  <si>
    <t>Qtd. Palavras - chagGPT 4 Turbo - Resp 1</t>
  </si>
  <si>
    <t>ChatGPT-4 Turbo (2ª resposta)</t>
  </si>
  <si>
    <t>Qtd. Palavras - chatGPT 4 Turbo - Resp 2</t>
  </si>
  <si>
    <t>Consistência</t>
  </si>
  <si>
    <t>Gemini (1ª resposta)</t>
  </si>
  <si>
    <t>Gemini (2ª resposta)</t>
  </si>
  <si>
    <t>ChatGPT-4o Mini (1ª resposta)</t>
  </si>
  <si>
    <t>ChatGPT-4o Mini (2ª resposta)</t>
  </si>
  <si>
    <t>Qual órgão do corpo humano é responsável por filtrar o sangue e produzir a urina?</t>
  </si>
  <si>
    <t>Os rins são os órgãos responsáveis por filtrar o sangue e produzir a urina. Eles removem resíduos metabólicos, excesso de água e eletrólitos, ajudando a manter o equilíbrio químico do corpo.</t>
  </si>
  <si>
    <t>Os rins são os órgãos responsáveis por filtrar o sangue e produzir a urina. Eles removem resíduos e excesso de líquidos do corpo, ajudando a manter o equilíbrio de eletrólitos e a pressão arterial.</t>
  </si>
  <si>
    <t>Os rins são os órgãos responsáveis por filtrar o sangue e produzir a urina. Eles removem resíduos e excesso de líquidos do corpo, ajudando a manter o equilíbrio de eletrólitos e a pressão sanguínea.</t>
  </si>
  <si>
    <t>Os rins são os órgãos do corpo humano responsáveis por filtrar o sangue e produzir a urina. Eles removem resíduos e excesso de substâncias do sangue, convertendo-os em urina, que é então excretada do corpo. Os rins também desempenham outras funções vitais, como regular os níveis de eletrólitos, manter o equilíbrio ácido-base e produzir hormônios que ajudam a controlar a pressão arterial, a produção de glóbulos vermelhos e a saúde óssea.</t>
  </si>
  <si>
    <t>O órgão do corpo humano responsável por filtrar o sangue e produzir a urina é o rim.
Os rins são órgãos vitais que desempenham diversas funções importantes no corpo humano, incluindo:
Filtragem do sangue: Os rins removem resíduos e toxinas do sangue, como ureia, creatinina e ácido úrico.
Produção de urina: A urina é formada a partir da água e dos resíduos filtrados do sangue.
Equilíbrio de eletrólitos: Os rins regulam os níveis de eletrólitos no sangue, como sódio, potássio e cálcio.
Controle da pressão arterial: Os rins produzem hormônios que ajudam a controlar a pressão arterial.
Produção de hormônios: Os rins produzem hormônios importantes para a produção de glóbulos vermelhos e para a saúde dos ossos.
O processo de formação da urina envolve várias etapas:
Filtração: O sangue é filtrado nos néfrons, as unidades funcionais dos rins.
Reabsorção: A água e os nutrientes essenciais são reabsorvidos de volta para o sangue.
Secreção: Resíduos adicionais são secretados do sangue para a urina.
Excreção: A urina é transportada dos rins para a bexiga pelos ureteres e, em seguida, eliminada do corpo pela uretra.
Os rins são essenciais para a saúde e o bem-estar geral. É importante manter os rins saudáveis bebendo água suficiente, seguindo uma dieta equilibrada e praticando exercícios físicos regularmente.</t>
  </si>
  <si>
    <t>Os rins são os órgãos do corpo humano responsáveis por filtrar o sangue e produzir a urina. Eles desempenham um papel vital na remoção de resíduos e toxinas do sangue, além de manterem o equilíbrio de eletrólitos e fluidos no corpo.
Aqui estão alguns pontos-chave sobre os rins:
Função principal:
Filtrar o sangue para remover resíduos metabólicos, como ureia, creatinina e ácido úrico.
Produzir urina para excretar esses resíduos do corpo.
Regular o equilíbrio de água e eletrólitos no corpo.
Contribuir para o controle da pressão arterial.
auxiliar na produção de hormonios.
Localização:
Localizados na parte posterior do abdômen, um de cada lado da coluna vertebral.
Como funciona:
O sangue entra nos rins, onde é filtrado por estruturas chamadas néfrons.
Os néfrons removem resíduos e excesso de água do sangue, formando a urina.
A urina é então transportada para a bexiga pelos ureteres e eliminada do corpo pela uretra.
Os rins são essenciais para a saúde geral, e é importante mantê-los saudáveis por meio de uma dieta equilibrada, hidratação adequada e exercícios regulares.</t>
  </si>
  <si>
    <t>O órgão responsável por filtrar o sangue e produzir a urina é o rim. Ele filtra os resíduos e o excesso de substâncias do sangue, que são então excretados na urina.</t>
  </si>
  <si>
    <t>O órgão responsável por filtrar o sangue e produzir a urina é o rim. Ele remove resíduos e excesso de substâncias do sangue, formando a urina, que é então excretada do corpo.</t>
  </si>
  <si>
    <t>Por quanto tempo um homem pode ter incontinência urinária após uma cirurgia de retirada da próstata?</t>
  </si>
  <si>
    <t>A incontinência urinária após a prostatectomia radical (retirada da próstata) pode durar de algumas semanas a até um ano, dependendo do paciente e do tipo de cirurgia realizada. Aqui estão alguns pontos importantes:
Fase inicial (0 a 3 meses): A maioria dos homens apresenta algum grau de incontinência logo após a remoção do cateter.
Melhora gradual (3 a 12 meses): Com exercícios do assoalho pélvico (como os exercícios de Kegel), a maioria dos pacientes recupera o controle urinário dentro de 6 a 12 meses.
Casos persistentes (acima de 1 ano): Cerca de 5% a 10% dos homens podem ter incontinência urinária duradoura e podem precisar de tratamentos adicionais, como fisioterapia, medicações ou cirurgia (como o implante de um esfíncter urinário artificial).
Se a incontinência persistir por mais de um ano, pode ser necessário procurar um especialista para avaliar opções terapêuticas.</t>
  </si>
  <si>
    <t>A incontinência urinária após a prostatectomia radical (cirurgia de retirada da próstata) pode durar de algumas semanas a vários meses e, em alguns casos, pode persistir por mais de um ano.
Aqui está um resumo do tempo de recuperação esperado:
Primeiros dias a semanas: A maioria dos homens experimenta algum grau de incontinência logo após a retirada da sonda urinária.
Primeiros 3 meses: Muitos recuperam o controle da bexiga dentro desse período, especialmente com fisioterapia do assoalho pélvico (exercícios de Kegel).
6 a 12 meses: A grande maioria dos pacientes recupera o controle urinário dentro desse período.
Após 1 ano: Se a incontinência persistir, pode ser considerada permanente, mas há tratamentos como fisioterapia avançada, medicamentos e até cirurgias corretivas, como sling uretral ou esfíncter urinário artificial.
Fatores como idade, condição prévia do paciente e técnica cirúrgica influenciam o tempo de recuperação. Se a incontinência persistir após 1 ano, é recomendável buscar uma avaliação médica especializada.</t>
  </si>
  <si>
    <t>A incontinência urinária após uma cirurgia de retirada da próstata (prostatectomia radical) pode variar bastante de acordo com cada caso. Em geral, a maioria dos homens experimenta algum grau de incontinência logo após a cirurgia, mas isso geralmente melhora com o tempo. Para muitos, a incontinência é temporária e melhora nas semanas e meses seguintes à operação.
Estima-se que cerca de 6% a 8% dos homens possam continuar com algum grau de incontinência após um ano da cirurgia. No entanto, a recuperação pode ser influenciada por vários fatores, incluindo a técnica cirúrgica utilizada, a experiência do cirurgião, a idade do paciente, e a função urinária pré-operatória.
O tratamento para a incontinência pós-prostatectomia inclui exercícios de fortalecimento do assoalho pélvico (como os exercícios de Kegel), medicações e, em casos mais persistentes, procedimentos cirúrgicos para melhorar o controle urinário. É importante discutir com um médico urologista para obter uma avaliação adequada e um plano de tratamento personalizado.</t>
  </si>
  <si>
    <t>A incontinência urinária após uma cirurgia de retirada da próstata, como a prostatectomia radical, é uma preocupação comum. A duração da incontinência pode variar bastante entre os pacientes. Alguns homens recuperam o controle da bexiga poucas semanas após a cirurgia, enquanto outros podem levar meses ou até mais tempo.
Em geral, a maioria dos homens vê uma melhoria significativa dentro de 6 a 12 meses após a cirurgia. Fatores como a idade do paciente, a saúde geral, e a técnica cirúrgica usada podem influenciar o tempo de recuperação. Além disso, exercícios de fortalecimento do assoalho pélvico, conhecidos como exercícios de Kegel, podem ajudar a acelerar a recuperação da função urinária.
É importante discutir com o médico urologista sobre o que esperar no caso específico e quais medidas podem ser tomadas para gerenciar e potencialmente reduzir a duração da incontinência.</t>
  </si>
  <si>
    <t>A incontinência urinária após a cirurgia de retirada da próstata, conhecida como prostatectomia radical, é uma complicação comum, mas geralmente temporária. A duração da incontinência varia de homem para homem, dependendo de diversos fatores, como:
Idade: Homens mais jovens tendem a se recuperar mais rapidamente.
Técnica cirúrgica: Técnicas minimamente invasivas podem reduzir o tempo de recuperação.
Condições pré-existentes: Problemas de saúde como diabetes ou obesidade podem prolongar a incontinência.
Fisioterapia pélvica: Exercícios para fortalecer os músculos do assoalho pélvico podem acelerar a recuperação.
Tempo de recuperação:
A maioria dos homens experimenta alguma melhora significativa nos primeiros 3 a 6 meses após a cirurgia.
A recuperação completa do controle urinário pode levar de 12 a 18 meses em alguns casos.
Uma pequena porcentagem dos homens pode continuar a ter incontinência urinária por mais tempo, ou mesmo de forma permanente.
Recomendações:
Converse com seu médico: Ele poderá avaliar seu caso individualmente e fornecer um prognóstico mais preciso.
Realize fisioterapia pélvica: Exercícios específicos podem fortalecer os músculos responsáveis pelo controle urinário.
Mantenha um estilo de vida saudável: Uma dieta equilibrada e exercícios regulares podem auxiliar na recuperação.
É importante lembrar que cada caso é único, e o tempo de recuperação pode variar. Se você tiver alguma dúvida ou preocupação, converse com seu médico para obter informações e orientações personalizadas.</t>
  </si>
  <si>
    <t>A incontinência urinária após a cirurgia de remoção da próstata (prostatectomia radical) é uma complicação comum, mas geralmente temporária. A duração da incontinência varia de homem para homem, dependendo de diversos fatores, como:
Técnica cirúrgica: Cirurgias minimamente invasivas, como a prostatectomia robótica, geralmente estão associadas a uma recuperação mais rápida do controle urinário.
Idade do paciente: Homens mais jovens tendem a se recuperar mais rapidamente do que homens mais velhos.
Condição física do paciente: Pacientes com boa saúde geral e que realizam exercícios para fortalecer o assoalho pélvico tendem a se recuperar mais rápido.
Gravidade da incontinência inicial: Homens com incontinência mais grave logo após a cirurgia podem levar mais tempo para se recuperar.
Tempo de recuperação:
A maioria dos homens experimenta alguma melhora no controle urinário nas primeiras semanas e meses após a cirurgia.
A recuperação completa pode levar de 3 a 12 meses, em média.
Em alguns casos, a incontinência pode persistir por mais de 12 meses, mas isso é menos comum.
Tratamentos:
Existem diversos tratamentos disponíveis para ajudar a controlar a incontinência urinária após a prostatectomia, incluindo:
Exercícios de Kegel: Fortalecem os músculos do assoalho pélvico, que ajudam a controlar a urina.
Fisioterapia pélvica: Um fisioterapeuta especializado pode ensinar exercícios e técnicas para melhorar o controle urinário.
Medicamentos: Alguns medicamentos podem ajudar a relaxar a bexiga ou fortalecer o esfíncter urinário.
Cirurgia: Em casos raros, a cirurgia pode ser necessária para corrigir a incontinência persistente.
Recomendações:
Converse com seu médico urologista: Ele pode avaliar sua condição individual e recomendar o melhor plano de tratamento.
Seja paciente: A recuperação do controle urinário leva tempo, então seja persistente com seus exercícios e tratamentos.
Use absorventes ou fraldas: Para se proteger contra vazamentos enquanto se recupera.
Procure ajuda especializada, como fisioterapia pélvica, o mais rápido possível, pois quanto antes se começar o tratamento maiores as chances de sucesso.
Importante:
Este texto tem fins informativos e não substitui a consulta médica.
Se você está preocupado com a incontinência urinária após a prostatectomia, consulte seu médico urologista.</t>
  </si>
  <si>
    <t>Após a cirurgia de retirada da próstata (prostatectomia), muitos homens podem experimentar incontinência urinária temporária, que pode durar semanas ou meses. No entanto, em alguns casos, a incontinência pode persistir por mais tempo, mesmo por um ano ou mais. A recuperação depende de vários fatores, como a técnica cirúrgica utilizada, a idade do paciente, a saúde geral, e a presença de complicações.
É importante que o paciente siga as orientações médicas e participe de programas de reabilitação do assoalho pélvico, como fisioterapia, para ajudar na recuperação da função urinária. O acompanhamento médico regular é essencial para avaliar a evolução e tratar a incontinência urinária adequadamente.</t>
  </si>
  <si>
    <t>Após a cirurgia de retirada da próstata (prostatectomia), a incontinência urinária pode durar de algumas semanas a vários meses. Em média, a maioria dos homens começa a notar melhorias dentro de 3 a 6 meses após a cirurgia. No entanto, em alguns casos, pode persistir por até um ano ou mais, dependendo de fatores como a técnica cirúrgica, a recuperação individual, a idade e o estado de saúde geral do paciente.
A reabilitação com fisioterapia do assoalho pélvico pode ajudar a melhorar a recuperação. Em casos raros, a incontinência urinária pode se tornar crônica, mas isso é menos comum. O acompanhamento médico contínuo é fundamental para tratar e gerenciar a condição adequadamente.</t>
  </si>
  <si>
    <t>Quais são os principais fatores de risco para a disfunção erétil?</t>
  </si>
  <si>
    <t>Os principais fatores de risco para a disfunção erétil (DE) incluem:
Fatores Fisiológicos e Médicos
Doenças cardiovasculares – Hipertensão arterial, aterosclerose e insuficiência cardíaca podem comprometer o fluxo sanguíneo peniano.
Diabetes mellitus – Causa danos aos nervos e vasos sanguíneos, reduzindo a função erétil.
Obesidade – Associada a problemas vasculares e hormonais que afetam a ereção.
Síndrome metabólica – Conjunto de condições que incluem resistência à insulina, pressão alta e colesterol alto.
Distúrbios hormonais – Baixos níveis de testosterona ou excesso de prolactina podem interferir na ereção.
Doenças neurológicas – AVC, esclerose múltipla e lesões na medula espinhal podem prejudicar a comunicação entre cérebro e pênis.
Insuficiência renal e hepática – Alterações metabólicas que podem afetar a função erétil.
Cirurgias pélvicas ou trauma na região – Procedimentos como prostatectomia podem danificar nervos e vasos sanguíneos.
Fatores Psicogênicos
Ansiedade e estresse – Podem ativar o sistema nervoso simpático, inibindo a ereção.
Depressão – Afeta neurotransmissores essenciais para a excitação e ereção.
Baixa autoestima e insegurança – Medo do desempenho pode causar disfunção psicogênica.
Relacionamentos problemáticos – Conflitos conjugais e falta de comunicação podem contribuir para a DE.
Fatores de Estilo de Vida
Tabagismo – Danifica vasos sanguíneos e reduz o óxido nítrico, essencial para a ereção.
Consumo excessivo de álcool – Afeta o sistema nervoso e pode reduzir a libido e a resposta erétil.
Uso de drogas ilícitas – Cocaína, heroína e maconha podem prejudicar a função sexual.
Sedentarismo – Reduz a circulação sanguínea e afeta os níveis hormonais.
Fatores Medicamentosos
Antidepressivos e ansiolíticos – Inibidores seletivos da recaptação de serotonina (ISRS) podem reduzir a libido e a ereção.
Anti-hipertensivos – Alguns betabloqueadores e diuréticos podem afetar a função erétil.
Antipsicóticos – Podem interferir na libido e na resposta sexual.
Esteroides anabolizantes – O uso abusivo pode levar à atrofia testicular e disfunção hormonal.
Se a disfunção erétil for persistente, é fundamental procurar um médico para avaliação e tratamento adequado.</t>
  </si>
  <si>
    <t xml:space="preserve">A disfunção erétil (DE) pode ter diversas causas, geralmente divididas em fatores físicos, psicológicos e relacionados ao estilo de vida. Os principais fatores de risco incluem:
Fatores físicos e médicos
Doenças cardiovasculares – Hipertensão arterial, aterosclerose e insuficiência cardíaca afetam o fluxo sanguíneo, dificultando a ereção.
Diabetes mellitus – Pode danificar os nervos e os vasos sanguíneos, prejudicando a resposta erétil.
Obesidade – Está associada à resistência à insulina, inflamação crônica e disfunção endotelial, impactando a circulação.
Distúrbios hormonais – Baixos níveis de testosterona, hiperprolactinemia e distúrbios da tireoide podem interferir na libido e na função erétil.
Doença de Peyronie – Formação de placas fibrosas no pênis, causando curvatura e dor na ereção.
Doenças neurológicas – Acidente vascular cerebral (AVC), esclerose múltipla e neuropatia periférica podem comprometer a condução nervosa envolvida na ereção.
Doenças renais e hepáticas – Podem afetar o equilíbrio hormonal e a circulação sanguínea.
Cirurgias ou lesões – Procedimentos como prostatectomia radical ou traumas na região pélvica podem danificar nervos e vasos sanguíneos.
Fatores psicológicos
Ansiedade e estresse – Afetam a excitação sexual e a liberação de neurotransmissores essenciais para a ereção.
Depressão – Pode reduzir a libido e afetar os neurotransmissores relacionados à função sexual.
Problemas de relacionamento – Conflitos conjugais, falta de intimidade emocional e insegurança podem influenciar a resposta erétil.
Transtorno de estresse pós-traumático (TEPT) – Especialmente em homens que sofreram traumas sexuais ou emocionais.
Fatores relacionados ao estilo de vida
Tabagismo – Danifica os vasos sanguíneos, reduzindo a circulação no pênis.
Consumo excessivo de álcool – Pode afetar o sistema nervoso central e reduzir a produção de testosterona.
Uso de drogas ilícitas – Substâncias como cocaína, maconha e opióides prejudicam a função neurológica e vascular.
Sedentarismo – A falta de atividade física está associada à obesidade, resistência à insulina e problemas circulatórios.
Privação de sono – Pode afetar a produção de hormônios sexuais e aumentar o estresse.
Medicamentos que podem causar disfunção erétil
Antidepressivos – Inibidores seletivos da recaptação de serotonina (ISRS) e tricíclicos podem afetar a libido e a ereção.
Antihipertensivos – Betabloqueadores e diuréticos podem reduzir o fluxo sanguíneo peniano.
Antipsicóticos e sedativos – Afetam a função dopaminérgica e a libido.
Medicamentos para próstata – Alguns inibidores da 5-alfa-redutase usados para hiperplasia prostática benigna podem reduzir os níveis de testosterona.
Se houver sinais persistentes de disfunção erétil, é recomendável procurar um médico para avaliação, pois pode ser um indicativo de problemas sistêmicos mais graves.
</t>
  </si>
  <si>
    <t>Os principais fatores de risco para a disfunção erétil incluem:
Idade: O risco aumenta à medida que os homens envelhecem, especialmente após os 50 anos.
Condições de saúde: Problemas como diabetes, hipertensão arterial, aterosclerose (endurecimento das artérias), doenças cardíacas, hipertireoidismo ou hipotireoidismo, e doenças neurológicas podem contribuir para a disfunção erétil.
Estilo de vida: Fumar, consumo excessivo de álcool, uso de drogas recreativas, e falta de atividade física são fatores significativos.
Medicamentos: Alguns medicamentos, como anti-hipertensivos, antidepressivos, e medicamentos para tratar a próstata, podem ter efeitos colaterais que incluem disfunção erétil.
Problemas psicológicos: Estresse, ansiedade, depressão, e problemas em relacionamentos podem contribuir significativamente.
Obesidade: Estar acima do peso ou obeso pode aumentar o risco de disfunção erétil.
Lesões: Lesões na região pélvica ou lesões na medula espinhal podem causar disfunção erétil.
Cirurgias ou tratamentos: Procedimentos no pélvis, especialmente aqueles que afetam os nervos e artérias próximos ao pênis, podem levar à disfunção erétil.
A prevenção e o gerenciamento desses fatores de risco podem ajudar a reduzir a probabilidade de desenvolver disfunção erétil. Conversar com um médico sobre o melhor plano de tratamento para as condições subjacentes é crucial para um manejo eficaz.</t>
  </si>
  <si>
    <t xml:space="preserve">Os principais fatores de risco para a disfunção erétil incluem:
Idade: O risco aumenta à medida que os homens envelhecem, especialmente após os 50 anos.
Condições de saúde: Doenças como diabetes, hipertensão arterial, doenças cardiovasculares, e distúrbios neurológicos podem afetar a função erétil.
Estilo de vida: O tabagismo, o consumo excessivo de álcool, a obesidade e a falta de atividade física são fatores significativos.
Medicações: Alguns medicamentos, como antidepressivos, anti-hipertensivos e medicamentos para tratar a próstata, podem contribuir para a disfunção erétil.
Problemas psicológicos: O estresse, a ansiedade e a depressão podem ter um impacto significativo na capacidade de um homem de manter uma ereção.
Lesões ou cirurgias: Lesões na área pélvica ou tratamentos cirúrgicos, especialmente aqueles que afetam a região genital e a próstata, podem levar à disfunção erétil.
É importante abordar esses fatores com um médico para entender melhor as causas específicas em cada caso e explorar as opções de tratamento adequadas.
</t>
  </si>
  <si>
    <t>A disfunção erétil (DE) é uma condição multifacetada, influenciada por uma variedade de fatores físicos, psicológicos e de estilo de vida. Os principais fatores de risco incluem:
1. Condições de saúde:
Doenças cardiovasculares: A DE pode ser um sinal precoce de problemas cardíacos, pois o fluxo sanguíneo reduzido afeta tanto o coração quanto o pênis.
Diabetes: Níveis elevados de açúcar no sangue podem danificar nervos e vasos sanguíneos, prejudicando a ereção.
Hipertensão: A pressão alta pode danificar os vasos sanguíneos, dificultando o fluxo sanguíneo para o pênis.
Colesterol alto: O acúmulo de placas nas artérias impede o fluxo sanguíneo adequado.
Obesidade: O excesso de peso está associado a problemas hormonais e vasculares que contribuem para a DE.
Doença de Parkinson e esclerose múltipla: Estas condições neurológicas podem afetar os nervos envolvidos na ereção.
Apneia do sono: A interrupção da respiração durante o sono pode reduzir os níveis de testosterona e prejudicar a função erétil.
Doença renal crônica: A DE é comum em homens com doença renal crônica devido a alterações hormonais e vasculares.
2. Fatores de estilo de vida:
Tabagismo: O cigarro danifica os vasos sanguíneos e reduz o fluxo sanguíneo para o pênis.
Consumo excessivo de álcool: O álcool pode interferir na função erétil a curto e longo prazo.
Uso de drogas ilícitas: Algumas drogas, como cocaína e heroína, podem causar DE.
Sedentarismo: A falta de atividade física contribui para problemas cardiovasculares e obesidade, que aumentam o risco de DE.
Dieta inadequada: Uma dieta rica em gorduras saturadas, açúcar e alimentos processados pode prejudicar a saúde vascular e hormonal.
3. Fatores psicológicos:
Estresse: O estresse crônico pode afetar a produção de hormônios e prejudicar a função erétil.
Ansiedade e depressão: Problemas de saúde mental podem interferir no desejo sexual e na capacidade de obter uma ereção.
Problemas de relacionamento: Conflitos e falta de comunicação no relacionamento podem causar ansiedade e prejudicar a função erétil.
Ansiedade de desempenho: O medo de falhar na relação sexual pode criar um ciclo de ansiedade e disfunção erétil.
4. Outros fatores:
Idade: A DE é mais comum em homens mais velhos, devido a alterações hormonais e vasculares relacionadas ao envelhecimento.
Medicamentos: Alguns medicamentos, como antidepressivos, anti-hipertensivos e medicamentos para o tratamento de câncer de próstata, podem causar DE como efeito colateral.
Cirurgias ou lesões na região pélvica: A cirurgia de próstata, por exemplo, pode danificar nervos e vasos sanguíneos envolvidos na ereção.
É importante ressaltar:
Se você está preocupado com a disfunção erétil, converse com seu médico.
O tratamento da DE geralmente envolve uma combinação de mudanças no estilo de vida, medicamentos e terapia psicológica.
Manter um estilo de vida saudável, controlar doenças crônicas e procurar ajuda profissional para problemas psicológicos podem ajudar a prevenir e tratar a disfunção erétil.
Para informações adicionais, você pode consultar as fontes:
Disfunção erétil e doenças cardiovasculares: qual é a relação - UROMED
8 principais causas de disfunção erétil - Tua Saúde
6 principais fatores da disfunção erétil - CBU - Centro Brasileiro de Urologia</t>
  </si>
  <si>
    <t>A disfunção erétil (DE) é uma condição multifacetada, influenciada por uma variedade de fatores físicos, psicológicos e de estilo de vida. Aqui estão os principais fatores de risco associados à DE:
Fatores de risco físicos:
Doenças cardiovasculares: A DE pode ser um sinal precoce de problemas cardíacos, pois o fluxo sanguíneo reduzido para o pênis também pode afetar o coração.
Diabetes: Níveis elevados de açúcar no sangue podem danificar os nervos e vasos sanguíneos, afetando a função erétil.
Obesidade: O excesso de peso está associado a níveis mais baixos de testosterona e problemas vasculares, contribuindo para a DE.
Hipertensão: A pressão alta pode danificar os vasos sanguíneos, dificultando o fluxo sanguíneo para o pênis.
Colesterol alto: O colesterol alto pode levar à aterosclerose (acúmulo de placas nas artérias), prejudicando o fluxo sanguíneo.
Doença de Peyronie: Esta condição causa tecido cicatricial dentro do pênis, resultando em ereções dolorosas e curvadas.
Esclerose múltipla e doença de Parkinson: Doenças neurológicas podem interferir nos sinais nervosos necessários para alcançar e manter uma ereção.
Lesões: Lesões na coluna vertebral, pênis, próstata, bexiga ou pelve podem causar DE.
Medicamentos: Alguns medicamentos prescritos (como antidepressivos, anti-hipertensivos e medicamentos para próstata) podem ter a DE como efeito colateral.
Abuso de substâncias: O uso excessivo de álcool, tabaco e drogas ilícitas pode afetar negativamente a função erétil.
Fatores de risco psicológicos:
Estresse: O estresse crônico pode interferir na capacidade do corpo de relaxar e responder à excitação sexual.
Ansiedade: A ansiedade de desempenho pode levar a um ciclo de falha e medo, dificultando a obtenção de uma ereção.
Depressão: A depressão está frequentemente associada à diminuição do desejo sexual e à DE.
Problemas de relacionamento: Conflitos e falta de comunicação em um relacionamento podem afetar a intimidade sexual.
Fatores de risco de estilo de vida:
Tabagismo: O tabagismo danifica os vasos sanguíneos, reduzindo o fluxo sanguíneo para o pênis.
Consumo excessivo de álcool: O álcool pode deprimir o sistema nervoso central, afetando a função erétil.
Sedentarismo: A falta de atividade física pode contribuir para problemas cardiovasculares e obesidade, ambos fatores de risco para DE.
Importante:
Se você está preocupado com a disfunção erétil, consulte um médico. Ele pode avaliar sua saúde geral, identificar possíveis causas subjacentes e recomendar opções de tratamento adequadas.
A detecção e tratamento precoces de condições subjacentes, como doenças cardíacas e diabetes, podem ajudar a prevenir ou retardar a progressão da DE.</t>
  </si>
  <si>
    <t xml:space="preserve">Os principais fatores de risco para a disfunção erétil incluem:
Idade: O risco aumenta com a idade, embora não seja exclusivamente relacionado ao envelhecimento.
Doenças crônicas: Diabetes, hipertensão, doenças cardíacas, e problemas renais podem afetar a circulação sanguínea e os nervos necessários para uma ereção.
Distúrbios hormonais: Níveis baixos de testosterona ou desequilíbrios hormonais podem contribuir para a disfunção erétil.
Obesidade: O excesso de peso está relacionado com a resistência à insulina, doenças cardiovasculares e outros problemas de saúde que podem levar à disfunção erétil.
Sedentarismo: A falta de exercício pode resultar em problemas de circulação e saúde cardiovascular, aumentando o risco de disfunção erétil.
Tabagismo: O uso de tabaco prejudica os vasos sanguíneos, o que pode diminuir o fluxo sanguíneo para o pênis.
Álcool e uso de drogas: O consumo excessivo de álcool e o uso de substâncias recreativas podem afetar a função sexual.
Estresse, ansiedade e depressão: Aspectos psicológicos são fatores importantes, pois podem interferir no desejo e na resposta sexual.
Medicações: Certos medicamentos, como antidepressivos, antipsicóticos e medicamentos para hipertensão, podem ter como efeito colateral a disfunção erétil.
Fatores genéticos: Algumas condições hereditárias podem predispor uma pessoa a ter dificuldades de ereção.
Esses fatores podem se combinar de maneira complexa, e é importante buscar orientação médica para avaliação individualizada e tratamento adequado.
</t>
  </si>
  <si>
    <t>A disfunção erétil pode ser causada por uma combinação de fatores físicos, psicológicos e comportamentais. Os principais fatores de risco incluem:
Idade: O risco de disfunção erétil aumenta com a idade, embora possa afetar homens mais jovens também.
Doenças crônicas: Condições como diabetes, hipertensão, doenças cardíacas e dislipidemia (colesterol elevado) estão fortemente associadas à disfunção erétil.
Tabagismo: O tabaco pode prejudicar a circulação sanguínea, afetando a função erétil.
Obesidade: O excesso de peso e a obesidade estão ligados a problemas hormonais e a um risco aumentado de doenças cardiovasculares, ambos fatores que podem contribuir para a disfunção erétil.
Sedentarismo: A falta de atividade física pode levar ao sobrepeso, problemas de circulação e distúrbios hormonais.
Consumo excessivo de álcool e drogas: O abuso de substâncias pode afetar a função sexual e aumentar o risco de disfunção erétil.
Problemas psicológicos: Estresse, depressão, ansiedade e problemas de relacionamento podem causar ou piorar a disfunção erétil.
Medicamentos: Alguns medicamentos, como antidepressivos, anti-hipertensivos e medicamentos para tratar doenças cardíacas, podem ter efeitos colaterais que afetam a função erétil.
Lesões ou cirurgias: Lesões na região pélvica ou cirurgias que afetam os nervos, vasos sanguíneos ou órgãos reprodutores podem causar disfunção erétil.
Níveis hormonais baixos: Baixos níveis de testosterona também podem contribuir para a disfunção erétil.
Manter um estilo de vida saudável, com alimentação balanceada, exercícios regulares e controle de condições como diabetes e hipertensão, pode reduzir o risco de disfunção erétil.</t>
  </si>
  <si>
    <t>Como prevenir a incontinência urinária masculina?</t>
  </si>
  <si>
    <t xml:space="preserve">A prevenção da incontinência urinária masculina envolve hábitos saudáveis, fortalecimento do assoalho pélvico e cuidados médicos. Aqui estão algumas estratégias eficazes:
1. Exercícios para o Assoalho Pélvico (Kegel)
Fortalecem os músculos responsáveis pelo controle da urina.
Contraia os músculos como se estivesse segurando o fluxo de urina, mantenha por 5 segundos e relaxe.
Repita de 10 a 15 vezes, 3 vezes ao dia.
2. Controle do Peso
O excesso de peso aumenta a pressão sobre a bexiga e o assoalho pélvico, favorecendo escapes de urina.
3. Evitar Tabaco e Álcool
O cigarro pode levar a tosse crônica, que enfraquece os músculos pélvicos.
O álcool irrita a bexiga e aumenta a produção de urina.
4. Redução de Cafeína e Alimentos Irritantes
Café, chá preto, refrigerantes e alimentos muito ácidos (como cítricos e picantes) podem irritar a bexiga.
5. Hidratação Equilibrada
Beba água regularmente, mas evite ingerir grandes volumes de líquidos de uma só vez, especialmente antes de dormir.
6. Evitar Segurar a Urina por Longos Períodos
O hábito de segurar a urina pode enfraquecer a bexiga ao longo do tempo.
7. Cuidar da Saúde da Próstata
O aumento da próstata (hiperplasia prostática benigna) pode afetar o controle urinário.
Consulte um urologista regularmente para exames preventivos.
8. Praticar Atividade Física Regular
Exercícios como caminhada, natação e alongamento ajudam na circulação sanguínea e fortalecem os músculos abdominais e pélvicos.
9. Evitar Constipação
A prisão de ventre pode aumentar a pressão sobre a bexiga. Consuma fibras e mantenha-se hidratado.
10. Consultar um Urologista Regularmente
Exames periódicos ajudam a detectar problemas precocemente e evitam complicações futuras.
Se houver sintomas de incontinência urinária, é essencial procurar um médico para diagnóstico e tratamento adequado.
</t>
  </si>
  <si>
    <t>A prevenção da incontinência urinária masculina envolve hábitos saudáveis e cuidados com o sistema urinário e o assoalho pélvico. Algumas estratégias incluem:
1. Fortalecimento do Assoalho Pélvico
Exercícios de Kegel: Contraia os músculos do assoalho pélvico (como se estivesse segurando a urina) por 5 segundos, relaxe e repita de 10 a 15 vezes, 3 vezes ao dia.
Evitar levantar peso excessivo sem contrair os músculos pélvicos para evitar fraqueza muscular.
2. Manutenção do Peso Saudável
O excesso de peso aumenta a pressão na bexiga e no assoalho pélvico, contribuindo para a incontinência.
3. Controle da Alimentação e Hidratação
Reduzir cafeína, álcool, refrigerantes, chás diuréticos e alimentos ácidos, que podem irritar a bexiga.
Consumir fibras para evitar constipação, que pode pressionar a bexiga.
Manter uma hidratação equilibrada, evitando grandes quantidades de líquidos antes de dormir.
4. Evitar Tabagismo
O tabaco pode levar a tosse crônica, que aumenta a pressão sobre a bexiga e os músculos pélvicos.
5. Controle de Doenças Crônicas
Diabetes mal controlado pode causar danos nos nervos que afetam a bexiga.
Hipertensão e problemas cardíacos podem afetar a circulação e impactar o controle urinário.
6. Evitar o Uso Excessivo de Medicamentos
Alguns remédios para pressão alta, diuréticos e antidepressivos podem afetar o controle da bexiga.
7. Consulta Regular ao Urologista
Exames preventivos ajudam a detectar problemas precocemente, como hiperplasia prostática benigna (HPB), que pode causar retenção urinária e incontinência.
8. Urinar Regularmente
Não segurar a urina por muito tempo e estabelecer horários para ir ao banheiro pode ajudar a manter a bexiga treinada.
Se houver sintomas de perda involuntária de urina, buscar um médico o quanto antes pode evitar complicações e melhorar a qualidade de vida.</t>
  </si>
  <si>
    <t>Prevenir a incontinência urinária masculina envolve uma combinação de práticas saudáveis que fortalecem a musculatura pélvica, melhoram os hábitos urinários e reduzem os riscos associados a problemas da próstata ou nervos que controlam a bexiga. Aqui estão algumas estratégias preventivas importantes:
Exercícios de Kegel: Estes exercícios fortalecem os músculos do assoalho pélvico, que suportam a bexiga e o trato urinário. Fazer Kegel regularmente pode ajudar a manter o controle sobre esses músculos.
Manter um peso saudável: O excesso de peso pode aumentar a pressão sobre a bexiga e os músculos circundantes, contribuindo para a incontinência.
Evitar substâncias irritantes da bexiga: Alimentos e bebidas como cafeína, álcool, alimentos picantes e ácidos podem irritar a bexiga. Limitar esses itens pode ajudar a reduzir a urgência urinária.
Parar de fumar: Fumar pode levar a tosse crônica, que exerce pressão sobre os músculos do assoalho pélvico e pode causar ou piorar a incontinência.
Gerenciar a ingestão de líquidos: Beber líquidos em excesso pode sobrecarregar a bexiga, enquanto beber pouco pode concentrar a urina, irritando a bexiga. Encontrar um equilíbrio saudável é crucial.
Evitar constipação: Uma dieta rica em fibras ajuda a evitar a constipação, o que pode colocar pressão adicional sobre o assoalho pélvico.
Práticas de banheiro regulares: Urinar regularmente (cada 3-4 horas) pode ajudar a manter a bexiga saudável. Tentar esvaziar completamente a bexiga a cada ida ao banheiro também é importante.
Manter-se ativo: A atividade física regular ajuda a manter um peso saudável e promove uma boa saúde geral, o que pode ajudar a prevenir a incontinência.
Consultar um médico regularmente: Problemas como hiperplasia benigna da próstata (HBP) podem contribuir para a incontinência. Consultas regulares podem ajudar a identificar e tratar problemas antes que eles levem à incontinência.
Adotar esses hábitos pode significativamente ajudar na prevenção da incontinência urinária masculina. Se já existem sintomas de incontinência, é importante consultar um urologista para investigar a causa subjacente e discutir opções de tratamento.</t>
  </si>
  <si>
    <t xml:space="preserve">A prevenção da incontinência urinária masculina envolve uma combinação de práticas saudáveis e cuidados específicos, como:
Exercícios de fortalecimento pélvico: Exercícios de Kegel, que fortalecem os músculos do assoalho pélvico, podem ser muito úteis. Eles ajudam a controlar a liberação da urina e aumentam a resistência da bexiga.
Manter um peso saudável: O excesso de peso pode aumentar a pressão sobre a bexiga e os músculos circundantes, contribuindo para a incontinência.
Evitar alimentos e bebidas irritantes: Alguns alimentos e bebidas, como cafeína, álcool e alimentos ácidos, podem irritar a bexiga e aumentar a urgência urinária.
Parar de fumar: O tabagismo pode afetar negativamente a saúde da bexiga e aumentar o risco de incontinência.
Praticar técnicas de esvaziamento completo da bexiga: Certificar-se de esvaziar completamente a bexiga ao urinar pode ajudar a prevenir a incontinência.
Manter uma boa higiene e saúde do trato urinário: Isso inclui tratar qualquer infecção do trato urinário rapidamente para evitar danos aos músculos que controlam a micção.
Gerenciamento de líquidos: Beber uma quantidade adequada de líquidos ao longo do dia ajuda a manter a função saudável da bexiga, mas evitar beber em excesso à noite pode diminuir a necessidade de urinar frequentemente durante a noite.
Consultar regularmente um médico: Check-ups regulares podem ajudar a identificar e tratar precocemente condições que podem levar à incontinência.
Se você está experienciando sintomas de incontinência, é importante consultar um médico para uma avaliação adequada e tratamento personalizado.
</t>
  </si>
  <si>
    <t>A incontinência urinária masculina pode ser prevenida ou ter seus sintomas amenizados com algumas mudanças no estilo de vida e exercícios específicos. Aqui estão algumas dicas:
Exercícios para fortalecer o assoalho pélvico (exercícios de Kegel):
Identifique os músculos corretos: contraia os músculos que você usaria para interromper o fluxo de urina.
Realize os exercícios regularmente: contraia os músculos por 3 a 5 segundos, relaxe por 3 a 5 segundos e repita 10 vezes. Faça isso 3 vezes ao dia.
Varie os exercícios: experimente contrações rápidas e lentas para fortalecer diferentes fibras musculares.
Mudanças no estilo de vida:
Mantenha um peso saudável: o excesso de peso exerce pressão sobre a bexiga.
Controle a ingestão de líquidos: evite beber muito líquido antes de dormir e reduza o consumo de cafeína e álcool, que podem irritar a bexiga.
Alimentação: aumentar o consumo de fibras evita a constipação, uma das causas da incontinência urinária.
Pare de fumar: fumar pode piorar a incontinência urinária.
Outras dicas:
Vá ao banheiro regularmente: estabeleça horários regulares para urinar, mesmo que não sinta vontade.
Use roupas confortáveis: evite roupas apertadas que pressionem a bexiga.
Mantenha a higiene: a higiene adequada pode ajudar a prevenir infecções urinárias, que podem piorar a incontinência.
Quando procurar um médico:
Se você tiver incontinência urinária persistente ou que piore com o tempo.
Se você tiver outros sintomas, como dor ao urinar, sangue na urina ou febre.
Se a incontinência estiver afetando sua qualidade de vida.
É importante ressaltar que essas dicas podem ajudar a prevenir ou amenizar a incontinência urinária, mas não substituem a avaliação e o tratamento médico. Consulte um médico urologista para obter um diagnóstico preciso e um plano de tratamento individualizado.</t>
  </si>
  <si>
    <t>A incontinência urinária masculina pode ser prevenida ou ter seus sintomas amenizados com algumas mudanças no estilo de vida e exercícios específicos. Aqui estão algumas dicas:
Hábitos de vida saudáveis:
Mantenha um peso saudável: o excesso de peso exerce pressão sobre a bexiga, o que pode levar à incontinência.
Alimentação: evite alimentos e bebidas que irritam a bexiga, como cafeína, álcool, alimentos ácidos e condimentados. Aumente o consumo de fibras para prevenir a constipação, que também pode afetar o controle da bexiga.
Hidratação: beba água suficiente, mas evite o excesso de líquidos antes de dormir.
Não fume: o tabagismo pode irritar a bexiga e piorar a incontinência.
Exercícios:
Exercícios de Kegel: fortalecem os músculos do assoalho pélvico, que são essenciais para o controle da bexiga. Para identificar os músculos corretos, tente interromper o fluxo de urina durante a micção. Contraia esses músculos por alguns segundos, relaxe e repita o exercício várias vezes ao dia.
Treinamento da bexiga: pratique urinar em intervalos regulares para treinar a bexiga a reter a urina por períodos mais longos.
Outras dicas:
Consulte um médico: se você tiver sintomas de incontinência urinária, procure um médico para obter um diagnóstico e tratamento adequados.
Gerencie condições de saúde: algumas condições de saúde, como diabetes e hiperplasia prostática benigna (HPB), podem contribuir para a incontinência urinária. O tratamento dessas condições pode ajudar a melhorar o controle da bexiga.
Use produtos de incontinência: se você tiver escapes de urina, use produtos de incontinência, como absorventes ou cuecas, para se sentir mais confortável e confiante.
Lembre-se que a prevenção da incontinência urinária masculina requer um esforço contínuo e a adoção de hábitos saudáveis.</t>
  </si>
  <si>
    <t>A prevenção da incontinência urinária masculina pode envolver diversas abordagens. Aqui estão algumas estratégias que podem ajudar:
Exercícios de Kegel: São exercícios que ajudam a fortalecer os músculos do assoalho pélvico, essenciais para o controle da bexiga. Os homens podem realizar esses exercícios contraindo e relaxando os músculos que controlam a urina.
Controle de peso: O excesso de peso pode aumentar a pressão sobre a bexiga e os músculos do assoalho pélvico, aumentando o risco de incontinência. Manter um peso saudável pode reduzir esse risco.
Evitar retenção urinária: Urinar com frequência, sem esperar que a bexiga fique excessivamente cheia, pode ajudar a evitar sobrecarga na bexiga e nos músculos responsáveis pela micção.
Hidratação adequada: Beber a quantidade certa de água ajuda a manter a função renal saudável. Porém, é importante evitar excessos, que podem sobrecarregar a bexiga.
Evitar álcool e cafeína em excesso: Esses dois podem irritar a bexiga, aumentar a urgência urinária e até piorar a incontinência.
Parar de fumar: O tabagismo está relacionado a problemas pulmonares que podem causar tosse crônica, o que pode aumentar a pressão sobre os músculos pélvicos e agravar a incontinência.
Tratamento para condições subjacentes: Condições como diabetes, hipertensão e distúrbios neurológicos podem aumentar o risco de incontinência urinária. Tratar essas condições adequadamente pode ajudar a prevenir complicações.
Consultar um médico regularmente: Acompanhamentos médicos, especialmente com um urologista, podem ajudar a identificar sinais precoces de problemas na bexiga ou na próstata, antes que evoluam para incontinência urinária.
Essas práticas podem ajudar a prevenir ou retardar o desenvolvimento da incontinência urinária masculina. Se houver sinais de problemas, é importante buscar orientação médica.</t>
  </si>
  <si>
    <t>A incontinência urinária masculina pode ser prevenida com algumas práticas e cuidados. Aqui estão algumas estratégias para ajudar a prevenir esse problema:
Exercícios de Kegel: Esses exercícios ajudam a fortalecer os músculos do assoalho pélvico, que são responsáveis pelo controle da bexiga. Praticar regularmente pode reduzir o risco de incontinência.
Manter um peso saudável: O excesso de peso pode aumentar a pressão sobre a bexiga e os músculos pélvicos, contribuindo para a incontinência. Manter um peso saudável pode ajudar a reduzir essa pressão.
Evitar constipação: O esforço excessivo para evacuar pode enfraquecer os músculos do assoalho pélvico. Manter uma alimentação rica em fibras e beber bastante água pode ajudar a prevenir a constipação.
Evitar o consumo excessivo de líquidos antes de dormir: Beber muitos líquidos à noite pode aumentar a necessidade de urinar durante a noite (noctúria). Limitar a ingestão de líquidos antes de dormir pode ajudar a prevenir isso.
Evitar cafeína e álcool: Ambos podem irritar a bexiga e aumentar a frequência urinária. Evitar ou reduzir o consumo pode ajudar a prevenir episódios de incontinência.
Controlar doenças crônicas: Condições como diabetes e hipertensão podem afetar a função urinária. Controlar essas condições pode ajudar a prevenir a incontinência.
Evitar o tabagismo: O fumo pode contribuir para a tosse crônica, que exerce pressão sobre a bexiga e pode enfraquecer os músculos pélvicos, aumentando o risco de incontinência.
Consultar um médico regularmente: Manter um acompanhamento médico para detectar e tratar precocemente qualquer condição que possa levar à incontinência urinária.
Essas medidas ajudam a manter a saúde da bexiga e dos músculos pélvicos, prevenindo ou reduzindo a incidência de incontinência urinária masculina. Se houver sintomas de incontinência, é importante procurar orientação médica para diagnóstico e tratamento adequados.</t>
  </si>
  <si>
    <t>Qual é a função da bexiga urinária?</t>
  </si>
  <si>
    <t>A bexiga urinária tem a função de armazenar a urina produzida pelos rins antes de ser eliminada do corpo. Ela é um órgão muscular oco, localizado na pelve, que se expande conforme se enche de urina e se contrai durante a micção, permitindo que a urina seja expelida através da uretra.
Principais funções:
Armazenamento da urina – A bexiga pode conter em média de 400 a 600 mL de urina antes de enviar sinais ao cérebro indicando a necessidade de esvaziamento.
Controle da micção – A bexiga possui músculos e esfíncteres que ajudam a reter a urina até que seja o momento adequado para eliminá-la.
Eliminação da urina – Quando cheia, os músculos da bexiga se contraem, enquanto o esfíncter se relaxa, permitindo a saída da urina pelo canal da uretra.
Se precisar de mais detalhes, posso explicar melhor!</t>
  </si>
  <si>
    <t>A bexiga urinária tem a função de armazenar a urina produzida pelos rins antes de ser eliminada do corpo. Ela é um órgão muscular oco que pode se expandir para acomodar o volume de urina e se contrair para expeli-la através da uretra durante a micção. Seu funcionamento é controlado pelo sistema nervoso e por músculos específicos, como o esfíncter uretral, que regula a liberação da urina.</t>
  </si>
  <si>
    <t>A bexiga urinária é um órgão oco e muscular que faz parte do sistema urinário. Sua principal função é armazenar a urina produzida pelos rins antes de ser eliminada do corpo. A bexiga se expande conforme se enche de urina e se contrai para expelir a urina durante a micção. Além disso, a bexiga ajuda a controlar a saída da urina por meio de esfíncteres (músculos que fecham e abrem a passagem da urina), garantindo que a micção possa ser voluntariamente controlada.</t>
  </si>
  <si>
    <t>A bexiga urinária é um órgão muscular e elástico que faz parte do sistema urinário. Sua principal função é armazenar a urina produzida pelos rins antes de ser eliminada do corpo. A bexiga é capaz de se expandir conforme se enche de urina e contrair quando é hora de urinar, controlando assim a excreção de urina de acordo com as necessidades do corpo.</t>
  </si>
  <si>
    <t>A bexiga urinária é um órgão muscular oco que faz parte do sistema urinário. Sua principal função é armazenar a urina, um resíduo líquido produzido pelos rins, até que ela possa ser eliminada do corpo.
Como a bexiga funciona:
Armazenamento: A urina, produzida pelos rins, flui através dos ureteres e se acumula na bexiga. As paredes da bexiga são flexíveis e elásticas, permitindo que ela se expanda para acomodar o volume crescente de urina.
Micção: Quando a bexiga atinge um certo nível de enchimento, envia sinais ao cérebro, criando a sensação de vontade de urinar. Durante a micção, os músculos da parede da bexiga se contraem, e o esfíncter uretral relaxa, permitindo que a urina seja expelida através da uretra.
Funções adicionais:
Além do armazenamento e da micção, a bexiga também desempenha um papel na manutenção do equilíbrio de fluidos e eletrólitos no corpo.
O controle da micção também envolve coordenação nervosa e muscular complexa.
Em resumo, a bexiga urinária é essencial para o armazenamento e a eliminação da urina, contribuindo para a saúde e o bem-estar geral.</t>
  </si>
  <si>
    <t>A bexiga urinária desempenha um papel fundamental no sistema urinário, com a principal função de armazenar a urina produzida pelos rins antes de ser eliminada do corpo. Para entender melhor, veja detalhes sobre sua função e funcionamento:
Função:
Armazenamento de urina: A bexiga age como um reservatório temporário, acumulando a urina que é continuamente filtrada pelos rins.
Micção: Quando a bexiga atinge um certo nível de enchimento, ela sinaliza a necessidade de urinar. Durante a micção, os músculos da parede da bexiga se contraem, e a urina é expelida através da uretra.
Funcionamento:
A urina, após ser produzida nos rins, desce pelos ureteres e chega à bexiga.
A bexiga se expande para acomodar a urina, graças à sua capacidade elástica.
Quando a bexiga está cheia, receptores nervosos enviam sinais ao cérebro, criando a sensação de vontade de urinar.
O esvaziamento da bexiga ocorre pela contração de sua musculatura e relaxamento dos esfíncteres da uretra.
É importante notar que a capacidade de armazenamento da bexiga varia entre os indivíduos, mas, em média, um adulto pode armazenar de 300ml a 500ml de urina.</t>
  </si>
  <si>
    <t>A função da bexiga urinária é armazenar a urina produzida pelos rins até que seja eliminada do corpo. Ela é um órgão muscular e elástico, que se expande conforme vai se enchendo de urina e se contrai durante a micção para liberar a urina pela uretra.</t>
  </si>
  <si>
    <t>A função principal da bexiga urinária é armazenar a urina produzida pelos rins até que seja eliminada do corpo. Ela recebe a urina dos rins através dos ureteres, armazenando-a temporariamente até o momento da micção, quando a urina é expelida pela uretra. A bexiga tem a capacidade de se expandir para acomodar a urina e se contrair para permitir sua expulsão de forma controlada.</t>
  </si>
  <si>
    <t>Quais são os três principais tipos de incontinência urinária masculina?</t>
  </si>
  <si>
    <t>Os três principais tipos de incontinência urinária masculina são:
Incontinência de esforço – Ocorre quando há perda involuntária de urina ao realizar atividades que aumentam a pressão abdominal, como tossir, espirrar, rir, levantar peso ou se exercitar. Geralmente está associada a cirurgias na próstata, como a prostatectomia radical.
Incontinência de urgência – Também chamada de bexiga hiperativa, caracteriza-se pela necessidade súbita e incontrolável de urinar, frequentemente acompanhada por perda de urina antes de conseguir chegar ao banheiro. Pode estar relacionada a problemas neurológicos, hiperatividade do músculo detrusor da bexiga ou infecções urinárias.
Incontinência por transbordamento – Acontece quando a bexiga não esvazia completamente, resultando em perdas involuntárias de pequenas quantidades de urina ao longo do dia. Está frequentemente associada a obstrução do fluxo urinário (como no aumento da próstata – hiperplasia prostática benigna) ou fraqueza do músculo da bexiga.
Se precisar de mais detalhes ou quiser entender melhor as opções de tratamento, me avise!</t>
  </si>
  <si>
    <t>Os três principais tipos de incontinência urinária masculina são:
Incontinência de esforço – Ocorre quando há perda involuntária de urina ao realizar atividades que aumentam a pressão abdominal, como tossir, espirrar, rir ou levantar peso. Geralmente está associada a cirurgias na próstata, fraqueza dos músculos do assoalho pélvico ou disfunção do esfíncter urinário.
Incontinência de urgência – Caracteriza-se por uma vontade súbita e intensa de urinar, acompanhada pela incapacidade de segurar a urina até chegar ao banheiro. Está frequentemente associada à bexiga hiperativa e pode ser causada por problemas neurológicos, infecções urinárias ou hiperatividade do músculo detrusor da bexiga.
Incontinência por transbordamento – Acontece quando a bexiga não esvazia completamente e ocorre um escape constante ou intermitente de urina. Isso pode ser causado por obstruções (como hiperplasia prostática benigna - HPB), neuropatias diabéticas ou lesões na medula espinhal que afetam a função da bexiga.
Cada tipo pode ter abordagens de tratamento específicas, incluindo fisioterapia, medicamentos e, em alguns casos, procedimentos cirúrgicos.Os três principais tipos de incontinência urinária masculina são:
Incontinência de esforço – Ocorre quando há perda involuntária de urina ao realizar atividades que aumentam a pressão abdominal, como tossir, espirrar, rir ou levantar peso. Geralmente está associada a cirurgias na próstata, fraqueza dos músculos do assoalho pélvico ou disfunção do esfíncter urinário.
Incontinência de urgência – Caracteriza-se por uma vontade súbita e intensa de urinar, acompanhada pela incapacidade de segurar a urina até chegar ao banheiro. Está frequentemente associada à bexiga hiperativa e pode ser causada por problemas neurológicos, infecções urinárias ou hiperatividade do músculo detrusor da bexiga.
Incontinência por transbordamento – Acontece quando a bexiga não esvazia completamente e ocorre um escape constante ou intermitente de urina. Isso pode ser causado por obstruções (como hiperplasia prostática benigna - HPB), neuropatias diabéticas ou lesões na medula espinhal que afetam a função da bexiga.
Cada tipo pode ter abordagens de tratamento específicas, incluindo fisioterapia, medicamentos e, em alguns casos, procedimentos cirúrgicos.</t>
  </si>
  <si>
    <t>Os três principais tipos de incontinência urinária masculina são:
Incontinência de Esforço: Ocorre quando há perda de urina durante atividades físicas que aumentam a pressão abdominal, como tossir, espirrar, levantar objetos pesados ou até mesmo durante exercícios. Isso geralmente acontece devido a uma fraqueza no esfíncter urinário ou danos nos músculos pélvicos, frequentemente associados a cirurgias da próstata.
Incontinência de Urgência: Caracteriza-se pela necessidade repentina e intensa de urinar, seguida pela perda involuntária de urina. Este tipo de incontinência pode ser causado por uma condição chamada bexiga hiperativa, que pode ser influenciada por problemas neurológicos, infecções ou irritação da bexiga.
Incontinência Mista: Uma combinação dos dois tipos anteriores, onde o indivíduo pode apresentar sintomas tanto de incontinência de esforço quanto de urgência. Esta forma é especialmente comum em homens mais velhos e pode ser influenciada por uma variedade de fatores de saúde e estilo de vida.
Cada tipo tem suas particularidades e pode requerer abordagens diferentes para manejo e tratamento.</t>
  </si>
  <si>
    <t>Os três principais tipos de incontinência urinária masculina são:
Incontinência de Esforço: Ocorre quando há vazamentos de urina durante atividades físicas que aumentam a pressão intra-abdominal, como tossir, espirrar, rir ou levantar peso. Isso geralmente se deve ao enfraquecimento dos músculos do assoalho pélvico ou danos nos esfíncteres que controlam a passagem da urina.
Incontinência de Urgência: Também conhecida como incontinência por hiperatividade do detrusor, é caracterizada pela necessidade urgente e repentina de urinar, seguida pela perda involuntária de urina. Este tipo pode estar relacionado a condições neurológicas ou a problemas no próprio músculo da bexiga.
Incontinência Mista: Combina características da incontinência de esforço e de urgência. O homem com esse tipo de incontinência tem episódios tanto de vazamentos ao fazer esforço físico quanto de urgência urinária que resulta em perda involuntária de urina.
Tratar e gerenciar a incontinência urinária masculina depende da identificação correta do tipo e das causas subjacentes, que podem ser abordadas com exercícios de fortalecimento, medicação, mudanças comportamentais ou, em casos mais graves, procedimentos cirúrgicos.</t>
  </si>
  <si>
    <t>Os três principais tipos de incontinência urinária masculina são:
Incontinência por esforço: ocorre quando há perda de urina durante atividades que aumentam a pressão abdominal, como tossir, espirrar, rir ou levantar peso.
Incontinência de urgência: caracterizada pela vontade súbita e intensa de urinar, seguida de perda involuntária de urina.
Incontinência por transbordamento: acontece quando a bexiga não se esvazia completamente, causando gotejamento frequente de urina.
Além desses tipos principais, outros tipos de incontinência urinária masculina incluem:
Incontinência mista: uma combinação de incontinência por esforço e de urgência.
Incontinência funcional: perda de urina devido a limitações físicas ou cognitivas que impedem a pessoa de chegar ao banheiro a tempo.
Incontinência reflexa: causada por danos nos nervos que controlam a bexiga, resultando em contrações involuntárias da bexiga.</t>
  </si>
  <si>
    <t>Existem três tipos principais de incontinência urinária masculina:
Incontinência de esforço: vazamento de urina causado por atividades que aumentam a pressão no abdômen, como tossir, espirrar, rir ou levantar peso. É o tipo mais comum de incontinência urinária masculina, especialmente após cirurgia de próstata.
Incontinência de urgência: necessidade repentina e intensa de urinar, seguida por perda involuntária de urina. Pode ser causada por contrações involuntárias da bexiga ou por problemas neurológicos.
Incontinência por transbordamento: gotejamento frequente ou constante de urina devido ao esvaziamento incompleto da bexiga. Pode ser causada por obstrução da uretra ou por problemas neurológicos que afetam a função da bexiga.
Outros tipos de incontinência urinária incluem:
Incontinência mista: combinação de incontinência de esforço e de urgência.
Incontinência funcional: perda de urina devido a problemas de mobilidade ou cognitivos que dificultam chegar ao banheiro a tempo.
É importante ressaltar que a incontinência urinária não é uma parte normal do envelhecimento e pode ser tratada com sucesso em muitos casos. Se você está sofrendo de incontinência urinária, é importante consultar um médico para determinar a causa e o tratamento adequado.</t>
  </si>
  <si>
    <t>Os três principais tipos de incontinência urinária masculina são:
Incontinência urinária de esforço: ocorre quando há vazamento de urina devido a aumento da pressão abdominal, como ao tossir, espirrar, rir ou levantar objetos pesados.
Incontinência urinária de urgência: caracteriza-se pela necessidade súbita e intensa de urinar, acompanhada de vazamento involuntário de urina. Isso pode ser causado por problemas no controle da bexiga.
Incontinência urinária mista: é uma combinação dos tipos de incontinência de esforço e de urgência, onde o paciente experimenta ambos os sintomas.
Esses tipos podem ter diferentes causas, como envelhecimento, cirurgias, doenças neurológicas ou problemas com o trato urinário inferior.</t>
  </si>
  <si>
    <t>Os três principais tipos de incontinência urinária masculina são:
Incontinência urinária de esforço: É causada por um aumento na pressão intra-abdominal, como ao tossir, espirrar, rir ou levantar objetos pesados. Isso ocorre quando os músculos ao redor da bexiga ou o esfíncter urinário não conseguem controlar adequadamente a liberação da urina.
Incontinência urinária de urgência: Refere-se à perda súbita de urina acompanhada de uma necessidade urgente de urinar, mesmo que a bexiga não esteja cheia. Isso pode ser causado por uma hiperatividade da bexiga ou outros distúrbios do trato urinário inferior.
Incontinência urinária por transbordamento: Acontece quando a bexiga não consegue se esvaziar completamente, o que leva ao vazamento constante de pequenas quantidades de urina. Geralmente, é associada a problemas como obstrução da uretra ou disfunção neurológica.
Esses tipos de incontinência podem ocorrer isoladamente ou em combinação, dependendo das condições de saúde do paciente.</t>
  </si>
  <si>
    <t>Qual prática complementar foi estudada para auxiliar no controle da incontinência urinária pós-prostatectomia radical?</t>
  </si>
  <si>
    <t>Ao receberem alta hospitalar, a maioria dos pacientes submetidos a cirurgias precisa seguir uma série de cuidados para a recuperação adequada, incluindo:
Uso de medicamentos – Antibióticos, analgésicos e anti-inflamatórios, conforme prescrição médica.
Cuidados com o curativo – Higienização e troca dos curativos para evitar infecções.
Restrições de atividade – Evitar esforços físicos, dirigir ou carregar peso, dependendo do tipo de cirurgia.
Fisioterapia ou reabilitação – Em alguns casos, são recomendados exercícios para recuperação da mobilidade.
Dieta adequada – Ajustes na alimentação para facilitar a cicatrização e evitar complicações, como constipação.
Acompanhamento médico – Retorno para avaliação da cicatrização e possível remoção de pontos.
Atenção a sinais de complicação – Observar febre, inchaço excessivo, vermelhidão ou dor intensa e procurar atendimento se necessário.
Esses cuidados variam conforme o tipo de cirurgia realizada.</t>
  </si>
  <si>
    <t>Diversas práticas complementares têm sido estudadas para auxiliar no controle da incontinência urinária após a prostatectomia radical. Entre as mais investigadas estão o treinamento dos músculos do assoalho pélvico (TMAP), a eletroestimulação (EE) e o biofeedback (BF).​
repositorio.ufmg.br
+10
scielo.isciii.es
+10
researchgate.net
+10
Treinamento dos Músculos do Assoalho Pélvico (TMAP): Consiste em exercícios específicos que visam fortalecer os músculos responsáveis pelo controle da micção. Estudos indicam que o TMAP pode acelerar a recuperação da continência urinária após a cirurgia. Por exemplo, uma revisão sistemática da Cochrane analisou 99 ensaios clínicos e concluiu que apenas 10,2% dos pacientes que realizaram TMAP permaneceram incontinentes após 12 meses, em comparação com 32,1% daqueles que não realizaram os exercícios. ​
researchgate.net
+3
saude.sp.gov.br
+3
accamargo.phlnet.com.br
+3
scielo.isciii.es
Eletroestimulação (EE): Este método utiliza estímulos elétricos para ativar os músculos do assoalho pélvico, auxiliando no fortalecimento muscular e no controle da incontinência. Estudos sugerem que a EE pode aumentar o sucesso dos exercícios musculares pélvicos em pacientes com incontinência após a prostatectomia radical. ​
pt.wikipedia.org
+8
scielo.isciii.es
+8
scielo.br
+8
Biofeedback (BF): O BF fornece ao paciente informações em tempo real sobre a atividade dos músculos do assoalho pélvico, permitindo uma melhor conscientização e controle durante os exercícios. Pesquisas demonstram que o uso do BF, isoladamente ou em combinação com outras terapias, pode melhorar significativamente a recuperação da continência urinária. ​
researchgate.net
Combinação de Terapias: A associação de TMAP com EE e/ou BF tem mostrado resultados promissores. Por exemplo, um estudo com 90 pacientes divididos em três grupos (EE isolada, EE + BF e apenas TMAP) observou que a terapia combinada (EE + BF) resultou em melhorias estatisticamente significativas na recuperação da continência urinária em comparação com os outros grupos. ​
accamargo.phlnet.com.br
+2
scielo.isciii.es
+2
scielo.br
+2
Acupuntura Auricular: Além das terapias mencionadas, a acupuntura auricular tem sido estudada como uma prática complementar. Um ensaio clínico randomizado avaliou a efetividade da acupuntura auricular associada ao TMAP no controle da incontinência urinária pós-prostatectomia radical. Os resultados indicaram que, embora a acupuntura não tenha potencializado a redução da gravidade da incontinência, houve uma melhora significativa na qualidade de vida dos pacientes, especialmente nos domínios relacionados a emoções e sono/disposição. ​
repositorio.ufmg.br
Em suma, práticas complementares como o treinamento dos músculos do assoalho pélvico, eletroestimulação, biofeedback e acupuntura auricular têm sido estudadas e demonstram potencial para auxiliar no controle da incontinência urinária após a prostatectomia radical. A escolha da terapia ou combinação de terapias deve ser individualizada, considerando as características e necessidades específicas de cada paciente.​</t>
  </si>
  <si>
    <t xml:space="preserve">A prática complementar que tem sido estudada para auxiliar no controle da incontinência urinária após uma prostatectomia radical é o treinamento dos músculos do assoalho pélvico, também conhecido como exercícios de Kegel. Esses exercícios focam no fortalecimento dos músculos que suportam a uretra, a bexiga e outros órgãos pélvicos, o que pode ajudar a melhorar o controle urinário. Além disso, em alguns casos, a biofeedback e a fisioterapia especializada também são recomendadas para ajudar os pacientes a aprender e a executar os exercícios corretamente, maximizando assim os benefícios para o controle da incontinência.
</t>
  </si>
  <si>
    <t>A prática complementar mais estudada para auxiliar no controle da incontinência urinária após uma prostatectomia radical é a fisioterapia do assoalho pélvico, também conhecida como exercícios de Kegel. Esses exercícios fortalecem os músculos do assoalho pélvico, que suportam a bexiga e a uretra, e têm mostrado ser eficazes em melhorar o controle urinário em homens que passaram por esse tipo de cirurgia. A fisioterapia pélvica pode ser complementada com biofeedback e treinamento de resistência muscular para maximizar os resultados.</t>
  </si>
  <si>
    <t>A prática complementar mais estudada para auxiliar no controle da incontinência urinária pós-prostatectomia radical é a fisioterapia do assoalho pélvico. Essa abordagem terapêutica visa fortalecer os músculos do assoalho pélvico, que desempenham um papel fundamental no controle da micção.
A fisioterapia do assoalho pélvico geralmente inclui:
Exercícios de Kegel: contrações e relaxamentos dos músculos do assoalho pélvico para melhorar sua força e resistência.
Biofeedback: técnica que utiliza sensores para ajudar o paciente a identificar e controlar os músculos do assoalho pélvico.
Eletroestimulação: uso de correntes elétricas de baixa intensidade para estimular os músculos do assoalho pélvico.
Treinamento da bexiga: técnicas para ajudar o paciente a controlar a urgência e a frequência urinária.
Estudos têm demonstrado que a fisioterapia do assoalho pélvico pode:
Reduzir a gravidade da incontinência urinária.
Acelerar a recuperação do controle urinário após a cirurgia.
Melhorar a qualidade de vida dos pacientes.
Outras práticas complementares que podem ser utilizadas em conjunto com a fisioterapia do assoalho pélvico incluem:
Acupuntura
Mudanças no estilo de vida, como controle do peso e restrição de líquidos.
É importante ressaltar que a escolha do tratamento mais adequado deve ser individualizada, levando em consideração as características e necessidades de cada paciente. A fisioterapia do assoalho pélvico deve ser realizada por um fisioterapeuta especializado em saúde pélvica.</t>
  </si>
  <si>
    <t>Após a alta hospitalar, os pacientes submetidos à cirurgia geralmente precisam realizar uma série de cuidados para garantir uma recuperação adequada e prevenir complicações. As necessidades específicas variam de acordo com o tipo de cirurgia, o estado de saúde do paciente e as orientações médicas individuais. No entanto, algumas medidas comuns incluem:
Cuidados com a ferida cirúrgica:
Manter a área da incisão limpa e seca para evitar infecções.
Trocar curativos conforme as instruções médicas.
Observar sinais de infecção, como vermelhidão, inchaço, calor, dor intensa ou secreção.
Medicação:
Tomar os medicamentos prescritos corretamente, seguindo a dosagem e o horário indicados.
Informar o médico sobre quaisquer efeitos colaterais.
Alimentação:
Seguir uma dieta equilibrada e nutritiva para auxiliar na recuperação.
Em alguns casos, podem ser necessárias restrições alimentares temporárias.
Atividade física:
Realizar atividades leves e progressivas, conforme orientação médica.
Evitar esforços excessivos e atividades que possam comprometer a cicatrização.
Consultas de acompanhamento:
Comparecer às consultas de retorno com o médico para avaliação da recuperação.
Relatar quaisquer sintomas ou problemas que surgirem.
Outros cuidados:
Descansar adequadamente.
Evitar o consumo de álcool e tabaco.
Manter uma boa higiene pessoal.
Seguir as orientações específicas fornecidas pela equipe médica.
É fundamental que o paciente receba instruções claras e detalhadas sobre os cuidados pós-operatórios antes da alta hospitalar. Em caso de dúvidas ou problemas, é importante entrar em contato com o médico ou com o serviço de saúde responsável.</t>
  </si>
  <si>
    <t>Estudos sugerem que a prática de exercícios de Kegel, também conhecidos como exercícios de fortalecimento do assoalho pélvico, pode ser eficaz no controle da incontinência urinária após a prostatectomia radical. Esses exercícios ajudam a fortalecer os músculos responsáveis pelo controle da bexiga, melhorando a continência urinária. Além disso, a reabilitação pélvica com biofeedback e treinamento de músculos também tem mostrado benefícios para os pacientes em recuperação de prostatectomia radical.</t>
  </si>
  <si>
    <t>Um estudo sobre práticas complementares para auxiliar no controle da incontinência urinária pós-prostatectomia radical revelou que a fisioterapia do assoalho pélvico foi uma prática eficaz. A fisioterapia visa fortalecer os músculos responsáveis pelo controle da bexiga, melhorando a função urinária e ajudando a reduzir a incontinência. Técnicas como os exercícios de Kegel são comumente recomendadas para esse propósito. Além disso, o uso de biofeedback, eletroestimulação e treinamento comportamental também foram analisados e mostraram benefícios no controle da incontinência urinária em pacientes após a cirurgia.</t>
  </si>
  <si>
    <t>Ao receberem alta hospitalar, o que os pacientes submetidos à cirurgia, em sua grande maioria necessitam fazer?</t>
  </si>
  <si>
    <t>Ao receberem alta hospitalar, a maioria dos pacientes submetidos à cirurgia necessita:
Seguir as orientações médicas – Incluir cuidados com curativos, uso de medicamentos prescritos (como antibióticos e analgésicos) e sinais de alerta para complicações.
Manter repouso e evitar esforços – Dependendo da cirurgia, pode ser necessário um período de recuperação com restrição de atividades físicas.
Fazer acompanhamento médico – Retornar para consultas de revisão para avaliar a recuperação e possível remoção de pontos.
Seguir dieta específica – Algumas cirurgias exigem restrições alimentares ou um plano alimentar específico para melhor recuperação.
Higienizar corretamente o local da cirurgia – Manter o local limpo e seco para evitar infecções.
Observar sinais de complicações – Como febre, dor intensa, inchaço excessivo, sangramentos ou secreções anormais.
Realizar fisioterapia ou reabilitação – Se necessário, para recuperação da mobilidade e fortalecimento muscular.
O tempo e os cuidados variam conforme o tipo de cirurgia realizada.</t>
  </si>
  <si>
    <t>Ao receberem alta hospitalar, a maioria dos pacientes submetidos a cirurgia precisa:
Seguir a prescrição médica – Tomar os medicamentos prescritos corretamente, incluindo antibióticos, analgésicos e anti-inflamatórios, se necessário.
Realizar repouso adequado – Evitar esforços físicos intensos conforme orientação médica.
Cuidar da ferida cirúrgica – Manter o curativo limpo e seco, trocar conforme indicado e observar sinais de infecção, como vermelhidão, inchaço ou secreção.
Acompanhar a alimentação e hidratação – Manter uma dieta equilibrada e ingerir líquidos para auxiliar a recuperação.
Evitar atividades restritas – Dependendo do tipo de cirurgia, pode ser necessário evitar dirigir, levantar peso ou outras atividades específicas.
Comparecer às consultas de acompanhamento – Retornar ao médico para revisão e retirada de pontos, se necessário.
Observar sintomas de alerta – Como febre, dor intensa, sangramento excessivo ou qualquer sintoma incomum, que devem ser comunicados ao médico imediatamente.
Seguir orientações fisioterapêuticas – Em alguns casos, a reabilitação com fisioterapia pode ser necessária para a recuperação total.
Cada cirurgia tem recomendações específicas, e é fundamental seguir as orientações médicas para garantir a melhor recuperação possível.</t>
  </si>
  <si>
    <t>Após receberem alta hospitalar, os pacientes que foram submetidos a uma cirurgia geralmente precisam seguir várias recomendações médicas para garantir uma recuperação adequada e segura. Essas recomendações podem incluir:
Cuidados com a ferida operatória: Manter a área limpa e protegida para evitar infecções e facilitar a cicatrização.
Repouso: Dependendo do tipo de cirurgia, pode ser necessário limitar atividades físicas para não comprometer a cicatrização.
Medicação: Tomar os medicamentos prescritos pelo médico, que podem incluir analgésicos, antibióticos, ou outros específicos para a condição tratada.
Reabilitação: Seguir um plano de fisioterapia ou exercícios de reabilitação, se necessário, para restaurar a mobilidade e a força.
Consulta de acompanhamento: Agendar e comparecer às consultas de acompanhamento para monitorar o progresso da recuperação e fazer ajustes no tratamento, se necessário.
Alimentação e hidratação: Manter uma dieta equilibrada e adequada, rica em nutrientes que auxiliem na recuperação, e manter-se bem hidratado.
Observação de sintomas: Estar atento a sinais de complicações, como febre, aumento da dor, vermelhidão ou vazamento na área da cirurgia, e comunicar ao médico imediatamente se algum destes ocorrer.
É importante seguir todas as orientações médicas recebidas no momento da alta para evitar complicações e garantir uma recuperação eficaz.</t>
  </si>
  <si>
    <t>Após receberem alta hospitalar, os pacientes que foram submetidos à cirurgia geralmente precisam seguir uma série de recomendações para garantir uma recuperação adequada. Essas incluem:
Repouso: Dependendo do tipo de cirurgia, pode ser necessário um período de repouso para permitir ao corpo se recuperar.
Medicação: É comum prescrever medicamentos para dor, anti-inflamatórios ou antibióticos para prevenir infecções.
Cuidados com a ferida: Manter a área da incisão limpa e seca é crucial. Os pacientes podem receber instruções específicas sobre como cuidar dos curativos.
Seguir uma dieta apropriada: Dependendo da cirurgia, pode ser necessário ajustar a dieta para facilitar a digestão ou evitar irritação no local operado.
Reabilitação e exercícios físicos: Exercícios leves ou fisioterapia podem ser recomendados para ajudar na recuperação da força e mobilidade, especialmente após cirurgias ortopédicas ou cardíacas.
Consultas de acompanhamento: Visitas de acompanhamento com o médico são importantes para monitorar o progresso da recuperação e tratar quaisquer complicações.
Essas orientações podem variar amplamente dependendo do tipo de cirurgia realizada e das condições individuais do paciente.</t>
  </si>
  <si>
    <t>Após a alta hospitalar, a grande maioria dos pacientes submetidos à cirurgia necessita realizar uma série de cuidados para garantir a recuperação completa e evitar complicações. As necessidades específicas variam de acordo com o tipo de cirurgia e a condição de saúde do paciente, mas algumas medidas são comuns a quase todos os casos:
Cuidados gerais:
Repouso: É fundamental repousar e evitar esforços excessivos nas primeiras semanas após a cirurgia. O tempo de repouso varia dependendo do tipo de cirurgia e da recuperação individual.
Alimentação: Seguir uma dieta equilibrada e rica em nutrientes é essencial para auxiliar na cicatrização e recuperação do organismo. Em alguns casos, o médico pode recomendar uma dieta específica.
Hidratação: Beber bastante água é importante para manter o corpo hidratado e auxiliar na eliminação de toxinas.
Higiene: Manter a higiene pessoal é fundamental para evitar infecções. O médico ou enfermeiro fornecerá instruções específicas sobre como cuidar da área operada.
Medicação: Seguir rigorosamente a prescrição médica, tomando os medicamentos nos horários e doses corretas.
Acompanhamento médico: Comparecer às consultas de acompanhamento com o médico para avaliar a recuperação e realizar exames de controle.
Cuidados específicos:
Cuidados com a ferida cirúrgica: Manter a ferida limpa e seca, trocando o curativo conforme as orientações médicas. Observar sinais de infecção, como vermelhidão, inchaço, dor intensa ou secreção.
Fisioterapia: Em alguns casos, a fisioterapia é necessária para auxiliar na recuperação da mobilidade e força muscular.
Exercícios: Realizar exercícios leves e progressivos, conforme orientação médica, para evitar o sedentarismo e auxiliar na recuperação.
Cuidados emocionais: A recuperação após uma cirurgia pode ser um período desafiador, tanto física quanto emocionalmente. É importante buscar apoio emocional de familiares, amigos ou profissionais de saúde.
Sinais de alerta:
Febre alta
Dor intensa
Vermelhidão, inchaço ou secreção na ferida cirúrgica
Náuseas e vômitos persistentes
Dificuldade para respirar
Sangramento excessivo
Em caso de qualquer um desses sinais, é fundamental procurar atendimento médico imediatamente.</t>
  </si>
  <si>
    <t>Após a alta hospitalar, os pacientes submetidos à cirurgia geralmente precisam realizar uma série de ações para garantir uma recuperação adequada e prevenir complicações. As necessidades específicas variam de acordo com o tipo de cirurgia, a condição de saúde do paciente e as orientações médicas individuais, mas algumas necessidades comuns incluem:
Cuidados com a ferida cirúrgica:
Higiene: Manter a ferida limpa e seca para prevenir infecções.
Curativos: Trocar os curativos conforme as instruções médicas.
Sinais de alerta: Observar sinais de infecção, como vermelhidão, inchaço, calor, dor intensa ou secreção.
Medicação:
Cumprir a prescrição: Tomar os medicamentos prescritos (analgésicos, antibióticos, etc.) nos horários e doses corretas.
Efeitos colaterais: Estar atento a possíveis efeitos colaterais e comunicar o médico.
Alimentação:
Dieta adequada: Seguir as recomendações nutricionais para promover a cicatrização e a recuperação.
Hidratação: Beber bastante água para manter o corpo hidratado.
Repouso e atividade física:
Repouso adequado: Descansar o suficiente para permitir que o corpo se recupere.
Atividade física: Realizar atividades leves e progressivas, conforme orientação médica, para evitar complicações como trombose.
Acompanhamento médico:
Consultas de retorno: Comparecer às consultas de acompanhamento para que o médico possa avaliar a recuperação e ajustar o tratamento, se necessário.
Exames: Realizar exames de acompanhamento, caso seja necessário.
Cuidados adicionais:
Equipamentos: caso necessários, adquirir equipamentos como cadeira de rodas, cadeiras de banho, ou outros itens.
Apoio domiciliar: considerar a contratação de profissionais de saúde para auxiliar nos cuidados em casa, se necessário.
Reabilitação: Participar de programas de reabilitação, como fisioterapia, se indicado.
Saúde mental: buscar apoio emocional, se necessário, pois a recuperação pode ser um período desafiador.
É fundamental que os pacientes sigam as orientações da equipe médica e esclareçam todas as dúvidas antes da alta hospitalar.</t>
  </si>
  <si>
    <t>Após receberem alta hospitalar, a maioria dos pacientes submetidos à cirurgia necessita seguir um plano de cuidados pós-operatórios. Isso pode incluir:
Repouso e Recuperação: Os pacientes geralmente precisam descansar para ajudar na recuperação do corpo e evitar esforços excessivos.
Uso de Medicamentos: É comum que o médico prescreva analgésicos, antibióticos ou outros medicamentos para ajudar na recuperação e prevenir infecções.
Cuidados com a Ferida Cirúrgica: Instruções sobre como cuidar da incisão cirúrgica, incluindo limpeza e troca de curativos, para evitar infecções.
Monitoramento de Sinais Vitais: Pode ser necessário monitorar a temperatura, a pressão arterial e outros sinais vitais para garantir que o corpo esteja se recuperando corretamente.
Atividade Física Limitada: O paciente pode ser orientado a evitar atividades físicas intensas por um período, para garantir a cicatrização adequada.
Consultas de Acompanhamento: Marcação de consultas de acompanhamento com o médico para avaliar o progresso da recuperação e verificar possíveis complicações.
Esses cuidados variam de acordo com o tipo de cirurgia realizada e as condições individuais de cada paciente.</t>
  </si>
  <si>
    <t>Ao receberem alta hospitalar, a grande maioria dos pacientes submetidos à cirurgia precisa seguir uma série de orientações para garantir uma recuperação adequada. Alguns dos cuidados mais comuns incluem:
Descanso: Os pacientes devem descansar o suficiente, evitando esforços físicos que possam prejudicar a recuperação.
Uso de medicamentos: É comum que os pacientes precisem tomar medicamentos prescritos, como analgésicos para controle da dor e antibióticos para prevenir infecções.
Cuidados com os curativos: Manter os curativos nas feridas cirúrgicas limpos e secos, conforme orientação médica, para evitar infecções.
Monitoramento de sinais de complicações: Observar sinais como febre, dor intensa ou inchaço excessivo na área da cirurgia, que podem indicar complicações, e procurar ajuda médica, se necessário.
Atividades físicas limitadas: Evitar atividades físicas intensas e seguir as orientações sobre quando retomar as atividades diárias.
Consulta de acompanhamento: Frequentemente, é necessário retornar ao médico para consultas de acompanhamento para avaliar a recuperação e fazer ajustes no tratamento, se necessário.
Esses cuidados são essenciais para uma recuperação bem-sucedida e para evitar complicações pós-cirúrgicas.</t>
  </si>
  <si>
    <t>Qual tecnologia foi desenvolvida para auxiliar no tratamento da incontinência urinária pós-prostatectomia?</t>
  </si>
  <si>
    <t>A incontinência urinária após a prostatectomia radical é uma complicação que afeta significativamente a qualidade de vida dos pacientes. Para auxiliar no tratamento dessa condição, diversas tecnologias foram desenvolvidas:​
ufmg.br
+2
pt.wikipedia.org
+2
pt.wikipedia.org
+2
Aplicativos de saúde móvel (mHealth):
IUProst®: Desenvolvido por pesquisadores da Universidade Federal de Minas Gerais (UFMG) e da Universidade Federal de Goiás (UFG), o IUProst® é um aplicativo destinado a apoiar homens que apresentam incontinência urinária após a prostatectomia radical. O aplicativo oferece exercícios para a musculatura pélvica, informações sobre a cirurgia, vídeos explicativos e relatos de pacientes que tiveram sucesso no tratamento, promovendo o autocuidado e a melhoria da qualidade de vida. Atualmente, está disponível para dispositivos Android. ​
scielo.br
+4
ufmg.br
+4
PMC
+4
Esfíncter urinário artificial:
Esfíncter urinário artificial (AUS): Este dispositivo implantável é considerado o padrão-ouro para o tratamento da incontinência urinária de esforço moderada a grave em homens. O AUS substitui a função do esfíncter natural, permitindo ao paciente controlar a micção manualmente. Modelos como o AMS 800 e o ZSI 375 são amplamente utilizados, apresentando taxas de sucesso que variam de 61% a 100% na literatura médica. ​
pt.wikipedia.org
+3
pt.wikipedia.org
+3
pt.wikipedia.org
+3
Dispositivos de compressão peniana:
Clamp peniano: Este dispositivo externo aplica pressão na uretra para prevenir vazamentos urinários, sendo uma alternativa menos invasiva e de menor custo em comparação às opções cirúrgicas. Embora eficazes na redução da incontinência, seu uso prolongado pode estar associado a complicações, como dor, erosão uretral e edema. ​
pt.wikipedia.org
+1
pt.wikipedia.org
+1
Terapias fisioterapêuticas:
Treinamento dos músculos do assoalho pélvico (TMAP): Exercícios específicos para fortalecer a musculatura pélvica têm sido eficazes na recuperação precoce da continência urinária após a prostatectomia. Estudos indicam que o TMAP, associado ou não a biofeedback e eletroestimulação, pode contribuir significativamente para a recuperação da continência. ​
scielo.isciii.es
Cada uma dessas tecnologias oferece alternativas para o manejo da incontinência urinária pós-prostatectomia, e a escolha do tratamento mais adequado deve ser individualizada, considerando as características e necessidades específicas de cada paciente.</t>
  </si>
  <si>
    <t xml:space="preserve">​Pesquisadores da Universidade Federal de Minas Gerais (UFMG) e da Universidade Federal de Goiás (UFG) desenvolveram o aplicativo móvel IUProst®, destinado a auxiliar no tratamento da incontinência urinária (IU) em homens após a prostatectomia radical, cirurgia comumente realizada para o tratamento do câncer de próstata localizado. O IUProst® oferece recursos como exercícios para fortalecimento da musculatura pélvica, informações sobre a cirurgia, vídeos explicativos e relatos de pacientes que obtiveram sucesso no tratamento, visando melhorar a qualidade de vida e promover o autocuidado dos usuários. ​
repositorio.ufmg.br
+6
ufmg.br
+6
PMC
+6
Além disso, existem outras tecnologias utilizadas no tratamento da incontinência urinária pós-prostatectomia, como o esfíncter urinário artificial, considerado o padrão-ouro para casos moderados a graves. Este dispositivo implantável substitui a função do esfíncter natural, controlando o fluxo urinário e auxiliando na recuperação da continência. ​
pt.wikipedia.org
+5
pt.wikipedia.org
+5
Governo Federal
+5
pt.wikipedia.org
+1
Governo Federal
+1
Outra opção é o uso de eslingas uretrais, que são dispositivos cirúrgicos implantados para fornecer suporte adicional à uretra, ajudando a restaurar a continência urinária em pacientes com incontinência leve a moderada após a prostatectomia. ​
Essas tecnologias, juntamente com intervenções fisioterapêuticas, como o treinamento dos músculos do assoalho pélvico, compõem o conjunto de opções disponíveis para o manejo da incontinência urinária após a prostatectomia, visando melhorar a qualidade de vida dos pacientes afetados por essa condição. </t>
  </si>
  <si>
    <t>No tratamento da incontinência urinária pós-prostatectomia, várias tecnologias têm sido desenvolvidas para ajudar a melhorar a qualidade de vida dos pacientes. Uma das principais inovações é o uso de dispositivos de biofeedback e estimulação elétrica. Estes dispositivos ajudam os pacientes a fortalecer os músculos do assoalho pélvico, o que pode ser crucial para recuperar o controle sobre a bexiga.
Outra tecnologia significativa é a utilização de esfíncteres artificiais e slings uretrais. O esfíncter artificial é um dispositivo implantável que controla o fluxo de urina, funcionando de maneira similar ao esfíncter uretral natural. Já os slings uretrais são faixas de material sintético ou biológico que são colocadas ao redor da uretra para ajudar a sustentar e comprimir a uretra, reduzindo a perda de urina.
Essas tecnologias, muitas vezes em combinação com fisioterapia especializada, são importantes para ajudar os pacientes a lidar com as consequências da prostatectomia e melhorar a incontinência urinária.</t>
  </si>
  <si>
    <t>A tecnologia desenvolvida para auxiliar no tratamento da incontinência urinária após prostatectomia inclui dispositivos como esfíncteres urinários artificiais e slings masculinos. O esfíncter urinário artificial é um dispositivo cirurgicamente implantável que simula a função do esfíncter natural, permitindo ao paciente controlar a liberação de urina. Já o sling masculino, que também é implantado cirurgicamente, suporta a uretra e ajuda a prevenir a perda de urina, sendo menos invasivo que o esfíncter artificial. Ambas as tecnologias são consideradas eficazes e proporcionam uma melhora significativa na qualidade de vida dos pacientes que sofreram de incontinência urinária após a remoção da próstata.</t>
  </si>
  <si>
    <t>Para auxiliar no tratamento da incontinência urinária pós-prostatectomia, diversas tecnologias e abordagens terapêuticas foram desenvolvidas, com o objetivo de melhorar a qualidade de vida dos pacientes. Entre elas, destacam-se:
Aplicativos Móveis:
O aplicativo IUProst®, desenvolvido por pesquisadores da UFMG e da UFG, é um exemplo notável. Ele oferece informações, dicas, exercícios para fortalecer a musculatura pélvica e vídeos explicativos, facilitando o acesso ao autocuidado e ao acompanhamento do tratamento.
Fisioterapia:
A fisioterapia pélvica, com exercícios específicos para fortalecer os músculos do assoalho pélvico, é uma abordagem comum e eficaz. Esses exercícios ajudam a melhorar o controle da bexiga e reduzir a incontinência.
Dispositivos Médicos:
Existem dispositivos como slings e esfíncteres artificiais que podem ser implantados cirurgicamente para auxiliar no controle da urina em casos mais graves.
Biofeedback:
Essa técnica utiliza sensores e monitores para ajudar o paciente a ter consciência e controle sobre os músculos do assoalho pélvico, facilitando o aprendizado dos exercícios de fortalecimento.
Eletroestimulação:
A eletroestimulação usa impulsos elétricos suaves para estimular os músculos do assoalho pélvico, fortalecendo-os e melhorando o controle da bexiga.
É importante ressaltar que o tratamento mais adequado varia de acordo com a gravidade da incontinência e as características individuais de cada paciente. Portanto, é fundamental consultar um médico especialista para avaliação e orientação personalizada.</t>
  </si>
  <si>
    <t>O tratamento da incontinência urinária pós-prostatectomia pode se beneficiar de diversas tecnologias, abrangendo desde aplicativos móveis até intervenções cirúrgicas avançadas. Abaixo, detalho algumas das principais:
Tecnologias de Apoio e Monitoramento:
Aplicativos Móveis:
O aplicativo IUProst®, desenvolvido por pesquisadores da UFMG e UFG, é um exemplo notável. Ele oferece exercícios para fortalecer a musculatura pélvica, informações sobre a cirurgia, vídeos explicativos e dicas para hábitos saudáveis, visando o autocuidado e o controle da incontinência.
Tratamentos e Intervenções:
Fisioterapia:
Embora a fisioterapia não altere o desfecho da recuperação, ela pode acelerar o processo de retorno ao controle urinário. Exercícios específicos para o assoalho pélvico são cruciais.
Cirurgia Robótica:
A precisão da cirurgia robótica permite uma dissecação mais delicada e a preservação de tecidos importantes para a continência urinária. Isso pode levar a melhores resultados pós-operatórios.
Esfíncter Urinário Artificial:
Em casos de incontinência persistente, o implante de um esfíncter urinário artificial pode ser uma opção. Esse dispositivo simula a função do esfíncter natural, controlando o fluxo de urina.
Slings Masculinos:
São dispositivos que apoiam a uretra, ajudando a restaurar o controle urinário.
Pontos importantes:
A escolha da tecnologia ou tratamento adequado varia conforme a gravidade da incontinência e as características individuais do paciente.
O acompanhamento médico é fundamental para avaliar a evolução do quadro e ajustar o tratamento conforme necessário.
As informações disponibilizadas nos aplicativos não substituem o atendimento médico presencial, o qual se faz indispensável para o auxílio no reconhecimento do problema e tratamento adequado.
Para informações mais detalhadas e personalizadas, consulte um médico urologista.</t>
  </si>
  <si>
    <t>Para auxiliar no tratamento da incontinência urinária pós-prostatectomia, várias tecnologias foram desenvolvidas, com foco em melhorar a qualidade de vida dos pacientes. Algumas das mais relevantes incluem:
Dispositivos de Estimulação Elétrica Neuromuscular: Estes dispositivos utilizam estimulação elétrica para fortalecer os músculos do assoalho pélvico e melhorar o controle da bexiga. Eles ajudam a reduzir a incontinência urinária, estimulando as fibras musculares que controlam o fluxo urinário.
Esfincter Artificial de Bexiga (AUS): É um dispositivo implantável que pode ser colocado cirurgicamente para tratar a incontinência urinária grave. Ele simula o funcionamento do esfíncter urinário natural, permitindo que o paciente controle o fluxo urinário manualmente.
Terapias de Biofeedback: Essa abordagem usa dispositivos eletrônicos para monitorar e fornecer feedback sobre a atividade muscular do assoalho pélvico. A terapia visa melhorar a força e o controle desses músculos, o que pode reduzir a incontinência urinária.
Sistemas de Cateterismo Intermitente: Embora não seja uma solução para incontinência, o cateterismo intermitente pode ser uma forma de manejo para pacientes com perda de controle urinário significativa após a prostatectomia.
Essas tecnologias podem ser utilizadas de forma isolada ou combinadas, dependendo da gravidade da incontinência e da resposta individual do paciente ao tratamento.</t>
  </si>
  <si>
    <t>A tecnologia desenvolvida para auxiliar no tratamento da incontinência urinária pós-prostatectomia inclui dispositivos de estimulação elétrica neuromuscular, como o Neurostimulation Therapy, que utiliza impulsos elétricos para fortalecer os músculos do assoalho pélvico e melhorar o controle da bexiga. Além disso, sistemas de biofeedback, que fornecem informações em tempo real sobre a atividade muscular, têm sido empregados para ajudar os pacientes a aprenderem a controlar melhor os músculos envolvidos na micção. Em alguns casos, dispositivos implantáveis, como esfincteres artificiais, também são usados para substituir ou auxiliar a função do esfíncter urinário.</t>
  </si>
  <si>
    <t>Qual instrumento foi adaptado para avaliar a disfunção sexual em homens brasileiros com sintomas do trato urinário inferior?</t>
  </si>
  <si>
    <t>​O instrumento adaptado para avaliar a disfunção sexual em homens brasileiros com sintomas do trato urinário inferior é o "International Consultation on Incontinence Questionnaire Male Sexual Matters Associated with Lower Urinary Tract Symptoms Module" (ICIQ-MLUTSsex). Este questionário passou por um processo de adaptação transcultural e validação para a língua portuguesa falada no Brasil, conforme descrito na dissertação de André Carlos Santos Ferreira.</t>
  </si>
  <si>
    <t>​O instrumento adaptado para avaliar a disfunção sexual em homens brasileiros com sintomas do trato urinário inferior é o questionário International Consultation on Incontinence Questionnaire Male Sexual Matters Associated with Lower Urinary Tract Symptoms Module (ICIQ-MLUTSsex). Este questionário passou por um processo de adaptação transcultural e validação para a língua portuguesa falada no Brasil, conforme descrito na dissertação de André Carlos Santos Ferreira, intitulada "Adaptação transcultural e evidências de validade de um instrumento para avaliação da disfunção sexual em homens brasileiros com sintomas do trato urinário inferior" . O estudo foi realizado na Universidade Federal de Minas Gerais e envolveu etapas de adaptação transcultural, evidências de validade de conteúdo, processo de resposta, estrutura interna, confiabilidade e relação com outras variáveis.</t>
  </si>
  <si>
    <t>O instrumento adaptado para avaliar a disfunção sexual em homens brasileiros com sintomas do trato urinário inferior é a versão brasileira do questionário "International Index of Erectile Function" (IIEF), específica para a cultura e linguagem locais. Esse questionário é uma ferramenta amplamente utilizada em pesquisas clínicas para avaliar a função erétil e a disfunção sexual. A adaptação para o contexto brasileiro permite que os dados sejam mais precisos e relevantes para a população estudada.</t>
  </si>
  <si>
    <t>O instrumento que foi adaptado para avaliar a disfunção sexual em homens brasileiros com sintomas do trato urinário inferior é a versão brasileira do questionário IIEF (International Index of Erectile Function) específica para sintomas do trato urinário inferior (LUTS). Este instrumento é frequentemente usado para medir a presença e severidade da disfunção erétil, e sua adaptação permite que ele seja relevante para homens que experienciam LUTS, proporcionando uma avaliação mais precisa da intersecção entre estas condições.</t>
  </si>
  <si>
    <t>O Índice Internacional de Função Erétil (IIEF) foi o instrumento adaptado para avaliar a disfunção sexual em homens brasileiros com sintomas do trato urinário inferior (LUTS). Especificamente, sua versão de 5 itens, o IIEF-5, tem sido utilizada com essa finalidade.
Mais detalhes sobre o IIEF-5
O IIEF-5 é uma versão abreviada do questionário original de 15 itens. Ele é projetado para ser mais rápido e fácil de administrar, o que o torna útil para triagem e avaliação inicial da disfunção erétil.
O questionário avalia os seguintes domínios da função sexual masculina:
Função erétil: a capacidade de atingir e manter uma ereção.
Função orgásmica: a capacidade de atingir o orgasmo.
Desejo sexual: o nível de desejo sexual.
Satisfação com a relação sexual: o nível de satisfação com a relação sexual.
Satisfação geral: o nível geral de satisfação sexual.
O IIEF-5 tem se mostrado uma ferramenta válida e confiável para avaliar a disfunção erétil em homens com LUTS. Ele pode ser usado para monitorar a resposta ao tratamento e para avaliar o impacto da LUTS na função sexual.</t>
  </si>
  <si>
    <t>O questionário Índice Internacional de Função Erétil (IIEF) foi traduzido e adaptado transculturalmente para o português brasileiro, sendo utilizado para avaliar a disfunção erétil em homens brasileiros com sintomas do trato urinário inferior (LUTS).
O IIEF consiste em 15 questões que abrangem 5 domínios da função erétil:
Função erétil: avalia a capacidade de obter e manter uma ereção;
Função orgásmica: avalia a capacidade de atingir o orgasmo;
Desejo sexual: avalia o interesse e a frequência da atividade sexual;
Satisfação com o intercurso sexual: avalia a satisfação com a qualidade da relação sexual;
Satisfação global: avalia a satisfação geral com a vida sexual.
O IIEF é um instrumento validado e confiável, sendo amplamente utilizado em pesquisas e na prática clínica para avaliar a disfunção erétil em homens com LUTS.
Além do IIEF, outros instrumentos também podem ser utilizados para avaliar a disfunção sexual em homens brasileiros com LUTS, como:
Quociente Sexual - Versão Masculina (QS-M): um instrumento de fácil manuseio e linguagem acessível que avalia vários domínios da função sexual masculina.
Escala de Autoeficácia Sexual - Função Erétil (SSES-E): avalia a autoconfiança na capacidade de obter e manter uma ereção.
A escolha do instrumento a ser utilizado dependerá do objetivo da avaliação e das características do paciente.</t>
  </si>
  <si>
    <t>O instrumento adaptado para avaliar a disfunção sexual em homens brasileiros com sintomas do trato urinário inferior é o Índice de Função Sexual Masculina (IFSM), também conhecido como International Index of Erectile Function (IIEF). Esse questionário foi traduzido e validado para o português para permitir a avaliação da disfunção sexual em homens, especialmente aqueles que apresentam sintomas relacionados ao trato urinário inferior, como aqueles com hiperplasia prostática benigna (HPB). A adaptação cultural e linguística do instrumento foi realizada para garantir que fosse adequado para a população brasileira.</t>
  </si>
  <si>
    <t>O instrumento adaptado para avaliar a disfunção sexual em homens brasileiros com sintomas do trato urinário inferior foi o International Index of Erectile Function (IIEF). Esse índice, que é amplamente utilizado para medir a função sexual, foi adaptado e validado para a população brasileira para permitir uma avaliação mais precisa dos sintomas e das disfunções sexuais nesses pacientes. A adaptação considerou a linguagem, contexto cultural e especificidades relacionadas à saúde masculina no Brasil.</t>
  </si>
  <si>
    <t>Segurar urina por muito tempo pode ser prejudicial?</t>
  </si>
  <si>
    <t>Sim, segurar a urina por muito tempo pode ser prejudicial à saúde. Aqui estão alguns dos principais riscos:
Infecções Urinárias (ITUs) – A urina retida na bexiga por muito tempo pode favorecer a proliferação de bactérias, aumentando o risco de infecções do trato urinário.
Dilatamento da Bexiga – A bexiga pode se esticar além do normal, o que pode levar a dificuldades em esvaziá-la completamente no futuro.
Pedras nos Rins – A retenção prolongada de urina pode contribuir para a formação de cálculos renais, já que minerais e resíduos podem se cristalizar.
Refluxo Vesicoureteral – A pressão excessiva na bexiga pode forçar a urina a voltar para os rins, o que pode causar infecções e danos renais.
Dor e Desconforto – Além de ser desconfortável, segurar a urina pode causar cólicas na bexiga e no abdômen.
O ideal é atender à vontade de urinar sempre que possível para evitar esses problemas. Se houver dificuldade para urinar ou dor persistente, é recomendável procurar um médico.</t>
  </si>
  <si>
    <t>Sim, segurar a urina por muito tempo pode ser prejudicial à saúde. Isso pode causar problemas como:
Infecções urinárias: A urina acumulada pode facilitar a proliferação de bactérias no trato urinário.
Cálculos renais: A retenção frequente pode aumentar o risco de formação de pedras nos rins.
Enfraquecimento da bexiga: O hábito pode comprometer o funcionamento normal da bexiga, dificultando o esvaziamento completo.
Refluxo urinário: A urina pode retornar para os rins, causando danos renais.
Dor e desconforto: O acúmulo de urina pode causar dor abdominal e até espasmos musculares.
O ideal é atender ao desejo de urinar sempre que sentir vontade, evitando complicações futuras.</t>
  </si>
  <si>
    <t>Sim, segurar a urina por muito tempo pode ser prejudicial à saúde. Fazer isso de forma frequente pode aumentar o risco de infecções do trato urinário, além de possivelmente levar a outros problemas como a retenção urinária e danos nos músculos da bexiga. É importante ir ao banheiro regularmente e esvaziar a bexiga completamente para manter o sistema urinário saudável.</t>
  </si>
  <si>
    <t>Sim, segurar a urina por muito tempo pode ser prejudicial à saúde. Isso pode levar a uma série de problemas, como infecções do trato urinário, porque as bactérias têm mais tempo para crescer quando a urina fica retida na bexiga. Além disso, reter a urina por períodos prolongados pode aumentar a pressão na bexiga e nos rins, podendo causar dor, inchaço e até mesmo danos mais sérios a longo prazo. É importante ir ao banheiro regularmente e esvaziar completamente a bexiga quando sentir vontade de urinar.</t>
  </si>
  <si>
    <t>Sim, segurar a urina por muito tempo pode ser prejudicial à saúde, pois pode causar:
Infecção urinária: A urina retida na bexiga por longos períodos pode propiciar a proliferação de bactérias, aumentando o risco de infecções do trato urinário.
Disfunções na bexiga: A retenção prolongada de urina pode enfraquecer os músculos da bexiga, causando incontinência urinária.
Problemas renais: Em casos extremos, a urina pode retornar aos rins, causando infecções e danos renais.
Cálculos renais: Segurar a urina por muito tempo pode contribuir para a formação de pedras nos rins.
Dificuldade em urinar: A retenção prolongada pode dificultar o esvaziamento completo da bexiga.
Com que frequência é normal urinar?
A frequência normal de micção varia de pessoa para pessoa, dependendo da quantidade de líquidos ingeridos, da temperatura ambiente e de outros fatores. Em geral, urinar de 4 a 10 vezes por dia é considerado normal.
Quando procurar um médico?
É importante procurar um médico caso você sinta dor ao urinar, tenha necessidade frequente de urinar ou esteja urinando com muita frequência ou pouca frequência.</t>
  </si>
  <si>
    <t>Sim, segurar a urina por muito tempo pode ser prejudicial à saúde. Embora a bexiga seja um órgão elástico capaz de armazenar urina, forçá-la a reter o líquido urinário por longos períodos pode levar a complicações a curto e longo prazo.
Possíveis consequências de segurar a urina:
Infecção urinária: A urina contém bactérias que, se permanecerem na bexiga por tempo prolongado, podem se multiplicar e causar infecção.
Disfunção da bexiga: Reter a urina com frequência pode enfraquecer os músculos da bexiga, dificultando o esvaziamento completo e causando incontinência urinária.
Dor e desconforto: A retenção prolongada pode causar dor na bexiga, na região pélvica e nos rins.
Cálculo renal: Em pessoas com predisposição, segurar a urina pode aumentar o risco de formação de cálculos renais.
Hidronefrose: Em casos extremos, a retenção urinária pode causar hidronefrose, uma condição em que os rins incham devido ao acúmulo de urina.
Com que frequência devemos urinar?
A frequência urinária varia de pessoa para pessoa, mas, em média, o ideal é urinar de 6 a 8 vezes por dia. No entanto, essa frequência pode ser influenciada por fatores como a quantidade de líquidos ingeridos, a temperatura ambiente e o uso de medicamentos.
Recomendações:
Sempre que sentir vontade de urinar, vá ao banheiro.
Não se force a segurar a urina por longos períodos, mesmo em situações inconvenientes.
Mantenha-se hidratado, bebendo água regularmente.
Se sentir dor ao urinar ou notar alterações na cor ou no odor da urina, procure um médico.
Se você tiver dúvidas sobre a frequência urinária ideal para você ou se estiver preocupado com a saúde da sua bexiga, converse com seu médico.</t>
  </si>
  <si>
    <t xml:space="preserve">Sim, segurar urina por muito tempo pode ser prejudicial à saúde. Quando a bexiga está cheia e a urina não é eliminada, a pressão sobre a bexiga e os órgãos próximos pode causar desconforto e até complicações a longo prazo, como infecções urinárias, aumento do risco de incontinência e, em casos mais graves, danos à bexiga. Além disso, segurar urina regularmente pode enfraquecer os músculos da bexiga, tornando mais difícil esvaziá-la completamente quando necessário.
</t>
  </si>
  <si>
    <t>Sim, segurar urina por muito tempo pode ser prejudicial à saúde. Quando você segura a urina por períodos prolongados, a bexiga se estica, o que pode causar desconforto e, a longo prazo, prejudicar sua função. Além disso, pode aumentar o risco de infecções urinárias, já que a urina fica retida na bexiga por mais tempo, criando um ambiente propício para o crescimento bacteriano. Em casos extremos, pode até levar a problemas renais ou à incapacidade de esvaziar completamente a bexiga. Por isso, é importante urinar quando sentir vontade.</t>
  </si>
  <si>
    <t>O que é necessário antes de fortalecer os músculos pélvicos?</t>
  </si>
  <si>
    <t>Antes de fortalecer os músculos pélvicos, é importante seguir algumas etapas para garantir que o treinamento seja seguro e eficaz:
Avaliação Médica – Consulte um médico ou fisioterapeuta especializado em saúde pélvica para identificar possíveis disfunções, como fraqueza ou hipertonia (excesso de tensão) nos músculos do assoalho pélvico.
Consciência Corporal – Antes de iniciar os exercícios, é fundamental saber localizar e sentir a contração dos músculos pélvicos corretamente. Isso pode ser feito com técnicas de biofeedback ou palpação.
Correção da Postura – A postura influencia a função do assoalho pélvico. Uma postura inadequada pode comprometer a eficácia dos exercícios.
Relaxamento Muscular – Se houver tensão excessiva nos músculos pélvicos, pode ser necessário um trabalho de relaxamento antes de iniciar o fortalecimento.
Respiração Adequada – A coordenação entre respiração e contração muscular é essencial. A ativação do assoalho pélvico deve ser sincronizada com a expiração para evitar pressão desnecessária sobre a região.
Função Intestinal e Vesical – Problemas como constipação ou incontinência urinária devem ser controlados para evitar que o fortalecimento piore os sintomas.
Escolha dos Exercícios Adequados – Nem todos os exercícios pélvicos servem para todas as pessoas. A orientação de um profissional pode ajudar a selecionar os melhores para cada caso.
Seguir essas etapas antes de iniciar o fortalecimento do assoalho pélvico pode prevenir lesões e melhorar os resultados dos exercícios.</t>
  </si>
  <si>
    <t>Antes de fortalecer os músculos pélvicos, é essencial considerar os seguintes aspectos:
Avaliação médica – Consulte um profissional de saúde (fisioterapeuta especializado em assoalho pélvico ou médico) para verificar se há alguma disfunção, como fraqueza, tensão excessiva ou prolapsos.
Consciência corporal – Antes de fortalecer, é fundamental identificar corretamente os músculos do assoalho pélvico. Exercícios de biofeedback ou orientação profissional podem ajudar.
Relaxamento muscular – Algumas pessoas têm músculos pélvicos excessivamente contraídos. Antes de fortalecer, pode ser necessário aprender a relaxá-los para evitar dor e disfunções.
Postura adequada – A posição da pelve e da coluna influencia a função do assoalho pélvico. Melhorar a postura pode otimizar os exercícios.
Respiração correta – A coordenação entre a respiração e a ativação do assoalho pélvico é importante. Praticar respiração diafragmática ajuda na execução correta dos exercícios.
Exclusão de problemas urinários ou intestinais – Se houver sintomas como incontinência urinária, constipação ou dor pélvica, um profissional pode recomendar ajustes nos exercícios.
Após esses passos, pode-se iniciar um programa de fortalecimento com exercícios como os de Kegel, sempre com orientação adequada para evitar sobrecarga ou compensações inadequadas.</t>
  </si>
  <si>
    <t>Antes de começar a fortalecer os músculos pélvicos, é importante ter alguns cuidados e preparações:
Consulta Médica: É aconselhável consultar um médico ou um fisioterapeuta especializado em saúde pélvica antes de começar qualquer programa de exercícios. Eles podem avaliar sua condição específica e sugerir os exercícios mais adequados, especialmente se houver questões como incontinência, prolapso ou dor pélvica.
Entender a Musculatura Pélvica: Compreender a localização e a função dos músculos do assoalho pélvico pode ajudar a garantir que você está realizando os exercícios corretamente. Esses músculos suportam os órgãos pélvicos e controlam a abertura da uretra, vagina e ânus.
Aprender a Técnica Correta: Aprender a contrair e relaxar corretamente os músculos do assoalho pélvico é crucial. Exercícios como os de Kegel são comuns para fortalecer essa região, mas devem ser feitos corretamente para evitar tensão excessiva ou uso incorreto de outros músculos, como os abdominais, glúteos ou coxas.
Aquecimento: Assim como com outros tipos de exercício físico, um leve aquecimento pode ser benéfico antes de iniciar os exercícios pélvicos para aumentar o fluxo sanguíneo para a área e prevenir lesões.
Definir um Plano Regular: Estabelecer uma rotina regular de exercícios é importante para obter resultados. A consistência é a chave.
Monitorar o Progresso e as Sensações: É importante prestar atenção em como seu corpo responde aos exercícios e se ajustar conforme necessário. Se sentir dor ou desconforto, é importante parar e consultar um profissional.
Esses passos podem ajudar a garantir que você inicie o fortalecimento dos músculos pélvicos de forma segura e eficaz.</t>
  </si>
  <si>
    <t>Antes de fortalecer os músculos pélvicos, é importante seguir algumas etapas para garantir que você faça os exercícios corretamente e de maneira segura:
Avaliação Médica: Consulte um profissional de saúde para verificar se há condições que possam ser afetadas por exercícios de fortalecimento pélvico, como prolapso, incontinência ou dor pélvica.
Identificar os Músculos Corretos: Aprender a identificar os músculos do assoalho pélvico é crucial. Uma maneira de identificá-los é tentar interromper o fluxo de urina ao usar o banheiro. No entanto, isso deve ser feito apenas para identificação dos músculos, e não como um exercício regular.
Técnica Correta: É essencial aprender a técnica correta. Isso pode incluir aprender a contrair os músculos sem apertar outros músculos, como os abdominais, glúteos ou coxas.
Respiração: Manter uma respiração correta durante os exercícios é importante. Deve-se respirar normalmente enquanto contrai e relaxa os músculos pélvicos.
Progressão Gradual: Comece com poucas repetições e aumente gradualmente tanto a quantidade quanto a intensidade à medida que os músculos se fortalecem.
Consistência: A regularidade é chave. Os exercícios, como os exercícios de Kegel, devem ser feitos regularmente para melhores resultados.
Orientação de um Especialista: Considerar a orientação de um fisioterapeuta especializado em saúde pélvica pode ser muito útil para garantir que os exercícios estão sendo realizados corretamente.
Seguir essas diretrizes pode ajudar a maximizar os benefícios dos exercícios para os músculos pélvicos e evitar possíveis danos.</t>
  </si>
  <si>
    <t>Antes de iniciar um programa de fortalecimento dos músculos pélvicos, é importante considerar alguns aspectos para garantir a eficácia dos exercícios e evitar lesões.
Avaliação Profissional
Consulta médica: É fundamental consultar um médico ou fisioterapeuta especializado em saúde pélvica. O profissional poderá avaliar a condição dos seus músculos pélvicos, identificar possíveis problemas e orientar sobre os exercícios mais adequados para o seu caso.
Identificação dos músculos: Para exercitar os músculos certos, é importante saber localizá-los. Uma forma de fazer isso é tentar interromper o fluxo de urina durante a micção. Os músculos que você contrai para realizar essa ação são os músculos do assoalho pélvico. No entanto, não faça isso com frequência, pois pode prejudicar o funcionamento da bexiga.
Preparação para os exercícios
Esvazie a bexiga: Antes de iniciar os exercícios, certifique-se de que sua bexiga esteja vazia. Isso evita desconforto e garante que você esteja concentrando a força nos músculos corretos.
Postura correta: Os exercícios podem ser realizados em diferentes posições, como deitado, sentado ou em pé. O importante é manter a coluna ereta e os músculos relaxados, com exceção dos músculos pélvicos.
Respiração: A respiração é fundamental durante os exercícios. Inspire profundamente pelo nariz e expire pela boca, contraindo os músculos pélvicos durante a expiração.
Regularidade: A consistência é fundamental para obter resultados. Realize os exercícios regularmente, de preferência todos os dias, seguindo as orientações do profissional de saúde.
Observações
Em alguns casos, biofeedback ou estimulação elétrica podem ser utilizados para aumentar a eficácia dos exercícios.
Lembre-se que cada pessoa é única, e as necessidades podem variar. As informações acima são apenas um guia geral e não substituem a orientação de um profissional de saúde.</t>
  </si>
  <si>
    <t>Antes de iniciar um programa de fortalecimento dos músculos pélvicos, é crucial considerar alguns aspectos importantes para garantir a eficácia dos exercícios e evitar possíveis complicações:
Avaliação profissional:
Uma avaliação com um fisioterapeuta especializado em reabilitação pélvica é fundamental. Este profissional pode avaliar o estado da musculatura pélvica, identificar possíveis disfunções e orientar sobre os exercícios mais adequados para cada caso.
Consciência da musculatura:
É essencial aprender a identificar e isolar os músculos do assoalho pélvico. A dificuldade em contrair os músculos certos pode levar a exercícios ineficazes ou mesmo prejudiciais.
Técnica correta:
Realizar os exercícios de forma inadequada pode não trazer os resultados esperados e até mesmo agravar problemas existentes. A orientação de um profissional é importante para aprender a técnica correta de contração e relaxamento dos músculos pélvicos.
Respiração adequada:
A respiração desempenha um papel importante durante os exercícios pélvicos. É necessário aprender a coordenar a respiração com as contrações musculares para otimizar os resultados.
Consistência:
Como qualquer programa de exercícios, o fortalecimento dos músculos pélvicos requer consistência. A prática regular dos exercícios é fundamental para obter resultados duradouros.
Conhecer o que não fazer:
Saber proteger o soalho pelvico de atividades que prejudicam essa musculatura.
Condições de saúde:
É importante considerar condições de saúde pré-existentes que possam influenciar nos exercícios pélvicos. Pessoas com dor pélvica crônica, prolapso de órgãos pélvicos ou outras condições específicas devem buscar orientação profissional antes de iniciar qualquer programa de fortalecimento.
Ao considerar esses aspectos, você estará melhor preparado para fortalecer seus músculos pélvicos de forma segura e eficaz.</t>
  </si>
  <si>
    <t>Antes de fortalecer os músculos pélvicos, é importante seguir alguns passos preparatórios:
Avaliação Médica: Se você tiver problemas relacionados à bexiga, intestinos ou dor pélvica, é importante consultar um médico ou fisioterapeuta especializado em saúde pélvica. Eles podem avaliar se você tem algum distúrbio ou condição que precise de atenção antes de iniciar os exercícios.
Entendimento da Anatomia Pélvica: Conhecer a localização dos músculos pélvicos, como o músculo pubococcígeo, pode ajudar a realizar os exercícios de forma correta. Às vezes, pode ser útil consultar um fisioterapeuta especializado para garantir que você está se concentrando na área certa.
Relaxamento Muscular: Certifique-se de que os músculos pélvicos não estão tensos antes de começar os exercícios. A tensão excessiva pode dificultar a execução correta dos exercícios e aumentar o risco de lesões.
Estabelecer Objetivos: Antes de iniciar os exercícios, é bom ter uma ideia clara de por que você está treinando esses músculos (por exemplo, melhorar o controle da bexiga, fortalecer o pós-parto, prevenir ou tratar a incontinência urinária, etc.).
Com esses passos, você estará mais preparado para fortalecer os músculos pélvicos de forma eficaz e segura.</t>
  </si>
  <si>
    <t>Antes de fortalecer os músculos pélvicos, é importante considerar alguns fatores:
Avaliação Médica: É fundamental fazer uma avaliação com um profissional de saúde, como um médico ou fisioterapeuta especializado em saúde pélvica, para identificar se há condições que possam afetar os músculos pélvicos, como incontinência urinária, prolapso de órgãos pélvicos ou outras disfunções.
Entendimento da Anatomia: Conhecer a anatomia da região pélvica e como os músculos funcionam pode ser útil para realizar os exercícios corretamente. A fisioterapia pode ajudar a ensinar a identificação e o controle dos músculos.
Postura Adequada: A postura correta é crucial para evitar tensões indevidas durante os exercícios. Por isso, é importante aprender a manter uma boa postura ao realizar os exercícios pélvicos.
Consistência e Paciência: O fortalecimento dos músculos pélvicos pode exigir prática constante. Ter paciência e praticar regularmente é essencial para obter resultados eficazes.
Após considerar esses pontos, você pode iniciar os exercícios de fortalecimento de forma segura e eficiente. Se sentir desconforto ou dor, é sempre recomendável interromper e procurar orientação profissional.</t>
  </si>
  <si>
    <t>Qual a função do aplicativo desenvolvido para pacientes com incontinência urinária?</t>
  </si>
  <si>
    <t>O aplicativo IUProst foi desenvolvido para auxiliar no controle da incontinência urinária em homens que passaram por prostatectomia radical. Ele serve como uma ferramenta tecnológica para ajudar os pacientes na adesão a comportamentos saudáveis, na execução de exercícios para fortalecimento da musculatura pélvica e na compreensão do processo de tratamento. Além disso, o aplicativo busca complementar o tratamento presencial, oferecendo acesso facilitado a informações e estimulando a prática do autocuidado.
O IUProst inclui:
Um diário miccional atualizado;
Treinamento da musculatura do assoalho pélvico;
Oito menus principais;
Oito vídeos educativos com orientações sobre os exercícios;
Três vídeos com depoimentos de pacientes e familiares;
Funcionalidades como interação com profissionais da saúde e notificações para lembretes do tratamento.
Ele foi avaliado conforme a norma ISO/IEC 25010 (2011) e considerado de qualidade pelos especialistas das áreas de incontinência urinária e desenvolvimento de software​</t>
  </si>
  <si>
    <t>O aplicativo IUProst foi desenvolvido para auxiliar no controle da incontinência urinária em homens submetidos à prostatectomia radical. Ele tem como principal função ajudar os pacientes na adesão a comportamentos saudáveis, na realização de exercícios de fortalecimento da musculatura pélvica e na compreensão do tratamento, em complemento ao acompanhamento presencial.
Principais características do aplicativo IUProst:
Educação e Informação:
Baseado em um programa cognitivo-comportamental, o aplicativo oferece conteúdos atualizados sobre incontinência urinária, tratamento e autocuidado.
Inclui um livreto digital com orientações baseadas nas diretrizes da International Continence Society.
Treinamento Muscular do Assoalho Pélvico (TMAP):
Contém vídeos educativos para orientar os pacientes na realização correta dos exercícios.
Ajuda a melhorar a adesão ao tratamento e à prática de exercícios para fortalecimento da musculatura pélvica.
Diário Miccional:
Permite que o paciente registre ingestão de líquidos, volume urinário e episódios de perda de urina.
Ajuda no monitoramento do progresso do tratamento.
Monitoramento e Acompanhamento:
Possui ferramentas para acompanhar a evolução do paciente.
Inclui menus de dados clínicos e questionários de qualidade de vida e sintomas urinários.
Interação com Profissionais de Saúde:
Conta com um menu de contato com profissionais, permitindo comunicação para esclarecimento de dúvidas.
Gamificação e Motivação:
Inclui um sistema de conquistas e recompensas para estimular o paciente a continuar o tratamento.
O IUProst foi avaliado por especialistas em incontinência urinária e em desenvolvimento de software, sendo considerado uma ferramenta de qualidade para apoio ao tratamento da incontinência urinária masculina pós-cirúrgica​</t>
  </si>
  <si>
    <t>O aplicativo desenvolvido para pacientes com incontinência urinária geralmente tem várias funções importantes para ajudar no manejo dessa condição. Aqui estão algumas das principais funcionalidades que esses tipos de aplicativos podem oferecer:
Monitoramento e Registro: Os usuários podem registrar episódios de incontinência, urgência urinária e frequência de idas ao banheiro. Isso ajuda a monitorar a condição ao longo do tempo e pode ser útil durante consultas médicas.
Lembretes para Exercícios Pélvicos: Muitos aplicativos oferecem lembretes para realizar exercícios de fortalecimento do assoalho pélvico, como os exercícios de Kegel, que são importantes para melhorar o controle da bexiga.
Dicas e Informações Educacionais: Informações sobre incontinência, dicas de estilo de vida e medidas preventivas podem ser fornecidas para educar e ajudar os pacientes a gerenciar seus sintomas.
Controle de Hidratação: Alguns aplicativos permitem o monitoramento da ingestão de líquidos, o que é crucial, pois tanto a desidratação quanto a ingestão excessiva de líquidos podem afetar a incontinência.
Suporte e Comunidade: Recursos de comunidade ou suporte podem estar disponíveis para conectar usuários com outras pessoas que enfrentam desafios semelhantes, proporcionando um espaço para compartilhar experiências e dicas.
Feedback e Relatórios: Os aplicativos podem gerar relatórios ou feedback baseados nos dados inseridos pelo usuário, oferecendo insights sobre padrões ou progressos.
Essas funcionalidades não só ajudam na gestão diária da incontinência urinária, mas também promovem uma melhor comunicação entre pacientes e profissionais de saúde, potencializando um tratamento mais eficaz e personalizado.</t>
  </si>
  <si>
    <t>O aplicativo desenvolvido para pacientes com incontinência urinária geralmente tem várias funções destinadas a ajudar na gestão e melhoria da qualidade de vida desses pacientes. Aqui estão algumas funções típicas que esses aplicativos podem incluir:
Rastreamento de Sintomas: Permite aos usuários registrar episódios de incontinência, urgência urinária, frequência de idas ao banheiro, e volume de urina. Isso ajuda tanto o paciente quanto os profissionais de saúde a entenderem melhor os padrões e gatilhos da incontinência.
Programas de Treinamento Vesical: Oferece programas personalizados para treinar a bexiga, como exercícios de fortalecimento dos músculos pélvicos (exercícios de Kegel) e técnicas de adiamento, que podem ajudar a aumentar o controle sobre a bexiga.
Lembretes: Configura lembretes para ir ao banheiro em horários programados (treinamento da bexiga) ou para realizar exercícios pélvicos, auxiliando na aderência ao tratamento.
Educação e Informações: Fornece informações educativas sobre incontinência urinária, incluindo causas, tipos, tratamentos disponíveis, e dicas de estilo de vida para ajudar a gerenciar os sintomas.
Suporte Comunitário e Conectividade: Pode incluir fóruns ou grupos de suporte onde os usuários podem compartilhar experiências e dicas, reduzindo o estigma e promovendo o apoio mútuo.
Feedback e Análise de Progresso: Alguns aplicativos podem oferecer feedback baseado nos dados inseridos pelos usuários, mostrando o progresso ao longo do tempo e ajustando as recomendações de tratamento conforme necessário.
Esses aplicativos podem ser uma ferramenta valiosa para o auto-gerenciamento da incontinência, proporcionando maior autonomia e controle para os pacientes sobre sua condição.</t>
  </si>
  <si>
    <t xml:space="preserve">
O aplicativo desenvolvido, chamado IUProst, visa auxiliar homens que passaram por prostatectomia radical e sofrem de incontinência urinária.  Ele fornece informações sobre a cirurgia, tratamento e mudanças no estilo de vida, além de exercícios para a musculatura pélvica, diários miccionais e gráficos de evolução.  O aplicativo também inclui vídeos explicativos sobre os exercícios, relatos de pacientes e contato com profissionais de saúde.    
O objetivo principal do IUProst é ser uma ferramenta complementar ao tratamento, ajudando os pacientes a terem acesso a informações e suporte para a realização dos exercícios, sem restrições de tempo e espaço.  O aplicativo também busca promover a educação em saúde e o autocuidado, além de estreitar a comunicação entre pacientes e profissionais de saúde.</t>
  </si>
  <si>
    <t xml:space="preserve">
O aplicativo foi desenvolvido para auxiliar no tratamento da incontinência urinária em homens que se submeteram à prostatectomia radical.  Ele fornece acesso interativo a informações sobre a saúde do paciente, incluindo orientações de autocuidado e autoconhecimento sobre a IU.  O aplicativo também permite contato com profissionais de saúde, o que pode ajudar a melhorar a qualidade de vida do paciente.</t>
  </si>
  <si>
    <t>O aplicativo desenvolvido para pacientes com incontinência urinária tem como função principal auxiliar no monitoramento e gerenciamento dessa condição. Ele pode oferecer várias funcionalidades, incluindo:
Registro de sintomas: Permite que os pacientes registrem episódios de incontinência urinária, como frequência, intensidade e horário dos episódios, ajudando a identificar padrões.
Alertas e lembretes: Envia lembretes para o paciente realizar exercícios para fortalecimento do assoalho pélvico, tomar medicamentos ou realizar consultas médicas.
Monitoramento de hábitos: O aplicativo pode ajudar o paciente a acompanhar o consumo de líquidos, controle da alimentação e outros fatores que podem influenciar a condição.
Educação e orientações: Oferece informações sobre a incontinência urinária, tratamentos possíveis, técnicas de exercícios, e conselhos sobre a melhor maneira de lidar com a condição.
Análise e relatórios: Gera relatórios detalhados para os pacientes e seus médicos, facilitando o acompanhamento da evolução do quadro e ajustando o tratamento conforme necessário.
Apoio psicológico: Alguns aplicativos também oferecem suporte psicológico ou acesso a grupos de apoio, ajudando os pacientes a lidarem com o impacto emocional dessa condição.
Esses aplicativos têm como objetivo melhorar a qualidade de vida dos pacientes, oferecendo ferramentas para um melhor controle da incontinência urinária e promovendo a adesão ao tratamento.</t>
  </si>
  <si>
    <t>O aplicativo desenvolvido para pacientes com incontinência urinária tem como função principal ajudar no monitoramento e controle da condição. Ele pode incluir funcionalidades como:
Registro de Sintomas: Permite que o paciente registre episódios de incontinência urinária, como frequência e intensidade, para acompanhar o progresso e ajudar no diagnóstico médico.
Lembretes de Exercícios: Envia notificações para lembrar o paciente de realizar exercícios de fortalecimento do assoalho pélvico, que são fundamentais para o tratamento.
Educação: Oferece informações sobre o que é a incontinência urinária, como preveni-la e tratá-la, além de sugerir mudanças no estilo de vida e dietas que podem ajudar a controlar a condição.
Monitoramento de Medicamentos: Permite que o paciente registre o uso de medicamentos prescritos, além de alertar sobre a necessidade de tomar os remédios na hora certa.
Consultas e Acompanhamento Médico: Facilita a comunicação com os profissionais de saúde, permitindo que o paciente envie registros de sintomas e receba feedback ou ajustes no tratamento.
Relatórios para o Médico: Gera relatórios sobre o histórico dos sintomas e tratamentos, que podem ser compartilhados diretamente com o médico para um acompanhamento mais eficiente.
Esses aplicativos buscam melhorar a qualidade de vida dos pacientes, promovendo o controle da incontinência urinária de maneira prática e acessível.</t>
  </si>
  <si>
    <t>Quais intervenções de enfermagem foram validadas para a alta de pacientes submetidos à prostatectomia?</t>
  </si>
  <si>
    <t>​Diversos estudos buscaram validar intervenções de enfermagem para a alta de pacientes submetidos à prostatectomia. Em uma revisão integrativa da literatura, foram identificadas 93 intervenções agrupadas em 11 categorias, incluindo cuidados gerais, manejo do cateter vesical, orientações sobre sinais e sintomas pós-operatórios esperados, retorno às atividades, reconhecimento de complicações, nutrição e hidratação, prevenção de infecções, administração de medicamentos, higiene, controle da dor e exercícios pélvicos. ​
pesquisa.bvsalud.org
+3
scielo.br
+3
pdfs.semanticscholar.org
+3
Posteriormente, essas intervenções foram submetidas à validação por peritos, resultando na confirmação de 84 intervenções consideradas adequadas para o preparo da alta de pacientes prostatectomizados. Apenas uma intervenção foi considerada relativamente adequada, enquanto as demais foram validadas como adequadas. ​
pesquisa.bvsalud.org
+3
pdfs.semanticscholar.org
+3
scielo.br
+3
repositorio.usp.br
+2
scielo.br
+2
pdfs.semanticscholar.org
+2
Essas intervenções validadas fornecem uma base para a elaboração de planos de alta eficazes, visando a recuperação e o bem-estar dos pacientes após a cirurgia.</t>
  </si>
  <si>
    <t xml:space="preserve">​Diversos estudos têm validado intervenções de enfermagem essenciais para a alta de pacientes submetidos à prostatectomia. Essas intervenções, agrupadas em categorias, visam preparar o paciente para os cuidados pós-operatórios e promover sua recuperação adequada.​
scielo.br
+1
researchgate.net
+1
pdfs.semanticscholar.org
+1
scielo.br
+1
1. Cuidados com o cateter vesical:
Ensinar o paciente a monitorar o cateter para evitar obstruções, prevenindo distensão vesical e dor.​
scielo.br
Orientar sobre a higienização adequada do cateter e sinais de possíveis complicações.​
2. Controle da dor e de outros sintomas:
Instruir o paciente sobre o manejo de sintomas como dor, espasmos vesicais, constipação, fadiga, distúrbios do sono, edema ou náusea.​
scielo.br
Orientar sobre técnicas farmacológicas e não farmacológicas para alívio da dor, incluindo banhos de assento mornos ou compressas mornas na região suprapúbica após a remoção do cateter.​
scielo.br
3. Prevenção de infecções:
Informar sobre a importância da ingestão adequada de líquidos não irritantes para a bexiga.​
scielo.br
Orientar sobre cuidados de higiene pessoal para prevenir infecções urinárias e de feridas cirúrgicas.​
4. Exercícios pélvicos:
Ensinar exercícios para fortalecimento do assoalho pélvico, visando melhorar o controle urinário e reduzir a incontinência.​
scielo.br
5. Retorno às atividades:
Fornecer orientações sobre a retomada gradual das atividades diárias e exercícios físicos, respeitando os limites individuais e o período de recuperação.​
6. Sinais e sintomas de complicações:
Educar o paciente e seus familiares sobre sinais de possíveis complicações pós-operatórias e as ações a serem tomadas caso ocorram.​
7. Aspectos emocionais e psicológicos:
Oferecer suporte emocional, abordando possíveis alterações na função sexual e incentivando a comunicação aberta sobre preocupações e expectativas.​
Essas intervenções foram validadas por especialistas e são fundamentais para a elaboração de planos de alta eficazes, contribuindo para a recuperação e qualidade de vida dos pacientes prostatectomizados. </t>
  </si>
  <si>
    <t>Intervenções de enfermagem validadas para a alta de pacientes submetidos à prostatectomia geralmente focam em facilitar a recuperação segura e eficaz, minimizando complicações. Algumas dessas intervenções incluem:
Educação do Paciente: Instruções sobre cuidados com a ferida cirúrgica, reconhecimento de sinais de infecção ou complicações, e orientações sobre a atividade física e restrições.
Manejo da Dor: Ensinar o paciente a usar medicamentos para dor conforme prescrito e avaliar a eficácia do tratamento da dor.
Cuidados com a Sonda Vesical: Instruções sobre o manejo da sonda vesical, se aplicável, incluindo como esvaziá-la e cuidar para evitar infecções.
Atividade e Exercício: Orientações sobre a retomada gradual das atividades diárias e exercícios específicos para fortalecer os músculos do assoalho pélvico, que podem ajudar na recuperação da função urinária.
Nutrição e Hidratação: Conselhos sobre uma dieta equilibrada rica em fibras para evitar constipação, que pode afetar a área cirúrgica, e a importância da hidratação adequada.
Suporte Emocional: Discutir o impacto emocional da cirurgia, incluindo mudanças na imagem corporal e função sexual, e fornecer informações sobre suporte psicológico ou grupos de apoio.
Acompanhamento: Agendar visitas de acompanhamento para monitorar a progressão da recuperação, avaliar a função urinária e verificar a presença de complicações potenciais como incontinência urinária ou disfunção erétil.</t>
  </si>
  <si>
    <t>A alta de pacientes que passaram por uma prostatectomia exige cuidados específicos para garantir uma recuperação segura e eficaz. Aqui estão algumas intervenções de enfermagem validadas para esse processo:
Educação do Paciente e da Família: Instruir o paciente e seus familiares sobre cuidados pós-operatórios, como a gestão da dor, técnicas para evitar infecções, manejo de drenos ou cateteres, e sinais de complicações que devem ser reportados imediatamente à equipe médica.
Manejo da Dor: Monitoramento e administração de analgésicos conforme prescrição médica para controle da dor, o que é crucial para promover o conforto e facilitar a mobilização precoce.
Cuidados com a Ferida Operatória: Inspecionar regularmente a incisão para sinais de infecção ou deiscência e orientar o paciente sobre como cuidar da ferida em casa.
Manejo do Cateter Urinário: Educar o paciente sobre o cuidado com o cateter urinário, se aplicável, incluindo técnicas de higiene para prevenir infecções do trato urinário.
Promoção da Mobilidade: Encorajar atividades leves e caminhadas frequentes para prevenir complicações como trombose venosa profunda.
Monitoramento de Sinais Vitais e Funções Corporais: Acompanhamento contínuo de sinais vitais, estado de hidratação e função intestinal e urinária para identificar precocemente quaisquer desvios dos padrões esperados.
Suporte Nutricional: Orientar sobre uma dieta adequada para promover a cicatrização de feridas e manter uma boa nutrição.
Reabilitação do Assoalho Pélvico: Instruir sobre exercícios de fortalecimento do assoalho pélvico para ajudar na recuperação da função urinária e reduzir o risco de incontinência.
Estas intervenções são fundamentais para garantir uma alta segura e ajudar na recuperação do paciente após a prostatectomia.</t>
  </si>
  <si>
    <t>A alta hospitalar de pacientes submetidos à prostatectomia exige um plano de cuidados individualizado e abrangente, com intervenções de enfermagem que assegurem a recuperação segura e eficaz no domicílio. As principais intervenções validadas incluem:
1. Cuidados com a sonda vesical:
Manuseio e higiene: Orientar o paciente sobre o manuseio correto da sonda, incluindo técnicas de higiene para prevenir infecções.
Drenagem: Instruir sobre o esvaziamento da bolsa coletora, observação da coloração e volume da urina, e reconhecimento de sinais de alerta (obstrução, vazamento, etc.).
Remoção: Explicar o processo de remoção da sonda e os cuidados após a retirada, como controle urinário e possíveis desconfortos.
2. Controle da dor:
Medicação: Orientar sobre o uso correto de analgésicos prescritos, horários, doses e possíveis efeitos colaterais.
Técnicas não farmacológicas: Ensinar técnicas de relaxamento, respiração profunda e outras medidas para alívio da dor.
3. Prevenção de infecções:
Higiene: Reforçar a importância da higiene pessoal, especialmente da área genital, para prevenir infecções urinárias e da ferida cirúrgica.
Sinais de alerta: Instruir sobre os sinais e sintomas de infecção (febre, dor, secreção, etc.) e quando procurar ajuda médica.
4. Cuidados com a ferida cirúrgica:
Higiene: Orientar sobre a limpeza e troca de curativos, observando sinais de infecção (vermelhidão, inchaço, secreção, etc.).
Sinais de alerta: Instruir sobre os sinais de alerta da ferida operatória e quando procurar ajuda médica.
5. Controle da incontinência urinária:
Exercícios de Kegel: Ensinar e incentivar a prática regular de exercícios para fortalecer os músculos do assoalho pélvico.
Gerenciamento da incontinência: Orientar sobre o uso de absorventes, horários para urinar e outras estratégias para minimizar o impacto da incontinência.
6. Retorno às atividades:
Gradualidade: Instruir sobre a retomada gradual das atividades diárias, evitando esforços excessivos e levantamento de peso.
Atividade física: Orientar sobre a importância da atividade física leve para recuperação, como caminhadas curtas.
7. Alimentação e hidratação:
Dieta: Orientar sobre uma dieta equilibrada, rica em fibras e líquidos, para prevenir constipação e promover a cicatrização.
Hidratação: Incentivar a ingestão adequada de líquidos para manter a hidratação e o bom funcionamento dos rins.
8. Suporte emocional:
Apoio psicológico: Oferecer suporte emocional e psicológico para lidar com as mudanças no corpo, a incontinência urinária e outras dificuldades.
Informações: Fornecer informações claras e precisas sobre a recuperação, possíveis complicações e recursos disponíveis.
9. Acompanhamento médico:
Consultas de acompanhamento: Informar sobre a importância das consultas de acompanhamento para avaliar a recuperação e detectar precocemente possíveis complicações.
Sinais de alerta: Instruir sobre os sinais de alerta que exigem atenção médica imediata, como febre alta, dor intensa, sangramento excessivo, etc.
Recursos adicionais:
Para informações mais detalhadas e personalizadas, consulte um profissional de saúde, como um enfermeiro ou médico urologista.
A Sociedade Brasileira de Urologia (SBU) e outras organizações de saúde podem fornecer materiais educativos e suporte para pacientes submetidos à prostatectomia.
Lembre-se: Este guia fornece informações gerais e não substitui a orientação individualizada de um profissional de saúde.</t>
  </si>
  <si>
    <r>
      <rPr/>
      <t xml:space="preserve">Várias intervenções de enfermagem foram validadas para a alta de pacientes submetidos à prostatectomia, focadas em garantir uma recuperação segura e eficaz em domicílio. As principais áreas de intervenção incluem:
1. Cuidados com a sonda vesical:
Orientações sobre o manejo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t>
    </r>
    <r>
      <rPr>
        <color rgb="FF1155CC"/>
        <u/>
      </rPr>
      <t>https://revistas.ufg.br/fen/article/download/14980/13442/95489</t>
    </r>
  </si>
  <si>
    <t>As intervenções de enfermagem para a alta de pacientes submetidos à prostatectomia podem incluir uma abordagem abrangente para garantir a recuperação adequada e a prevenção de complicações. Algumas das principais intervenções validadas são:
Orientações sobre cuidados pós-operatórios:
Instruir o paciente sobre cuidados com a incisão cirúrgica e sinais de infecção (vermelhidão, secreção, dor excessiva).
Orientar sobre a importância de manter a região genital limpa e seca.
Controle da dor:
Ensinar o paciente sobre o uso adequado de medicamentos analgésicos prescritos e quando procurar ajuda se a dor não for controlada.
Monitoramento de sinais vitais:
Garantir que o paciente compreenda a importância de monitorar a febre, a pressão arterial e a frequência cardíaca.
Cuidados com a sonda urinária (se presente):
Orientar sobre os cuidados com a sonda vesical, quando utilizada, incluindo a higienização e a observação de sinais de infecção urinária ou obstrução.
Explicar o processo de retirada da sonda e o que esperar no retorno do controle da micção normal.
Instruções sobre a dieta e hidratação:
Orientar sobre a alimentação adequada, evitando alimentos irritantes para o trato urinário e aumentando a ingestão de líquidos para prevenir infecções urinárias.
Prevenção de trombose venosa profunda (TVP):
Incentivar a mobilização precoce e o uso de dispositivos de prevenção de trombose (meias de compressão, exercícios de panturrilha).
Instruir o paciente sobre os sinais de TVP, como dor, inchaço e vermelhidão nas pernas.
Exercícios para fortalecimento do assoalho pélvico:
Ensinar exercícios de Kegel para ajudar a fortalecer os músculos do assoalho pélvico e melhorar o controle urinário após a prostatectomia.
Acompanhamento médico:
Garantir que o paciente tenha uma consulta de acompanhamento agendada para monitoramento de possíveis complicações, como incontinência urinária, disfunção erétil ou recidiva de câncer.
Educação sobre disfunção sexual:
Oferecer informações sobre as possíveis mudanças na função sexual após a prostatectomia e discutir opções de tratamento, como terapias de reabilitação sexual ou medicamentos, se necessário.
Apoio emocional:
Oferecer suporte psicológico e, quando necessário, encaminhamento para aconselhamento, dado que muitos pacientes podem enfrentar dificuldades emocionais relacionadas à mudança na qualidade de vida pós-cirurgia, incluindo questões sobre sexualidade e identidade.
Essas intervenções devem ser personalizadas para cada paciente, levando em consideração suas condições clínicas e as instruções fornecidas pelo médico responsável pela alta.</t>
  </si>
  <si>
    <t>As intervenções de enfermagem para a alta de pacientes submetidos à prostatectomia envolvem garantir que o paciente esteja estável, bem orientado e capaz de cuidar de si mesmo após a cirurgia. As principais intervenções incluem:
Avaliação clínica pós-cirúrgica:
Monitorar sinais vitais, especialmente pressão arterial, frequência cardíaca e temperatura.
Avaliar a cicatrização da incisão cirúrgica e sinais de infecção.
Monitorar drenagem de líquidos, caso tenha sido utilizada, e verificar se há sinais de complicações, como sangramento.
Gestão da dor:
Orientar o paciente sobre o uso de analgésicos prescritos e técnicas de controle da dor.
Ensinar a utilização de técnicas não farmacológicas para o alívio da dor, como respiração profunda ou relaxamento.
Orientações sobre cuidados com a ferida:
Ensinar como realizar os cuidados da ferida cirúrgica, incluindo a troca do curativo e a observação de sinais de infecção (vermelhidão, secreção ou aumento da dor).
Prevenção de complicações:
Orientar sobre os sinais e sintomas de infecção, trombose venosa profunda e complicações urinárias, como infecção do trato urinário.
Reforçar a importância de evitar esforço físico excessivo nas primeiras semanas pós-cirurgia.
Reintegração urinária:
Orientar sobre a continência urinária e o uso de fraldas ou absorventes, se necessário.
Explicar o processo de reabilitação urinária, que pode incluir exercícios de fortalecimento do assoalho pélvico.
Orientações sobre a alimentação e hidratação:
Incentivar uma alimentação balanceada para promover a recuperação.
Orientar sobre a ingestão adequada de líquidos para evitar desidratação e ajudar na recuperação renal.
Apoio emocional e psicológico:
Oferecer suporte psicológico, pois a prostatectomia pode ter impacto emocional e psicológico significativo no paciente devido a questões relacionadas à sexualidade e identidade.
Orientar sobre a importância do acompanhamento psicológico, se necessário.
Orientação sobre o retorno às atividades diárias:
Fornecer informações sobre quando o paciente pode retomar as atividades normais, como voltar ao trabalho, dirigir ou fazer exercícios leves.
Instruir sobre a necessidade de seguir as orientações médicas para evitar complicações a longo prazo.
Essas intervenções têm como objetivo assegurar uma recuperação tranquila e minimizar o risco de complicações após a alta.</t>
  </si>
  <si>
    <t>Qual é um dos benefícios relatados da acupuntura auricular para pacientes com incontinência urinária?</t>
  </si>
  <si>
    <t>Um dos benefícios relatados da acupuntura auricular para pacientes com incontinência urinária é a melhora no controle da bexiga, ajudando a reduzir a frequência e a urgência urinária. Estudos indicam que a estimulação de pontos específicos na orelha pode modular o sistema nervoso autônomo, melhorando a função do músculo detrusor da bexiga e reduzindo episódios de incontinência.</t>
  </si>
  <si>
    <t>Um dos benefícios relatados da acupuntura auricular para pacientes com incontinência urinária é a melhora no controle da bexiga, resultando na redução da frequência e da urgência urinária. Estudos indicam que a estimulação de pontos específicos na orelha pode ajudar a regular o sistema nervoso autonômico, promovendo o equilíbrio da função vesical e reduzindo episódios de incontinência. Além disso, a acupuntura auricular pode auxiliar no relaxamento muscular e no alívio do estresse, fatores que podem influenciar a incontinência urinária.</t>
  </si>
  <si>
    <t>Um dos benefícios relatados da acupuntura auricular para pacientes com incontinência urinária é a melhoria no controle da bexiga. Estudos sugerem que essa técnica pode ajudar a reduzir a frequência e a urgência urinária, proporcionando um alívio significativo para os pacientes. A acupuntura auricular atua estimulando pontos específicos na orelha, o que pode influenciar as funções do sistema nervoso relacionadas ao controle da bexiga.</t>
  </si>
  <si>
    <t>A acupuntura auricular é reportada como benéfica para pacientes com incontinência urinária principalmente pelo seu potencial em fortalecer a função do assoalho pélvico e reduzir a urgência urinária. Esse tipo de acupuntura foca em pontos específicos da orelha que, segundo a medicina tradicional chinesa, estão relacionados a diferentes partes do corpo, incluindo a bexiga e o sistema urinário. Estimulando esses pontos, a acupuntura auricular pode ajudar a melhorar o controle dos músculos envolvidos na micção, diminuindo episódios de urgência e incontinência. Além disso, também pode oferecer efeitos de relaxamento e redução de ansiedade, o que indiretamente pode contribuir para o manejo dessa condição.</t>
  </si>
  <si>
    <t>Um dos benefícios relatados da acupuntura auricular para pacientes com incontinência urinária é a melhora no controle da bexiga e o fortalecimento dos músculos do assoalho pélvico. Estudos também apontam que a técnica pode auxiliar na redução da urgência miccional e da noctúria (necessidade de urinar durante a noite).
Além disso, a acupuntura auricular pode contribuir para a melhora da qualidade de vida dos pacientes, uma vez que a incontinência urinária pode gerar constrangimento e afetar o bem-estar emocional.</t>
  </si>
  <si>
    <t>Um dos benefícios relatados da acupuntura auricular para pacientes com incontinência urinária é a melhora no controle da bexiga e o fortalecimento dos músculos do assoalho pélvico. Isso pode levar a uma redução na frequência e na gravidade dos episódios de incontinência.
Além disso, estudos sugerem que a acupuntura auricular pode ajudar a:
Reduzir a urgência miccional: Diminuição da necessidade repentina e incontrolável de urinar.
Diminuir a noctúria: Redução do número de vezes que a pessoa precisa se levantar à noite para urinar.
Melhorar a qualidade de vida: Alívio dos sintomas e do impacto emocional da incontinência urinária.
É importante ressaltar que a acupuntura auricular é considerada uma terapia complementar e não substitui os tratamentos médicos convencionais para incontinência urinária. É sempre recomendado consultar um profissional de saúde qualificado para obter um diagnóstico preciso e um plano de tratamento adequado.</t>
  </si>
  <si>
    <t xml:space="preserve">Um dos benefícios relatados da acupuntura auricular para pacientes com incontinência urinária é a melhora no controle da bexiga. A prática pode ajudar a regular o funcionamento do sistema nervoso e a reduzir os episódios de incontinência, além de aliviar a pressão e os sintomas associados à condição. A acupuntura auricular pode estimular pontos específicos no ouvido, promovendo o equilíbrio do corpo e auxiliando na gestão da função urinária.
</t>
  </si>
  <si>
    <t>Um dos benefícios relatados da acupuntura auricular para pacientes com incontinência urinária é a melhora no controle da bexiga, ajudando a reduzir a frequência e a urgência urinária. A acupuntura auricular pode estimular pontos específicos que auxiliam no equilíbrio do sistema nervoso autônomo, promovendo a recuperação do controle da bexiga e melhorando a função do trato urinário. Isso pode resultar em menos episódios de incontinência e maior qualidade de vida para os pacientes.</t>
  </si>
  <si>
    <t>Qual a relação entre disfunção sexual masculina e sintomas do trato urinário inferior?</t>
  </si>
  <si>
    <t>A relação entre disfunção sexual masculina e sintomas do trato urinário inferior (STUI) é bem documentada na literatura médica. Ambos os problemas compartilham fatores fisiopatológicos comuns e podem estar interligados por mecanismos neurológicos, vasculares e hormonais. Algumas das principais conexões incluem:
Fatores comuns de risco:
Idade avançada
Doenças cardiovasculares
Diabetes mellitus
Hipertensão arterial
Síndrome metabólica
Sedentarismo e obesidade
Disfunção do endotélio e redução do óxido nítrico (NO):
O NO é essencial para a ereção e para a relaxação do músculo liso da bexiga e próstata.
A disfunção endotelial reduz a produção de NO, levando a uma menor perfusão peniana e a dificuldades miccionais.
Hiperatividade do sistema nervoso autonômico:
A ativação excessiva do sistema simpático pode contribuir para disfunção erétil e para sintomas urinários como noctúria, urgência e jato urinário fraco.
Hiperplasia Prostática Benigna (HPB):
O crescimento da próstata pode causar obstrução infravesical, resultando em fluxo urinário fraco, esvaziamento incompleto da bexiga e aumento da frequência urinária.
Pacientes com HPB apresentam maior incidência de disfunção erétil e ejaculatória.
Efeito dos tratamentos para STUI:
Inibidores da 5α-redutase (ex: finasterida, dutasterida) podem reduzir a libido e causar disfunção erétil.
Bloqueadores α-adrenérgicos (ex: tansulosina, doxazosina) podem afetar a ejaculação retrógrada, mas costumam melhorar a função erétil indiretamente por aliviarem os sintomas urinários.
Inflamação crônica e estresse oxidativo:
Processos inflamatórios na próstata e no trato urinário podem levar a disfunção erétil e agravar os sintomas urinários.
Conclusão:
A disfunção sexual masculina e os STUI são frequentemente comorbidades interligadas. Melhorar a saúde metabólica, tratar fatores de risco e optar por abordagens terapêuticas que levem em conta ambos os problemas pode otimizar a qualidade de vida do paciente.
Se precisar de informações mais detalhadas sobre algum aspecto, me avise!</t>
  </si>
  <si>
    <t>A relação entre disfunção sexual masculina e sintomas do trato urinário inferior (STUI) é bem estabelecida na literatura médica, sendo ambos frequentemente associados a condições urológicas, neurológicas e metabólicas.
Principais Relações e Mecanismos
Hiperplasia Prostática Benigna (HPB)
O crescimento da próstata pode levar à compressão da uretra, resultando em dificuldade miccional, fluxo urinário fraco e aumento da frequência urinária.
A HPB está associada a disfunção erétil (DE) devido a fatores como inflamação crônica, estresse oxidativo e comprometimento da função endotelial.
Disfunção do Músculo Liso e Endotélio
O comprometimento da função endotelial que afeta o fluxo sanguíneo para o pênis também pode contribuir para sintomas urinários, pois os mesmos mecanismos regulam a contratilidade da próstata e da bexiga.
Inflamação Crônica e Estresse Oxidativo
Processos inflamatórios sistêmicos estão implicados tanto nos STUI quanto na disfunção erétil.
A liberação de citocinas pró-inflamatórias pode afetar a função do endotélio vascular e dos tecidos prostáticos.
Disfunção Autonômica e Hiperatividade do Sistema Nervoso Simpático
A hiperatividade simpática pode levar à contração excessiva do músculo liso da próstata e da bexiga, piorando os STUI.
Esse mesmo fenômeno contribui para a disfunção erétil ao reduzir a capacidade de relaxamento das artérias penianas.
Uso de Medicações
Alguns fármacos utilizados para tratar STUI, como bloqueadores α-adrenérgicos e inibidores da 5-alfa redutase, podem impactar negativamente a função erétil ou a libido.
Condições Metabólicas e Comorbidades
Diabetes mellitus, síndrome metabólica e doenças cardiovasculares são fatores de risco comuns para STUI e disfunção erétil, pois afetam a vascularização e a inervação da região urogenital.
Abordagem Clínica
O tratamento pode envolver modificações no estilo de vida, terapia farmacológica e intervenções cirúrgicas, dependendo da gravidade dos sintomas.
Inibidores da fosfodiesterase tipo 5 (como o sildenafil) podem melhorar tanto os sintomas urinários quanto a função erétil em alguns casos.
Terapias que reduzem a hiperatividade simpática ou promovem o relaxamento do músculo liso prostático também podem ser benéficas para ambas as condições.
Se precisar de mais detalhes, posso aprofundar em aspectos específicos como diagnóstico e tratamento.</t>
  </si>
  <si>
    <t>A relação entre disfunção sexual masculina e sintomas do trato urinário inferior é bastante estudada na urologia. Os sintomas do trato urinário inferior (STUI), que incluem frequência urinária aumentada, urgência, hesitação, jato urinário fraco e noctúria, podem estar associados à disfunção erétil (DE) e à ejaculação prematura.
Essa associação pode ser explicada por vários mecanismos:
Fatores fisiológicos: Alterações no fluxo sanguíneo pélvico e na função nervosa, que são importantes tanto para a ereção quanto para o controle da micção, podem influenciar ambos os aspectos.
Inflamação: Condições que causam inflamação ou irritação da próstata ou da bexiga podem afetar negativamente a função sexual.
Fatores psicológicos: A presença de sintomas urinários pode levar a ansiedade ou estresse, o que, por sua vez, pode afetar a função sexual.
Impacto dos medicamentos: Alguns medicamentos usados para tratar sintomas do trato urinário inferior, como os bloqueadores alfa, podem ter efeitos colaterais que incluem impactos na função sexual.
Estudos indicam que homens com sintomas moderados a severos do trato urinário inferior têm uma probabilidade maior de sofrer de disfunção erétil. Portanto, é importante que o tratamento de homens com STUI também considere a possível presença de disfunção sexual.</t>
  </si>
  <si>
    <t>A relação entre disfunção sexual masculina e sintomas do trato urinário inferior é significativa e bem documentada. Esses dois grupos de sintomas muitas vezes coexistem e podem afetar a qualidade de vida dos homens de várias maneiras. Aqui estão alguns pontos que conectam essas duas condições:
Causas Comuns: Ambas as condições podem ser influenciadas por fatores similares como idade avançada, condições de saúde subjacentes como diabetes, doenças cardiovasculares, e obesidade, além de fatores de estilo de vida como o tabagismo e o consumo excessivo de álcool.
Impacto da Hiperplasia Prostática Benigna (HPB): A HPB é uma das causas mais comuns de sintomas do trato urinário inferior em homens, que incluem aumento da frequência urinária, urgência, hesitação e fluxo urinário fraco. A HPB também pode afetar a função sexual, levando a problemas como disfunção erétil e ejaculação dolorosa ou diminuída.
Fatores Psicológicos: O estresse e a ansiedade relacionados à presença de sintomas urinários podem também contribuir para a disfunção sexual. Além disso, a preocupação com o desempenho sexual pode exacerbar os sintomas do trato urinário.
Medicações: Alguns medicamentos usados para tratar sintomas do trato urinário inferior, como os bloqueadores alfa, podem ter efeitos colaterais que incluem impactos na função sexual. Por outro lado, alguns tratamentos para disfunção erétil podem melhorar os sintomas do trato urinário.
Interação entre as condições: Estudos sugerem que a melhora de um dos problemas pode levar a melhorias no outro. Por exemplo, tratamentos eficazes para disfunção erétil podem reduzir a ansiedade e melhorar a qualidade de vida, o que pode aliviar os sintomas urinários.
É importante que os homens que experienciam esses sintomas consultem um profissional de saúde para uma avaliação apropriada e discussão sobre as opções de tratamento, já que o manejo adequado pode melhorar significativamente ambos os aspectos da saúde.</t>
  </si>
  <si>
    <t>A relação entre disfunção sexual masculina (DSM) e sintomas do trato urinário inferior (STUI) é complexa e multifacetada, com várias teorias e mecanismos propostos. Embora a ligação exata ainda esteja sendo investigada, existem algumas conexões importantes a serem consideradas:
1. Causas Compartilhadas:
Envelhecimento: Tanto a DSM quanto os STUI são mais prevalentes em homens mais velhos. O envelhecimento leva a alterações hormonais, vasculares e neurológicas que podem contribuir para ambas as condições.
Doenças Subjacentes: Condições como diabetes, doenças cardiovasculares, obesidade e síndrome metabólica podem afetar tanto a função sexual quanto a urinária.
Fatores Psicológicos: Ansiedade, depressão e estresse podem exacerbar tanto a DSM quanto os STUI.
2. Mecanismos de Conexão:
Óxido Nítrico: O óxido nítrico desempenha um papel crucial na função erétil e no relaxamento do músculo liso do trato urinário inferior. Disfunções no sistema do óxido nítrico podem, portanto, afetar ambos os sistemas.
Sistema Nervoso Autônomo: O sistema nervoso autônomo controla tanto a função sexual quanto a urinária. Desequilíbrios nesse sistema podem levar a problemas em ambas as áreas.
Inflamação Crônica: A inflamação crônica na próstata e em outras áreas do trato urinário inferior pode contribuir para os STUI e, indiretamente, afetar a função sexual.
Medicamentos: Alguns medicamentos usados para tratar STUI, como os alfa-bloqueadores, podem ter efeitos colaterais que afetam a função sexual.
3. Impacto dos STUI na Função Sexual:
Os STUI podem causar desconforto, dor e constrangimento, o que pode afetar negativamente o desejo sexual e a capacidade de ter relações sexuais satisfatórias.
A ansiedade e o estresse associados aos STUI podem contribuir para a disfunção erétil e outros problemas sexuais.
A incontinência urinária pode gerar constrangimento e interferir na vida sexual.
4. Condições especificas:
Hiperplasia Prostática Benigna (HPB): O aumento da próstata, comum na HPB, pode causar STUI e também está associado à disfunção erétil.
Prostatite crônica: A inflamação da prostata pode causar dor e desconforto que afetam a função sexual.
É importante observar que a presença de STUI não significa necessariamente que um homem terá DSM, e vice-versa. No entanto, a coexistência dessas duas condições é comum e pode ter um impacto significativo na qualidade de vida.
Recomendação:
Se você estiver enfrentando problemas sexuais ou urinários, é fundamental procurar um médico urologista. Ele poderá realizar uma avaliação completa, diagnosticar a causa subjacente e recomendar o tratamento adequado.</t>
  </si>
  <si>
    <t>A relação entre disfunção sexual masculina (DSM) e sintomas do trato urinário inferior (STUI) é complexa e multifacetada, com diversas condições compartilhando fatores de risco e mecanismos fisiopatológicos. Estudos têm demonstrado uma associação significativa entre STUI, especialmente aqueles relacionados à hiperplasia prostática benigna (HPB), e diferentes formas de DSM, como disfunção erétil (DE), ejaculação precoce (EP) e diminuição da libido.
Principais mecanismos envolvidos:
Fatores de risco comuns:
Idade avançada: tanto a HPB quanto a DSM são mais prevalentes em homens mais velhos.
Doenças cardiovasculares: condições como hipertensão e aterosclerose podem comprometer o fluxo sanguíneo tanto para a próstata quanto para o pênis, contribuindo para STUI e DE.
Diabetes mellitus: a neuropatia diabética pode afetar os nervos que controlam a função urinária e sexual.
Obesidade e síndrome metabólica: a resistência à insulina e o desequilíbrio hormonal associados a essas condições podem influenciar negativamente a saúde prostática e sexual.
Mecanismos fisiopatológicos:
Disfunção endotelial: o comprometimento da função do endotélio (camada interna dos vasos sanguíneos) pode reduzir o fluxo sanguíneo para a próstata e o pênis, resultando em STUI e DE.
Inflamação crônica: a inflamação na próstata pode levar a alterações estruturais e funcionais que contribuem para STUI e, indiretamente, afetar a função sexual.
Alterações hormonais: o desequilíbrio entre testosterona e outros hormônios pode influenciar tanto a função prostática quanto a sexual.
Fatores psicológicos: a ansiedade e a depressão, que podem ser tanto causa quanto consequência de STUI e DSM, podem exacerbar os sintomas e criar um ciclo vicioso.
Condições específicas:
Hiperplasia prostática benigna (HPB): STUI como jato urinário fraco, frequência urinária aumentada e noctúria são frequentemente associados à DE e outros tipos de DSM.
Prostatite crônica: a inflamação da próstata pode causar dor pélvica crônica, STUI e DSM.
É importante ressaltar que a presença de STUI não implica necessariamente em DSM, e vice-versa. No entanto, a coexistência dessas condições é comum e pode impactar significativamente a qualidade de vida do homem.
Recomendações:
Homens com STUI e/ou DSM devem procurar um médico urologista para avaliação completa e diagnóstico preciso.
O tratamento deve ser individualizado e pode incluir mudanças no estilo de vida, medicamentos e, em alguns casos, cirurgia.
Recursos adicionais:
Sociedade Brasileira de Urologia: https://portaldaurologia.org.br/
Uromed: https://uromed.com.br/artigos/sintomas-do-trato-urinario-inferior-condicao-e-mais-frequente-entre-os-homens/
Centro de Andrologia e Urologia: https://www.uro-rs.com.br/avalie-seus-sintomas</t>
  </si>
  <si>
    <t>A relação entre disfunção sexual masculina (DSM) e sintomas do trato urinário inferior (STUI) está frequentemente associada a condições como hiperplasia prostática benigna (HPB), que afeta a próstata. A HPB é uma das causas mais comuns de sintomas urinários no homem e pode estar ligada a problemas sexuais, como a disfunção erétil (DE).
Os sintomas do trato urinário inferior, como dificuldade para urinar, jato urinário fraco, frequência urinária aumentada e sensação de esvaziamento incompleto da bexiga, podem ser indicativos de um aumento da próstata, que pode pressionar a uretra e a bexiga, interferindo no fluxo urinário. Essa pressão ou inflamação também pode impactar a função sexual, interferindo no controle da ereção ou no desejo sexual, como ocorre com a disfunção erétil.
Além disso, a disfunção sexual e os sintomas urinários podem compartilhar fatores de risco em comum, como:
Idade: O envelhecimento é um fator comum que pode levar tanto à disfunção sexual quanto aos sintomas do trato urinário inferior.
Doenças vasculares: Condições como diabetes e hipertensão afetam tanto a circulação sanguínea, impactando a função erétil, quanto o funcionamento do trato urinário.
Efeitos colaterais de medicamentos: Certos medicamentos usados para tratar os sintomas urinários (como os alfa-bloqueadores) podem ter impacto na função sexual.
Em muitos casos, o tratamento de uma condição pode ajudar a melhorar a outra, o que torna importante considerar ambos os aspectos no diagnóstico e manejo de pacientes masculinos com sintomas urinários e disfunção sexual.</t>
  </si>
  <si>
    <t>A relação entre disfunção sexual masculina e sintomas do trato urinário inferior (STUI) está frequentemente associada a condições médicas que afetam o sistema urogenital masculino, como a hiperplasia prostática benigna (HPB), que é uma das causas mais comuns de sintomas urinários. Esses sintomas incluem necessidade frequente de urinar, jato urinário fraco, sensação de esvaziamento incompleto da bexiga, e aumento da urgência urinária.
A disfunção sexual, especialmente a disfunção erétil (DE), pode estar relacionada a essas condições devido a fatores anatômicos e fisiológicos em comum, como o fluxo sanguíneo para a região pélvica, a função da próstata e a resposta neurológica que controla tanto a micção quanto a ereção. O aumento do volume da próstata pode comprimir a uretra e os vasos sanguíneos próximos, afetando tanto o fluxo urinário quanto o fluxo sanguíneo necessário para a ereção.
Além disso, fatores psicossociais, como estresse e ansiedade relacionados a problemas urinários, também podem contribuir para a disfunção sexual. O tratamento de uma dessas condições pode, por vezes, melhorar os sintomas da outra, mas é importante que ambas sejam abordadas de forma integrada, especialmente em pacientes mais velhos ou com doenças crônicas.</t>
  </si>
  <si>
    <t>Quais são os tratamentos disponíveis para a disfunção sexual masculina?</t>
  </si>
  <si>
    <t>Os tratamentos para disfunção sexual masculina variam conforme a causa do problema e podem incluir abordagens médicas, psicológicas e mudanças no estilo de vida. Aqui estão as principais opções:
1. Tratamentos Médicos
Inibidores da PDE5: Medicamentos como sildenafil (Viagra), tadalafil (Cialis), vardenafil (Levitra) e avanafil (Stendra) ajudam a melhorar a ereção ao aumentar o fluxo sanguíneo para o pênis.
Terapia hormonal: Se houver deficiência de testosterona, a reposição hormonal pode ser indicada.
Injeções penianas: Medicamentos como alprostadil podem ser injetados diretamente no pênis para estimular a ereção.
Dispositivos de vácuo: As bombas penianas criam um vácuo ao redor do pênis, promovendo a ereção.
Próteses penianas: Implantes cirúrgicos são indicados para casos graves e refratários a outros tratamentos.
2. Terapias Psicoterapêuticas
Terapia cognitivo-comportamental (TCC): Ajuda a tratar ansiedade, depressão e questões emocionais que podem contribuir para a disfunção.
Terapia sexual: Auxilia na comunicação e na redução de ansiedade relacionada ao desempenho sexual.
3. Mudanças no Estilo de Vida
Exercícios físicos: Melhoram a circulação sanguínea e aumentam os níveis de testosterona.
Dieta equilibrada: Reduz fatores de risco como obesidade, colesterol alto e diabetes.
Redução do estresse: Técnicas como meditação, ioga e mindfulness ajudam no controle da ansiedade.
Evitar álcool e tabaco: O consumo excessivo pode afetar a função erétil.
4. Tratamentos Alternativos
Acupuntura: Algumas pesquisas sugerem benefícios para a função sexual.
Suplementos naturais: Ginseng, L-arginina e maca peruana podem auxiliar, mas devem ser usados com cautela e orientação médica.
Se o problema persistir, é essencial procurar um urologista ou endocrinologista para avaliação e tratamento adequado.</t>
  </si>
  <si>
    <t>A disfunção sexual masculina pode ter várias causas, incluindo fatores físicos, psicológicos e hormonais. Os tratamentos variam conforme a causa subjacente e podem incluir:
1. Tratamentos Médicos
Inibidores da PDE5 (ex.: sildenafila [Viagra], tadalafila [Cialis], vardenafila [Levitra], avanafila [Stendra]) → Melhoram o fluxo sanguíneo para o pênis.
Reposição de Testosterona → Indicada para homens com baixos níveis de testosterona.
Injeções penianas (ex.: alprostadil, papaverina, fentolamina) → Aplicadas diretamente no pênis para estimular a ereção.
Dispositivos de vácuo (bomba peniana) → Criam pressão negativa para aumentar o fluxo sanguíneo.
Próteses penianas → Implantes cirúrgicos para casos graves de disfunção erétil.
2. Tratamentos Psicológicos
Terapia Cognitivo-Comportamental (TCC) → Para tratar ansiedade, depressão e questões emocionais relacionadas à sexualidade.
Terapia sexual → Pode envolver o parceiro para melhorar a comunicação e reduzir a ansiedade.
3. Mudanças no Estilo de Vida
Dieta equilibrada → Reduzir açúcar, processados e álcool pode melhorar a função sexual.
Exercício físico → Melhora a circulação sanguínea e os níveis hormonais.
Redução do estresse → Técnicas como meditação, yoga e terapia podem ajudar.
Abandono do tabagismo e do álcool excessivo → O fumo e o álcool podem comprometer a função erétil.
4. Tratamentos Naturais e Alternativos
Suplementos (ex.: L-arginina, ginseng, maca peruana, tribulus terrestris) → Podem ajudar, mas devem ser usados com orientação médica.
Acupuntura → Algumas evidências sugerem benefícios para a disfunção erétil.
O tratamento ideal depende da causa da disfunção, por isso, a avaliação médica é essencial para um diagnóstico correto e um plano de tratamento eficaz.</t>
  </si>
  <si>
    <t>Os tratamentos para a disfunção sexual masculina dependem de suas causas, que podem ser físicas, psicológicas ou uma combinação de ambas. Aqui estão algumas das opções de tratamento mais comuns:
Medicamentos Orais: Incluem inibidores da fosfodiesterase tipo 5 como Viagra (sildenafil), Cialis (tadalafil) e Levitra (vardenafil). Esses medicamentos aumentam o fluxo sanguíneo para o pênis, ajudando a conseguir e manter uma ereção.
Terapia Hormonal: Para homens com baixos níveis de testosterona, a terapia de reposição hormonal pode ser indicada para melhorar os sintomas.
Dispositivos de Ereção a Vácuo: São dispositivos que envolvem colocar um tubo sobre o pênis e usar uma bomba para puxar o sangue para o pênis, induzindo uma ereção que é mantida com um anel de tensão colocado na base do pênis.
Injeções Penianas: Medicamentos como alprostadil podem ser injetados diretamente no pênis para induzir uma ereção.
Supositórios Uretrais: Alprostadil também pode ser administrado em forma de supositório, colocado na uretra para ajudar a aumentar o fluxo sanguíneo e causar uma ereção.
Psicoterapia: Para casos onde a causa é mais psicológica, aconselhamento ou terapia podem ser recomendados para tratar questões como ansiedade, depressão ou estresse.
Mudanças no Estilo de Vida: Melhorar a dieta, fazer exercícios regularmente, reduzir o consumo de álcool e parar de fumar podem melhorar significativamente a disfunção erétil.
Cirurgia: Em casos mais graves ou onde outras terapias não foram eficazes, procedimentos cirúrgicos como implantes penianos podem ser considerados.
É importante consultar um médico para obter um diagnóstico adequado e discutir a melhor opção de tratamento para cada caso individual.</t>
  </si>
  <si>
    <t>Os tratamentos para a disfunção sexual masculina podem variar bastante dependendo da causa subjacente, da gravidade dos sintomas e das preferências pessoais do indivíduo. Aqui estão algumas opções comuns de tratamento:
Medicamentos Orais: Inibidores da fosfodiesterase tipo 5, como Viagra (sildenafil), Cialis (tadalafil) e Levitra (vardenafil), são frequentemente prescritos para melhorar a função erétil ao aumentar o fluxo sanguíneo para o pênis.
Terapia Hormonal: Se a disfunção sexual é causada por níveis baixos de testosterona, a terapia de reposição hormonal pode ser recomendada.
Dispositivos de Ereção a Vácuo: Estes dispositivos envolvem o uso de um tubo plástico colocado sobre o pênis, no qual uma bomba (manual ou elétrica) cria um vácuo que estimula o fluxo sanguíneo, ajudando a alcançar uma ereção.
Terapia Psicológica: Para casos onde há um componente psicológico significativo, como ansiedade de desempenho ou depressão, a terapia com um psicólogo ou outro profissional de saúde mental pode ser benéfica.
Injeções Penianas: Medicamentos como alprostadil podem ser injetados diretamente no pênis para provocar uma ereção.
Implantes Penianos: Em casos mais graves, podem ser considerados implantes penianos cirúrgicos, que podem ser dispositivos infláveis ou semirrígidos.
Mudanças no Estilo de Vida: Melhorar a dieta, exercitar-se regularmente, parar de fumar e reduzir o consumo de álcool podem ajudar a melhorar a função erétil.
Conselhos e Terapia de Casal: Quando a disfunção sexual afeta o relacionamento, a terapia de casal pode ajudar a abordar questões de comunicação e a melhorar a vida sexual.
É importante consultar um médico para um diagnóstico adequado e para discutir a melhor opção de tratamento para casos individuais</t>
  </si>
  <si>
    <t>A disfunção sexual masculina pode manifestar-se de diversas formas, como dificuldade em obter ou manter uma ereção, ejaculação precoce ou retardada, diminuição do desejo sexual e problemas com o orgasmo. Os tratamentos disponíveis variam de acordo com a causa subjacente e a gravidade do problema, e podem incluir:
1. Medicamentos:
Inibidores da PDE5: medicamentos como sildenafila (Viagra), tadalafila (Cialis) e vardenafila (Levitra) atuam aumentando o fluxo sanguíneo para o pênis, facilitando a ereção.
Terapia de reposição hormonal: em casos de disfunção erétil causada por baixos níveis de testosterona, a reposição hormonal pode ser uma opção.
2. Terapias não medicamentosas:
Psicoterapia e terapia sexual: podem ajudar a identificar e tratar causas psicológicas da disfunção sexual, como ansiedade, estresse e problemas de relacionamento.
Dispositivos de vácuo: auxiliam a obter e manter a ereção através da criação de vácuo ao redor do pênis.
Injeções penianas: medicamentos injetados diretamente no pênis podem relaxar os músculos e aumentar o fluxo sanguíneo, facilitando a ereção.
Ondas de choque: uma terapia relativamente nova que utiliza ondas de choque de baixa intensidade para estimular o crescimento de novos vasos sanguíneos no pênis, melhorando a função erétil.
3. Mudanças no estilo de vida:
Alimentação saudável: uma dieta equilibrada e rica em nutrientes pode melhorar a saúde vascular e a função sexual.
Exercícios físicos regulares: a atividade física regular melhora a saúde geral e pode auxiliar na função erétil.
Redução do estresse: técnicas de relaxamento, como ioga e meditação, podem ajudar a reduzir o estresse e a ansiedade, que podem contribuir para a disfunção sexual.
Abandono do tabagismo e consumo moderado de álcool: o tabagismo e o consumo excessivo de álcool podem prejudicar a função sexual.
4. Tratamentos cirúrgicos:
Implante peniano: em casos de disfunção erétil grave que não respondem a outros tratamentos, a cirurgia de implante peniano pode ser considerada.
É importante ressaltar que a escolha do tratamento mais adequado deve ser individualizada e discutida com um médico especialista, como um urologista ou sexólogo. O profissional poderá avaliar a causa da disfunção sexual e recomendar o tratamento mais eficaz para cada caso.</t>
  </si>
  <si>
    <t>A disfunção sexual masculina pode manifestar-se de diversas formas, como dificuldade em obter ou manter uma ereção, ejaculação precoce ou retardada, diminuição do desejo sexual e problemas com o orgasmo. O tratamento para cada caso dependerá da causa subjacente e da gravidade dos sintomas.
Opções de tratamento disponíveis:
1. Medicamentos orais:
Inibidores da fosfodiesterase tipo 5 (PDE5): são os medicamentos mais comuns para tratar a disfunção erétil. Eles atuam aumentando o fluxo sanguíneo para o pênis, facilitando a ereção. Exemplos: sildenafila (Viagra), tadalafila (Cialis), vardenafila (Levitra) e avanafila (Stendra).
Repositor hormonal: indicado para homens com baixos níveis de testosterona, o tratamento com testosterona pode ajudar a melhorar o desejo sexual e a função erétil.
2. Terapias:
Terapia sexual: com um terapeuta sexual pode ajudar a identificar e tratar questões psicológicas que contribuem para a disfunção sexual, como ansiedade de desempenho, estresse ou problemas de relacionamento.
Terapia psicológica: caso a disfunção sexual esteja relacionada a problemas de saúde mental, como depressão ou ansiedade, a terapia psicológica pode ser útil.
Terapia de reposição de testosterona: em casos de deficiência hormonal, a reposição de testosterona pode ser recomendada para melhorar a função sexual.
3. Mudanças no estilo de vida:
Exercícios físicos: a prática regular de exercícios físicos pode melhorar a saúde cardiovascular, o fluxo sanguíneo e a função sexual.
Alimentação saudável: uma dieta equilibrada e rica em nutrientes pode contribuir para a saúde geral e sexual.
Controle do peso: o excesso de peso pode aumentar o risco de disfunção erétil. Perder peso pode ajudar a melhorar a função sexual.
Redução do estresse: o estresse crônico pode afetar negativamente a função sexual. Técnicas de relaxamento, como ioga ou meditação, podem ajudar a reduzir o estresse.
Abandono do tabagismo e do consumo excessivo de álcool: o tabagismo e o consumo excessivo de álcool podem prejudicar a saúde cardiovascular e a função sexual.
4. Outros tratamentos:
Injeções penianas: medicamentos injetados diretamente no pênis para induzir a ereção.
Dispositivos de vácuo: cilindros colocados sobre o pênis para criar vácuo e facilitar a ereção.
Implantes penianos: próteses infláveis ou maleáveis implantadas cirurgicamente no pênis.
Ondas de choque: terapia de ondas de choque de baixa intensidade para estimular o crescimento de novos vasos sanguíneos no pênis.
É importante ressaltar que a escolha do tratamento adequado dependerá da avaliação médica individualizada. Um profissional de saúde poderá diagnosticar a causa da disfunção sexual e recomendar o tratamento mais adequado para cada caso.</t>
  </si>
  <si>
    <t>A disfunção sexual masculina pode ser tratada de várias formas, dependendo da causa subjacente. Os tratamentos mais comuns incluem:
Medicamentos orais:
Inibidores da fosfodiesterase tipo 5 (PDE5): Como sildenafil (Viagra), tadalafil (Cialis) e vardenafil (Levitra), esses medicamentos ajudam a melhorar o fluxo sanguíneo para o pênis, facilitando a ereção.
Terapia de reposição hormonal:
Para homens com níveis baixos de testosterona, a reposição hormonal pode ser eficaz. Pode ser administrada por injeções, géis ou adesivos.
Terapias psicológicas:
Se a disfunção sexual for causada por fatores emocionais ou psicológicos (como ansiedade, depressão ou estresse), a terapia cognitivo-comportamental (TCC) ou a terapia sexual podem ajudar.
Injeções penianas:
Medicamentos como alprostadil podem ser injetados diretamente no pênis para ajudar a induzir uma ereção.
Dispositivos de vácuo:
Um cilindro é colocado sobre o pênis e cria uma pressão negativa, o que aumenta o fluxo sanguíneo para a área e facilita a ereção.
Cirurgia:
Em casos graves, pode ser necessária cirurgia, como a implantação de próteses penianas ou a reconstrução de vasos sanguíneos no pênis.
Tratamentos naturais e mudanças no estilo de vida:
Reduzir o consumo de álcool, parar de fumar, fazer exercícios regularmente e manter uma dieta balanceada podem melhorar a função sexual.
Suplementos alimentares:
Alguns homens optam por suplementos naturais, embora sua eficácia não seja bem estabelecida. É importante consultar um médico antes de iniciar o uso desses produtos.
É fundamental que o tratamento seja orientado por um médico, após uma avaliação completa, para identificar a causa da disfunção sexual e escolher a melhor abordagem.</t>
  </si>
  <si>
    <t>A disfunção sexual masculina pode ser tratada de várias maneiras, dependendo da causa subjacente. Aqui estão alguns tratamentos comuns:
Mudanças no estilo de vida:
Exercícios físicos regulares.
Alimentação saudável.
Redução do estresse e ansiedade.
Abandono de hábitos como o consumo excessivo de álcool ou tabaco.
Terapias psicológicas:
Terapia cognitivo-comportamental para lidar com questões emocionais ou de ansiedade relacionadas à sexualidade.
Terapia de casal para melhorar a comunicação e a intimidade.
Medicamentos:
Inibidores da PDE5 (como sildenafil, tadalafil, vardenafil), que aumentam o fluxo sanguíneo para o pênis.
Hormônios (como a testosterona) em caso de deficiência hormonal.
Medicamentos para disfunção erétil e suplementos.
Dispositivos de assistência:
Bombas de vácuo, que ajudam a criar ereções ao aumentar o fluxo sanguíneo para o pênis.
Implantes penianos, para casos mais graves de disfunção erétil.
Cirurgia:
Em casos graves, pode ser necessária cirurgia para corrigir problemas anatômicos ou vasculares.
Tratamentos hormonais:
Para homens com níveis baixos de testosterona, a reposição hormonal pode ser uma opção.
O tratamento ideal depende da causa específica da disfunção sexual, sendo importante consultar um médico para avaliação e orientação adequadas.</t>
  </si>
  <si>
    <t>Quais são as principais estratégias para prevenção e tratamento da incontinência urinária feminina?</t>
  </si>
  <si>
    <t xml:space="preserve">A incontinência urinária feminina pode ser prevenida e tratada com diversas estratégias que variam conforme o tipo e a gravidade do quadro. As principais abordagens incluem mudanças no estilo de vida, fisioterapia, medicamentos e, em alguns casos, procedimentos cirúrgicos. Aqui estão as principais estratégias:
Prevenção
Exercícios do assoalho pélvico (Kegel) – Fortalecem os músculos responsáveis pelo controle da urina, prevenindo a incontinência de esforço.
Controle do peso – A obesidade aumenta a pressão sobre a bexiga, favorecendo a perda involuntária de urina.
Evitar tabagismo – Fumar pode causar tosse crônica, aumentando o risco de incontinência de esforço.
Redução do consumo de cafeína e álcool – Essas substâncias irritam a bexiga e aumentam a produção de urina.
Hidratação equilibrada – Beber líquidos suficientes sem exagero evita a irritação da bexiga.
Evitar constipação – O intestino preso aumenta a pressão sobre a bexiga e pode contribuir para a incontinência.
Treinamento da bexiga – Estabelecer horários regulares para urinar pode ajudar a melhorar o controle da bexiga.
Tratamento
1. Terapia Comportamental e Fisioterapia
Exercícios de Kegel – Para fortalecer o assoalho pélvico e melhorar o controle urinário.
Biofeedback – Técnica que ajuda a identificar e fortalecer os músculos corretos.
Eletroestimulação – Utiliza estímulos elétricos para fortalecer os músculos pélvicos.
2. Medicamentos
Antimuscarínicos (ex.: oxibutinina, solifenacina) – Usados na incontinência de urgência para reduzir a hiperatividade da bexiga.
Duloxetina – Pode ser usada na incontinência de esforço, pois aumenta a força dos músculos pélvicos.
Estrógenos tópicos – Podem melhorar a função uretral em mulheres na pós-menopausa.
3. Dispositivos e Intervenções Menos Invasivas
Pessários vaginais – Dispositivos que sustentam a uretra e a bexiga, úteis para algumas mulheres com incontinência de esforço.
Injeções uretrais (colágeno, ácido hialurônico) – Ajudam a fechar melhor a uretra.
4. Tratamentos Cirúrgicos
Cirurgia de Sling (Faixa suburetral) – Colocação de uma malha sintética para suportar a uretra, comum na incontinência de esforço.
Esfíncter artificial – Implante usado em casos mais graves.
Neuromodulação sacral – Estimulação dos nervos que controlam a bexiga, indicada para casos refratários.
Conclusão
A escolha do tratamento depende do tipo de incontinência (de esforço, de urgência ou mista) e da gravidade dos sintomas. Muitas mulheres podem melhorar significativamente com medidas simples, como fortalecimento do assoalho pélvico e mudanças no estilo de vida, enquanto casos mais graves podem necessitar de intervenções médicas ou cirúrgicas.
</t>
  </si>
  <si>
    <t>A incontinência urinária feminina é uma condição comum que pode afetar mulheres de todas as idades, principalmente após a gravidez, parto e menopausa. A prevenção e o tratamento podem incluir uma combinação de mudanças no estilo de vida, exercícios, terapias médicas e, em alguns casos, cirurgias. Aqui estão as principais estratégias:
Prevenção da Incontinência Urinária
Exercícios do assoalho pélvico (Kegel): Fortalecem os músculos que controlam a bexiga.
Manutenção do peso corporal saudável: O excesso de peso pode aumentar a pressão sobre a bexiga.
Evitar esforços excessivos: Reduzir atividades que aumentam a pressão intra-abdominal, como levantamento de peso excessivo.
Controle do consumo de líquidos: Evitar excesso de cafeína, álcool e líquidos antes de dormir.
Evitar constipação: Uma dieta rica em fibras ajuda a prevenir o esforço ao evacuar, o que pode enfraquecer o assoalho pélvico.
Parar de fumar: Fumar pode causar tosse crônica, que aumenta a pressão sobre a bexiga.
Tratamento da Incontinência Urinária
Abordagens não cirúrgicas
Fisioterapia pélvica: Fortalece os músculos do assoalho pélvico e melhora o controle urinário.
Treinamento da bexiga: Envolve urinar em horários programados para melhorar o controle.
Biofeedback: Ajuda a identificar e fortalecer os músculos corretos para o controle urinário.
Medicamentos: Algumas opções, como anticolinérgicos, podem reduzir a hiperatividade da bexiga em certos tipos de incontinência.
Dispositivos vaginais (pessários): Auxiliam no suporte da bexiga em mulheres com prolapso pélvico associado.
Tratamentos minimamente invasivos
Laser vaginal (CO₂ ou Erbium-YAG): Estimula a produção de colágeno e melhora a função do tecido vaginal.
Injeções de toxina botulínica (Botox): Podem ajudar a reduzir espasmos na bexiga.
Agentes de volume uretral: Injeção de substâncias na uretra para aumentar sua resistência ao fluxo de urina.
Tratamentos cirúrgicos
Cirurgia de Sling (Faixa suburetral): Consiste na colocação de uma faixa de suporte sob a uretra para melhorar o controle.
Colpossuspensão de Burch: Indicado para casos de incontinência por esforço.
Esfíncter urinário artificial: Indicado em casos mais graves.
A escolha do tratamento depende do tipo de incontinência (de esforço, de urgência ou mista) e da gravidade dos sintomas. Para casos leves a moderados, estratégias comportamentais e fisioterapia costumam ser eficazes, enquanto casos mais graves podem exigir cirurgia.
Se houver dúvidas ou se os sintomas estiverem impactando a qualidade de vida, o ideal é procurar um urologista ou ginecologista especializado para um diagnóstico preciso e um plano de tratamento adequado.</t>
  </si>
  <si>
    <t xml:space="preserve">As estratégias para prevenção e tratamento da incontinência urinária feminina são diversas e podem variar dependendo do tipo de incontinência e da gravidade dos sintomas. Aqui estão algumas das principais abordagens:
Exercícios do Assoalho Pélvico (Kegel): Estes exercícios fortalecem os músculos do assoalho pélvico, que suportam a bexiga e outros órgãos pélvicos. Isso pode ajudar a gerenciar a incontinência de esforço e de urgência.
Modificações Comportamentais:
Programação de idas ao banheiro: Estabelecer horários regulares para urinar pode ajudar a controlar a urgência.
Redução de líquidos: Diminuir a ingestão de líquidos à noite pode ajudar a evitar episódios de incontinência noturna.
Alimentação adequada: Evitar alimentos e bebidas que irritam a bexiga, como café, álcool e comidas apimentadas.
Medicamentos: Existem medicamentos que podem ajudar a relaxar a bexiga e aumentar a capacidade de armazenamento de urina, reduzindo a frequência e a urgência urinária.
Dispositivos de Suporte Pélvico: Para alguns casos, especialmente prolapsos que causam incontinência, dispositivos como pessários podem ser inseridos para suportar os órgãos pélvicos.
Cirurgia: Em casos mais graves ou quando outros tratamentos não são eficazes, procedimentos cirúrgicos podem ser considerados para melhorar o suporte da bexiga ou corrigir problemas anatômicos.
Treinamento da Bexiga: Gradualmente aumentar o intervalo entre as idas ao banheiro pode ajudar a aumentar a capacidade da bexiga e controlar a urgência.
Estimulação Elétrica: Técnicas como a estimulação elétrica transcutânea do nervo tibial podem ajudar a modular os sinais nervosos envolvidos no controle da bexiga.
Perda de Peso: Em mulheres com sobrepeso ou obesas, a perda de peso pode reduzir a pressão sobre a bexiga e os músculos pélvicos, melhorando os sintomas de incontinência.
A escolha das estratégias depende de uma avaliação detalhada por um profissional de saúde, que pode incluir um urologista, ginecologista ou fisioterapeuta especializado em saúde pélvica. É importante um diagnóstico correto para escolher o tratamento mais adequado.
</t>
  </si>
  <si>
    <t>A incontinência urinária feminina é uma condição comum que pode afetar mulheres de todas as idades, mas é mais frequente com o avançar da idade. Aqui estão algumas das principais estratégias para prevenção e tratamento dessa condição:
Exercícios de fortalecimento pélvico: Exercícios de Kegel, que fortalecem os músculos do assoalho pélvico, são fundamentais para prevenir e tratar a incontinência. Esses exercícios ajudam a suportar a uretra e a bexiga.
Controle de peso: Manter um peso saudável pode reduzir a pressão sobre a bexiga e os músculos do assoalho pélvico, diminuindo os episódios de incontinência.
Modificação da dieta: Reduzir a ingestão de alimentos e bebidas que podem irritar a bexiga, como cafeína, álcool e alimentos muito ácidos, pode ajudar a controlar os sintomas.
Terapia comportamental: Técnicas como treinamento vesical podem ajudar a aumentar a quantidade de tempo entre a necessidade de urinar e a capacidade de controlar a bexiga.
Medicamentos: Alguns medicamentos podem ser prescritos para ajudar a relaxar a bexiga e prevenir contrações involuntárias.
Dispositivos de suporte: Em alguns casos, dispositivos como pessários podem ser utilizados para suportar os órgãos pélvicos e prevenir a perda de urina.
Cirurgia: Em casos mais graves que não respondem a outras terapias, procedimentos cirúrgicos podem ser considerados para melhorar o suporte ao assoalho pélvico ou corrigir problemas anatômicos.
Gerenciamento de fluidos: Ajustar a quantidade de líquido consumido pode ajudar a controlar a urgência urinária.
É importante consultar um profissional de saúde para um diagnóstico adequado e discussão das melhores opções de tratamento com base nas necessidades individuais e na gravidade dos sintomas.</t>
  </si>
  <si>
    <t>A incontinência urinária feminina é uma condição comum que afeta mulheres de todas as idades, mas é mais prevalente em mulheres mais velhas. A condição pode ser causada por uma variedade de fatores, incluindo gravidez, parto, menopausa e obesidade. Existem várias estratégias que podem ser usadas para prevenir e tratar a incontinência urinária feminina, incluindo:
Prevenção:
Exercícios de Kegel: Exercitar os músculos do assoalho pélvico pode ajudar a fortalecer os músculos que controlam a micção.
Controle de peso: O excesso de peso pode aumentar a pressão sobre a bexiga, o que pode levar à incontinência urinária.
Controle da ingestão de líquidos: Reduzir o consumo de líquidos, especialmente à noite, pode ajudar a diminuir a frequência da micção.
Evitar substâncias irritantes para a bexiga: Cafeína, álcool e alimentos ácidos podem irritar a bexiga e aumentar a frequência da micção.
Tratamento de constipação: A constipação pode exercer pressão sobre a bexiga e levar à incontinência urinária.
Prática de atividade física regular: Ajuda na prevenção da incontinência urinária, desde que sejam atividades leves, como yoga e pilates. Atividades mais pesadas, como crossfit, podem agravar o quadro.
Tratamento:
Mudanças no estilo de vida: As mesmas mudanças no estilo de vida que podem ajudar a prevenir a incontinência urinária também podem ser usadas para tratá-la.
Medicamentos: Existem vários medicamentos que podem ajudar a relaxar os músculos da bexiga ou aumentar a capacidade da bexiga.
Dispositivos médicos: Dispositivos como pessários e estimuladores nervosos sacrais podem ser usados para ajudar a controlar a incontinência urinária.
Cirurgia: A cirurgia pode ser usada para corrigir problemas anatômicos que podem estar contribuindo para a incontinência urinária.
Fisioterapia: Um fisioterapeuta especializado em assoalho pélvico pode ensinar exercícios para fortalecer os músculos do assoalho pélvico e melhorar o controle da bexiga.
Neuromodulação neural: É um procedimento minimamente invasivo que ocorre em várias etapas sem anestesia geral, e tem se mostrado eficaz no tratamento da incontinência urinária.
É importante ressaltar que o tratamento ideal para a incontinência urinária feminina varia de mulher para mulher. Se você está sofrendo de incontinência urinária, é importante consultar um médico para determinar a causa da sua condição e discutir as opções de tratamento disponíveis.</t>
  </si>
  <si>
    <t>A incontinência urinária feminina é uma condição comum que afeta mulheres de todas as idades, mas é mais prevalente em mulheres mais velhas. As estratégias de prevenção e tratamento variam dependendo do tipo e da gravidade da incontinência.
Prevenção
Exercícios do assoalho pélvico (Kegel): Fortalecem os músculos que controlam a micção, ajudando a prevenir a incontinência de esforço.
Manutenção de peso saudável: O excesso de peso exerce pressão sobre a bexiga, aumentando o risco de incontinência.
Gerenciamento da ingestão de líquidos: Beber quantidades adequadas de água e limitar o consumo de cafeína e álcool pode ajudar a controlar a frequência urinária.
Tratamento de constipação: A constipação pode exercer pressão sobre a bexiga, contribuindo para a incontinência.
Tratamento
Mudanças de estilo de vida: As mesmas mudanças de estilo de vida recomendadas para prevenção também são eficazes no tratamento da incontinência leve a moderada.
Fisioterapia: Um fisioterapeuta especializado em saúde pélvica pode ensinar exercícios específicos para fortalecer o assoalho pélvico e melhorar o controle da bexiga.
Medicamentos: Existem medicamentos que podem ajudar a relaxar os músculos da bexiga ou aumentar a capacidade da bexiga.
Dispositivos médicos: Dispositivos como pessários ou estimuladores elétricos podem ser usados para ajudar a controlar a incontinência.
Cirurgia: Em casos graves de incontinência, a cirurgia pode ser necessária para corrigir problemas estruturais no trato urinário.
Tipos de incontinência e seus tratamentos
Incontinência de esforço: Perda involuntária de urina durante atividades como tossir, espirrar, rir ou levantar peso. Tratamento: exercícios do assoalho pélvico, fisioterapia, medicamentos, dispositivos médicos ou cirurgia.
Incontinência de urgência: Vontade súbita e intensa de urinar, seguida de perda involuntária de urina. Tratamento: mudanças de estilo de vida, treinamento da bexiga, medicamentos ou estimulação nervosa.
Incontinência mista: Combinação de incontinência de esforço e urgência. Tratamento: uma combinação de tratamentos para ambos os tipos de incontinência.
Incontinência por transbordamento: Gotejamento frequente ou perda de pequenas quantidades de urina devido ao esvaziamento incompleto da bexiga. Tratamento: medicamentos, cateterismo intermitente ou cirurgia.
Quando procurar um médico
É importante procurar um médico se você estiver enfrentando incontinência urinária para obter um diagnóstico preciso e um plano de tratamento individualizado.</t>
  </si>
  <si>
    <t>A incontinência urinária feminina pode ser gerida por meio de várias estratégias de prevenção e tratamento. Aqui estão algumas das principais abordagens:
1. Mudanças no estilo de vida
Controle de peso: O excesso de peso pode aumentar a pressão na bexiga e enfraquecer os músculos do assoalho pélvico. A perda de peso pode ajudar a aliviar a pressão.
Evitar a constipação: A constipação pode aumentar a pressão sobre a bexiga. Manter uma dieta rica em fibras pode ajudar a evitar esse problema.
Moderação de líquidos: Embora seja importante manter-se hidratado, é essencial evitar o consumo excessivo de líquidos, especialmente antes de dormir, para reduzir a quantidade de urina durante a noite.
2. Exercícios do assoalho pélvico (Kegel)
Fortalecimento muscular: Os exercícios de Kegel ajudam a fortalecer os músculos do assoalho pélvico, o que pode melhorar o controle da bexiga. É uma das formas mais eficazes de tratar a incontinência urinária.
3. Treinamento da bexiga
Treinamento de micção: Isso envolve o treinamento para ir ao banheiro em intervalos programados, aumentando gradualmente o tempo entre as idas ao banheiro, ajudando a melhorar a capacidade de retenção da urina.
4. Medicamentos
Antimuscarínicos: Podem ser usados para tratar a incontinência urinária de urgência, ajudando a reduzir as contrações da bexiga.
Estrogênio tópico: Para mulheres na pós-menopausa, o uso de cremes ou anéis vaginais de estrogênio pode melhorar a saúde do trato urinário e reduzir a incontinência.
5. Dispositivos e aparelhos
Pessários: Dispositivos inseridos na vagina para apoiar a bexiga e evitar vazamentos de urina. Pode ser útil em casos de incontinência urinária por esforço.
Dispositivos de vibração: Para ajudar a fortalecer os músculos do assoalho pélvico e melhorar o controle da bexiga.
6. Cirurgias
Procedimentos minimamente invasivos: Como a aplicação de injeções de colágeno ou uso de bulking agents para fortalecer a área da uretra.
Cirurgia de suspensão da bexiga: Para tratar casos graves de incontinência, em que os ligamentos que sustentam a bexiga precisam ser reposicionados ou reforçados.
7. Terapias comportamentais
Terapia cognitivo-comportamental: Pode ajudar a lidar com o estresse e a ansiedade relacionados à incontinência urinária, especialmente quando esta condição afeta a autoestima e a qualidade de vida.
O tratamento depende do tipo e da gravidade da incontinência urinária, bem como das necessidades individuais de cada paciente. Consultar um médico é fundamental para determinar a abordagem mais adequada.</t>
  </si>
  <si>
    <t>As principais estratégias para prevenção e tratamento da incontinência urinária feminina envolvem uma combinação de mudanças no estilo de vida, terapias comportamentais, intervenções físicas e, em alguns casos, tratamentos médicos ou cirúrgicos. Aqui estão algumas das abordagens mais comuns:
1. Exercícios do assoalho pélvico (Kegel)
Objetivo: Fortalecer os músculos que controlam a urinação.
Como funciona: Realizados regularmente, ajudam a melhorar o controle da bexiga e reduzir os episódios de incontinência.
2. Mudanças no estilo de vida
Controle de peso: O excesso de peso pode exercer pressão sobre a bexiga, contribuindo para a incontinência.
Evitar alimentos irritantes: Alguns alimentos e bebidas, como cafeína, álcool e alimentos condimentados, podem irritar a bexiga.
Hidratação adequada: Beber a quantidade certa de líquidos, sem excessos, para evitar a sobrecarga da bexiga.
3. Terapias comportamentais
Treinamento da bexiga: Consiste em programar horários para urinar, de forma gradual aumentando o intervalo entre as idas ao banheiro, para aumentar a capacidade da bexiga e o controle.
Biofeedback: Usado para treinar os músculos do assoalho pélvico, o biofeedback fornece informações em tempo real sobre o funcionamento desses músculos.
4. Medicamentos
Antimuscarínicos: Medicamentos que ajudam a relaxar a bexiga e controlar a urgência urinária.
Estrogênio: Em mulheres pós-menopáusicas, o uso de estrogênio pode melhorar a função do trato urinário inferior.
5. Dispositivos e métodos de apoio
Pessários: Dispositivos inseridos na vagina para apoiar a bexiga e ajudar no controle da incontinência.
Absorventes ou fraldas descartáveis: Útil para gestão de episódios até o tratamento ser eficaz.
6. Tratamentos cirúrgicos
Suspensão da uretra (colposuspensão): Cirurgia para levantar e apoiar a uretra e a bexiga, ajudando a reduzir a incontinência.
Inserção de sling: Um procedimento onde um pequeno dispositivo (slings) é colocado para dar suporte à uretra e prevenir vazamentos.
Estimulação elétrica: Estímulo elétrico aplicado aos nervos que controlam a bexiga, ajudando a restaurar a função normal.
7. Terapias alternativas
Acupuntura: Algumas mulheres relatam melhora nos sintomas de incontinência urinária com o uso de acupuntura, embora os resultados variem.
A escolha do tratamento depende da gravidade da incontinência, da saúde geral da paciente e de outros fatores individuais. É importante consultar um profissional de saúde, como um urologista ou ginecologista, para determinar a melhor abordagem.</t>
  </si>
  <si>
    <t>Qual é a eficácia da acupuntura auricular associada ao treinamento muscular pélvico para controle da incontinência urinária pós-prostatectomia radical?</t>
  </si>
  <si>
    <t>​A associação da acupuntura auricular ao treinamento muscular do assoalho pélvico (TMAP) em pacientes com incontinência urinária pós-prostatectomia radical foi investigada em um ensaio clínico randomizado. O estudo incluiu 60 homens, divididos em dois grupos: um recebeu apenas orientações sobre TMAP, enquanto o outro recebeu TMAP associado à acupuntura auricular. Após oito semanas, ambos os grupos apresentaram redução na gravidade da incontinência urinária, sem diferenças estatisticamente significativas entre eles. No entanto, o grupo que recebeu a acupuntura auricular associada ao TMAP mostrou uma melhora significativa na qualidade de vida, especialmente nos domínios "emoções" e "sono/disposição". Além disso, houve uma redução significativa nos sintomas de noctúria e urgência miccional nesse grupo. ​
repositorio.ufmg.br
+5
scielo.br
+5
researchgate.net
+5
repositorio.ufmg.br
+2
repositorio.ufmg.br
+2
pesquisa.bvsalud.org
+2
pesquisa.bvsalud.org
+2
repositorio.ufmg.br
+2
repositorio.ufmg.br
+2
Esses resultados sugerem que, embora a acupuntura auricular não tenha potencializado a redução da gravidade da incontinência urinária além do efeito do TMAP isolado, sua associação ao TMAP pode melhorar a qualidade de vida e reduzir sintomas associados, como noctúria e urgência miccional, em homens submetidos à prostatectomia radical.</t>
  </si>
  <si>
    <t>​A associação da acupuntura auricular ao treinamento muscular do assoalho pélvico (TMAP) em homens com incontinência urinária pós-prostatectomia radical foi investigada em um ensaio clínico randomizado. O estudo incluiu 60 homens, divididos em dois grupos: um recebeu apenas orientações sobre TMAP, enquanto o outro recebeu TMAP associado à acupuntura auricular, ambos por oito semanas. ​
repositorio.ufmg.br
+4
researchgate.net
+4
scielo.br
+4
repositorio.ufmg.br
Os resultados mostraram que ambos os grupos apresentaram redução na gravidade da incontinência urinária, sem diferenças estatisticamente significativas entre eles. No entanto, o grupo que recebeu a acupuntura auricular associada ao TMAP apresentou melhorias significativas na qualidade de vida, especialmente nos domínios "emoções" e "sono e disposição", além de uma menor incidência de noctúria e urgência miccional. ​
pesquisa.bvsalud.org
+2
repositorio.ufmg.br
+2
repositorio.ufmg.br
+2
repositorio.ufmg.br
+2
pesquisa.bvsalud.org
+2
repositorio.ufmg.br
+2
Esses achados sugerem que, embora a acupuntura auricular não tenha potencializado a redução da gravidade da incontinência urinária além do efeito do TMAP isolado, sua associação ao TMAP pode oferecer benefícios adicionais na qualidade de vida e na redução de sintomas urinários associados. Portanto, a combinação dessas terapias pode ser considerada uma abordagem eficaz para o manejo da incontinência urinária pós-prostatectomia radical.​</t>
  </si>
  <si>
    <t>A eficácia da acupuntura auricular associada ao treinamento muscular pélvico para controle da incontinência urinária pós-prostatectomia radical ainda é um tema com estudos limitados e resultados variados. No entanto, algumas pesquisas sugerem que essa combinação pode ser benéfica.
O treinamento muscular pélvico, por si só, é amplamente recomendado e tem evidências robustas que apoiam sua eficácia na recuperação do controle urinário após a prostatectomia radical. Isso se deve à sua capacidade de fortalecer os músculos do assoalho pélvico, o que pode ajudar a sustentar a uretra e melhorar a continência urinária.
A acupuntura auricular, por outro lado, tem sido usada para uma variedade de condições, incluindo o manejo da dor e a redução do estresse. Em relação à incontinência urinária, alguns estudos indicam que a acupuntura pode ajudar a moderar a resposta do sistema nervoso, potencialmente beneficiando pacientes com incontinência.
Quando combinados, o treinamento muscular pélvico e a acupuntura auricular podem oferecer uma abordagem complementar, onde o treinamento muscular pélvico foca no aspecto físico do problema e a acupuntura no controle neurofisiológico e redução da ansiedade, que podem ser componentes relevantes na recuperação da continência.
Contudo, é importante que mais estudos sejam realizados para melhor entender a eficácia dessa combinação específica, pois a maior parte da literatura disponível ainda se concentra nos tratamentos isoladamente. Para pacientes interessados nessa abordagem, recomenda-se consultar um profissional de saúde especializado para uma avaliação adequada e um plano de tratamento personalizado.</t>
  </si>
  <si>
    <t>A acupuntura auricular associada ao treinamento muscular pélvico pode ser uma abordagem complementar eficaz para o controle da incontinência urinária após prostatectomia radical. Estudos indicam que a acupuntura pode ajudar a reduzir a dor e melhorar a qualidade de vida, enquanto o treinamento muscular pélvico é amplamente recomendado para fortalecer os músculos do assoalho pélvico, o que é crucial para recuperar o controle urinário após esse tipo de cirurgia.
O treinamento muscular pélvico, por si só, é uma das principais recomendações para a reabilitação pós-prostatectomia, visando melhorar o controle do esfíncter e a função urinária. A acupuntura auricular, que é uma técnica que estimula pontos específicos na orelha, poderia teoricamente contribuir para o alívio sintomático, embora o mecanismo exato e a eficácia precisem de mais investigações e evidências clínicas robustas.
Um estudo controlado e randomizado seria ideal para avaliar a eficácia dessa combinação, comparando-a com outros tratamentos padrões ou placebo, para fornecer dados mais concretos sobre seus benefícios e limitações. A cooperação entre urologistas, fisioterapeutas e acupunturistas pode ser benéfica na criação de um plano de tratamento mais holístico e personalizado para os pacientes.</t>
  </si>
  <si>
    <t>A eficácia da acupuntura auricular associada ao treinamento muscular pélvico (TMFP) para o controle da incontinência urinária pós-prostatectomia radical (IUPPR) tem sido objeto de estudo em diversas pesquisas. Abaixo estão alguns pontos importantes sobre o tema:
Estudos e Resultados
Eficácia da Associação:
Estudos clínicos randomizados têm demonstrado que a combinação da acupuntura auricular com o TMFP pode ser eficaz na redução da IUPPR.
Essa abordagem combinada parece ser mais eficaz do que o TMFP isolado, especialmente no que diz respeito à melhora da qualidade de vida dos pacientes e à redução dos sintomas de urgência miccional e noctúria.
A acupuntura auricular, quando associada ao TMFP, parece potencializar os efeitos do treinamento muscular, acelerando a recuperação do controle urinário.
Mecanismos de Ação:
Acredita-se que a acupuntura auricular atue no sistema nervoso, modulando a atividade dos músculos do assoalho pélvico e melhorando a função da bexiga.
O TMFP, por sua vez, fortalece os músculos do assoalho pélvico, que desempenham um papel crucial no controle da micção.
A associação das duas terapias tende a acelerar a recuperação da força muscular, e a capacidade inibitória da bexiga.
Resultados Observados:
Redução da perda urinária (medida pelo teste do absorvente).
Diminuição da frequência de uso de absorventes.
Melhora da qualidade de vida dos pacientes.
Redução dos sintomas de urgência miccional e noctúria.
Considerações Importantes
É fundamental que o tratamento seja realizado por profissionais qualificados, tanto em acupuntura quanto em fisioterapia pélvica.
A resposta ao tratamento pode variar de paciente para paciente.
A acupuntura auricular e o TMFP são considerados tratamentos seguros, com poucos efeitos colaterais.
Recursos e artigos relevantes:
Para se aprofundar no assunto, sugiro a leitura de estudos como:
"Efetividade da acupuntura auricular associada ao treinamento muscular pélvico para controle da incontinência urinária pós-prostatectomia radical: ensaio clínico randomizado" de Cissa Azevedo.
"Efetividade da acupuntura sistêmica no controle da incontinência urinária pós-prostatectomia radical: ensaio clínico randomizado" disponivel no Scielo.
Lembre-se de que é sempre importante consultar um médico ou fisioterapeuta especializado em saúde pélvica para obter orientações personalizadas sobre o tratamento da IUPPR.</t>
  </si>
  <si>
    <t>A eficácia da acupuntura auricular associada ao treinamento muscular pélvico (TMP) para o controle da incontinência urinária pós-prostatectomia radical (IUPPR) tem sido objeto de estudo em diversas pesquisas. Abaixo estão algumas informações importantes sobre o assunto:
Resultados de pesquisas:
Efetividade:
Estudos clínicos randomizados têm demonstrado que a combinação da acupuntura auricular com o TMP pode ser eficaz na redução da gravidade da IUPPR.
A associação dessas terapias tem mostrado resultados positivos, principalmente na melhora da qualidade de vida dos pacientes, reduzindo os sintomas de noctúria (necessidade de urinar à noite) e urgência miccional.
No geral, o resultado que salta a vista dos estudos clínicos randomizados é que o treinamento muscular pélvico associado a acupuntura auricular tem melhores resultados do que apenas o treinamento muscular.
Mecanismos de ação:
Acredita-se que a acupuntura auricular atue no sistema nervoso, promovendo o relaxamento do esfíncter urinário e melhorando o controle da bexiga.
O TMP, por sua vez, fortalece os músculos do assoalho pélvico, que desempenham um papel fundamental na continência urinária.
A combinação dessas duas terapias podem ter um efeito sinérgico, potencializando os benefícios de cada uma.
Considerações:
A eficácia do tratamento pode variar de paciente para paciente, dependendo da gravidade da incontinência, da saúde geral e da adesão às terapias.
É importante que o tratamento seja realizado por profissionais qualificados, tanto na acupuntura auricular quanto no TMP.
Para uma tomada de decisão sobre o tratamento, um médico deverá ser consultado para que as individualidades do paciente sejam consideradas.
Recursos adicionais:
Para obter informações mais detalhadas sobre os estudos e os resultados, você pode consultar os seguintes recursos:
Repositório Institucional da UFMG
Biblioteca Virtual em Saúde (BVS)
Scielo
É importante ressaltar que a acupuntura auricular e o TMP são consideradas terapias complementares e não substituem o tratamento médico convencional.</t>
  </si>
  <si>
    <t xml:space="preserve">A eficácia da acupuntura auricular associada ao treinamento muscular pélvico para o controle da incontinência urinária pós-prostatectomia radical ainda está sendo estudada, mas alguns estudos preliminares sugerem que essa combinação pode ter benefícios. A acupuntura auricular é conhecida por promover a liberação de endorfinas, que podem ajudar no alívio da dor e na regulação de funções corporais, enquanto o treinamento muscular pélvico (também conhecido como exercícios de Kegel) é amplamente reconhecido como eficaz para melhorar o controle da bexiga e fortalecer os músculos do assoalho pélvico.
Benefícios observados:
Acupuntura auricular: Pode ajudar a reduzir a dor e melhorar o fluxo sanguíneo, o que pode ser útil na recuperação pós-cirúrgica.
Treinamento muscular pélvico: Contribui para o fortalecimento dos músculos que controlam a bexiga, melhorando o controle urinário.
Quando usadas em conjunto, essas abordagens podem atuar de maneira complementar, com a acupuntura ajudando a aliviar o desconforto e a tensão, enquanto o treinamento pélvico fortalece os músculos responsáveis pelo controle da urina. Alguns estudos indicam que a combinação pode ser mais eficaz do que apenas uma das abordagens isoladamente, mas é importante que um médico especialista, como um urologista ou fisioterapeuta, avalie cada caso individualmente para determinar o tratamento mais adequado.
</t>
  </si>
  <si>
    <t>A acupuntura auricular associada ao treinamento muscular pélvico para o controle da incontinência urinária pós-prostatectomia radical tem sido estudada como uma abordagem terapêutica complementar. Embora a pesquisa nessa área ainda esteja em desenvolvimento, alguns estudos sugerem que a combinação dessas duas técnicas pode oferecer benefícios significativos para os pacientes.
Acupuntura Auricular: A acupuntura auricular é uma prática baseada na estimulação de pontos específicos na orelha, que se acredita estarem relacionados a várias funções do corpo. Ela tem sido proposta como uma terapia adjuvante para o controle da incontinência urinária, com base em estudos que mostram que pode ajudar a reduzir a frequência e a gravidade dos episódios de incontinência, possivelmente através da modulação de mecanismos nervosos e do alívio de tensões musculares.
Treinamento Muscular Pélvico: O treinamento muscular pélvico, comumente realizado através de exercícios de Kegel, visa fortalecer os músculos do assoalho pélvico, que desempenham um papel crucial no controle da urina. Estudos amplamente suportam a eficácia desse treinamento na recuperação da função urinária após uma prostatectomia radical, melhorando a continência urinária a longo prazo.
Associação das Técnicas: A combinação dessas duas abordagens pode ser eficaz, pois a acupuntura pode ajudar a reduzir a dor e o desconforto, melhorar a função neuromuscular e promover o relaxamento, enquanto o treinamento muscular pélvico fortalece os músculos diretamente envolvidos no controle da urina. A sinergia entre essas duas terapias pode acelerar o processo de recuperação e melhorar os resultados a longo prazo.
Em resumo, embora mais estudos sejam necessários para confirmar os benefícios dessa abordagem combinada, a acupuntura auricular associada ao treinamento muscular pélvico tem mostrado potencial como uma opção terapêutica eficaz para o controle da incontinência urinária pós-prostatectomia radical.</t>
  </si>
  <si>
    <t>Quais são as diretrizes da Associação Europeia de Urologia sobre incontinência urinária masculina?</t>
  </si>
  <si>
    <t>​A Associação Europeia de Urologia (EAU) publicou, em 2022, diretrizes atualizadas sobre a incontinência urinária masculina. Essas diretrizes abordam definições, fisiopatologia, diagnóstico e opções de tratamento para os diferentes tipos de incontinência urinária (IU) em homens.​
Classificação da Incontinência Urinária (IU):
Incontinência Urinária de Esforço (IUE): Perda involuntária de urina durante atividades que aumentam a pressão intra-abdominal, como tossir, espirrar ou levantar objetos pesados.​
Governo Federal
+2
Uroweb
+2
Governo Federal
+2
Incontinência Urinária de Urgência (IUU): Perda de urina associada a uma vontade súbita e intensa de urinar, frequentemente relacionada à hiperatividade do músculo detrusor.​
Governo Federal
+2
Governo Federal
+2
Uroweb
+2
Incontinência Urinária Mista: Combinação de IUE e IUU.​
Apurologia
+4
Governo Federal
+4
Governo Federal
+4
Abordagem Diagnóstica: Uma avaliação detalhada é essencial para diagnosticar corretamente o tipo de IU e determinar seu tratamento adequado. Isso inclui a história clínica completa, exame físico e exames complementares, conforme necessário.​
Apurologia
Uroweb
Opções de Tratamento:
Intervenções Comportamentais e Modificações no Estilo de Vida:
Mudanças no estilo de vida, como perda de peso, cessação do tabagismo e ajustes na ingestão de líquidos, podem melhorar os sintomas de IU.​
Treinamento dos músculos do assoalho pélvico é recomendado como terapia inicial para todos os tipos de IU.​
Apurologia
+4
Governo Federal
+4
Governo Federal
+4
Tratamento Farmacológico:
Medicamentos antimuscarínicos são indicados para tratar sintomas de IUU, com ou sem incontinência de urgência.​
Governo Federal
+2
Apurologia
+2
Uroweb
+2
Tratamento Cirúrgico para IUE:
Agentes de Bulking: Injeções periuretrais que aumentam a resistência uretral.​
pt.wikipedia.org
+3
pt.wikipedia.org
+3
Estudo Geral
+3
Slings Masculinos: Dispositivos que fornecem suporte adicional à uretra.​
Esfíncter Urinário Artificial (EUA): Considerado o padrão-ouro para tratamento cirúrgico da IUE moderada a grave em homens.​
Governo Federal
+4
Uroweb
+4
Estudo Geral
+4
Tratamento Cirúrgico para IUU:
Injeção de Toxina Botulínica A na Bexiga: Reduz a atividade do músculo detrusor.​
Uroweb
+1
Governo Federal
+1
Estimulação do Nervo Sacral: Modula a atividade neural para melhorar o controle urinário.​
Cistoplastia de Aumento ou Desvio Urinário: Procedimentos reservados para casos refratários.​
É importante que o tratamento seja individualizado, levando em consideração a gravidade dos sintomas, a causa subjacente da incontinência e as preferências do paciente. A decisão terapêutica deve ser compartilhada entre o médico e o paciente, visando a melhor qualidade de vida possível.​
Para informações mais detalhadas, recomenda-se consultar as diretrizes completas da EAU publicadas em 2022.</t>
  </si>
  <si>
    <t>​A Associação Europeia de Urologia (EAU) publicou em 2022 diretrizes atualizadas sobre a incontinência urinária masculina, abordando definições, fisiopatologia, diagnóstico e opções de tratamento. ​
PubMed
Classificação da Incontinência Urinária (IU):
Incontinência Urinária de Esforço (IUE): Perda de urina durante atividades que aumentam a pressão intra-abdominal, como tossir, espirrar ou levantar objetos pesados.​
Governo Federal
+2
Uroweb
+2
Governo Federal
+2
Incontinência Urinária de Urgência (IUU): Perda de urina associada a uma vontade súbita e intensa de urinar, difícil de adiar.​
Uroweb
Incontinência Urinária Mista: Combinação de IUE e IUU.​
Estudo Geral
+3
Governo Federal
+3
Governo Federal
+3
Avaliação Diagnóstica: A avaliação inicial deve incluir:​
pt.wikipedia.org
+3
PubMed
+3
Governo Federal
+3
Histórico Clínico Completo: Identificar sintomas, fatores de risco e impacto na qualidade de vida.​
Uroweb
Exame Físico: Avaliar o abdômen, períneo, sistema neurológico e genitais externos.​
Exames Complementares: Análise de urina, diário miccional e, se necessário, estudos urodinâmicos e exames de imagem.​
Uroweb
Opções de Tratamento:
Intervenções Comportamentais e Modificações no Estilo de Vida:
Treinamento dos Músculos do Assoalho Pélvico: Exercícios para fortalecer a musculatura pélvica, recomendados especialmente após prostatectomia.​
Apurologia
+2
Governo Federal
+2
pt.wikipedia.org
+2
Modificações no Estilo de Vida: Perda de peso, cessação do tabagismo e ajuste na ingestão de líquidos.​
Tratamento Farmacológico:
Antimuscarínicos: Indicados para sintomas de IUU, com ou sem incontinência de urgência.​
Governo Federal
+3
Apurologia
+3
Governo Federal
+3
Tratamento Cirúrgico:
Agentes de Bulking Uretral: Injeções para aumentar o volume uretral e melhorar a continência.​
Estudo Geral
+2
pt.wikipedia.org
+2
Uroweb
+2
Slings Masculinos: Dispositivos que fornecem suporte à uretra, indicados para IUE leve a moderada.​
Uroweb
+1
Estudo Geral
+1
Esfíncter Urinário Artificial (EUA): Considerado o padrão-ouro para IUE moderada a grave, especialmente após prostatectomia.​
Uroweb
+1
uroweb.org
+1
Considerações Finais: As diretrizes da EAU enfatizam uma abordagem individualizada, considerando as preferências do paciente, comorbidades e gravidade dos sintomas. A escolha do tratamento deve ser baseada em evidências científicas e na experiência clínica, visando melhorar a qualidade de vida do paciente.​</t>
  </si>
  <si>
    <t>Em 2025, as diretrizes da Associação Europeia de Urologia para a incontinência urinária masculina recomendam uma abordagem diagnóstica e terapêutica abrangente. A avaliação deve diferenciar os tipos de incontinência, como a incontinência de esforço, de urgência ou mista. Os tratamentos conservadores incluem mudanças no estilo de vida, manejo de comorbidades e possivelmente ajustes nos regimes medicamentosos. Intervenções mais específicas como terapias físicas, medicações e cirurgias são recomendadas com base na condição individual e na gravidade dos sintomas​</t>
  </si>
  <si>
    <t>As diretrizes da Associação Europeia de Urologia sobre incontinência urinária masculina são abrangentes e baseadas em evidências para orientar o diagnóstico e tratamento. Aqui está um resumo dos pontos principais:
Classificação: A incontinência urinária masculina (UI) é classificada principalmente em incontinência urinária de esforço (IUE), incontinência urinária de urgência (IUU) e incontinência urinária mista (IUM). Cada tipo possui causas específicas e estratégias de manejo.
Ferramentas Diagnósticas: Recomenda-se o uso de diários de micção, testes de absorvente e medições do volume residual pós-micção para avaliar a gravidade e o impacto da UI. Testes urodinâmicos são aconselhados, especialmente quando tratamentos invasivos estão sendo considerados.
Imagem: Ultrassom (US) e ressonância magnética (MRI) são sugeridos para melhor compreender as anormalidades anatômicas e funcionais que contribuem para a UI.
Tratamento Conservador: Intervenções no estilo de vida, como gerenciamento da ingestão de líquidos, redução da obesidade e cessação do tabagismo são enfatizadas. Além disso, tratar quaisquer comorbidades pode ajudar a gerenciar a UI.
Evidência e Recomendações: As diretrizes são baseadas em uma revisão abrangente de evidências de alto nível e fornecem recomendações específicas para várias situações e condições relacionadas à UI.
Estas diretrizes são estruturadas para orientar urologistas e outros profissionais de saúde na tomada de decisões informadas para otimizar o cuidado dos pacientes que sofrem de incontinência urinária​</t>
  </si>
  <si>
    <t>As diretrizes da Associação Europeia de Urologia (EAU) sobre incontinência urinária masculina abrangem diversos aspectos, desde a avaliação diagnóstica até as opções de tratamento. Para obter informações detalhadas e atualizadas, recomendo consultar os seguintes recursos:
Diretrizes da EAU:
O site oficial da EAU (uroweb.org) é a principal fonte de informações, oferecendo acesso às diretrizes completas e atualizadas.
O PubMed também pode ser um recurso útil para encontrar artigos científicos e resumos das diretrizes da EAU.
Sociedade Brasileira de Urologia (SBU):
A SBU também disponibiliza diretrizes e informações sobre incontinência urinária, muitas vezes baseadas nas diretrizes internacionais, incluindo as da EAU. No link http://sbu.org.br/pdf/guidelines_EAU/2012/223.pdf você encontra um manual de diretrizes.
Associação Portuguesa de Urologia (APU):
No seguinte link, você encontra informações das orientações sobre incontinência urinária: https://apurologia.pt/wp-content/uploads/2018/10/Incont-Urinaria.pdf
Principais pontos abordados nas diretrizes da EAU:
Avaliação diagnóstica:
Histórico médico detalhado.
Exame físico.
Testes urodinâmicos.
Exames de imagem, quando necessário.
Tratamentos:
Mudanças de estilo de vida: Como a perda de peso, restrição de ingestão de cafeína e álcool, e horários estabelecidos para ingestão de líquidos.
Fisioterapia do assoalho pélvico: Exercícios para fortalecer os músculos do assoalho pélvico.
Tratamento medicamentoso: Uso de medicamentos específicos para incontinência urinária.
Tratamentos cirúrgicos: Diversas opções cirúrgicas, dependendo do tipo e gravidade da incontinência.
Observações importantes:
As diretrizes da EAU são atualizadas regularmente, por isso é importante consultar as versões mais recentes.
O tratamento da incontinência urinária masculina deve ser individualizado, levando em consideração as características e necessidades de cada paciente.
Em caso de sintomas de incontinência urinária, procure um médico especialista para fazer um diagnóstico e indicação do tratamento adequado.</t>
  </si>
  <si>
    <t>As diretrizes da Associação Europeia de Urologia (EAU) sobre incontinência urinária masculina abordam diversos aspectos do diagnóstico e tratamento dessa condição. Aqui estão alguns pontos-chave:
Classificação e diagnóstico:
Tipos de incontinência: A EAU classifica a incontinência urinária masculina em diferentes tipos, incluindo incontinência urinária de esforço (IUE), incontinência urinária de urgência (IUU) e incontinência urinária mista (IUM).
Avaliação inicial: As diretrizes enfatizam a importância de uma avaliação inicial completa, incluindo histórico médico, exame físico, avaliação da função vesical e exames de imagem, se necessário.
Diagnóstico diferencial: É importante diferenciar a incontinência urinária de outras condições, como hiperplasia prostática benigna (HPB) e infecções do trato urinário.
Tratamento:
Mudanças no estilo de vida: As diretrizes recomendam mudanças no estilo de vida como primeira linha de tratamento, incluindo exercícios do assoalho pélvico, controle do peso e modificações na dieta.
Tratamento medicamentoso: Em alguns casos, medicamentos podem ser prescritos para tratar a incontinência urinária, dependendo do tipo e da causa subjacente.
Tratamento cirúrgico: A cirurgia pode ser considerada em casos de incontinência urinária persistente ou grave, especialmente após prostatectomia radical. Existem várias opções cirúrgicas disponíveis, incluindo sling suburetral masculino e esfíncter urinário artificial.
Considerações adicionais:
As diretrizes da EAU também abordam a incontinência urinária em populações específicas, como homens com doença de Parkinson ou lesão da medula espinhal.
A EAU enfatiza a importância de uma abordagem individualizada para o tratamento da incontinência urinária masculina, levando em consideração as necessidades e preferências de cada paciente.
Onde encontrar as diretrizes completas:
Para obter informações detalhadas, você pode consultar as diretrizes da EAU no site oficial da Associação Europeia de Urologia (uroweb.org). Além do site da EAU, o site da Associação Portuguesa de Urologia (apurologia.pt) tambem possui informação relevante.
Espero que esta informação seja útil. Lembre-se que é importante consultar um médico urologista para obter um diagnóstico e tratamento adequados para a incontinência urinária masculina.</t>
  </si>
  <si>
    <t>​A Associação Europeia de Urologia (European Association of Urology - EAU) desenvolve diretrizes abrangentes para o manejo da incontinência urinária masculina, com atualizações periódicas baseadas em evidências científicas recentes. As diretrizes mais recentes, publicadas em 2022, fornecem orientações detalhadas sobre definição, fisiopatologia, diagnóstico e opções de tratamento para os diferentes tipos de incontinência urinária masculina.​
PubMed
Classificação da Incontinência Urinária Masculina:
Incontinência Urinária de Esforço (IUE): Caracterizada pela perda involuntária de urina durante atividades que aumentam a pressão intra-abdominal, como tossir, espirrar ou levantar objetos pesados.​
portaldaurologia.org.br
+1
Governo Federal
+1
Incontinência Urinária de Urgência (IUU): A perda urinária ocorre acompanhada de um desejo súbito e intenso de urinar, frequentemente associado à hiperatividade do músculo detrusor da bexiga.​
Governo Federal
+2
portaldaurologia.org.br
+2
Governo Federal
+2
Incontinência Urinária Mista (IUM): Combina sintomas de IUE e IUU, exigindo uma abordagem terapêutica que aborde ambos os mecanismos.​
Estudo Geral
+2
Governo Federal
+2
Governo Federal
+2
Abordagem Diagnóstica:
História Clínica Completa: Avaliação detalhada dos sintomas, histórico médico e fatores de risco, como cirurgias prévias, especialmente prostatectomia.​
Exame Físico: Inclui avaliação do assoalho pélvico e exame neurológico para identificar possíveis causas subjacentes.​
portaldaurologia.org.br
+1
Governo Federal
+1
Exames Complementares: Análise de urina, exames de imagem e, quando indicado, estudo urodinâmico para avaliar a função do trato urinário inferior.​
Governo Federal
Opções de Tratamento:
Tratamentos Conservadores:
Modificações no Estilo de Vida: Aconselhamento sobre hábitos miccionais, ingestão adequada de líquidos e gestão de fatores contribuintes, como constipação.​
Terapias Comportamentais: Treinamento do assoalho pélvico, técnicas de biofeedback e programas de reeducação vesical.​
Uroweb
+2
portaldaurologia.org.br
+2
Governo Federal
+2
Tratamento Farmacológico: Uso de medicamentos antimuscarínicos para IUU e agentes que aumentam o tônus do esfíncter uretral para IUE.​
Governo Federal
+2
Apurologia
+2
Estudo Geral
+2
Tratamentos Cirúrgicos:
Para IUE: Procedimentos como agentes de volume uretral, slings masculinos e implante de esfíncter urinário artificial.​
Estudo Geral
Para IUU: Opções incluem injeções de toxina botulínica na parede da bexiga, estimulação do nervo sacral e, em casos selecionados, cistectomia com derivação urinária.​
É fundamental que o tratamento seja individualizado, levando em consideração as preferências do paciente, comorbidades e a gravidade dos sintomas. Recomenda-se que os profissionais de saúde consultem as diretrizes completas da EAU para obter informações detalhadas e atualizadas.</t>
  </si>
  <si>
    <t>​A Associação Europeia de Urologia (EAU) publicou diretrizes abrangentes sobre a incontinência urinária masculina, atualizadas pela última vez em 2022. Essas diretrizes fornecem informações detalhadas sobre definição, fisiopatologia, diagnóstico e opções de tratamento para os diferentes tipos de incontinência urinária em homens. ​
PubMed
Principais aspectos abordados nas diretrizes:
Classificação dos tipos de incontinência urinária masculina:
Incontinência Urinária de Esforço (IUE): Perda involuntária de urina associada a atividades que aumentam a pressão intra-abdominal, como tossir, espirrar ou levantar objetos pesados.​
Governo Federal
+1
Governo Federal
+1
Incontinência Urinária de Urgência (IUU): Perda involuntária de urina acompanhada de um forte desejo de urinar, devido à contração involuntária do músculo detrusor da bexiga.​
Governo Federal
+2
Governo Federal
+2
PMC
+2
Incontinência Urinária Mista (IUM): Combinação de IUE e IUU.​
Estudo Geral
+2
Governo Federal
+2
Governo Federal
+2
Diagnóstico:
Inclui uma avaliação detalhada da história clínica, exame físico, diário miccional, exames laboratoriais e, quando necessário, estudos urodinâmicos para determinar a causa subjacente da incontinência.​
Governo Federal
+1
amb.org.br
+1
Tratamento:
Conservador: Terapias comportamentais, como treinamento dos músculos do assoalho pélvico, biofeedback e estimulação elétrica.​
Governo Federal
+2
Governo Federal
+2
pt.wikipedia.org
+2
Farmacológico: Uso de medicamentos que modulam a função vesical e uretral.​
Cirúrgico: Procedimentos como injeções de agentes de volume uretral, implantes de sling masculino e esfíncteres urinários artificiais, especialmente em casos refratários ou graves.​
pt.wikipedia.org
+2
Estudo Geral
+2
pt.wikipedia.org
+2
Para informações mais detalhadas, recomenda-se consultar o artigo completo publicado no European Urology em 2022.</t>
  </si>
  <si>
    <t>Por quanto tempo a incontinência urinária pode persistir após a prostatectomia radical?</t>
  </si>
  <si>
    <t>A incontinência urinária após uma prostatectomia radical pode persistir por diferentes períodos, dependendo de vários fatores, como idade do paciente, técnica cirúrgica utilizada, reabilitação do assoalho pélvico e saúde geral.
Duração média da incontinência pós-prostatectomia:
Primeiros 3 meses: A maioria dos pacientes apresenta algum grau de incontinência logo após a retirada da sonda vesical, mas há uma melhora progressiva.
Até 6 meses: Aproximadamente 50-90% dos pacientes recuperam a continência parcial ou total nesse período.
Após 12 meses: Cerca de 90-95% dos pacientes recuperam a continência, mas alguns podem ter pequenos escapes ocasionais.
Persistência após 1-2 anos: Se a incontinência persistir após esse período, pode ser considerada crônica, exigindo tratamento adicional como fisioterapia, medicamentos ou cirurgia (como esfíncter artificial ou sling masculino).
Fatores que influenciam a recuperação:
Técnica cirúrgica (preservação dos nervos e esfíncteres)
Fortalecimento do assoalho pélvico (exercícios de Kegel ajudam na recuperação)
Idade do paciente (mais jovens tendem a recuperar mais rápido)
Condições pré-existentes (obesidade, diabetes, radioterapia prévia)
Se a incontinência persistir após um ano, é importante procurar um urologista para avaliar as opções terapêuticas.</t>
  </si>
  <si>
    <t>A incontinência urinária após a prostatectomia radical pode persistir por alguns meses a até um ano, dependendo de vários fatores, como idade do paciente, técnica cirúrgica utilizada e a realização de fisioterapia pélvica.
Curto prazo (até 3 meses): A maioria dos pacientes apresenta alguma incontinência logo após a retirada da sonda, mas muitos começam a recuperar o controle dentro dos primeiros três meses.
Médio prazo (3 a 12 meses): A maioria dos homens melhora progressivamente ao longo do primeiro ano, especialmente com exercícios de fortalecimento do assoalho pélvico (como os exercícios de Kegel).
Longo prazo (&gt;12 meses): Cerca de 5 a 20% dos pacientes podem continuar apresentando algum grau de incontinência urinária após um ano, podendo necessitar de tratamentos adicionais, como reabilitação fisioterapêutica, dispositivos externos ou até cirurgia corretiva em casos mais graves.
A recuperação é individual, mas a fisioterapia precoce e um acompanhamento médico adequado podem acelerar a reabilitação.</t>
  </si>
  <si>
    <t>A incontinência urinária após a prostatectomia radical pode variar significativamente entre os pacientes. Muitos homens experimentam alguma forma de incontinência imediatamente após a cirurgia, mas a maioria observa melhoras significativas dentro de alguns meses. Geralmente, a recuperação da continência urinária pode levar de 3 a 12 meses após a cirurgia. No entanto, cerca de 5% a 10% dos homens podem ter algum grau de incontinência de longo prazo. É importante discutir as expectativas e as estratégias de gestão com o médico, que pode incluir exercícios de fortalecimento do assoalho pélvico, medicação, ou outras intervenções se a incontinência persistir.</t>
  </si>
  <si>
    <t>A incontinência urinária após uma prostatectomia radical é uma questão comum e pode variar significativamente de pessoa para pessoa. Geralmente, a maioria dos homens observa uma melhoria significativa nos primeiros 6 a 12 meses após a cirurgia. Durante esse período, o músculo esfincteriano e os tecidos ao redor da uretra estão se curando e se adaptando.
No entanto, é importante notar que, enquanto muitos homens recuperam o controle urinário completo ou quase completo dentro de um ano, alguns podem continuar a ter algum grau de incontinência após esse período. Em casos menos comuns, a incontinência pode persistir de forma mais prolongada e exigir tratamentos adicionais, como fisioterapia para o assoalho pélvico, medicamentos ou até mesmo procedimentos cirúrgicos adicionais para ajudar a melhorar o controle urinário. Se você ou alguém que você conhece está enfrentando incontinência urinária após uma prostatectomia radical, é aconselhável discutir as opções de tratamento com um médico ou especialista em urologia.</t>
  </si>
  <si>
    <t>A incontinência urinária após a prostatectomia radical é uma complicação comum, mas geralmente temporária. A maioria dos homens experimenta algum grau de incontinência nos primeiros meses após a cirurgia. No entanto, o tempo de recuperação varia de pessoa para pessoa.
Fatores que influenciam a duração da incontinência:
Idade: Homens mais jovens tendem a se recuperar mais rapidamente.
Saúde geral: Condições como diabetes e obesidade podem prolongar a recuperação.
Técnica cirúrgica: A experiência do cirurgião e a técnica utilizada podem influenciar a recuperação.
Exercícios do assoalho pélvico: Realizar exercícios de Kegel regularmente pode acelerar a recuperação.
Tempo de recuperação:
A maioria dos homens começa a notar melhora significativa no controle da bexiga dentro de 3 a 6 meses após a cirurgia.
Para alguns, a recuperação completa pode levar até 12 meses ou mais.
Embora seja menos comum, alguns homens podem continuar a ter problemas de incontinência por um período mais longo.
Tratamentos disponíveis:
Exercícios do assoalho pélvico (Exercícios de Kegel): Fortalecem os músculos que controlam a micção.
Mudanças no estilo de vida: Limitar a ingestão de cafeína e álcool, perder peso (se necessário) e gerenciar a ingestão de líquidos.
Medicamentos: Alguns medicamentos podem ajudar a controlar a incontinência de urgência.
Dispositivos médicos: Dispositivos como grampos penianos ou esfíncteres urinários artificiais podem ser opções para casos persistentes.
Cirurgia: Em casos raros, a cirurgia pode ser necessária para corrigir problemas persistentes.
Recomendações:
Converse com seu médico sobre suas preocupações e expectativas em relação à recuperação.
Siga as orientações do seu médico e fisioterapeuta em relação aos exercícios do assoalho pélvico.
Mantenha um diário da micção para monitorar seu progresso e identificar padrões.
Não hesite em procurar ajuda se a incontinência persistir ou piorar.
É importante lembrar que cada caso é único, e o tempo de recuperação pode variar. Se você tiver alguma dúvida ou preocupação, consulte seu médico para obter orientação personalizada.</t>
  </si>
  <si>
    <t>A incontinência urinária após a prostatectomia radical é uma complicação comum, mas geralmente temporária. A maioria dos homens experimenta algum grau de incontinência nos primeiros meses após a cirurgia, mas a função urinária tende a melhorar gradualmente com o tempo.
Duração:
3 a 12 meses: Em geral, a maioria dos homens recupera o controle urinário dentro de 3 a 12 meses após a prostatectomia radical.
Melhora gradual: A melhora geralmente é gradual, com a maioria dos pacientes notando progresso significativo nos primeiros 6 meses.
Casos persistentes: Em alguns casos, a incontinência pode persistir por mais de 12 meses, mas isso é menos comum.
Fatores que influenciam a duração:
Idade do paciente
Condição física geral
Tipo de cirurgia realizada
Técnica cirúrgica utilizada
Acompanhamento e realização de exercicios de fisioterapia do assoalho pélvico.
O que fazer:
Exercícios de Kegel: Exercícios regulares do assoalho pélvico (exercícios de Kegel) podem ajudar a fortalecer os músculos que controlam a micção e acelerar a recuperação.
Acompanhamento médico: É importante manter um acompanhamento regular com o médico urologista para monitorar a recuperação e discutir opções de tratamento, se necessário.
Fisioterapia: Em alguns casos, a fisioterapia especializada pode ser recomendada para ajudar na recuperação da função urinária.
Importante: A recuperação da continência urinária varia de pessoa para pessoa. Se você estiver preocupado com sua incontinência, converse com seu médico para obter orientação individualizada.</t>
  </si>
  <si>
    <t xml:space="preserve">A incontinência urinária após a prostatectomia radical pode durar semanas, meses ou até mais tempo, dependendo de diversos fatores, como a idade do paciente, a técnica cirúrgica utilizada, a função do esfíncter urinário e o tipo de câncer. Em muitos casos, a incontinência melhora com o tempo e com a reabilitação do assoalho pélvico.
Estudos mostram que até 30% dos pacientes ainda podem experimentar algum grau de incontinência urinária após 1 ano da cirurgia. No entanto, em muitos casos, a condição tende a melhorar nos primeiros 6 a 12 meses após a operação, e a incontinência se torna menos frequente. Em alguns casos, tratamentos adicionais como fisioterapia ou, em situações mais graves, cirurgias podem ser necessárias para melhorar a função urinária.
Cada caso é único, então é importante que o paciente siga as orientações do médico responsável para monitorar e tratar adequadamente a condição.
</t>
  </si>
  <si>
    <t>A incontinência urinária após a prostatectomia radical é uma preocupação comum, mas a duração pode variar de pessoa para pessoa. Geralmente, a maioria dos pacientes apresenta algum grau de incontinência logo após a cirurgia, mas muitos começam a recuperar o controle da bexiga dentro de 6 meses a 1 ano.
A persistência da incontinência pode ser influenciada por vários fatores, como:
Idade do paciente: Pacientes mais jovens tendem a se recuperar mais rapidamente.
Estado da função da bexiga antes da cirurgia: Aqueles com boa função prévia geralmente se recuperam mais rápido.
Técnica cirúrgica utilizada: O tipo de cirurgia e a preservação dos nervos podem impactar a recuperação.
Complicações durante ou após a cirurgia: Infecções ou outros problemas podem prolongar a incontinência.
A incontinência urinária após a prostatectomia pode ser tratada com fisioterapia do assoalho pélvico, medicamentos ou, em casos mais graves, cirurgia corretiva. Muitos pacientes experimentam uma melhora significativa dentro de 12 meses, mas casos persistentes podem requerer intervenções adicionais.</t>
  </si>
  <si>
    <t>Quais estratégias podem ajudar na recuperação do controle urinário após a cirurgia?</t>
  </si>
  <si>
    <t>A recuperação do controle urinário após a cirurgia, especialmente em procedimentos como prostatectomia ou cirurgias ginecológicas, pode ser facilitada com algumas estratégias eficazes. Aqui estão algumas abordagens:
1. Exercícios do Assoalho Pélvico (Kegel)
Fortalecem os músculos responsáveis pelo controle urinário.
Devem ser iniciados antes da cirurgia para melhores resultados no pós-operatório.
A prática deve ser feita regularmente, com contrações e relaxamentos dos músculos pélvicos.
2. Controle da Ingestão de Líquidos
Evitar grandes quantidades de líquidos de uma só vez.
Reduzir o consumo de cafeína e álcool, que podem irritar a bexiga.
Manter uma hidratação equilibrada, evitando desidratação.
3. Treinamento da Bexiga
Estabelecer horários para urinar, mesmo sem vontade, para reeducar a bexiga.
Aumentar gradativamente o tempo entre as idas ao banheiro para melhorar a capacidade de retenção.
4. Uso de Técnicas de Biofeedback
Ajuda a identificar e fortalecer corretamente os músculos pélvicos.
Pode ser realizado com acompanhamento fisioterapêutico.
5. Fisioterapia Pélvica
Profissionais especializados podem guiar exercícios específicos para melhorar o controle urinário.
Terapias como eletroestimulação podem ser indicadas.
6. Alimentação Adequada
Evitar alimentos irritantes para a bexiga (picantes, cítricos, adoçantes artificiais).
Manter uma dieta rica em fibras para evitar constipação, que pode agravar a incontinência.
7. Controle do Peso
O excesso de peso pode aumentar a pressão sobre a bexiga, piorando a incontinência.
Manter um peso saudável reduz essa pressão e melhora o controle urinário.
8. Medicamentos (se necessário)
Em alguns casos, o médico pode prescrever medicamentos para melhorar o controle da bexiga.
9. Técnicas de Relaxamento
A ansiedade pode agravar a incontinência urinária.
Técnicas como respiração profunda e mindfulness podem ajudar a reduzir a tensão.
10. Paciência e Persistência
A recuperação pode levar semanas ou meses, dependendo da cirurgia e do organismo de cada pessoa.
A persistência nos exercícios e hábitos saudáveis é essencial para bons resultados.
Se houver dificuldades persistentes, um urologista ou fisioterapeuta especializado pode indicar tratamentos mais específicos para acelerar a recuperação.</t>
  </si>
  <si>
    <t>A recuperação do controle urinário após uma cirurgia, como a prostatectomia ou outras intervenções que afetam o trato urinário, pode ser acelerada com algumas estratégias eficazes. Aqui estão algumas abordagens recomendadas:
1. Exercícios do Assoalho Pélvico (Kegel)
Fortalecem os músculos responsáveis pelo controle urinário.
Devem ser iniciados antes da cirurgia e retomados conforme orientação médica.
Envolve contrair e relaxar os músculos do períneo (como se estivesse segurando a urina).
2. Controle da Ingestão de Líquidos
Beber líquidos de forma equilibrada, evitando excessos antes de dormir.
Reduzir cafeína, álcool e bebidas gaseificadas, pois podem irritar a bexiga.
3. Treinamento da Bexiga
Urinar em intervalos programados para restaurar a capacidade da bexiga de reter urina.
Aumentar gradativamente o tempo entre as idas ao banheiro.
4. Controle do Peso e Alimentação
O excesso de peso pode pressionar a bexiga e agravar a incontinência.
Uma dieta rica em fibras evita constipação, que pode piorar o problema.
5. Fisioterapia Pélvica
Acompanhamento com um fisioterapeuta especializado pode acelerar a recuperação.
Técnicas como biofeedback ajudam a melhorar o controle muscular.
6. Uso de Dispositivos Auxiliares
Absorventes ou fraldas podem ser usados temporariamente para lidar com escapes urinários.
Dispositivos como cones vaginais (para mulheres) e slings masculinos podem ser indicados em casos mais severos.
7. Medicamentos e Tratamentos Complementares
Alguns medicamentos podem ajudar a fortalecer o esfíncter urinário ou reduzir a hiperatividade da bexiga.
Em casos mais graves, procedimentos minimamente invasivos podem ser recomendados.
8. Paciência e Persistência
A recuperação varia de pessoa para pessoa e pode levar meses.
Manter uma rotina disciplinada e seguir as recomendações médicas é essencial.
Se a incontinência persistir por muito tempo, é importante buscar um urologista para avaliar outras opções de tratamento.</t>
  </si>
  <si>
    <t xml:space="preserve">Após uma cirurgia que afeta o controle urinário, como a prostatectomia em homens ou algumas cirurgias ginecológicas em mulheres, é importante adotar estratégias eficazes para recuperar esse controle. Aqui estão algumas técnicas comumente recomendadas:
Exercícios de Kegel: Fortalecer os músculos do assoalho pélvico pode ajudar a melhorar o controle da bexiga. Os exercícios de Kegel envolvem a contração e o relaxamento desses músculos, e são especialmente úteis.
Treinamento da bexiga: Essa técnica envolve aumentar gradualmente o intervalo entre ir ao banheiro para urinar, ajudando a aumentar a capacidade da bexiga e o controle sobre a urgência urinária.
Alterações na dieta: Reduzir a ingestão de líquidos irritantes, como café, álcool e bebidas muito ácidas, pode diminuir a irritação da bexiga e ajudar a controlar a urgência.
Fisioterapia especializada: Um fisioterapeuta especializado em saúde pélvica pode fornecer orientações personalizadas e exercícios específicos para fortalecer o assoalho pélvico e melhorar o controle urinário.
Medicação: Em alguns casos, medicamentos que afetam a função da bexiga podem ser prescritos por um médico para ajudar a controlar a incontinência.
Uso de dispositivos: Alguns dispositivos, como cones vaginais ou pesários, podem ser usados para ajudar no fortalecimento dos músculos pélvicos.
Consulta com especialistas: Um urologista ou um ginecologista pode oferecer orientações e tratamentos adicionais específicos para a condição e as necessidades do paciente.
É crucial seguir as recomendações do médico ou do profissional de saúde para uma recuperação eficaz e segura.
</t>
  </si>
  <si>
    <t>A recuperação do controle urinário após a cirurgia, especialmente após procedimentos como a prostatectomia, pode ser um desafio, mas existem várias estratégias que podem ajudar:
Exercícios de Kegel: Estes exercícios fortalecem os músculos do assoalho pélvico, que são cruciais para controlar a urina. É importante aprender a técnica correta com um profissional de saúde para garantir que os músculos certos estão sendo trabalhados.
Treinamento da bexiga: Isso envolve estabelecer horários regulares para ir ao banheiro e gradualmente aumentar os intervalos entre as idas ao banheiro para treinar a bexiga a reter urina por períodos mais longos.
Controle de fluidos: Moderar a ingestão de líquidos, especialmente antes de dormir ou antes de sair, pode ajudar a gerenciar a urgência e a frequência urinária. No entanto, é importante manter uma hidratação adequada.
Evitar irritantes da bexiga: Alimentos e bebidas como café, álcool, alimentos ácidos e picantes podem irritar a bexiga e exacerbam a incontinência.
Fisioterapia especializada: Um fisioterapeuta especializado em saúde pélvica pode oferecer técnicas e exercícios específicos para ajudar a melhorar o controle da bexiga.
Uso de medicamentos: Em alguns casos, medicamentos podem ser prescritos para ajudar a relaxar a bexiga ou melhorar o controle urinário.
Produtos auxiliares: Utilizar absorventes ou dispositivos de coleta de urina pode ajudar a gerenciar a incontinência durante a recuperação.
A recuperação varia de pessoa para pessoa, portanto, é fundamental discutir com um profissional de saúde para desenvolver um plano personalizado que atenda às necessidades individuais após a cirurgia.</t>
  </si>
  <si>
    <t>A recuperação do controle urinário após cirurgias, especialmente aquelas que afetam a região pélvica, como a prostatectomia radical, requer um plano abrangente e personalizado. Abaixo, detalho algumas estratégias cruciais:
1. Exercícios do Assoalho Pélvico (Exercícios de Kegel)
Identificação dos músculos: Essencial para o sucesso dos exercícios, consiste em contrair os músculos que interrompem o fluxo da urina e a expulsão de gases.
Técnica correta: Contraia os músculos por 5 a 10 segundos, relaxe por igual período e repita 10 a 15 vezes, 3 a 4 vezes ao dia.
Consistência: A prática regular é fundamental, com resultados visíveis em semanas ou meses.
2. Mudanças no Estilo de Vida
Hidratação controlada: Evitar ingestão excessiva de líquidos antes de dormir e reduzir o consumo de cafeína e álcool, diuréticos naturais.
Dieta balanceada: Rica em fibras para evitar constipação, que exerce pressão sobre a bexiga.
Peso saudável: O excesso de peso aumenta a pressão abdominal, agravando a incontinência.
Parar de fumar: A tosse crônica associada ao tabagismo sobrecarrega o assoalho pélvico.
3. Treinamento da Bexiga
Micção programada: Urinar em intervalos regulares, aumentando gradativamente o tempo entre as idas ao banheiro.
Técnicas de urgência: Estratégias de distração e relaxamento para controlar a vontade súbita de urinar.
Registro: Manter um diário miccional para identificar padrões e gatilhos.
4. Biofeedback e Eletroestimulação
Biofeedback: Monitoramento da atividade muscular do assoalho pélvico para aprimorar a técnica dos exercícios.
Eletroestimulação: Uso de correntes elétricas suaves para estimular os músculos do assoalho pélvico.
5. Fisioterapia do Assoalho Pélvico
Avaliação individualizada: Identificação de disfunções e desenvolvimento de um plano de tratamento específico.
Técnicas manuais: Liberação de tensões musculares e melhora da coordenação.
Exercícios personalizados: Fortalecimento e coordenação dos músculos do assoalho pélvico.
6. Medicamentos
Casos específicos: Uso de medicamentos para incontinência de urgência ou outros tipos de incontinência, conforme orientação médica.
Efeitos colaterais: Monitoramento e ajuste da dose sob supervisão médica.
7. Cirurgia (Casos Selecionados)
Opção para incontinência persistente: Procedimentos como sling uretral masculino ou esfíncter urinário artificial.
8. Dispositivos Médicos
Clamp peniano: Dispositivo externo que comprime a uretra para prevenir vazamentos.
Cateteres: Uso intermitente ou contínuo para esvaziar a bexiga.
Acompanhamento Multidisciplinar
Urologista: Especialista em saúde do trato urinário masculino.
Fisioterapeuta pélvico: Especialista em reabilitação do assoalho pélvico.
Enfermeiro: Suporte e orientação sobre o manejo da incontinência.
Recursos e Suporte
Associações de pacientes: Grupos de apoio e informações sobre incontinência urinária.
Materiais educativos: Livros, sites e vídeos com informações sobre prevenção e tratamento.
Lembre-se: Cada caso é único, e a recuperação do controle urinário leva tempo e dedicação. A consulta com um profissional de saúde é fundamental para um plano de tratamento individualizado e eficaz.</t>
  </si>
  <si>
    <t>A recuperação do controle urinário após uma cirurgia depende do tipo de procedimento realizado, mas algumas estratégias gerais podem ajudar:
1. Exercícios do assoalho pélvico (Kegel):
Identifique os músculos corretos: Contraia os músculos que você usaria para interromper o fluxo de urina.
Realize os exercícios regularmente: Contraia os músculos por 5-10 segundos, relaxe e repita 10-15 vezes, várias vezes ao dia.
Varie os exercícios: Faça contrações rápidas e longas para fortalecer diferentes fibras musculares.
2. Mudanças no estilo de vida:
Controle da ingestão de líquidos: Reduza o consumo de cafeína e álcool, que podem irritar a bexiga.
Gerenciamento do peso: A perda de peso pode aliviar a pressão sobre a bexiga.
Parar de fumar: O tabagismo pode irritar a bexiga e causar tosse, o que pode levar à incontinência.
Evitar esforço: Evitar esforço por 30 dias após a cirurgia.
3. Treinamento da bexiga:
Micção programada: Vá ao banheiro em horários regulares, mesmo que não sinta vontade.
Aumento gradual do intervalo: Aumente gradualmente o tempo entre as idas ao banheiro.
Técnicas de supressão: Use técnicas de relaxamento e respiração profunda para controlar a vontade de urinar.
4. Fisioterapia:
Eletroestimulação: Um fisioterapeuta pode usar eletrodos para estimular os músculos do assoalho pélvico.
Biofeedback: Um fisioterapeuta pode usar sensores para ajudá-lo a aprender a controlar os músculos do assoalho pélvico.
5. Medicamentos:
Anticolinérgicos: Relaxam os músculos da bexiga e podem ajudar com a incontinência de urgência.
Alfa-bloqueadores: Relaxam os músculos da próstata e podem ajudar com a incontinência por transbordamento.
Estrogênio tópico: Pode ajudar a fortalecer os músculos da uretra em mulheres.
6. Outras intervenções:
Dispositivos médicos: Dispositivos como pessários e slings podem ajudar a sustentar a uretra.
Cirurgia: Em casos graves, a cirurgia pode ser necessária para reparar danos aos músculos ou nervos do assoalho pélvico.
7. Acompanhamento médico:
É importante consultar um médico ou fisioterapeuta para obter um plano de tratamento personalizado.
O médico pode recomendar exames e procedimentos adicionais para determinar a causa da incontinência e monitorar o progresso do tratamento.
Recursos adicionais:
Associação Portuguesa de Urologia: [https://apurologia.pt/](https://apurologia.pt/)
Sociedade Brasileira de Urologia: https://sbu-sp.org.br/publico/incontinencia-urinaria/
Lembre-se que a recuperação do controle urinário pode levar tempo e paciência. Seja persistente com seus exercícios e siga as orientações do seu médico ou fisioterapeuta.</t>
  </si>
  <si>
    <t>A recuperação do controle urinário após uma cirurgia pode variar dependendo do tipo de procedimento realizado e das condições individuais de cada paciente. No entanto, algumas estratégias comuns podem ajudar no processo de recuperação:
Treinamento da bexiga: Envolve treinar a bexiga a reter a urina por períodos mais longos. Isso pode ser feito agendando horários específicos para urinar, aumentando gradualmente os intervalos entre as idas ao banheiro.
Exercícios do assoalho pélvico (Kegel): Esses exercícios ajudam a fortalecer os músculos que controlam a bexiga e podem melhorar o controle urinário. Eles envolvem contrair e relaxar os músculos do assoalho pélvico de forma repetida.
Uso de medicamentos: Em alguns casos, medicamentos podem ser prescritos para ajudar a controlar a bexiga hiperativa ou melhorar a função do esfíncter urinário.
Hidratação adequada: Manter uma boa hidratação é importante, mas também é essencial não exagerar na ingestão de líquidos, especialmente se a cirurgia envolveu a bexiga ou a próstata, para evitar sobrecarga na bexiga.
Treinamento de continência com dispositivos: Em alguns casos, dispositivos como biofeedback ou até mesmo eletroestimulação podem ser utilizados para ajudar no treinamento muscular e no controle urinário.
Controle da dieta: Evitar alimentos ou bebidas que podem irritar a bexiga (como cafeína, álcool e alimentos picantes) pode ajudar a evitar a urgência urinária ou a incontinência.
Fisioterapia pélvica: Consultar um fisioterapeuta especializado em saúde pélvica pode ser benéfico. A fisioterapia pélvica oferece orientação personalizada para a recuperação do controle urinário após a cirurgia.
Monitoramento médico regular: Acompanhamento contínuo com o médico para ajustar o plano de tratamento, monitorar a recuperação e lidar com quaisquer complicações ou efeitos colaterais da cirurgia.
Essas estratégias devem ser adaptadas com base no tipo de cirurgia e na orientação médica, para que a recuperação seja o mais eficaz possível.</t>
  </si>
  <si>
    <t>A recuperação do controle urinário após uma cirurgia, como a prostatectomia ou cirurgia ginecológica, pode ser desafiadora, mas várias estratégias podem ser eficazes para auxiliar nesse processo. Aqui estão algumas abordagens recomendadas:
Exercícios de Kegel: Fortalecer os músculos do assoalho pélvico pode ajudar a melhorar o controle da bexiga. Esses exercícios envolvem contrair e relaxar os músculos responsáveis pela continência urinária, ajudando a restaurar o controle.
Treinamento da bexiga: Isso envolve estabelecer horários regulares para tentar urinar, mesmo que a pessoa não sinta vontade. Com o tempo, isso pode ajudar a aumentar a capacidade da bexiga e melhorar o controle.
Uso de medicamentos: Em alguns casos, o médico pode recomendar medicamentos para ajudar a controlar os sintomas de incontinência urinária, como anticolinérgicos ou beta-3 agonistas, que ajudam a reduzir a frequência urinária ou a urgência.
Biofeedback: Esta técnica ajuda a pessoa a tomar consciência das contrações musculares e do processo urinário, promovendo uma melhor coordenação e controle do assoalho pélvico.
Terapia física especializada: Um fisioterapeuta especializado em saúde pélvica pode oferecer orientações personalizadas sobre como melhorar o controle urinário.
Adaptação de hábitos alimentares: Evitar irritantes da bexiga, como cafeína, álcool e alimentos condimentados, pode ajudar a reduzir a frequência urinária e a urgência.
Estimulação elétrica neuromuscular: Em alguns casos, a estimulação elétrica dos músculos do assoalho pélvico pode ser usada para ajudar na recuperação da função muscular e no controle urinário.
Acompanhamento psicológico: A incontinência urinária pode causar estresse emocional. Ter apoio psicológico pode ser útil para lidar com os aspectos emocionais da recuperação.
Essas estratégias devem ser discutidas com o médico responsável, que pode recomendar o melhor plano de tratamento com base no tipo de cirurgia e nas necessidades específicas do paciente.</t>
  </si>
  <si>
    <t>Como o suporte educacional pode melhorar a adaptação dos pacientes à incontinência urinária pós-prostatectomia?</t>
  </si>
  <si>
    <t>O suporte educacional pode melhorar a adaptação dos pacientes à incontinência urinária pós-prostatectomia de diversas formas, auxiliando na reabilitação física, psicológica e social. Algumas estratégias incluem:
Educação sobre a condição e recuperação
Explicação detalhada sobre a incontinência urinária como um efeito colateral comum da prostatectomia, normalizando a experiência e reduzindo a ansiedade.
Informação sobre o tempo esperado de recuperação e as taxas de melhora com diferentes abordagens.
Treinamento e reabilitação do assoalho pélvico
Instrução sobre exercícios de Kegel para fortalecer os músculos do assoalho pélvico e melhorar o controle urinário.
Acompanhamento com fisioterapeutas especializados para orientar corretamente a execução dos exercícios.
Orientação sobre o uso de dispositivos e estratégias de manejo
Ensino do uso de absorventes, dispositivos de coleta urinária e roupas adequadas para minimizar impactos na rotina diária.
Demonstração de técnicas para controle da bexiga, como micção programada e mudanças nos hábitos de consumo de líquidos.
Apoio psicológico e emocional
Promoção de grupos de apoio ou aconselhamento psicológico para lidar com impactos na autoestima, sexualidade e qualidade de vida.
Educação para parceiros(as) sobre como apoiar emocionalmente o paciente durante a adaptação.
Mudanças no estilo de vida
Dicas sobre alimentação e hidratação para evitar irritação da bexiga e melhorar o controle urinário.
Redução do consumo de cafeína, álcool e alimentos ácidos, que podem agravar a incontinência.
Acompanhamento contínuo e individualizado
Monitoramento por profissionais de saúde para avaliar a progressão da recuperação e ajustar intervenções conforme necessário.
Disponibilização de materiais educativos em formato digital ou impresso para reforço contínuo das orientações.
Com um suporte educacional estruturado, os pacientes podem desenvolver maior autonomia, confiança e qualidade de vida ao lidar com a incontinência urinária pós-prostatectomia.</t>
  </si>
  <si>
    <t>O suporte educacional pode desempenhar um papel crucial na adaptação dos pacientes à incontinência urinária pós-prostatectomia, proporcionando conhecimento, estratégias de enfrentamento e apoio emocional. Algumas formas de melhorar essa adaptação incluem:
Educação Pré e Pós-operatória: Informar os pacientes sobre a possibilidade da incontinência urinária antes da cirurgia pode reduzir o impacto psicológico. Após a cirurgia, fornecer informações sobre a recuperação e opções de tratamento ajuda a gerenciar expectativas.
Treinamento do Assoalho Pélvico: Programas de fisioterapia com exercícios específicos, como os exercícios de Kegel, podem fortalecer os músculos do assoalho pélvico e melhorar o controle urinário.
Apoio Psicológico e Emocional: Grupos de apoio e aconselhamento individual podem ajudar os pacientes a lidar com o estresse, ansiedade e impacto na autoestima causados pela incontinência.
Uso de Recursos Visuais e Interativos: Vídeos educativos, aplicativos e materiais ilustrativos podem facilitar a compreensão das estratégias de reabilitação.
Acompanhamento Multidisciplinar: Envolver urologistas, enfermeiros especializados, fisioterapeutas e psicólogos no suporte ao paciente garante um cuidado integral.
Orientação sobre Dispositivos e Estilo de Vida: Ensinar sobre o uso de absorventes, coletores urinários e técnicas comportamentais (como restrição de líquidos antes de sair) pode melhorar a qualidade de vida.
Estímulo ao Engajamento do Paciente: Incentivar o paciente a participar ativamente do tratamento e a relatar sua evolução ajuda na adesão às estratégias de reabilitação.
Ao integrar esses elementos, o suporte educacional pode reduzir o impacto da incontinência urinária e melhorar a adaptação e qualidade de vida dos pacientes após a prostatectomia.</t>
  </si>
  <si>
    <t>O suporte educacional é fundamental para melhorar a adaptação dos pacientes à incontinência urinária após uma prostatectomia. Aqui estão alguns pontos-chave sobre como isso pode ser feito:
Educação pré-operatória: Informar os pacientes sobre o que esperar após a cirurgia, incluindo a possibilidade de incontinência urinária, pode ajudar a prepará-los mental e emocionalmente. Essa educação pode incluir detalhes sobre o processo cirúrgico, os potenciais efeitos colaterais e as estratégias de manejo da incontinência.
Treinamento do assoalho pélvico: Ensinar exercícios de fortalecimento do assoalho pélvico antes e depois da cirurgia pode ajudar a reduzir a gravidade da incontinência. Esses exercícios, como os Kegels, aumentam o controle muscular e podem melhorar a função urinária.
Recursos pós-operatórios: Fornecer materiais educativos, como folhetos, vídeos e links para websites úteis que oferecem informação e suporte sobre como lidar com a incontinência. Estes recursos podem incluir dicas de gestão, opções de produtos absorventes e estratégias para uma vida diária adaptada.
Suporte psicológico: A incontinência urinária pode afetar a autoestima e a qualidade de vida do paciente. O suporte psicológico, seja através de terapia individual ou grupos de apoio, pode ajudar os pacientes a lidar com as mudanças emocionais e psicológicas decorrentes dessa condição.
Acompanhamento contínuo: Consultas regulares com profissionais de saúde para monitorar o progresso do paciente e ajustar as estratégias de manejo conforme necessário. Isso também oferece uma oportunidade para os pacientes discutirem suas preocupações e obterem respostas para suas perguntas.
Treinamento para lidar com episódios de urgência: Técnicas como a terapia comportamental para treinar a bexiga podem ser ensinadas, ajudando os pacientes a aumentar o intervalo entre as idas ao banheiro e a gerir melhor a urgência urinária.
Por meio dessas estratégias de suporte educacional, os pacientes podem se sentir mais controlados e informados sobre seu estado, o que pode significativamente melhorar sua adaptação e qualidade de vida após a prostatectomia.</t>
  </si>
  <si>
    <t>O suporte educacional é fundamental para melhorar a adaptação dos pacientes à incontinência urinária após uma prostatectomia. Aqui estão algumas maneiras pelas quais ele pode ajudar:
Informação Clínica: Educando os pacientes sobre o que esperar após a cirurgia, incluindo possíveis efeitos colaterais como a incontinência urinária. Isso pode incluir discussões sobre a anatomia envolvida, por que a incontinência pode ocorrer e quais são as estratégias para gerenciá-la.
Técnicas de Gestão: Instruir pacientes sobre técnicas e ferramentas para gerenciar a incontinência, como o uso de absorventes urinários, técnicas de higiene e cuidados da pele para prevenir irritações e infecções.
Exercícios de Fortalecimento: Ensinar e encorajar a prática de exercícios de fortalecimento do assoalho pélvico, como os exercícios de Kegel, que podem ajudar a melhorar o controle da bexiga.
Aconselhamento Psicológico: Oferecer suporte psicológico para lidar com o impacto emocional da incontinência. Isso pode envolver terapia individual ou em grupo, ajudando os pacientes a lidar com a ansiedade, depressão ou baixa autoestima associadas à condição.
Grupos de Suporte: Encorajar a participação em grupos de suporte onde pacientes podem compartilhar experiências e dicas práticas com outros que enfrentam desafios semelhantes.
Follow-Up Regular: Proporcionar acompanhamento regular com profissionais de saúde para monitorar o progresso, ajustar tratamentos e responder a quaisquer novas preocupações que possam surgir.
Adaptações no Estilo de Vida: Aconselhar sobre mudanças no estilo de vida que podem ajudar a gerenciar a incontinência, como limitar a ingestão de líquidos antes de dormir, evitar alimentos e bebidas que irritam a bexiga, e manter um peso saudável.
Ao fornecer educação abrangente e suporte contínuo, os pacientes podem sentir-se mais capacitados para gerenciar a incontinência urinária pós-prostatectomia, melhorando significativamente sua qualidade de vida.</t>
  </si>
  <si>
    <t>O suporte educacional desempenha um papel fundamental na adaptação de pacientes à incontinência urinária pós-prostatectomia. Ao fornecer informações claras, orientação prática e apoio emocional, o suporte educacional ajuda os pacientes a:
1. Compreender a condição:
Informações sobre a incontinência: Explicações sobre as causas, tipos e duração esperada da incontinência após a prostatectomia.
Anatomia e fisiologia: Esclarecimento sobre as mudanças no sistema urinário após a cirurgia.
Expectativas realistas: Ajuda a definir expectativas realistas sobre a recuperação da continência e a lidar com a frustração.
2. Desenvolver habilidades de gerenciamento:
Exercícios do assoalho pélvico: Instrução e acompanhamento na realização dos exercícios de Kegel para fortalecer os músculos do assoalho pélvico.
Técnicas de controle da bexiga: Estratégias para retardar a vontade de urinar, programar idas ao banheiro e evitar gatilhos da incontinência.
Uso de dispositivos de auxílio: Orientação sobre o uso de absorventes, coletores de urina e outros dispositivos para gerenciar a incontinência.
Cuidados com a pele: Dicas para prevenir irritações e infecções da pele causadas pelo contato com a urina.
3. Promover a saúde emocional:
Apoio emocional: Criação de um ambiente seguro para o paciente expressar suas preocupações, medos e frustrações.
Informações sobre recursos: Orientação sobre grupos de apoio, terapia individual ou em grupo e outros recursos para lidar com o impacto emocional da incontinência.
Estratégias de enfrentamento: Ferramentas para lidar com o estresse, a ansiedade e a vergonha associados à incontinência.
4. Melhorar a qualidade de vida:
Retorno às atividades: Orientações sobre como retomar gradualmente as atividades diárias, o trabalho e o lazer.
Saúde sexual: Informações sobre como a incontinência pode afetar a saúde sexual e estratégias para lidar com essas mudanças.
Nutrição e hidratação: Orientações sobre como a dieta e a ingestão de líquidos podem afetar a incontinência.
Recursos adicionais:
Além do suporte educacional fornecido por profissionais de saúde, existem diversos recursos online e offline que podem auxiliar os pacientes:
Associações de pacientes e grupos de apoio.
Materiais educativos impressos e online.
Aplicativos e dispositivos para monitoramento e exercícios do assoalho pélvico.
Ao combinar informações, habilidades práticas e apoio emocional, o suporte educacional capacita os pacientes a assumirem o controle da sua condição e a melhorarem a sua qualidade de vida após a prostatectomia.</t>
  </si>
  <si>
    <t>O suporte educacional desempenha um papel fundamental na adaptação de pacientes à incontinência urinária pós-prostatectomia. Ao fornecer informações claras, orientação prática e apoio emocional, o suporte educacional ajuda os pacientes a entenderem sua condição, aprenderem a lidar com os sintomas e recuperarem a qualidade de vida.
Principais aspectos do suporte educacional
Informações sobre a incontinência urinária: O suporte educacional fornece informações detalhadas sobre as causas, tipos e duração da incontinência urinária após a prostatectomia. Isso ajuda os pacientes a entenderem sua condição e a terem expectativas realistas sobre a recuperação.
Treinamento de exercícios do assoalho pélvico: O suporte educacional ensina os pacientes a identificarem e fortalecerem os músculos do assoalho pélvico, que desempenham um papel crucial no controle da urina. O treinamento regular desses músculos pode melhorar significativamente a continência.
Orientações sobre o uso de dispositivos e acessórios: O suporte educacional informa os pacientes sobre os diferentes tipos de dispositivos e acessórios disponíveis para o controle da incontinência urinária, como absorventes, coletores e dispositivos de estimulação elétrica. Além disso, fornece orientações sobre como usar esses dispositivos de forma eficaz e segura.
Estratégias para lidar com o impacto emocional: A incontinência urinária pode ter um impacto significativo na autoestima, nas relações sociais e na qualidade de vida dos pacientes. O suporte educacional aborda essas questões emocionais, oferecendo estratégias para lidar com o estresse, a ansiedade e a vergonha associados à incontinência.
Acompanhamento e suporte contínuo: O suporte educacional não se limita a um único encontro. O acompanhamento contínuo e o suporte personalizado são essenciais para garantir que os pacientes recebam o apoio necessário ao longo do processo de recuperação.
Benefícios do suporte educacional
Melhora o controle da incontinência urinária
Acelera a recuperação da continência
Reduz o impacto emocional da incontinência
Aumenta a confiança e a autoestima
Melhora a qualidade de vida
Profissionais envolvidos no suporte educacional
Médicos urologistas
Enfermeiros especializados em incontinência urinária
Fisioterapeutas pélvicos
Psicólogos e terapeutas
Importância da abordagem multidisciplinar
Para otimizar a adaptação dos pacientes à incontinência urinária pós-prostatectomia, é fundamental que o suporte educacional seja oferecido por uma equipe multidisciplinar, que trabalhe de forma integrada e coordenada.</t>
  </si>
  <si>
    <t>O suporte educacional desempenha um papel crucial na adaptação dos pacientes à incontinência urinária pós-prostatectomia, pois pode ajudar a reduzir o estigma, melhorar o manejo da condição e aumentar a confiança do paciente em lidar com os sintomas. Algumas formas de como isso pode ser feito incluem:
Informação sobre a condição: O suporte educacional pode fornecer informações claras sobre a incontinência urinária, explicando que ela é uma consequência comum da prostatectomia e que, em muitos casos, a função urinária pode melhorar com o tempo. Isso pode aliviar a ansiedade do paciente e dar uma perspectiva mais realista sobre a recuperação.
Treinamento em exercícios de fortalecimento: Ensinar os pacientes sobre exercícios de fortalecimento do assoalho pélvico, como os exercícios de Kegel, pode ser fundamental para melhorar o controle da bexiga e reduzir os episódios de incontinência. O suporte educacional pode envolver demonstrações práticas e acompanhamento para garantir que os exercícios sejam feitos corretamente.
Orientação sobre o uso de dispositivos e produtos de gestão: Os pacientes podem se beneficiar de informações sobre o uso de fraldas, protetores ou outros dispositivos para gerenciar a incontinência. O suporte educacional pode ajudar na escolha dos produtos mais adequados às necessidades individuais, além de ensinar como usá-los corretamente.
Aconselhamento psicológico e emocional: A incontinência urinária pode afetar a qualidade de vida e a autoestima dos pacientes. O suporte educacional pode incluir apoio psicológico, proporcionando uma abordagem que ajude os pacientes a lidar com o impacto emocional da condição, promovendo estratégias de enfrentamento e autocompaixão.
Acompanhamento contínuo: Oferecer um suporte contínuo, com consultas periódicas ou acesso a grupos de apoio, pode ajudar os pacientes a se sentirem mais seguros durante a recuperação. A educação continuada sobre as mudanças nas condições e progressos individuais é essencial para a adaptação de longo prazo.
Combinando informações práticas com apoio emocional, o suporte educacional pode ser um fator determinante para a adaptação bem-sucedida à incontinência urinária pós-prostatectomia.</t>
  </si>
  <si>
    <t>O suporte educacional desempenha um papel crucial na adaptação dos pacientes à incontinência urinária pós-prostatectomia, ajudando-os a compreender melhor o que está acontecendo com o seu corpo e como lidar com as mudanças. Algumas formas de melhorar esse suporte incluem:
Educação clara sobre a condição: Explicar aos pacientes o que é a incontinência urinária pós-prostatectomia, suas causas e como ela se relaciona com o processo de recuperação. Isso ajuda a reduzir a ansiedade e proporciona um entendimento realista das expectativas durante o período pós-cirúrgico.
Treinamento sobre exercícios do assoalho pélvico: Ensinar técnicas de fortalecimento muscular, como os exercícios de Kegel, que podem melhorar o controle urinário e diminuir a incontinência. A prática regular pode ajudar a acelerar a recuperação e melhorar a qualidade de vida.
Estratégias para gerenciar a incontinência: Oferecer orientação sobre o uso de dispositivos de incontinência, como fraldas ou absorventes, e sobre como escolher o produto mais adequado às suas necessidades. Além disso, sugerir formas de gerenciar os episódios de incontinência, como horários regulares para ir ao banheiro.
Aconselhamento psicológico e apoio emocional: Reconhecer que a incontinência urinária pode afetar a autoestima e a qualidade de vida do paciente. Fornecer apoio psicológico, grupos de apoio ou consultas com um terapeuta especializado pode ajudar a lidar com esses desafios emocionais e sociais.
Monitoramento e acompanhamento contínuo: Agendar consultas regulares para monitorar o progresso da recuperação, ajustar tratamentos e fornecer mais orientações educacionais conforme necessário. Isso pode incluir acompanhamento médico para avaliar a resposta ao tratamento e ajustar intervenções se necessário.
Essas abordagens educacionais contribuem para que os pacientes se sintam mais informados, menos ansiosos e mais preparados para lidar com a incontinência urinária, promovendo uma recuperação mais tranquila e uma melhor adaptação à nova realidade.</t>
  </si>
  <si>
    <t>Como a Teoria das Necessidades Humanas Básicas explica a relação entre a saúde sexual e o equilíbrio do indivíduo?</t>
  </si>
  <si>
    <t>A Teoria das Necessidades Humanas Básicas, proposta por Wanda de Aguiar Horta, é um modelo da enfermagem que se baseia na ideia de que o ser humano possui necessidades fundamentais que devem ser atendidas para manter seu equilíbrio e saúde. Essa teoria se inspira na hierarquia de necessidades de Maslow, mas é aplicada no contexto do cuidado em saúde.
Quando analisamos a saúde sexual dentro dessa teoria, podemos entender que ela está diretamente relacionada ao equilíbrio do indivíduo em diferentes níveis:
Necessidades fisiológicas – A sexualidade envolve funções biológicas, hormonais e reprodutivas que impactam o bem-estar físico. Alterações nesses aspectos podem gerar desconforto e até doenças, afetando a qualidade de vida.
Necessidades psicossociais – A sexualidade também tem um papel fundamental na identidade, na autoestima e na expressão emocional. Desequilíbrios nesse aspecto podem levar a frustrações, ansiedade ou baixa autoestima.
Necessidades psicobiológicas – A satisfação da necessidade sexual influencia o equilíbrio mental e emocional. Traumas, repressões ou dificuldades nesse âmbito podem levar a distúrbios psicológicos, como depressão ou ansiedade.
Necessidades espirituais – Para algumas pessoas, a sexualidade está conectada a valores, crenças e propósito de vida. Conflitos entre valores pessoais e experiências sexuais podem gerar angústias e crises existenciais.
Dessa forma, a Teoria das Necessidades Humanas Básicas explica que o equilíbrio do indivíduo depende do atendimento dessas diferentes dimensões. Quando a saúde sexual é negligenciada, outras áreas da vida podem ser afetadas, causando um desequilíbrio geral. Por outro lado, quando a sexualidade é vivenciada de forma saudável e satisfatória, ela contribui para um estado de bem-estar integral.</t>
  </si>
  <si>
    <t>A Teoria das Necessidades Humanas Básicas, desenvolvida por Wanda de Aguiar Horta, é baseada na concepção de que o ser humano possui necessidades que, quando satisfeitas, promovem equilíbrio e saúde, e, quando não atendidas, geram desequilíbrios e sofrimento. Essa teoria se alinha com a hierarquia de necessidades de Maslow, mas enfatiza a interdependência dos aspectos biológicos, psicológicos e sociais.
Saúde Sexual e Equilíbrio do Indivíduo
Dentro dessa abordagem, a saúde sexual está inserida principalmente na necessidade psicobiológica de integridade e bem-estar e na necessidade psicossocial de aceitação e relacionamento interpessoal. Isso porque a sexualidade não se restringe apenas ao ato sexual, mas engloba aspectos emocionais, afetivos e identitários que influenciam o equilíbrio global do indivíduo.
Necessidades Psicobiológicas
A saúde sexual envolve o funcionamento adequado do organismo, incluindo equilíbrio hormonal, prevenção de infecções sexualmente transmissíveis e bem-estar físico.
A privação pode gerar disfunções sexuais, estresse e problemas psicossomáticos.
Necessidades Psicológicas
A satisfação da sexualidade influencia a autoestima, a identidade pessoal e a regulação emocional.
A repressão ou frustração pode levar a estados de ansiedade, depressão e insatisfação consigo mesmo.
Necessidades Psicossociais
O equilíbrio sexual está ligado à qualidade dos relacionamentos interpessoais, ao afeto e à aceitação social.
A ausência de uma vida sexual saudável pode gerar isolamento, conflitos conjugais e dificuldades de comunicação.
Conclusão
A Teoria das Necessidades Humanas Básicas explica que a saúde sexual faz parte do equilíbrio global do indivíduo, pois impacta sua fisiologia, sua psique e seus relacionamentos sociais. Quando essa necessidade é suprida de maneira saudável e consciente, há um aumento do bem-estar geral e da qualidade de vida. Por outro lado, a privação ou repressão da sexualidade pode gerar desequilíbrios que afetam a saúde mental, emocional e até mesmo física do indivíduo.</t>
  </si>
  <si>
    <t>A Teoria das Necessidades Humanas Básicas, proposta por Abraham Maslow, sugere que os seres humanos são motivados por uma hierarquia de necessidades que devem ser atendidas para alcançar a realização e o equilíbrio pessoal. Essas necessidades são geralmente divididas em cinco categorias principais: necessidades fisiológicas, de segurança, sociais, de estima e de auto-realização.
No contexto da saúde sexual, ela se enquadra principalmente nas necessidades fisiológicas e sociais:
Necessidades Fisiológicas: A saúde sexual é uma parte fundamental das necessidades fisiológicas do ser humano, que incluem alimentação, repouso, abrigo e reprodução. A saúde sexual abrange não apenas a capacidade de reproduzir, mas também a capacidade de ter uma vida sexual satisfatória e segura, sem medo de doenças ou infecções. A satisfação dessas necessidades é essencial para o bem-estar físico e emocional.
Necessidades Sociais: A saúde sexual também se relaciona com as necessidades sociais, que incluem a necessidade de amor, intimidade e relações interpessoais. Uma vida sexual saudável pode contribuir para relacionamentos estáveis e satisfatórios, fortalecendo o vínculo entre parceiros e promovendo uma sensação de pertencimento e aceitação.
A falta de atenção à saúde sexual pode levar a desequilíbrios em ambas as áreas, afetando o bem-estar geral do indivíduo. Problemas de saúde sexual podem causar estresse, ansiedade e problemas em relacionamentos, o que, por sua vez, pode afetar a autoestima e a capacidade de alcançar a auto-realização. Assim, a saúde sexual é um componente importante do equilíbrio geral do indivíduo, influenciando sua capacidade de se sentir seguro, amado e valorizado.</t>
  </si>
  <si>
    <t>A Teoria das Necessidades Humanas Básicas, formulada por Abraham Maslow, é um modelo psicológico que propõe uma hierarquia de necessidades humanas, organizadas em níveis que vão das mais básicas às mais complexas. Segundo Maslow, a saúde sexual se encaixa principalmente no nível das necessidades de amor e de pertencimento, que abrangem tanto as relações afetivas quanto as relações sexuais.
Essas necessidades são vitais para o equilíbrio e a saúde mental do indivíduo, pois o amor e o pertencimento são essenciais para desenvolver e manter conexões emocionais e íntimas com outras pessoas. Uma vida sexual saudável e satisfatória contribui significativamente para a satisfação dessas necessidades, pois promove intimidade, conexão e um senso de aceitação mútua.
Além disso, atender a essas necessidades sexuais e afetivas ajuda no alcance dos níveis superiores da hierarquia de Maslow, como a estima e a auto-realização. Sentir-se amado e conectado pode aumentar a autoestima e a confiança, promovendo um bem-estar geral e uma maior realização pessoal.
Portanto, a saúde sexual é vista não apenas como uma questão de bem-estar físico, mas também como um componente crucial para o equilíbrio emocional e psicológico, influenciando diretamente a capacidade do indivíduo de atingir seu potencial pleno e a auto-realização.</t>
  </si>
  <si>
    <t>A Teoria das Necessidades Humanas Básicas, proposta por Abraham Maslow, organiza as necessidades humanas em uma hierarquia, desde as mais básicas, como fisiologia e segurança, até as mais complexas, como amor, estima e autorrealização. A saúde sexual, nesse contexto, pode ser vista como um componente integrante de diversas dessas necessidades, influenciando o equilíbrio do indivíduo de diferentes maneiras:
1. Necessidades fisiológicas:
A sexualidade está intrinsecamente ligada à fisiologia humana, abrangendo desde o funcionamento do corpo até a reprodução. A satisfação das necessidades sexuais básicas contribui para o bem-estar físico e mental.
A privação sexual pode gerar desconforto físico e emocional, afetando o humor, o sono e a disposição.
2. Necessidades de amor e relacionamento:
A sexualidade é uma forma de expressão de intimidade e conexão com outras pessoas. A vivência sexual saudável fortalece os laços afetivos, promovendo o sentimento de pertencimento e amor.
A falta de relações íntimas satisfatórias pode gerar sentimentos de solidão, isolamento e baixa autoestima.
3. Necessidades de estima:
A sexualidade está relacionada à autoimagem e à autoestima. A vivência sexual positiva contribui para a construção de uma imagem corporal saudável e para o sentimento de autoconfiança.
A insatisfação sexual ou a vivência de experiências negativas podem afetar a autoestima e gerar sentimentos de inadequação.
4. Necessidades de autorrealização:
A sexualidade pode ser vista como uma forma de expressão da identidade e da individualidade. A vivência sexual autêntica e prazerosa contribui para o processo de autoconhecimento e autorrealização.
A repressão ou a negação da sexualidade podem impedir o desenvolvimento pleno do potencial humano.
Em resumo:
A saúde sexual é um aspecto fundamental do bem-estar humano, influenciando o equilíbrio físico, mental e emocional do indivíduo.
A Teoria das Necessidades Humanas Básicas oferece um framework útil para compreender a importância da sexualidade em diferentes níveis da experiência humana.
A satisfação das necessidades sexuais contribui para a saúde integral e para a busca da felicidade e do bem-estar.
É importante ressaltar que a vivência da sexualidade é individual e multifacetada, variando de acordo com a cultura, os valores e as experiências de cada pessoa. A saúde sexual não se resume à prática sexual, mas abrange também o autoconhecimento, o respeito ao próprio corpo e aos limites do outro, e a capacidade de estabelecer relações íntimas saudáveis e satisfatórias.</t>
  </si>
  <si>
    <t>A Teoria das Necessidades Humanas Básicas, proposta por Abraham Maslow, organiza as necessidades humanas em uma hierarquia, desde as mais básicas, como fisiologia e segurança, até as mais complexas, como amor, estima e autorrealização. A saúde sexual, nesse contexto, pode ser vista como um componente integrante de diversas camadas dessa pirâmide:
Necessidades Fisiológicas:
A sexualidade está intrinsecamente ligada à nossa biologia. A busca por prazer, a reprodução e a saúde do sistema reprodutivo são necessidades fisiológicas básicas.
Necessidades de Amor e Pertencimento:
A intimidade sexual é uma forma de conexão profunda com outro indivíduo, satisfazendo a necessidade de amor, afeto e pertencimento. A vivência positiva da sexualidade pode fortalecer vínculos e promover a sensação de aceitação.
Necessidades de Estima:
A forma como nos sentimos em relação à nossa sexualidade impacta diretamente nossa autoestima e autoconfiança. A aceitação do próprio corpo, a satisfação com a vida sexual e a segurança em expressar a sexualidade contribuem para uma imagem positiva de si mesmo.
Autorrealização:
A sexualidade pode ser uma forma de expressão pessoal e autodescoberta. A busca pelo prazer, a experimentação e a vivência da sexualidade de forma autêntica podem contribuir para o desenvolvimento pessoal e a realização do potencial individual.
Saúde Sexual e Equilíbrio:
Quando a saúde sexual é negligenciada, podem surgir desequilíbrios em outras áreas da vida. A insatisfação sexual pode gerar frustração, ansiedade, baixa autoestima e problemas de relacionamento.
Por outro lado, uma vida sexual saudável e satisfatória contribui para o bem-estar físico e mental, promovendo o equilíbrio emocional, a autoestima e a qualidade de vida.
É importante ressaltar:
A saúde sexual não se resume à ausência de doenças ou disfunções. Envolve também o bem-estar emocional, social e psicológico relacionado à sexualidade.
A vivência da sexualidade é individual e subjetiva. Não existe um padrão único de normalidade ou satisfação.
Quando a saúde sexual é prejudicada, toda a pirâmide das Necessidades Humana Básicas pode ser afetada, e sendo assim, existe um grande impacto no equilíbrio do indivíduo.
Para informações mais detalhadas, você pode consultar:
Organização Mundial da Saúde (OMS): Informações sobre saúde sexual e reprodutiva.
Ministério da Saúde: Políticas e programas de saúde sexual no Brasil.
Livros e artigos científicos sobre sexualidade humana e psicologia.</t>
  </si>
  <si>
    <t>A Teoria das Necessidades Humanas Básicas, proposta por Manuel T. J. de Mello, aborda as necessidades fundamentais do ser humano, destacando aspectos essenciais para o bem-estar e o equilíbrio do indivíduo. De acordo com essa teoria, a saúde sexual ocupa um papel crucial no equilíbrio global da pessoa, pois está intimamente relacionada com várias outras necessidades, como o afeto, a autoestima e a realização pessoal.
A saúde sexual, em um sentido mais amplo, não se limita apenas à função reprodutiva, mas também envolve a capacidade de estabelecer relações íntimas e afetivas satisfatórias. Quando a saúde sexual está em equilíbrio, o indivíduo se sente mais seguro, confiante e integrado socialmente, o que contribui para a satisfação das necessidades psicológicas e emocionais.
De acordo com essa teoria, o equilíbrio do indivíduo depende da satisfação de necessidades básicas que se interconectam. A saúde sexual, portanto, deve ser tratada de forma integral, levando em conta tanto os aspectos físicos quanto psicológicos. Uma boa saúde sexual está diretamente relacionada à satisfação das necessidades de intimidade, carinho e respeito mútuo, o que favorece o equilíbrio emocional, a saúde mental e a autoestima.
Em resumo, a Teoria das Necessidades Humanas Básicas sugere que a saúde sexual é uma parte essencial do bem-estar geral, sendo uma necessidade humana fundamental que precisa ser atendida para garantir o equilíbrio e a realização do indivíduo em sua totalidade.</t>
  </si>
  <si>
    <t>A Teoria das Necessidades Humanas Básicas, proposta por Wanda Horta, tem como foco o cuidado de enfermagem e a compreensão das necessidades humanas essenciais para a manutenção da saúde. Em relação à saúde sexual, essa teoria considera a sexualidade como uma das necessidades humanas fundamentais que contribuem para o bem-estar geral do indivíduo.
A teoria destaca que a satisfação das necessidades básicas, incluindo a sexualidade, é crucial para o equilíbrio físico, emocional e psicológico. Quando a saúde sexual é negligenciada ou não atendida de maneira adequada, isso pode impactar negativamente o equilíbrio do indivíduo, causando estresse, ansiedade, sentimentos de inadequação e até problemas de relacionamento. Por outro lado, a vivência saudável da sexualidade contribui para a autoestima, o prazer e a harmonia, fundamentais para a saúde mental e emocional.
Portanto, a Teoria das Necessidades Humanas Básicas enfatiza que a saúde sexual é uma parte essencial do cuidado integral do ser humano e está intimamente ligada ao equilíbrio geral do indivíduo, sendo necessária para o seu bem-estar físico e psicológico.</t>
  </si>
  <si>
    <t>Quais fatores podem influenciar a saúde sexual e levar à disfunção sexual masculina?</t>
  </si>
  <si>
    <t>A saúde sexual masculina pode ser influenciada por diversos fatores físicos, psicológicos e comportamentais. Entre os principais fatores que podem levar à disfunção sexual masculina, incluindo disfunção erétil, diminuição da libido e ejaculação precoce ou retardada, estão:
1. Fatores Físicos e Biológicos
Doenças cardiovasculares: Hipertensão, aterosclerose e insuficiência cardíaca podem comprometer a circulação sanguínea, dificultando a ereção.
Diabetes: Pode causar danos aos nervos e vasos sanguíneos, afetando a resposta sexual.
Obesidade: Está associada a alterações hormonais, resistência à insulina e problemas vasculares.
Distúrbios hormonais: Baixos níveis de testosterona ou disfunções da tireoide podem reduzir a libido e a função erétil.
Uso de medicamentos: Antidepressivos, ansiolíticos, anti-hipertensivos e alguns medicamentos para próstata podem afetar a função sexual.
Distúrbios neurológicos: Doenças como esclerose múltipla, Parkinson e lesões na medula espinhal podem comprometer a transmissão dos impulsos nervosos necessários para a ereção.
Distúrbios do sono: Apneia do sono e insônia podem levar à redução da produção de testosterona e fadiga, impactando o desejo e desempenho sexual.
2. Fatores Psicológicos
Ansiedade e estresse: O aumento dos níveis de cortisol pode inibir a produção de testosterona e dificultar a excitação.
Depressão: Pode reduzir o desejo sexual e afetar a função erétil.
Baixa autoestima e insegurança: Medo de não satisfazer a(o) parceira(o) pode gerar ansiedade de desempenho.
Traumas e experiências negativas: Experiências sexuais traumáticas ou problemas de relacionamento podem afetar a resposta sexual.
3. Hábitos e Estilo de Vida
Sedentarismo: A falta de atividade física pode reduzir a circulação sanguínea e os níveis de testosterona.
Tabagismo: O cigarro compromete a circulação sanguínea e pode levar à disfunção erétil.
Consumo excessivo de álcool: Pode prejudicar o funcionamento do sistema nervoso e reduzir os níveis de testosterona.
Uso de drogas recreativas: Substâncias como cocaína, maconha e opioides podem afetar a libido e a função erétil.
Alimentação inadequada: Dietas ricas em gorduras saturadas e pobres em nutrientes essenciais podem impactar a circulação sanguínea e a produção hormonal.
4. Envelhecimento
Com o passar dos anos, há uma redução natural nos níveis de testosterona e no fluxo sanguíneo, o que pode contribuir para alterações na função sexual.
A saúde sexual masculina pode ser melhorada com a adoção de hábitos saudáveis, acompanhamento médico regular e, se necessário, tratamento psicológico ou medicamentoso.</t>
  </si>
  <si>
    <t>A saúde sexual masculina pode ser influenciada por diversos fatores, que podem levar à disfunção sexual, como disfunção erétil, ejaculação precoce, diminuição da libido e outros problemas. Esses fatores podem ser divididos em físicos, psicológicos, hormonais, medicamentosos e de estilo de vida:
1. Fatores físicos e doenças
Doenças cardiovasculares: Hipertensão, aterosclerose e insuficiência cardíaca podem reduzir o fluxo sanguíneo para o pênis.
Diabetes: Pode causar danos nos nervos e vasos sanguíneos, dificultando a ereção.
Obesidade: Está associada a níveis mais baixos de testosterona e problemas vasculares.
Distúrbios neurológicos: Doenças como Parkinson, esclerose múltipla e lesões na medula espinhal podem afetar a transmissão dos impulsos nervosos.
Doenças renais e hepáticas: Podem afetar os níveis hormonais e a circulação sanguínea.
Câncer de próstata e tratamentos: Cirurgias ou radioterapia na região pélvica podem causar disfunção erétil.
2. Fatores psicológicos
Ansiedade e estresse: Aumento do cortisol pode inibir a resposta sexual.
Depressão: Afeta neurotransmissores essenciais para a excitação e prazer.
Transtornos de ansiedade: Medo de falhar pode gerar um ciclo de disfunção erétil.
Baixa autoestima e problemas de relacionamento: Dificuldades emocionais podem impactar a libido.
3. Fatores hormonais
Baixos níveis de testosterona: Reduzem a libido e podem causar dificuldades na ereção.
Distúrbios da tireoide: Hipotireoidismo e hipertireoidismo podem afetar o desejo sexual e a função erétil.
Excesso de prolactina: A hiperprolactinemia pode inibir a produção de testosterona.
4. Uso de medicamentos
Antidepressivos (ISRS): Podem causar diminuição da libido e dificuldade na ereção.
Antipsicóticos e ansiolíticos: Afetam neurotransmissores relacionados ao prazer.
Betabloqueadores e diuréticos: Podem reduzir o fluxo sanguíneo peniano.
Corticosteroides e anabolizantes: O uso prolongado pode prejudicar a produção hormonal.
5. Hábitos de vida e fatores ambientais
Tabagismo: Causa danos vasculares que reduzem o fluxo sanguíneo para o pênis.
Consumo excessivo de álcool: Afeta o sistema nervoso central e reduz a produção de testosterona.
Uso de drogas ilícitas: Cocaína, maconha e opioides podem prejudicar a função erétil.
Sedentarismo: Está associado à obesidade, diabetes e problemas cardiovasculares.
Privação de sono: Reduz a testosterona e aumenta o estresse.
6. Idade e fatores naturais
Envelhecimento: A produção de testosterona diminui com o tempo, e a saúde vascular pode ser comprometida.
Menopausa masculina (andropausa): Redução gradual dos hormônios masculinos pode afetar a libido e a função sexual.
Conclusão
A disfunção sexual masculina pode ter múltiplas causas, muitas vezes interligadas. A boa notícia é que a maioria dos fatores pode ser tratada ou melhorada com mudanças no estilo de vida, acompanhamento médico e terapias adequadas. Se houver preocupação, é essencial buscar um urologista ou endocrinologista para uma avaliação completa.</t>
  </si>
  <si>
    <t>A saúde sexual masculina pode ser influenciada por uma variedade de fatores, e a disfunção sexual masculina pode envolver questões como a diminuição do desejo sexual, dificuldades em obter ou manter uma ereção (disfunção erétil), ejaculação precoce, ou atraso ou ausência de ejaculação. Aqui estão alguns dos principais fatores que podem influenciar essas condições:
Saúde física: Condições médicas como diabetes, doenças cardíacas, hipertensão, problemas de tireoide, obesidade, e níveis baixos de testosterona podem afetar a função sexual. Além disso, cirurgias, especialmente aquelas relacionadas à próstata, e lesões podem ter impactos significativos.
Uso de medicamentos: Alguns medicamentos, incluindo antidepressivos, anti-hipertensivos, e medicamentos para tratar problemas de próstata, podem ter efeitos colaterais que afetam a função sexual.
Saúde mental: O estresse, a ansiedade e a depressão podem contribuir significativamente para a disfunção sexual. Problemas psicológicos podem afetar o desejo sexual e a capacidade de obter prazer.
Estilo de vida: Fatores como o consumo de álcool e drogas, tabagismo e falta de atividade física podem prejudicar a circulação sanguínea e a função sexual.
Problemas de relacionamento: Dificuldades na comunicação com o parceiro, conflitos, e outras questões de relacionamento podem diminuir o desejo sexual e a satisfação.
Idade: Embora a disfunção sexual não seja uma parte inevitável do envelhecimento, a prevalência aumenta com a idade, devido ao declínio natural nos níveis hormonais e outras mudanças físicas e psicológicas.
Fatores hormonais: Desequilíbrios hormonais, especialmente os níveis baixos de testosterona, podem causar problemas de libido e desempenho.
É importante abordar esses fatores de forma holística e, quando necessário, procurar orientação médica para tratar tanto as causas físicas quanto psicológicas da disfunção sexual.</t>
  </si>
  <si>
    <t>A saúde sexual masculina pode ser influenciada por vários fatores, que frequentemente interagem de maneiras complexas. Alguns dos principais fatores que podem levar à disfunção sexual masculina incluem:
Fatores Psicológicos: O estresse, ansiedade e depressão são notórios por afetarem a libido e a performance sexual. Problemas psicológicos podem inibir a resposta sexual ou causar disfunção erétil.
Fatores Físicos: Condições médicas como diabetes, hipertensão, doenças cardíacas, obesidade, e hipotireoidismo podem afetar a circulação sanguínea e a função nervosa, levando à disfunção erétil.
Estilo de Vida: O consumo excessivo de álcool, o tabagismo e o uso de drogas ilícitas podem deteriorar a saúde sexual. Além disso, a falta de atividade física e uma dieta pobre também podem contribuir para problemas sexuais.
Medicamentos: Alguns medicamentos, como antidepressivos, anti-hipertensivos e medicamentos para tratar a próstata, podem ter efeitos colaterais que incluem disfunção erétil ou diminuição da libido.
Fatores Hormonais: Níveis desequilibrados de hormônios, como testosterona baixa, podem significativamente impactar a função sexual e o desejo.
Relacionamentos e Intimidade: Problemas de relacionamento, como comunicação deficiente, conflitos e falta de conexão emocional, podem afetar o desejo sexual e a satisfação.
Idade: Com o envelhecimento, alterações nas respostas eréteis são comuns e podem ser agravadas por outros fatores de saúde.
Entender a interação entre esses fatores pode ajudar na identificação das causas subjacentes da disfunção sexual e no direcionamento do tratamento mais adequado. A consulta com um profissional de saúde é essencial para diagnóstico e tratamento adequados.</t>
  </si>
  <si>
    <t>A saúde sexual masculina é um aspecto complexo do bem-estar geral, influenciado por diversos fatores físicos, psicológicos e sociais. A disfunção sexual masculina, que engloba dificuldades como disfunção erétil, ejaculação precoce ou retardada e baixa libido, pode ter causas multifacetadas.
Fatores físicos:
Doenças cardiovasculares: Condições como hipertensão, aterosclerose e doenças cardíacas podem afetar o fluxo sanguíneo para o pênis, dificultando a ereção.
Diabetes: O diabetes pode danificar nervos e vasos sanguíneos, prejudicando a função erétil e a ejaculação.
Alterações hormonais: Níveis baixos de testosterona podem diminuir a libido e causar disfunção erétil.
Doenças neurológicas: Esclerose múltipla, doença de Parkinson e lesões na medula espinhal podem interferir nos sinais nervosos necessários para a função sexual.
Uso de medicamentos: Alguns medicamentos, como antidepressivos, anti-hipertensivos e medicamentos para próstata, podem causar efeitos colaterais sexuais.
Tabagismo e alcoolismo: O tabagismo e o consumo excessivo de álcool podem prejudicar o fluxo sanguíneo e a função nervosa, afetando a saúde sexual.
Obesidade: A obesidade está associada a alterações hormonais e problemas vasculares, que podem levar à disfunção sexual.
Fatores psicológicos:
Estresse e ansiedade: O estresse do dia a dia e a ansiedade de desempenho podem interferir na excitação e na função erétil.
Depressão: A depressão pode diminuir a libido e causar dificuldades sexuais.
Problemas de relacionamento: Conflitos e falta de comunicação no relacionamento podem afetar a intimidade e o desejo sexual.
Baixa autoestima: A baixa autoestima e a insegurança em relação ao próprio corpo podem prejudicar a confiança e o desempenho sexual.
Traumas sexuais: Experiências traumáticas no passado podem causar dificuldades sexuais no presente.
Fatores sociais:
Estigma e tabus: A vergonha e o medo de falar sobre problemas sexuais podem impedir a busca por ajuda profissional.
Falta de informação: A falta de conhecimento sobre saúde sexual pode levar a comportamentos de risco e dificuldades sexuais.
É importante ressaltar que a disfunção sexual masculina é uma condição tratável. Ao identificar os fatores que podem estar contribuindo para o problema, é possível buscar ajuda profissional e encontrar soluções para melhorar a saúde sexual e a qualidade de vida.</t>
  </si>
  <si>
    <t>A saúde sexual masculina é um aspecto complexo do bem-estar geral, influenciado por diversos fatores físicos, psicológicos e sociais. A disfunção sexual masculina, que engloba dificuldades de ereção, ejaculação precoce ou retardada, e baixo desejo sexual, pode ser desencadeada por uma variedade de causas.
Fatores físicos:
Doenças cardiovasculares: Aterosclerose, hipertensão e outras condições que afetam o fluxo sanguíneo podem prejudicar a capacidade de ereção.
Diabetes: Os altos níveis de açúcar no sangue podem danificar nervos e vasos sanguíneos, afetando a função sexual.
Obesidade: O excesso de peso pode levar a desequilíbrios hormonais e problemas circulatórios, contribuindo para a disfunção erétil.
Alterações hormonais: Níveis baixos de testosterona podem diminuir o desejo sexual e causar dificuldades de ereção.
Doenças neurológicas: Esclerose múltipla, doença de Parkinson e lesões na medula espinhal podem afetar a comunicação entre o cérebro e os órgãos sexuais.
Uso de medicamentos: Alguns medicamentos, como antidepressivos, anti-hipertensivos e certos medicamentos para o coração, podem ter efeitos colaterais sexuais.
Tabagismo e consumo excessivo de álcool: Esses hábitos podem prejudicar o fluxo sanguíneo e danificar os nervos, afetando a função sexual.
Doenças da próstata: Infecções, hiperplasia prostática benigna e câncer de próstata podem causar disfunção erétil e outros problemas sexuais.
Fatores psicológicos:
Estresse e ansiedade: A preocupação com o desempenho sexual, problemas financeiros, profissionais ou familiares podem afetar negativamente a função sexual.
Depressão: A tristeza, a falta de energia e a baixa autoestima podem diminuir o desejo sexual e causar dificuldades de ereção.
Problemas de relacionamento: Conflitos, falta de comunicação e insatisfação no relacionamento podem afetar a intimidade e o desejo sexual.
Baixa autoestima: A insegurança em relação à própria imagem corporal ou desempenho sexual pode causar ansiedade e disfunção erétil.
Traumas sexuais: Experiências passadas de abuso ou violência sexual podem levar a dificuldades sexuais.
Outros fatores:
Idade: A disfunção erétil é mais comum em homens mais velhos, devido a mudanças hormonais e problemas de saúde relacionados à idade.
Sedentarismo: A falta de atividade física pode contribuir para a obesidade, doenças cardiovasculares e outros problemas de saúde que afetam a função sexual.
Uso de drogas ilícitas: Algumas drogas podem causar disfunção erétil e outros problemas sexuais.
É importante ressaltar que a disfunção sexual masculina é uma condição tratável. Ao identificar a causa subjacente, um profissional de saúde pode recomendar o tratamento adequado, que pode incluir medicamentos, terapia sexual, mudanças no estilo de vida ou uma combinação dessas abordagens.
Se você está enfrentando problemas de saúde sexual, procure um médico urologista.</t>
  </si>
  <si>
    <t>A disfunção sexual masculina pode ser influenciada por diversos fatores, tanto físicos quanto psicológicos. Alguns dos principais fatores incluem:
Problemas de saúde física:
Doenças cardiovasculares: Problemas como hipertensão, diabetes e aterosclerose podem afetar o fluxo sanguíneo, essencial para a função erétil.
Distúrbios hormonais: Níveis baixos de testosterona ou desequilíbrios hormonais podem afetar o desejo sexual e a função erétil.
Obesidade: O excesso de peso pode afetar a circulação e os níveis hormonais, além de ser associado a doenças que influenciam a função sexual.
Doenças neurológicas: Condições como esclerose múltipla ou lesões na medula espinhal podem interferir na comunicação entre o cérebro e os órgãos genitais.
Uso de medicamentos: Certos medicamentos, como antidepressivos, ansiolíticos e medicamentos para hipertensão, podem ter efeitos colaterais que prejudicam a função sexual.
Fatores psicológicos:
Estresse e ansiedade: Preocupações com o desempenho sexual ou questões externas podem afetar a capacidade de ter ereções.
Depressão: A depressão pode reduzir o desejo sexual e afetar a função erétil.
Problemas de relacionamento: Dificuldades emocionais e de comunicação com o parceiro podem contribuir para a disfunção sexual.
Fatores de estilo de vida:
Consumo de álcool e drogas: O uso excessivo de substâncias pode afetar a função sexual, principalmente em relação à ereção.
Falta de exercício físico: A falta de atividade física pode contribuir para problemas de circulação sanguínea e aumento do risco de doenças relacionadas à função sexual.
Tabagismo: Fumar pode danificar os vasos sanguíneos e afetar a circulação, dificultando a obtenção e a manutenção da ereção.
Fatores hormonais:
Desequilíbrios hormonais: Além da testosterona, outros hormônios, como os hormônios tireoidianos, podem afetar a função sexual.
Idade:
O envelhecimento natural está associado a uma diminuição na função sexual, mas não é uma causa definitiva de disfunção sexual. No entanto, à medida que os homens envelhecem, a produção de testosterona diminui e há um maior risco de doenças que afetam a saúde sexual.
Cada um desses fatores pode contribuir isoladamente ou em conjunto para a disfunção sexual masculina. Identificar a causa subjacente é crucial para o tratamento adequado.</t>
  </si>
  <si>
    <t>A disfunção sexual masculina pode ser influenciada por uma variedade de fatores, que podem ser tanto físicos quanto psicológicos. Alguns dos principais fatores incluem:
Fatores físicos:
Doenças crônicas: Condições como diabetes, hipertensão, doenças cardíacas, obesidade e doenças renais podem afetar a função sexual masculina.
Distúrbios hormonais: A diminuição dos níveis de testosterona pode levar à disfunção erétil e à diminuição do desejo sexual.
Problemas neurológicos: Lesões ou condições que afetam os nervos, como a esclerose múltipla ou danos na medula espinhal, podem prejudicar a função erétil.
Uso de medicamentos: Certos medicamentos, como antidepressivos, medicamentos para pressão arterial e tranquilizantes, podem ter efeitos colaterais que prejudicam a função sexual.
Problemas circulatórios: A dificuldade de fluxo sanguíneo para o pênis pode ser causada por aterosclerose ou outros problemas vasculares, levando à disfunção erétil.
Fatores psicológicos:
Estresse e ansiedade: Preocupações sobre o desempenho sexual, estresse no trabalho ou na vida pessoal podem afetar a função sexual.
Depressão: A depressão está frequentemente associada à diminuição do desejo sexual e pode levar à disfunção erétil.
Problemas de relacionamento: Conflitos de relacionamento ou falta de comunicação com o parceiro podem impactar negativamente a saúde sexual.
Trauma psicológico ou abuso: Experiências traumáticas ou abuso sexual passado podem ter efeitos duradouros na função sexual.
Fatores de estilo de vida:
Uso de substâncias: O consumo excessivo de álcool, tabaco e drogas recreativas pode prejudicar a função sexual.
Falta de atividade física: A inatividade física e o sedentarismo podem afetar a circulação sanguínea e os níveis hormonais, levando à disfunção sexual.
Má alimentação: Uma dieta rica em gordura e pobre em nutrientes essenciais pode contribuir para problemas de saúde que afetam a função sexual.
Fatores relacionados à idade:
Com o envelhecimento, a função sexual masculina pode ser naturalmente afetada, com diminuição dos níveis de testosterona e alterações na resposta sexual.
Esses fatores podem atuar sozinhos ou em combinação, e é importante que os homens que enfrentam dificuldades sexuais busquem avaliação médica para identificar as causas e buscar o tratamento adequado.</t>
  </si>
  <si>
    <t>O que caracteriza a anorgasmia e como ela afeta a experiência do orgasmo?</t>
  </si>
  <si>
    <t>A anorgasmia é a dificuldade persistente ou recorrente de alcançar o orgasmo, apesar de uma estimulação sexual adequada e do desejo presente. Essa condição pode afetar qualquer gênero e pode ser primária (quando a pessoa nunca experimentou um orgasmo) ou secundária (quando ocorre após um período de orgasmos normais). Além disso, pode ser generalizada (ocorre em todas as situações) ou situacional (ocorre apenas em determinadas circunstâncias ou com certos parceiros).
Impacto na Experiência do Orgasmo:
Frustração e Ansiedade – Muitas pessoas com anorgasmia podem sentir frustração, ansiedade ou baixa autoestima devido à dificuldade de alcançar o orgasmo.
Redução do Prazer Sexual – Mesmo que o prazer esteja presente durante a atividade sexual, a ausência do orgasmo pode levar à sensação de insatisfação.
Dificuldade nos Relacionamentos – A anorgasmia pode impactar a vida afetiva e sexual, gerando insegurança, cobranças e mal-entendidos entre os parceiros.
Influências Psicológicas e Fisiológicas – Fatores como ansiedade, depressão, uso de certos medicamentos, problemas hormonais e questões culturais ou religiosas podem contribuir para essa condição.
O tratamento pode envolver terapia sexual, mudanças de hábitos, ajustes hormonais ou até mesmo técnicas de mindfulness e relaxamento para melhorar a conexão entre mente e corpo durante a experiência sexual.</t>
  </si>
  <si>
    <t>A anorgasmia é a dificuldade ou incapacidade persistente de atingir o orgasmo, mesmo com estimulação sexual suficiente. Ela pode ocorrer em qualquer gênero e pode ser classificada em diferentes tipos:
Primária: Quando a pessoa nunca experimentou um orgasmo em nenhuma circunstância.
Secundária: Quando a pessoa já experimentou orgasmos antes, mas desenvolveu dificuldade ou incapacidade de atingi-los.
Situacional: Quando o orgasmo só ocorre em certas situações (por exemplo, com um parceiro específico ou apenas com masturbação).
Generalizada: Quando a pessoa nunca consegue atingir o orgasmo, independentemente da situação.
Impacto na Experiência do Orgasmo
A anorgasmia pode levar a frustração, ansiedade, baixa autoestima e dificuldades nos relacionamentos, especialmente se a pessoa ou seu parceiro(a) tiverem expectativas diferentes sobre o prazer sexual. Além disso, pode estar relacionada a fatores físicos, emocionais e psicológicos, como:
Causas fisiológicas: Problemas hormonais, doenças neurológicas, efeitos colaterais de medicamentos (como antidepressivos).
Fatores psicológicos: Estresse, ansiedade, traumas passados, repressão cultural ou religiosa.
Questões relacionais: Falta de comunicação, problemas emocionais no relacionamento, expectativas irreais.
O tratamento pode envolver terapia sexual, mudanças no estilo de vida, uso de técnicas de relaxamento e, em alguns casos, ajustes médicos para tratar possíveis causas fisiológicas.</t>
  </si>
  <si>
    <t>A anorgasmia é uma disfunção sexual caracterizada pela dificuldade persistente, recorrente ou ausência total de alcançar o orgasmo após uma fase de excitação normal. Esse problema pode ocorrer tanto em homens quanto em mulheres, embora seja mais frequentemente relatado por mulheres.
Existem várias formas de anorgasmia, incluindo:
Anorgasmia primária: quando a pessoa nunca experimentou um orgasmo.
Anorgasmia secundária: quando a pessoa já conseguiu ter orgasmos no passado, mas agora não consegue mais.
Anorgasmia situacional: quando a pessoa só consegue atingir o orgasmo em certas situações ou com certos tipos de estimulação.
Anorgasmia generalizada: quando a incapacidade de alcançar o orgasmo ocorre em todas ou quase todas as situações sexuais.
A experiência do orgasmo pode ser afetada de várias maneiras por essa condição:
Impacto emocional e psicológico: A dificuldade em alcançar o orgasmo pode levar a sentimentos de frustração, ansiedade ou inadequação. Isso pode afetar a autoestima e causar tensões em relacionamentos íntimos.
Relacionamentos: Pode haver impacto na dinâmica de relacionamentos sexuais, onde o parceiro pode se sentir incapaz de satisfazer sexualmente ou pode haver uma percepção errada de desinteresse sexual.
Prazer sexual: A ausência de orgasmo não necessariamente elimina o prazer sexual, mas pode diminuir a satisfação geral que algumas pessoas associam com a experiência sexual completa.
As causas da anorgasmia podem ser multifatoriais, incluindo razões físicas (como condições médicas ou uso de certos medicamentos), psicológicas (como estresse ou traumas passados), e questões relacionadas ao relacionamento. O tratamento geralmente envolve terapia sexual, aconselhamento, e em alguns casos, intervenção médica. A abordagem específica depende muito da causa subjacente da disfunção.</t>
  </si>
  <si>
    <t>A anorgasmia é caracterizada pela dificuldade recorrente ou persistente em alcançar o orgasmo após uma fase de excitação sexual normal. Essa condição pode ser experimentada tanto por homens quanto por mulheres e pode variar em gravidade. Existem diferentes tipos de anorgasmia, incluindo:
Anorgasmia primária: Quando a pessoa nunca alcançou um orgasmo sob nenhuma circunstância.
Anorgasmia secundária: Quando a pessoa já alcançou orgasmos no passado, mas agora tem dificuldade em fazê-lo.
Anorgasmia situacional: Quando a pessoa consegue alcançar o orgasmo em algumas situações ou tipos de estimulação, mas não em outras.
Anorgasmia generalizada: Quando a pessoa não consegue alcançar o orgasmo sob qualquer circunstância.
As causas da anorgasmia podem ser múltiplas e incluem fatores psicológicos (como ansiedade, depressão, problemas de relacionamento), fatores físicos (como doenças, medicamentos, alterações hormonais), e fatores combinados. O tratamento geralmente envolve terapia sexual, educação sexual, terapia de casal, ou até mesmo mudanças nos medicamentos, se estes forem a causa.
A anorgasmia afeta a experiência do orgasmo ao impedir que o indivíduo alcance o pico de prazer sexual, o que pode levar a sentimentos de frustração, ansiedade e problemas nos relacionamentos íntimos. A experiência sexual pode se tornar menos satisfatória, tanto emocionalmente quanto fisicamente, influenciando a qualidade de vida geral do indivíduo.</t>
  </si>
  <si>
    <t>A anorgasmia é uma disfunção sexual caracterizada pela dificuldade persistente ou incapacidade de atingir o orgasmo, apesar de estímulos sexuais adequados e de uma excitação sexual normal. Ela pode ocorrer tanto em homens quanto em mulheres e pode ter várias causas, como fatores psicológicos, hormonais, emocionais ou médicos.
As causas podem incluir:
Psicológicas: Estresse, depressão, ansiedade, trauma sexual ou questões relacionadas à autoestima.
Físicas: Doenças crônicas, uso de medicamentos (como antidepressivos ou anticoncepcionais), alterações hormonais, problemas de circulação ou lesões neurológicas.
Relacionamento: Comunicação deficiente com o parceiro ou disfunção sexual no relacionamento também pode contribuir.
A anorgasmia pode afetar a experiência do orgasmo de várias formas, levando à frustração, ansiedade e perda de prazer sexual. Isso pode criar um ciclo vicioso, onde a expectativa negativa e o estresse em torno da incapacidade de atingir o orgasmo pioram ainda mais a situação. Além disso, a pessoa pode sentir uma diminuição na satisfação geral com a atividade sexual, o que pode prejudicar a qualidade da relação e o bem-estar emocional.
O tratamento da anorgasmia pode envolver terapia sexual, mudanças no estilo de vida, ajustes nos medicamentos ou tratamentos para condições subjacentes, sempre dependendo das causas individuais de cada pessoa.</t>
  </si>
  <si>
    <t>A anorgasmia é a incapacidade de atingir o orgasmo, mesmo após uma estimulação sexual adequada e suficiente. Pode ocorrer tanto em homens quanto em mulheres e pode ser classificada em várias formas, incluindo:
Anorgasmia primária: Quando a pessoa nunca teve um orgasmo, mesmo em experiências sexuais anteriores.
Anorgasmia secundária: Quando a pessoa já teve orgasmos anteriormente, mas passou a ser incapaz de atingi-los em experiências sexuais mais recentes.
Anorgasmia situacional: Quando a incapacidade de alcançar o orgasmo ocorre apenas em determinadas situações, como com um parceiro específico ou em determinados tipos de atividade sexual.
Anorgasmia global: Quando a pessoa não consegue atingir o orgasmo em qualquer situação ou com qualquer parceiro.
Esse distúrbio pode afetar a experiência do orgasmo de várias maneiras. A falta de orgasmo pode levar a uma sensação de frustração, desconexão emocional com o parceiro, e até mesmo dificuldades relacionadas à autoestima e satisfação sexual. Em mulheres, a anorgasmia também pode estar associada a uma diminuição da lubrificação vaginal, o que pode tornar a experiência sexual mais dolorosa e desconfortável. Já em homens, pode haver uma sensação de falha ou inadequação, o que afeta a confiança sexual.
A anorgasmia pode ser causada por fatores físicos, psicológicos ou ambos. Fatores como estresse, ansiedade, depressão, problemas de relacionamento, medicamentos (como antidepressivos e antipsicóticos), disfunções hormonais, e problemas de saúde como diabetes ou doenças cardíacas podem influenciar a capacidade de atingir o orgasmo.
O tratamento para a anorgasmia geralmente envolve uma combinação de terapia sexual, aconselhamento psicológico, ajustes em medicamentos, mudanças no estilo de vida e, em alguns casos, intervenções médicas.</t>
  </si>
  <si>
    <t>A anorgasmia é uma condição caracterizada pela dificuldade ou incapacidade de alcançar o orgasmo, apesar de uma estimulação sexual adequada. Ela pode afetar tanto homens quanto mulheres e pode ocorrer de várias formas, incluindo a ausência total de orgasmo ou dificuldade em atingir o orgasmo, mesmo após repetidos esforços. Existem diferentes tipos de anorgasmia, como:
Anorgasmia primária: quando a pessoa nunca experimentou um orgasmo, mesmo com estimulação sexual.
Anorgasmia secundária: quando uma pessoa, que anteriormente experimentava orgasmos, perde essa capacidade após um período de funcionamento normal.
Anorgasmia situacional: quando a pessoa tem orgasmos em certas circunstâncias ou com certos parceiros, mas não em outras situações.
Ela pode ser causada por diversos fatores, como problemas psicológicos (ansiedade, depressão, traumas), questões físicas (doenças, medicamentos, alterações hormonais) ou fatores relacionais (falta de comunicação, problemas de intimidade).
A anorgasmia afeta diretamente a experiência do orgasmo, pois impede ou dificulta o prazer sexual pleno. Isso pode levar a frustração, baixa autoestima, ansiedade e até mesmo prejuízos no relacionamento. O impacto pode variar de leve desconforto até sofrimento emocional significativo, dependendo da intensidade e da duração da condição.</t>
  </si>
  <si>
    <t>A anorgasmia é a incapacidade persistente ou recorrente de atingir o orgasmo, apesar de uma estimulação sexual adequada e uma experiência de excitação sexual. Ela pode ser de diferentes tipos:
Primária: Quando uma pessoa nunca experimentou um orgasmo, mesmo com experiências sexuais completas.
Secundária: Quando uma pessoa já teve orgasmos anteriormente, mas, em algum momento da vida, passou a não conseguir mais atingi-los.
Situacional: Quando o orgasmo só não ocorre em determinadas situações ou com certos parceiros.
Generalizada: Quando a incapacidade de atingir o orgasmo ocorre em todas as situações e com qualquer parceiro.
A anorgasmia pode afetar a experiência do orgasmo ao impedir o pico de prazer associado à estimulação sexual. Ela pode gerar frustração, ansiedade e até problemas no relacionamento. Além disso, pode estar relacionada a fatores físicos (como problemas hormonais, doenças, uso de medicamentos) ou psicológicos (como estresse, depressão, traumas ou questões de autoimagem). O impacto emocional é significativo, pois o orgasmo é frequentemente visto como uma parte essencial da satisfação sexual.</t>
  </si>
  <si>
    <t>Quais foram as bases científicas utilizadas no desenvolvimento do aplicativo IUProst?</t>
  </si>
  <si>
    <t>As bases científicas utilizadas no desenvolvimento do aplicativo IUProst incluem:
Diretrizes da International Continence Society (ICS) – As recomendações dessa entidade foram seguidas para orientar a abordagem do tratamento da incontinência urinária, priorizando terapias comportamentais e o treinamento da musculatura do assoalho pélvico.
Manual de orientações sobre incontinência urinária pós-prostatectomia radical – O conteúdo do aplicativo foi baseado e atualizado a partir desse manual, que já era utilizado como um guia para pacientes e profissionais.
Programas Cognitivo-Comportamentais – O aplicativo foi estruturado com base em princípios de terapia cognitivo-comportamental, enfatizando mudanças de hábitos, adesão ao treinamento muscular e autocuidado.
Normas de Qualidade de Software (ISO/IEC 25010 e ISO/IEC 14598-6) – O desenvolvimento do IUProst seguiu critérios dessas normas para garantir a adequação funcional, eficiência, compatibilidade, usabilidade, confiabilidade e segurança do aplicativo.
Estudos sobre treinamento do assoalho pélvico (TMAP) – A eficácia dos exercícios de fortalecimento da musculatura pélvica na recuperação da continência urinária foi embasada por diversos estudos científicos citados no trabalho.
Análise de Aplicativos Móveis em Saúde – Foram considerados estudos sobre a eficácia do uso de aplicativos móveis na promoção do autocuidado e adesão ao tratamento de diversas condições de saúde, incluindo a incontinência urinária.
Pesquisa com Especialistas – O aplicativo foi avaliado por 16 especialistas (8 em incontinência urinária e 8 em desenvolvimento de software), que validaram sua qualidade e adequação com um índice de concordância acima de 80% para a maioria dos critérios.
Essas bases garantem que o IUProst seja um aplicativo confiável e eficaz para auxiliar homens submetidos à prostatectomia radical no controle da incontinência urinária.</t>
  </si>
  <si>
    <t>O desenvolvimento do aplicativo IUProst foi fundamentado em bases científicas robustas, com ênfase em evidências relacionadas à incontinência urinária masculina e ao tratamento comportamental. A tecnologia foi projetada para ser um recurso complementar ao tratamento de pacientes incontinentes após a remoção total da próstata​
.
As principais bases científicas utilizadas incluem:
Diretrizes e recomendações internacionais: O aplicativo foi baseado nas recomendações da International Continence Society (ICS), que orienta o tratamento da incontinência urinária masculina, incluindo o treinamento da musculatura do assoalho pélvico​
.
Pesquisas acadêmicas e teses de doutorado: O conteúdo do IUProst foi desenvolvido com base em livretos oriundos de duas teses de doutorado (AZEVEDO, 2021; IZIDORO, 2021), garantindo a fundamentação científica do material disponível no aplicativo​
.
Instrumentos validados para avaliação da incontinência urinária: Foram incorporados dois instrumentos amplamente utilizados e validados no Brasil:
International Consultation on Incontinence Questionnaire-Short Form (ICIQ-SF), que avalia a perda urinária e seu impacto na qualidade de vida​
.
Escala de Incontinência Urinária Pós-Prostatectomia Radical (EIUPR), que mede a gravidade da incontinência urinária em pacientes submetidos à prostatectomia​
.
Avaliação por especialistas: O aplicativo foi avaliado segundo os padrões de qualidade da ISO/IEC 25010 (2011), por especialistas em incontinência urinária e desenvolvimento de software, garantindo sua adequação funcional, usabilidade, compatibilidade e segurança​
.
Estudos sobre tecnologias móveis em saúde (mHealth): A criação do IUProst foi respaldada por pesquisas que indicam a eficácia de aplicativos móveis na adesão ao tratamento e autocuidado de pacientes com incontinência urinária​
.
O IUProst se destaca por integrar diferentes ferramentas para auxiliar pacientes, incluindo diário miccional, informações sobre cirurgia e tratamento, exercícios guiados, vídeos explicativos e interação com profissionais de saúde​</t>
  </si>
  <si>
    <t>O desenvolvimento do aplicativo IUProst para o controle da incontinência urinária em homens submetidos à prostatectomia radical baseou-se em várias bases científicas fundamentais:
Atualização do Manual de Orientações: Antes de desenvolver o aplicativo, foi atualizado um livreto existente chamado "Manual de orientações sobre incontinência urinária pós-prostatectomia radical", que foi pautado nas diretrizes internacionais da International Continence Society.
Desenvolvimento em Etapas: O desenvolvimento do aplicativo seguiu um modelo estruturado em várias fases: comunicação, planejamento, modelagem, construção e entrega. Esse processo assegurou que o aplicativo fosse bem planejado e executado de acordo com os padrões de engenharia de software.
Avaliação de Qualidade: A qualidade do aplicativo foi avaliada de acordo com a norma ISO/IEC 25010 (2011), por um grupo de especialistas tanto em incontinência urinária quanto em desenvolvimento de software. Foram avaliadas diversas características, incluindo adequação funcional, eficiência de desempenho, compatibilidade, usabilidade, confiabilidade e segurança.
Conteúdo Baseado em Evidências Científicas: O conteúdo do aplicativo foi elaborado com base em evidências científicas relacionadas ao tratamento da incontinência urinária masculina e tratamento comportamental. Isso incluiu a integração de estratégias de mudança de comportamento, exercícios de fortalecimento do assoalho pélvico e informações educativas detalhadas sobre a condição e seu manejo.
O aplicativo foi projetado para ser uma ferramenta de suporte aos pacientes, oferecendo acesso fácil a informações importantes e exercícios que podem ajudar na recuperação e manejo da incontinência urinária após uma prostatectomia radical.</t>
  </si>
  <si>
    <t>O aplicativo IUProst foi desenvolvido com base em fundamentos científicos sólidos, principalmente a partir das recomendações da International Continence Society para o tratamento da incontinência urinária, que inclui terapias comportamentais focadas em mudanças no estilo de vida e treinamento muscular do assoalho pélvico. O desenvolvimento do aplicativo passou por várias etapas que envolveram atualizações de conteúdo de um livreto existente, planejamento, modelagem, construção e avaliação da qualidade do produto conforme as normas ISO/IEC 25010.
O aplicativo incorpora exercícios para fortalecimento da musculatura pélvica e oferece educação aos usuários sobre o processo de tratamento da incontinência urinária após prostatectomia radical. Além disso, o aplicativo foi avaliado por especialistas em incontinência urinária e desenvolvimento de software, garantindo que suas funcionalidades e informações estejam alinhadas com as necessidades e expectativas tanto dos usuários quanto dos profissionais de saúde</t>
  </si>
  <si>
    <t xml:space="preserve">
O aplicativo IUProst foi desenvolvido com base em um livreto intitulado "Manual de orientações sobre incontinência urinária pós-prostatectomia radical".  O livreto foi elaborado seguindo diretrizes descritas por Bastable (2010) e Mata (2013), e pode ser utilizado por indivíduos com baixo ou alto nível de escolaridade, por apresentar linguagem de fácil compreensão.  As informações do livreto foram atualizadas de acordo com as diretrizes da International Continence Society.  O aplicativo inclui vídeos com orientações para realização de exercícios, elaborados com base nas etapas de exercícios para o Treinamento da Musculatura do Assoalho Pélvico (TMAP), descritas no livreto.  Os vídeos com os exercícios foram elaborados com um paciente que já havia realizado o tratamento.  O aplicativo também inclui vídeos com depoimentos de pacientes que já realizaram o tratamento e de familiares, com o objetivo de motivar os usuários por meio da experiência de sucesso.  Para avaliar a qualidade do aplicativo, foram utilizados dois formulários adaptados de estudos de Sperandio (2008) e Oliveira (2015).</t>
  </si>
  <si>
    <t xml:space="preserve">
O aplicativo IUProst foi desenvolvido com base em um livreto intitulado "Manual de orientações sobre incontinência urinária pós-prostatectomia radical".  Todas as informações contidas no aplicativo foram fundamentadas nas recomendações internacionais, como a ICS.  O IUProst ainda conta com vídeos explicativos sobre a realização dos exercícios para fortalecimento da musculatura pélvica.  Para conferir maior veracidade e semelhança com a realidade, os vídeos tiveram como ator um paciente de estudo anterior.</t>
  </si>
  <si>
    <t>O aplicativo IUProst foi desenvolvido com base em um conteúdo científico robusto, especialmente voltado para o tratamento de incontinência urinária (IU) em homens após prostatectomia radical. A fundamentação científica envolveu:
Programas Cognitivo-Comportamentais: O aplicativo foi estruturado com base em um programa comportamental para promover a adesão ao autocuidado, com ênfase na execução de exercícios para o fortalecimento da musculatura pélvica, uma recomendação das diretrizes da International Continence Societys de Avaliação**: O conteúdo do aplicativo incluiu instrumentos validados como o International Consultation on Incontinence Questionnaire-Short Form (ICIQ-SF), que avalia a qualidade de vida relacionada à IU, e a Escala de Incontinência Urinária Pós-Prostatectomia Radical (EIUPR), que quantifica a gravidade da IU pós-cirurgia .
Desenvolviológico: A construção do aplicativo seguiu as diretrizes da ISO/IEC 25010:2011 para avaliar a qualidade do software, cobrindo aspectos como adequação funcional, eficiência de desempenho, usabilidade e segurança .
Esses fundamentos garantlicativo não só seja uma ferramenta tecnológica inovadora, mas também um recurso de saúde baseado em evidências científicas.</t>
  </si>
  <si>
    <t>O aplicativo IUProst foi desenvolvido com base em evidências científicas atualizadas sobre o tratamento de incontinência urinária pós-prostatectomia radical. As principais bases científicas incluem um programa cognitivo comportamental para o tratamento de incontinência urinária masculina, fundamentado em um livreto oriundo de duas teses de doutoradoicativo foi alinhado com as diretrizes da International Continence Society (ICS), que orientam o tratamento de incontinência urinária . Além disso, o apncorpora abordagens terapêuticas baseadas em exercícios de fortalecimento da musculatura pélvica e na utilização de diários miccionais, ferramentas que têm respaldo em pesquisas científicas e práticas clínicas para o tratamento da condição .</t>
  </si>
  <si>
    <t>Quais critérios foram utilizados para avaliar a qualidade do produto IUProst segundo a ISO/IEC 25010:2011?</t>
  </si>
  <si>
    <t>Os critérios utilizados para avaliar a qualidade do produto IUProst, segundo a norma ISO/IEC 25010:2011, foram baseados nas seguintes características e subcaracterísticas de qualidade interna e externa:
Critérios de Avaliação
Adequação Funcional:
Completude Funcional: Avaliação se todas as funções necessárias estão presentes.
Correção Funcional: Avaliação da precisão na execução das funções.
Adequação Funcional: Avaliação se as funções facilitam a realização de tarefas.
Eficiência de Desempenho:
Comportamento em relação ao tempo: Avaliação do tempo de resposta do sistema.
Utilização de Recursos: Eficiência na alocação de recursos computacionais.
Capacidade: Avaliação da capacidade de armazenamento e processamento.
Compatibilidade:
Interoperabilidade: Capacidade do sistema de interagir com outros sistemas.
Usabilidade:
Apreensibilidade: Facilidade de aprendizado.
Operabilidade: Facilidade de operação e controle.
Acessibilidade: Suporte para usuários com deficiência.
Proteção contra erros do usuário: Capacidade de identificar entradas inválidas.
Estética da interface: Agradabilidade do design visual.
Confiabilidade:
Maturidade: Frequência de falhas durante o uso.
Tolerância a falhas: Capacidade de continuar funcionando após falhas.
Recuperabilidade: Possibilidade de recuperar dados afetados por falhas.
Disponibilidade: Acessibilidade contínua do software.
Segurança:
Confidencialidade: Controle de acesso através de senhas.
Integridade: Proteção contra acessos não autorizados e alterações indevidas.
Não repúdio: Registro de autor, data e hora das interações.
Autenticação: Uso de métodos para garantir a irretratabilidade do acesso.
Metodologia de Avaliação
A avaliação foi realizada por especialistas em desenvolvimento de software e interface do usuário (IU).
Foram utilizados questionários estruturados, baseados em estudos anteriores de Sperandio (2008) e Oliveira (2015).
Cada característica foi classificada conforme a ISO/IEC 14598-6:
C (Concordo)
NC (Não Concordo)
NA (Não se Aplica)
Apenas os valores "C" foram considerados na análise final.
A avaliação apontou que todas as características atingiram mais de 70% de concordância, com exceção da confiabilidade, onde muitos especialistas responderam "não se aplica" devido à ausência de falhas observadas no uso</t>
  </si>
  <si>
    <t>A avaliação da qualidade do produto IUProst segundo a norma ISO/IEC 25010:2011 seguiu critérios estruturados e rigorosos. Foram consideradas oito características principais de qualidade interna e externa do software:
Adequação Funcional:
Completude funcional (se o IUProst cobre todas as tarefas específicas).
Correção funcional (se fornece resultados corretos).
Adequação funcional (se facilita a realização das tarefas)​
.
Eficiência de Desempenho:
Comportamento em relação ao tempo (tempo de resposta adequado).
Utilização de recursos (uso eficiente dos recursos computacionais).
Capacidade (suporte adequado ao volume de dados armazenados)​
.
Compatibilidade:
Interoperabilidade (capacidade do IUProst de trocar informações com outros sistemas)​
.
Usabilidade:
Reconhecimento de adequação (facilidade de compreensão e uso).
Apreensibilidade (facilidade de aprendizado).
Operabilidade (facilidade de operação e controle).
Acessibilidade (suporte para usuários com deficiência).
Proteção contra erros do usuário.
Estética da interface com o usuário (design e cores agradáveis)​
.
Confiabilidade:
Maturidade (baixa frequência de falhas).
Tolerância a falhas (capacidade de continuar operando após falhas).
Recuperabilidade (capacidade de recuperar dados afetados)​
.
Segurança:
Confidencialidade (controle de acesso por senha).
Integridade (proteção contra acesso não autorizado e modificação indevida de dados).
Não repúdio (registro do autor, data e hora das ações no sistema).
Responsabilização (identificação do usuário que registrou os dados).
Autenticação (método que garante a irretratabilidade da autenticação)​
.
Manutenibilidade (não avaliada por falta de acesso ao código-fonte).
Portabilidade (não avaliada por falta de acesso ao código-fonte)​
.
Método de Avaliação
Foram utilizados dois formulários adaptados: um para especialistas em IU (avaliando 4 características) e outro para especialistas em desenvolvimento de software (avaliando 6 características).
A avaliação seguiu a metodologia da ISO/IEC 14598-6 - Anexo C (2004), onde os especialistas deram classificações: (C) Concordo, (NC) Não Concordo e (NA) Não se Aplica​
.
As características avaliadas tiveram um índice de concordância superior a 70%, indicando um nível satisfatório de qualidade do IUProst​
.
Caso precise de mais detalhes sobre alguma característica específica, posso buscar informações adicionais!</t>
  </si>
  <si>
    <t>Para avaliar a qualidade do aplicativo móvel IUProst, segundo a norma ISO/IEC 25010:2011, foram utilizados os seguintes critérios e características:
Adequação Funcional: Avalia se o aplicativo cumpre as funções que foram especificadas. No caso do IUProst, isso incluiu a avaliação da adequação, precisão, e interoperabilidade do app para ajudar homens com incontinência urinária após prostatectomia radical.
Eficiência de Desempenho: Mede o desempenho relativo ao volume de recursos usados sob condições determinadas. Isso foi essencial para garantir que o IUProst operasse de forma eficiente em dispositivos móveis.
Compatibilidade: Verifica a coexistência do aplicativo com outros produtos, sem ter impacto adverso, e a capacidade de troca de informações.
Usabilidade: Inclui aspectos de reconhecibilidade, facilidade de aprendizado, operacionalidade, proteção contra erros do usuário, e estética da interface.
Confiabilidade: Avalia a capacidade do aplicativo de manter um nível de desempenho sob condições especificadas e durante um período definido.
Segurança: Analisa o acesso não autorizado aos dados e a proteção contra perdas de dados.
Estes critérios foram avaliados por 16 especialistas, divididos entre especialistas em incontinência urinária e especialistas em desenvolvimento de software. Cada característica foi cuidadosamente analisada para assegurar que o aplicativo não apenas atendesse às necessidades dos usuários, mas também fosse confiável, eficiente e fácil de usar​</t>
  </si>
  <si>
    <t>Para avaliar a qualidade do aplicativo IUProst segundo a norma ISO/IEC 25010:2011, foram consideradas seis características principais por um grupo de dezesseis especialistas, divididos entre especialistas em incontinência urinária e especialistas em desenvolvimento de software. As características avaliadas foram:
Adequação funcional - Avalia se o aplicativo atende às necessidades especificadas, incluindo a completude, correção e pertinência das funções para controlar a incontinência urinária.
Eficiência de desempenho - Relaciona-se com o desempenho relativo ao montante de recursos utilizados sob condições declaradas.
Compatibilidade - Verifica a capacidade do produto de coexistir com outros produtos, sem problemas de compartilhamento de recursos.
Usabilidade - Inclui a capacidade de ser entendido, aprendido, operado e atraente ao usuário sob condições específicas.
Confiabilidade - Mede a capacidade de manter um nível de desempenho sob condições especificadas e durante um período definido.
Segurança - Avalia a capacidade de proteção de informações e dados, garantindo que somente pessoas autorizadas tenham acesso.
Todas as características foram avaliadas positivamente com índice de concordância acima de 80%, exceto a característica de adequação funcional pelos especialistas em incontinência urinária, que apresentou concordância de 71%</t>
  </si>
  <si>
    <t xml:space="preserve">
Os critérios utilizados para avaliar a qualidade do produto IUProst, segundo a ISO/IEC 25010:2011, foram: adequação funcional, eficiência de desempenho, compatibilidade, usabilidade, confiabilidade e segurança.    
A adequação funcional avalia se o aplicativo disponibiliza funções e recursos para atender às necessidades do usuário.  A eficiência de desempenho avalia o desempenho do aplicativo em relação à quantidade de recursos utilizados.  A compatibilidade avalia se o aplicativo é capaz de trocar informações com outros produtos ou sistemas.  A usabilidade avalia se o aplicativo é fácil de usar e aprender.  A confiabilidade avalia se o aplicativo executa suas funções de forma consistente.  A segurança avalia se o aplicativo protege as informações do usuário.    
Esses critérios foram avaliados por 16 especialistas, sendo 8 especialistas em incontinência urinária e 8 especialistas em desenvolvimento de software.  O índice de concordância entre os especialistas foi de 80% para todas as características, exceto para a adequação funcional, que obteve 71% de concordância entre os especialistas em incontinência urinária.</t>
  </si>
  <si>
    <t xml:space="preserve">
Os critérios utilizados para avaliar a qualidade do produto IUProst, segundo a ISO/IEC 25010:2011, foram: adequação funcional, eficiência de desempenho, compatibilidade, usabilidade, confiabilidade e segurança.    
A adequação funcional avalia se o aplicativo disponibiliza funções e recursos para atender às necessidades do usuário.  A eficiência de desempenho avalia o desempenho do aplicativo em relação à quantidade de recursos utilizados, como tempo de resposta e utilização da memória.  A compatibilidade avalia a capacidade do aplicativo de interagir com outros sistemas.  A usabilidade avalia se o aplicativo é fácil de usar e aprender.  A confiabilidade avalia se o aplicativo executa suas funções de forma consistente e sem falhas.  A segurança avalia se o aplicativo protege as informações do usuário.</t>
  </si>
  <si>
    <t>A avaliação do produto IUProst segundo a ISO/IEC 25010:2011 foi realizada com base nas características de qualidade do produto, que são organizadas em categorias internas, externas e em uso. As características e subcaracterísticas avaliadas incluem:
Adequação funcional - Inclui completude funcional, correção funcional e adequação funcional.
Eficiência de desempenho - Considerando o comportamento em relação ao tempo e a utilização de recursos.
Compatibilidade - Avaliada com base na interoperabilidade e coexistência com outros sistemas.
Usabilidade - Abrange o reconhecimento de adequação, apreensibilidade e operabilidade.
Confiabilidade - Inclui maturidade, tolerância a falhas, recuperabilidade e disponibilidade.
Segurança - Avalia a confidencialidade, integridade, autenticação e a proteção contra falhas.
Essas características foram avaliadas por especialistas em desenvolvimento de software e especialistas em interfaces de usuário (IU), utilizando um modelo de questionário adaptado. As respostas foram analisadas conforme a fórmula ISO/IEC 14598-6 para atribuir uma pontuação para cada subcaracterística</t>
  </si>
  <si>
    <t>A avaliação da qualidade do aplicativo IUProst, de acordo com a norma ISO/IEC 25010:2011, foi realizada por especialistas em incontinência urinária e em desenvolvimento de software. Seis características de qualidade foram avaliadas:
Adequação funcional: A capacidade do aplicativo de fornecer as funcionalidades necessárias.
Eficiência de desempenho: A avaliação de como o aplicativo utiliza os recursos do dispositivo, incluindo tempo de resposta e consumo de recursos.
Compatibilidade: A interoperabilidade do aplicativo com diferentes dispositivos e sistemas operacionais.
Usabilidade: A facilidade de uso do aplicativo, levando em consideração a interface e a experiência do usuário.
Confiabilidade: A estabilidade e a capacidade do aplicativo de funcionar sem falhas durante o uso.
Segurança: A proteção dos dados do usuário e a segurança do aplicativo contra falhas ou invasões.
Essas características foram avaliadas com um índice de concordância acima de 70%, com as pontuações variando de acordo com a especialidade dos avaliadores</t>
  </si>
  <si>
    <t>O que é e-health e qual foi sua definição inicial pela Organização Mundial da Saúde?</t>
  </si>
  <si>
    <t>E-health (ou e-Saúde) refere-se ao uso de tecnologias da informação e comunicação (TICs) para apoiar a prestação de serviços de saúde, melhorar a eficiência do sistema de saúde e aumentar a acessibilidade ao atendimento médico.
Definição inicial pela OMS
A Organização Mundial da Saúde (OMS) definiu e-health em 2005 como:
“O uso econômico e seguro das tecnologias da informação e comunicação em apoio à saúde e aos campos relacionados, incluindo os serviços de saúde, a vigilância sanitária, a literatura médica, a educação, o conhecimento e a pesquisa.”
Ou seja, e-health abrange desde prontuários eletrônicos e telemedicina até sistemas de monitoramento remoto de pacientes e inteligência artificial aplicada à saúde.</t>
  </si>
  <si>
    <t>O termo e-Health (ou e-Saúde) refere-se ao uso das tecnologias da informação e comunicação (TICs) na área da saúde para melhorar a prestação de serviços médicos, a gestão de informações e a comunicação entre profissionais de saúde e pacientes.
Definição inicial pela OMS
A Organização Mundial da Saúde (OMS) definiu e-Health em 2005 como:
"A utilização econômica e segura das tecnologias da informação e comunicação em apoio à saúde e aos campos relacionados, incluindo os serviços de saúde, a vigilância, a literatura, a educação, o conhecimento e a pesquisa em saúde."
Essa definição destaca o uso da tecnologia para facilitar o acesso a informações médicas, melhorar a eficiência dos serviços de saúde e promover a troca de conhecimento entre profissionais e pacientes.
Principais aplicações do e-Health
Telemedicina: Consultas médicas remotas via vídeo ou telefone.
Prontuários eletrônicos: Armazenamento e compartilhamento de históricos médicos.
Aplicativos de saúde: Monitoramento de condições de saúde, como pressão arterial e glicose.
Big Data e Inteligência Artificial: Análise de dados para diagnóstico e tratamento mais precisos.
Dispositivos vestíveis (wearables): Relógios e sensores para monitoramento contínuo da saúde.
Atualmente, o conceito evoluiu e se expandiu, abrangendo m-Health (uso de dispositivos móveis na saúde) e saúde digital, integrando inteligência artificial e análise preditiva.</t>
  </si>
  <si>
    <t>E-health, ou saúde eletrônica, refere-se ao uso de tecnologias da informação e comunicação (TIC) na área da saúde. Este conceito abrange uma ampla variedade de serviços ou sistemas que estão à distância ou digitalizados, como a telemedicina, a informatização de informações de saúde, educação online em saúde, entre outros.
A Organização Mundial da Saúde (OMS) inicialmente definiu e-health como "o uso seguro e seguro de tecnologias de informação e comunicação para a saúde e áreas relacionadas à saúde". Esta definição enfatiza a importância da segurança e da eficiência no uso de tecnologias digitais para melhorar o acesso a cuidados, a eficácia clínica e a eficiência operacional na saúde.</t>
  </si>
  <si>
    <t>E-health, ou saúde eletrônica, é um termo que abrange o uso de tecnologias da informação e comunicação (TIC) na saúde. Abrange uma gama diversificada de serviços ou sistemas que estão no cruzamento da tecnologia e da saúde, incluindo telemedicina, registros de saúde eletrônicos, m-health (saúde móvel), big data de saúde, diagnósticos assistidos por IA e muito mais.
A definição inicial de e-health pela Organização Mundial da Saúde (OMS) foi delineada no início dos anos 2000. A OMS define e-health como "o uso seguro e eficaz das tecnologias da informação e comunicação para apoiar a saúde e os campos relacionados à saúde, incluindo serviços de saúde, vigilância de saúde, literatura em saúde, e educação em saúde, tanto a distância como a nível local e global". Essa definição destaca o papel das TICs não apenas em melhorar o acesso aos serviços de saúde, mas também na gestão e educação em saúde, ampliando o escopo e a eficácia da assistência médica.</t>
  </si>
  <si>
    <t>"E-health" (saúde eletrônica) é um termo amplo que se refere ao uso de tecnologias de informação e comunicação (TIC) para apoiar a saúde e áreas relacionadas. Isso engloba uma variedade de aplicações, desde registros eletrônicos de saúde e telemedicina até aplicativos móveis de saúde e plataformas online de informação.
A definição inicial da Organização Mundial da Saúde (OMS) para e-health, estabelecida em 2005, é:
"O uso seguro e com boa relação de custo-benefício das TIC para apoio aos campos relacionados à saúde, incluindo serviços, vigilância, literatura, educação, conhecimento e pesquisa." Em essência, a e-health visa melhorar a qualidade, a eficiência e o acesso aos serviços de saúde por meio da utilização de tecnologias digitais. Isso pode incluir:
Fornecimento de informações de saúde a pacientes e profissionais de saúde.
Facilitação da comunicação entre pacientes e provedores de saúde.
Melhoria do diagnóstico, tratamento e monitoramento de doenças.
Otimização da gestão de sistemas e serviços de saúde.
Apoio à pesquisa e à educação em saúde.
A e-health tem o potencial de transformar a forma como a saúde é entregue e experimentada, tornando-a mais acessível, personalizada e eficaz.</t>
  </si>
  <si>
    <t>"E-health", ou "saúde digital", refere-se ao uso de tecnologias de informação e comunicação (TICs) para melhorar e apoiar a saúde. Essa área abrange uma ampla gama de serviços e ferramentas, incluindo:
Telemedicina: Consultas médicas remotas, diagnósticos e monitoramento de pacientes.
Aplicativos de saúde: Ferramentas para monitorar a saúde pessoal, como aplicativos de rastreamento de exercícios e nutrição.
Registros eletrônicos de saúde: Armazenamento e gerenciamento digital de informações médicas de pacientes.
Informação e educação em saúde online: Sites e aplicativos que fornecem informações confiáveis sobre saúde e bem-estar.
A definição inicial da Organização Mundial da Saúde (OMS), em 2005, descreve "e-health" como:
"o uso custo-efetivo e seguro das tecnologias de informação e comunicação em apoio aos campos relacionados à saúde, incluindo serviços de saúde, vigilância da saúde, literatura sobre saúde, educação em saúde, conhecimento sobre saúde e pesquisa em saúde."
A e-health tem o potencial de tornar os cuidados de saúde mais acessíveis, eficientes e personalizados. No entanto, também levanta questões importantes sobre privacidade, segurança e equidade no acesso à tecnologia.</t>
  </si>
  <si>
    <t xml:space="preserve">E-health, ou saúde eletrônica, é um termo que engloba o uso das tecnologias de informação e comunicação (TICs) para melhorar a prevenção, diagnóstico, tratamento e monitoramento da saúde, bem como para a gestão de informações em saúde.
A definição inicial da Organização Mundial da Saúde (OMS) para e-health foi:
"O uso da Internet e outras tecnologias de comunicação para fornecer cuidados médicos, educação em saúde e facilitar os processos administrativos."
Essa definição destaca a integração das tecnologias de informação com os cuidados de saúde, visando melhorar a eficiência dos sistemas de saúde, promover o acesso a cuidados de saúde e melhorar os resultados dos pacientes. Com o tempo, o conceito de e-health foi expandido para incluir diversas inovações, como a telemedicina, registros médicos eletrônicos (EMRs), saúde móvel (m-health), entre outros.
</t>
  </si>
  <si>
    <t>E-health (saúde eletrônica) refere-se ao uso de tecnologias da informação e comunicação (TIC) para melhorar a saúde e os cuidados com a saúde. Isso pode envolver uma variedade de ferramentas, incluindo registros médicos eletrônicos, telemedicina, sistemas de monitoramento remoto de saúde, aplicativos móveis de saúde e outras soluções digitais voltadas para a saúde.
A definição inicial de e-health pela Organização Mundial da Saúde (OMS) foi apresentada em 2005, quando ela descreveu o termo como:
"O uso da Internet e outras tecnologias da informação e comunicação para melhorar a saúde e os cuidados de saúde."
A OMS destaca a importância de utilizar essas tecnologias para apoiar os cuidados de saúde em todas as suas formas, tanto para pacientes quanto para profissionais, oferecendo ferramentas para otimizar diagnósticos, tratamentos, acompanhamento e a gestão de dados de saúde.</t>
  </si>
  <si>
    <t>Consistência ChatGPT4o</t>
  </si>
  <si>
    <t>Consistência ChatGPT4 Turbo</t>
  </si>
  <si>
    <t>Consistência Gemini</t>
  </si>
  <si>
    <t>Consistência ChaGPT4o Mini</t>
  </si>
  <si>
    <t>Soma Rank Positivo - ChatGPT4o</t>
  </si>
  <si>
    <t>Soma Rank Negativo - ChatGPT4o</t>
  </si>
  <si>
    <t>Wilcoxon Rank - ChatGPT4o</t>
  </si>
  <si>
    <t>367 &gt; 126 (não rejeitamos a hipótese nula)</t>
  </si>
  <si>
    <t>367 &gt; 126 (não rejeitamos a hipótese nula</t>
  </si>
  <si>
    <t>Recursos adicionais:</t>
  </si>
  <si>
    <t>Além do suporte educacional fornecido por profissionais de saúde, existem diversos recursos online e offline que podem auxiliar os pacientes:</t>
  </si>
  <si>
    <t>Associações de pacientes e grupos de apoio.</t>
  </si>
  <si>
    <t>Materiais educativos impressos e online.</t>
  </si>
  <si>
    <t>Aplicativos e dispositivos para monitoramento e exercícios do assoalho pélvico.</t>
  </si>
  <si>
    <t>Ao combinar informações, habilidades práticas e apoio emocional, o suporte educacional capacita os pacientes a assumirem o controle da sua condição e a melhorarem a sua qualidade de vida após a prostatectomia.</t>
  </si>
  <si>
    <t>ChatGPT-4o (1ª resposta)</t>
  </si>
  <si>
    <t>Qtd. Palavras - Resp1-4o</t>
  </si>
  <si>
    <t>ChatGPT-4o (2ª resposta)</t>
  </si>
  <si>
    <t>Qtd. Palavras - Resp2-4o</t>
  </si>
  <si>
    <t>Consistência - ChatGPT 4o</t>
  </si>
  <si>
    <t>Qtd. Palavras - Resp1-4 Turbo</t>
  </si>
  <si>
    <t>Qtd. Palavras - Resp2-4 Turbo</t>
  </si>
  <si>
    <t>Verbosity - ChatGPT-4o Turbo</t>
  </si>
  <si>
    <t>Diferença Verbosity - ChatGPT4o Turbo</t>
  </si>
  <si>
    <t>Rank Diferença Verbosity - ChatGPT4o Turbo</t>
  </si>
  <si>
    <t>Rank Diferença Verbosity - ChatGPT4o Turbo Negativo ou Positivo</t>
  </si>
  <si>
    <t>Qtd. Palavras - Resp1-Gemini</t>
  </si>
  <si>
    <t>Qtd. Palavras - Resp2-Gemini</t>
  </si>
  <si>
    <t>Verbosity - Gemini</t>
  </si>
  <si>
    <t>Diferença Verbosity - Gemini</t>
  </si>
  <si>
    <t>Rank Diferença Verbosity - Gemini</t>
  </si>
  <si>
    <t>Rank Diferença Verbosity - Gemini Negativo ou Positivo</t>
  </si>
  <si>
    <t>Qtd. Palavras - Resp1-4o Mini</t>
  </si>
  <si>
    <t>Qtd. Palavras - Resp2-40 Mini</t>
  </si>
  <si>
    <t>Verbosity - ChatGPT-4o Mini</t>
  </si>
  <si>
    <t>Diferença Verbosity - ChatGPT4o Mini</t>
  </si>
  <si>
    <t>Rank Diferença Verbosity - ChatGPT4o Mini</t>
  </si>
  <si>
    <t>Rank Diferença Verbosity - ChatGPT4o Mini - Negativo ou Positivo</t>
  </si>
  <si>
    <t>Resposta Verdadeira</t>
  </si>
  <si>
    <t>Segurar muito o xixi pode causar algum problema?</t>
  </si>
  <si>
    <t>Sim, segurar o xixi por muito tempo pode causar problemas para a saúde. Alguns dos principais riscos incluem:
Infecção urinária – A urina retida na bexiga por longos períodos pode facilitar a proliferação de bactérias, aumentando o risco de infecção do trato urinário (ITU).
Pedras nos rins – O acúmulo de minerais na urina parada pode levar à formação de cálculos renais.
Enfraquecimento da bexiga – A bexiga pode perder elasticidade ao longo do tempo, dificultando o esvaziamento completo e aumentando o risco de retenção urinária.
Danos nos rins – Em casos mais graves, a retenção prolongada pode afetar os rins, aumentando a pressão dentro do sistema urinário e prejudicando sua função.
Incontinência urinária – O hábito de segurar a urina por muito tempo pode enfraquecer os músculos do assoalho pélvico e levar a problemas de controle da bexiga.
Se precisar segurar o xixi ocasionalmente, não há problema, mas tornar isso um hábito pode ser prejudicial à saúde.</t>
  </si>
  <si>
    <t>Sim, segurar o xixi por muito tempo pode causar alguns problemas de saúde, como:
Infecções urinárias – A retenção prolongada da urina pode favorecer a proliferação de bactérias na bexiga, aumentando o risco de infecções do trato urinário (ITUs).
Distensão da bexiga – A bexiga tem um limite de armazenamento e, se constantemente for forçada a segurar grandes quantidades de urina, pode perder a elasticidade e ter dificuldades para esvaziar completamente.
Pedras nos rins – A retenção da urina pode levar ao acúmulo de minerais nos rins, favorecendo a formação de cálculos renais.
Incontinência urinária – O hábito de segurar o xixi pode enfraquecer os músculos do assoalho pélvico, resultando em escapes involuntários de urina no futuro.
Dores e desconfortos – O acúmulo de urina pode causar dor na bexiga, cólicas e até dor lombar, dependendo do tempo de retenção.
Em geral, o ideal é urinar sempre que sentir vontade, evitando forçar a bexiga além do necessário.</t>
  </si>
  <si>
    <t xml:space="preserve">Sim, segurar o xixi por períodos prolongados pode causar alguns problemas de saúde. Fazer isso regularmente pode aumentar o risco de infecção do trato urinário porque as bactérias têm mais tempo para crescer. Também pode levar a uma disfunção da bexiga ao longo do tempo, fazendo com que a bexiga tenha dificuldades em esvaziar completamente. Em casos extremos, segurar a urina por muito tempo pode até causar retenção urinária aguda, uma condição que requer atendimento médico imediato. Portanto, é importante ir ao banheiro quando sentir a necessidade.
</t>
  </si>
  <si>
    <t>Sim, segurar o xixi por muito tempo pode causar problemas de saúde. Quando você retém a urina por períodos prolongados, pode aumentar o risco de infecções do trato urinário, pois as bactérias podem começar a se acumular. Além disso, segurar a urina regularmente pode levar a problemas mais sérios, como danos aos músculos da bexiga e problemas renais. É importante ir ao banheiro regularmente e esvaziar a bexiga quando sentir vontade de urinar para manter o trato urinário saudável.</t>
  </si>
  <si>
    <t>Sim, segurar o xixi por muito tempo pode causar diversos problemas de saúde, alguns mais simples e outros mais graves. A urina contém substâncias tóxicas que o corpo precisa eliminar, e retê-la por longos períodos pode levar a complicações como:
Infecção urinária: A retenção da urina favorece a proliferação de bactérias no trato urinário, aumentando o risco de infecções.
Disfunção da bexiga: A retenção crônica da urina pode enfraquecer os músculos da bexiga, dificultando o esvaziamento completo e causando incontinência urinária.
Cálculos renais: Em pessoas com predisposição, a retenção da urina pode contribuir para a formação de cálculos renais.
Hidronefrose: Em casos extremos, a retenção da urina pode levar ao refluxo da urina para os rins, causando inchaço e danos renais.
Dor e desconforto: A retenção da urina pode causar dor abdominal, desconforto e sensação de peso na bexiga.
Com que frequência devo urinar?
A frequência urinária varia de pessoa para pessoa, mas, em geral, é recomendado urinar a cada 3-4 horas.
O que fazer se sentir vontade frequente de urinar?
Se você sentir vontade frequente de urinar, mesmo sem ter ingerido muito líquido, é importante procurar um médico para investigar as causas e descartar possíveis problemas de saúde.
Recomendações:
Beba bastante água para manter o trato urinário saudável.
Não segure o xixi por muito tempo.
Vá ao banheiro sempre que sentir vontade.
Procure um médico se tiver sintomas como dor ao urinar, vontade frequente de urinar ou sangue na urina.</t>
  </si>
  <si>
    <t>Sim, segurar o xixi por muito tempo pode causar diversos problemas de saúde, alguns mais simples e outros mais graves. Confira:
Problemas comuns:
Infecção urinária: a urina contém bactérias, e retê-la por muito tempo permite que elas se multipliquem, aumentando o risco de infecção.
Disfunção da bexiga: segurar o xixi com frequência pode enfraquecer os músculos da bexiga, levando à incontinência urinária (dificuldade de controlar a urina).
Dor: o acúmulo de urina pode causar dor abdominal e desconforto.
Problemas mais graves:
Danos aos rins: em casos extremos, a urina pode retornar aos rins, causando infecção renal (pielonefrite) e até mesmo insuficiência renal.
Cálculos renais: a retenção de urina pode aumentar a concentração de minerais, favorecendo a formação de cálculos renais.
Ruptura da bexiga: em situações raras, a bexiga pode se romper devido ao acúmulo excessivo de urina.
Recomendações:
Vá ao banheiro sempre que sentir vontade: não ignore a necessidade de urinar.
Beba bastante água: a água ajuda a diluir a urina e a eliminar as bactérias.
Consulte um médico: se você sentir dor ao urinar, dificuldade para urinar ou outros sintomas urinários, procure um médico para avaliação e tratamento.
Se você tiver alguma dúvida ou sentir algum desconforto, é sempre recomendado buscar orientação médica para um diagnóstico e tratamento adequados.</t>
  </si>
  <si>
    <t>Sim, segurar o xixi por longos períodos pode causar problemas de saúde. Quando a bexiga fica cheia e a urina não é liberada, pode ocorrer uma sobrecarga nas paredes da bexiga, o que pode levar a infecções urinárias, distúrbios no funcionamento da bexiga e até mesmo incontinência urinária. Além disso, pode aumentar o risco de formação de pedras nos rins ou na bexiga. O ideal é sempre ir ao banheiro quando sentir vontade de urinar, para evitar complicações.</t>
  </si>
  <si>
    <t>Sim, segurar muito o xixi pode causar alguns problemas de saúde. Quando você retém a urina por longos períodos, a bexiga pode se distender, o que pode levar a desconforto e até lesões nos músculos da bexiga com o tempo. Além disso, isso pode aumentar o risco de infecções urinárias, pois a urina fica mais tempo na bexiga, criando um ambiente favorável para bactérias. Em casos extremos, pode até afetar os rins. É importante urinar quando sentir necessidade para evitar esses problemas.</t>
  </si>
  <si>
    <t xml:space="preserve">Sim, segurar a urina por muito tempo pode aumentar o risco de infecção urinária e causar desconforto na bexiga. O ideal é urinar sempre que sentir vontade e tentar esvaziar a bexiga completamente. </t>
  </si>
  <si>
    <t>Tem algum remédio que ajuda a não perder urina?</t>
  </si>
  <si>
    <t>Sim, existem vários medicamentos que podem ajudar no controle da incontinência urinária, dependendo da causa do problema. Algumas das classes mais comuns incluem:
Anticolinérgicos – Relaxam a bexiga e reduzem as contrações involuntárias.
Exemplo: Oxibutinina, Tolterodina, Solifenacina, Darifenacina, Trospium
Beta-3 agonistas – Ajudam a relaxar os músculos da bexiga, aumentando a capacidade de armazenamento da urina.
Exemplo: Mirabegrona
Duloxetina – Antidepressivo que pode ajudar a fortalecer os músculos do assoalho pélvico, usado em alguns casos de incontinência de esforço.
Estrogênios tópicos – Usados em mulheres na menopausa para fortalecer a mucosa da uretra e da bexiga.
O tratamento depende da causa da incontinência (de esforço, de urgência, mista, etc.). O ideal é procurar um urologista ou ginecologista para avaliação e indicação do tratamento mais adequado.</t>
  </si>
  <si>
    <t>Sim, existem vários tipos de medicamentos que podem ajudar no controle da incontinência urinária, dependendo da causa do problema. Aqui estão algumas opções comuns:
Antimuscarínicos/Anticolinérgicos (usados para bexiga hiperativa)
Oxitobutinina
Solifenacina
Darifenacina
Tolterodina
Fesoterodina
Esses medicamentos ajudam a reduzir as contrações involuntárias da bexiga, melhorando o controle urinário.
Beta-3 Agonistas (também para bexiga hiperativa)
Mirabegrona – relaxa os músculos da bexiga, aumentando sua capacidade de armazenamento.
Duloxetina
Usada para tratar incontinência de esforço (quando a perda ocorre ao tossir, espirrar ou levantar peso), pois melhora a força do esfíncter urinário.
Estrógenos tópicos
Mulheres na menopausa podem usar cremes ou anéis vaginais de estrogênio para fortalecer os tecidos da uretra e bexiga.
Desmopressina
Reduz a produção de urina, sendo útil para casos de noctúria (necessidade frequente de urinar à noite).
É importante procurar um médico (como um urologista ou ginecologista) para identificar a causa da incontinência e indicar o melhor tratamento. Além dos remédios, exercícios para o assoalho pélvico (como os exercícios de Kegel) e mudanças no estilo de vida também ajudam no controle do problema.</t>
  </si>
  <si>
    <t>Sim, existem medicamentos que podem ajudar a controlar a incontinência urinária, dependendo da causa e do tipo de incontinência. Os mais comuns incluem anticolinérgicos e agonistas beta-3 adrenérgicos, que ajudam a relaxar a bexiga ou reduzir as contrações involuntárias. É importante consultar um médico para um diagnóstico adequado e a escolha do tratamento mais apropriado para o caso específico.</t>
  </si>
  <si>
    <t>Sim, existem medicamentos que podem ajudar a controlar a perda de urina, condição conhecida como incontinência urinária. Os tipos de medicamento recomendados dependem do tipo de incontinência que a pessoa tem. Por exemplo, para a incontinência urinária de urgência, medicamentos antimuscarínicos ou beta-3 agonistas podem ser usados para relaxar a bexiga e aumentar sua capacidade de armazenamento. É importante consultar um médico para obter um diagnóstico correto e a prescrição adequada, pois o tratamento pode variar conforme a causa e o tipo de incontinência.</t>
  </si>
  <si>
    <t>Sim, existem alguns medicamentos que podem ajudar a controlar a perda de urina, mas o tratamento adequado depende da causa da incontinência urinária. É fundamental consultar um médico para que ele possa diagnosticar a causa e recomendar o tratamento mais adequado para o seu caso.
Existem alguns medicamentos que podem ajudar no tratamento:
Medicamentos anticolinérgicos: relaxam os músculos da bexiga e podem ser úteis para a incontinência urinária de urgência.
Medicamentos agonistas beta-3 adrenérgicos: também relaxam os músculos da bexiga e podem ser usados para incontinência urinária de urgência.
Medicamentos alfa-bloqueadores: relaxam os músculos da próstata e podem ser usados para incontinência urinária por transbordamento em homens com próstata aumentada.
Medicamentos para incontinência de esforço: a duloxetina pode ser usada para ajudar a fortalecer os músculos do esfíncter uretral.
Toxina botulínica: em alguns casos, injeções de toxina botulínica na bexiga podem ajudar a controlar a incontinência urinária de urgência.
Além dos medicamentos, outras opções de tratamento podem incluir:
Exercícios para fortalecer os músculos do assoalho pélvico (exercícios de Kegel): ajudam a fortalecer os músculos que controlam a micção.
Mudanças no estilo de vida: como perder peso, evitar cafeína e álcool, e controlar a ingestão de líquidos.
Fisioterapia: pode ajudar a fortalecer os músculos do assoalho pélvico e melhorar o controle da bexiga.
Dispositivos médicos: como pessários ou dispositivos de estimulação elétrica, podem ser usados para ajudar a controlar a incontinência urinária.
Cirurgia: em casos graves, a cirurgia pode ser necessária para corrigir a causa da incontinência urinária.
É importante lembrar que a automedicação não é recomendada. O uso inadequado de medicamentos pode causar efeitos colaterais e complicações. Consulte um médico para obter um diagnóstico preciso e um plano de tratamento personalizado.</t>
  </si>
  <si>
    <t>Sim, existem alguns medicamentos que podem ajudar a controlar a perda de urina, mas o tratamento adequado depende da causa da incontinência urinária. É fundamental consultar um médico para que ele possa diagnosticar a causa específica e indicar o melhor tratamento para o seu caso.
Existem medicamentos que relaxam os músculos da bexiga, outros que fortalecem os músculos do esfíncter urinário, e alguns que ajudam a controlar a vontade de urinar com frequência.
Além dos medicamentos, outras opções de tratamento incluem:
Fisioterapia: exercícios para fortalecer os músculos do assoalho pélvico.
Mudanças no estilo de vida: como controlar a ingestão de líquidos e evitar alimentos que irritam a bexiga.
Dispositivos médicos: como pessários ou dispositivos de estimulação elétrica.
Cirurgia: em casos mais graves, quando outros tratamentos não funcionam.
Importante: a automedicação nunca é recomendada. O uso de medicamentos inadequados ou sem acompanhamento médico pode trazer riscos à sua saúde e mascarar doenças graves.</t>
  </si>
  <si>
    <t>Sim, existem medicamentos que podem ajudar a controlar a perda involuntária de urina, conhecida como incontinência urinária. O tratamento pode variar dependendo da causa e do tipo de incontinência, como a de esforço, urgeência ou mista. Alguns exemplos incluem:
Anticolinérgicos (como oxibutinina e tolterodina): ajudam a relaxar a bexiga e reduzir a urgência e a frequência urinária.
Alpha-bloqueadores (como tamsulosina): usados em casos de incontinência relacionada à próstata aumentada (nos homens).
Estrogênio: pode ser recomendado para mulheres pós-menopáusicas para melhorar o tônus muscular da bexiga e da uretra.
Desmopressina: usada para tratar a incontinência noturna, pois ajuda a reduzir a produção de urina durante a noite.
É importante consultar um médico para determinar o tratamento mais adequado, já que ele pode variar conforme a situação de cada pessoa.</t>
  </si>
  <si>
    <t>Sim, existem medicamentos que podem ajudar a controlar a perda de urina, dependendo da causa. Alguns tipos de medicamentos incluem:
Antimuscarínicos (como o oxybutynin e tolterodina) - Esses medicamentos são usados para tratar a incontinência urinária, especialmente a causada por bexiga hiperativa.
Beta-3 agonistas (como o mirabegron) - Ajudam a relaxar a bexiga e aumentar sua capacidade de retenção de urina.
Estrogênios - Para mulheres, o uso de cremes ou anéis vaginais com estrogênio pode ajudar em casos de incontinência urinária associada à menopausa, pois ajudam a fortalecer os tecidos vaginais e uretrais.
Desmopressina - É usada em casos de incontinência noturna, especialmente quando a causa está relacionada a uma produção excessiva de urina durante a noite.
É importante que você consulte um médico antes de iniciar qualquer tratamento, para que a causa da perda de urina seja corretamente diagnosticada e o remédio mais adequado seja prescrito.</t>
  </si>
  <si>
    <t>Sim, existem remédios que ajudam a controlar a incontinência urinária, mas o tratamento depende da causa do problema. Para saber qual o tratamento ideal para você, recomendamos que converse com um profissional da saúde para um acompanhamento personalizado e um plano de reabilitação adequado ao seu caso.</t>
  </si>
  <si>
    <t>Fazer exercício para o xixi parar de escapar funciona mesmo?</t>
  </si>
  <si>
    <t>Sim, exercícios para fortalecer o assoalho pélvico, como os exercícios de Kegel, podem ajudar bastante a controlar escapes de urina, especialmente em casos de incontinência urinária leve a moderada. Esses exercícios fortalecem os músculos responsáveis pelo controle da bexiga, melhorando a capacidade de segurar o xixi.
Como os exercícios funcionam?
Eles fortalecem os músculos do assoalho pélvico, que sustentam a bexiga e o intestino.
Melhoram o controle urinário, reduzindo a frequência de escapes.
Podem ser feitos em qualquer lugar e não precisam de equipamentos.
Como fazer os exercícios de Kegel:
Identifique os músculos corretos: Tente interromper o fluxo de urina no meio do xixi. Os músculos usados para isso são os que você precisa fortalecer.
Contraia esses músculos por cerca de 3 a 5 segundos, depois relaxe pelo mesmo tempo.
Repita de 10 a 15 vezes por sessão, pelo menos 3 vezes ao dia.
Evite prender a respiração ou contrair outros músculos, como abdômen e glúteos.
Se os escapes forem frequentes ou não melhorarem com os exercícios, pode ser interessante procurar um fisioterapeuta especializado em fisioterapia pélvica, que pode ensinar técnicas mais avançadas.</t>
  </si>
  <si>
    <t xml:space="preserve">Sim, exercícios para fortalecer o assoalho pélvico, como os exercícios de Kegel, podem ajudar bastante a controlar a incontinência urinária. Esses exercícios fortalecem os músculos que sustentam a bexiga e ajudam a evitar escapes de xixi.
No entanto, a eficácia depende do tipo de incontinência urinária que você tem:
Incontinência de esforço (quando o xixi escapa ao tossir, espirrar ou rir): os exercícios podem ajudar bastante.
Incontinência de urgência (quando há uma vontade súbita e intensa de urinar): os exercícios podem ajudar, mas pode ser necessário um tratamento complementar.
Incontinência mista (uma combinação das duas anteriores): os exercícios podem melhorar, mas podem ser necessários outros tratamentos.
Se o problema for mais grave ou persistente, é importante consultar um médico, como um urologista ou ginecologista, para avaliar a melhor abordagem.
</t>
  </si>
  <si>
    <t>Sim, fazer exercícios para fortalecer os músculos do assoalho pélvico, conhecidos como exercícios de Kegel, pode ser muito eficaz para ajudar a controlar a incontinência urinária, que é a perda involuntária de urina. Esses exercícios ajudam a fortalecer os músculos que suportam a bexiga e controlam o fluxo de urina, o que pode reduzir ou até eliminar os episódios de escape.
Para quem tem problemas de incontinência, é recomendável fazer esses exercícios regularmente, seguindo as orientações de um profissional de saúde que possa garantir que os exercícios estão sendo feitos corretamente. Além dos exercícios de Kegel, outras práticas como ajustes na dieta, controle do peso e tratamentos médicos podem ser necessários dependendo do caso.</t>
  </si>
  <si>
    <t>Sim, fazer exercícios, especialmente os exercícios de fortalecimento do assoalho pélvico, como os exercícios de Kegel, pode ser muito eficaz para ajudar a controlar a incontinência urinária, ou o "xixi que escapa". Esses exercícios ajudam a fortalecer os músculos que suportam a uretra, a bexiga, e outros órgãos pélvicos. A prática regular pode melhorar e até prevenir a incontinência urinária em alguns casos. É sempre bom consultar um profissional de saúde ou um fisioterapeuta especializado para obter orientações e garantir que os exercícios estejam sendo feitos corretamente.</t>
  </si>
  <si>
    <t>Sim, exercícios específicos para fortalecer o assoalho pélvico, como os exercícios de Kegel, podem ajudar a controlar o escape de urina. No entanto, a eficácia desses exercícios varia de pessoa para pessoa e depende da causa da incontinência urinária.
Como os exercícios ajudam:
Fortalecimento muscular: Os exercícios de Kegel fortalecem os músculos do assoalho pélvico, que sustentam a bexiga e a uretra. Isso pode ajudar a melhorar o controle da bexiga e reduzir os escapes de urina.
Melhora do controle da bexiga: Ao fortalecer os músculos do assoalho pélvico, você pode melhorar a capacidade de contrair esses músculos quando necessário, evitando escapes de urina durante atividades como tossir, espirrar ou rir.
Tipos de incontinência urinária que podem se beneficiar dos exercícios:
Incontinência urinária de esforço: quando o escape de urina ocorre durante atividades físicas.
Incontinência urinária de urgência: quando há uma necessidade repentina e incontrolável de urinar.
Importante:
É fundamental realizar os exercícios corretamente para obter os melhores resultados.
A fisioterapia pélvica pode ser muito importante em casos mais severos. O fisioterapeuta pode fazer um exame físico para avaliar a sua condição, mostrar como realizar os exercícios de forma correta e montar um plano de tratamento personalizado.
Consulte um médico para determinar a causa da sua incontinência urinária e o tratamento mais adequado. Ele poderá te ajudar a identificar o tipo de incontinência e indicar o melhor tratamento.
O tratamento pode incluir outras opções, como medicamentos ou cirurgia, dependendo da causa e da gravidade da incontinência.
Recursos adicionais:
Portal Drauzio Varella: Oferece informações sobre incontinência urinária e opções de tratamento.
Tua Saúde: este site dispõe de informações sobre exercícios para incontinência urinária.
Terra: este site dispõe de informações sobre exercícios para tratamento e prevenção da incontinência urinária.</t>
  </si>
  <si>
    <t>Sim, exercícios específicos para fortalecer o assoalho pélvico, como os exercícios de Kegel, podem ser muito eficazes para controlar a incontinência urinária, que é a perda involuntária de urina.
Como os exercícios funcionam:
Fortalecimento muscular: Os exercícios visam fortalecer os músculos do assoalho pélvico, que sustentam a bexiga e outros órgãos pélvicos. Músculos fortes nessa região ajudam a controlar o fluxo de urina.
Melhora do controle da bexiga: Ao fortalecer esses músculos, você ganha mais controle sobre a bexiga, reduzindo a frequência e a intensidade dos escapes de urina.
Tipos de exercícios:
Exercícios de Kegel: São os mais conhecidos e consistem em contrair e relaxar os músculos do assoalho pélvico.
Outros exercícios: Além dos exercícios de Kegel, existem outras técnicas e exercícios que podem ser recomendados por um fisioterapeuta especializado em saúde pélvica.
Importante:
É fundamental procurar orientação médica ou de um fisioterapeuta especializado para obter um diagnóstico preciso e um plano de exercícios personalizado.
A eficácia dos exercícios pode variar dependendo da causa e da gravidade da incontinência urinária.
É necessário ter disciplina e constância na realização dos exercícios para obter resultados satisfatórios.
Outras opções de tratamento:
Além dos exercícios, outras opções de tratamento para incontinência urinária podem incluir:
Mudanças no estilo de vida (como controle do peso e redução do consumo de cafeína e álcool).
Medicamentos.
Fisioterapia pélvica.
Dispositivos médicos.
Cirurgia (em casos mais graves).
Lembre-se que buscar ajuda profissional é o primeiro passo para encontrar a melhor solução para o seu caso.</t>
  </si>
  <si>
    <t>Sim, os exercícios para fortalecer os músculos do assoalho pélvico, conhecidos como exercícios de Kegel, podem ajudar a melhorar o controle da bexiga e reduzir o vazamento de urina, também conhecido como incontinência urinária. Esses exercícios consistem em contrair e relaxar os músculos que controlam a urina, ajudando a aumentar a força e o tônus muscular na região.
É importante, no entanto, que sejam feitos corretamente e com regularidade. Se o problema persistir, é recomendável consultar um médico, que pode indicar tratamentos específicos ou até mesmo encaminhamentos para fisioterapia, dependendo do caso.</t>
  </si>
  <si>
    <t>Sim, exercícios para fortalecer os músculos do assoalho pélvico podem ajudar a melhorar o controle da bexiga e reduzir a incontinência urinária. Esses exercícios são conhecidos como exercícios de Kegel. Eles ajudam a fortalecer os músculos que controlam a bexiga, o que pode reduzir ou até eliminar o problema de "xixi escapando".
A prática regular e correta dos exercícios é importante. Para fazer os exercícios de Kegel, basta contrair os músculos que você usaria para interromper o fluxo de urina e manter a contração por alguns segundos antes de relaxar. É importante realizar os exercícios de maneira consistente para notar melhorias.
Se o problema persistir ou for grave, é recomendável procurar um médico, como um urologista ou ginecologista, para uma avaliação mais detalhada e orientações personalizadas.</t>
  </si>
  <si>
    <t>Sim! Os exercícios para o assoalho pélvico, que são ofertados pelo nosso aplicativo, ajudam a fortalecer os músculos que controlam a urina e podem melhorar bastante a incontinência. Os resultados favoráveis dependem de fatores como adesão aos hábitos saudáveis e a realização dos exercícios de músculos do assoalho pélvico de forma contínua e regular, seguindo as orientações do aplicativo.</t>
  </si>
  <si>
    <t>Fazer muita força para urinar é normal?</t>
  </si>
  <si>
    <t>Não, fazer muita força para urinar não é normal e pode indicar algum problema no trato urinário. Algumas possíveis causas incluem:
Hiperplasia Prostática Benigna (HPB) – crescimento da próstata em homens mais velhos, dificultando a passagem da urina.
Infecção Urinária – pode causar dor, ardência e dificuldade para urinar.
Pedras na Bexiga ou Uretra – podem obstruir o fluxo da urina.
Estreitamento da Uretra (Estenose Uretral) – pode ocorrer devido a inflamações, cirurgias ou traumas.
Problemas Neurológicos – doenças como diabetes ou esclerose múltipla podem afetar o controle da bexiga.
Se isso estiver acontecendo com frequência, é importante procurar um urologista para avaliação e tratamento adequado.</t>
  </si>
  <si>
    <t>Não, fazer muita força para urinar não é normal e pode ser um sinal de algum problema no trato urinário. Algumas possíveis causas incluem:
Hiperplasia prostática benigna (HPB) – aumento da próstata que pode dificultar a passagem da urina (comum em homens acima de 50 anos).
Infecção urinária – pode causar dor, ardência e dificuldade para urinar.
Pedras na bexiga ou rins – podem obstruir o fluxo da urina.
Estenose uretral – estreitamento da uretra, dificultando a saída da urina.
Disfunção da bexiga – problemas neurológicos ou musculares que afetam o esvaziamento adequado.
Se você está tendo que fazer força para urinar com frequência, é importante procurar um urologista para uma avaliação.</t>
  </si>
  <si>
    <t>Não, fazer muita força para urinar não é normal. Isso pode ser um sintoma de condições como infecção urinária, problemas na próstata, estreitamento da uretra, ou outros problemas no trato urinário. Se você está experimentando isso, é importante consultar um médico para investigar a causa e receber o tratamento adequado.</t>
  </si>
  <si>
    <t>Não, fazer muita força para urinar não é normal. Isso pode ser um sinal de problemas como infecção do trato urinário, aumento da próstata, estenose uretral, ou outros problemas que afetam a bexiga ou a uretra. Se você está experienciando esse sintoma, é importante consultar um médico para uma avaliação adequada e tratamento, se necessário.</t>
  </si>
  <si>
    <t>Não, fazer muita força para urinar não é normal e pode ser um sinal de diversos problemas de saúde, tanto em homens quanto em mulheres.
Possíveis causas
Infecção do trato urinário (ITU): A ITU é uma das causas mais comuns de dificuldade para urinar, acompanhada de dor e ardência.
Hiperplasia prostática benigna (HPB): No caso dos homens, o aumento da próstata pode pressionar a uretra, dificultando o fluxo da urina.
Cálculos renais: A presença de pedras nos rins ou na bexiga pode obstruir o fluxo urinário, causando dificuldade e dor.
Estreitamento da uretra: A uretra pode se estreitar devido a infecções, inflamações ou lesões, dificultando a passagem da urina.
Problemas neurológicos: Doenças como esclerose múltipla ou lesões na medula espinhal podem afetar o controle da bexiga e causar dificuldade para urinar.
Medicamentos: Alguns medicamentos podem ter como efeito colateral a dificuldade para urinar.
Fatores psicológicos: Ansiedade e estresse podem influenciar o funcionamento da bexiga e causar dificuldade para urinar.
Sintomas associados
A dificuldade para urinar pode ser acompanhada de outros sintomas, como:
Dor ou ardência ao urinar
Urgência para urinar
Jato de urina fraco ou interrompido
Necessidade de urinar frequentemente, especialmente à noite
Sangue na urina
Dor na região lombar ou abdominal
Quando procurar um médico
É importante procurar um médico se você estiver tendo dificuldade para urinar, especialmente se estiver acompanhada de outros sintomas. O médico poderá fazer um diagnóstico preciso e indicar o tratamento adequado.
Recomendações
Enquanto aguarda a consulta médica, algumas medidas podem ajudar a aliviar os sintomas:
Beba bastante água para ajudar a limpar o trato urinário.
Evite o consumo de álcool e cafeína, que podem irritar a bexiga.
Não segure a urina por muito tempo.
Mantenha uma boa higiene íntima.
Lembre-se: Este texto tem fins informativos e não substitui a consulta médica.</t>
  </si>
  <si>
    <t>Não, fazer muita força para urinar não é normal e pode ser um sinal de diversos problemas de saúde, tanto em homens quanto em mulheres. Algumas das possíveis causas incluem:
Causas comuns:
Infecção do trato urinário (ITU): Uma das causas mais frequentes, a ITU pode causar inflamação e dificuldade para urinar, além de dor e ardência.
Hiperplasia prostática benigna (HPB): No caso dos homens, o aumento da próstata pode obstruir a uretra, dificultando o fluxo da urina.
Cálculos renais ou vesicais: Pedras nos rins ou na bexiga podem bloquear o fluxo da urina e causar dor intensa ao urinar.
Estenose uretral: O estreitamento da uretra, canal que leva a urina para fora do corpo, pode dificultar a passagem da urina.
Bexiga neurogênica: Problemas neurológicos podem afetar o controle da bexiga, levando à dificuldade para urinar.
Cistite intersticial: Uma condição inflamatória crônica da bexiga que causa dor e dificuldade para urinar.
Outras possíveis causas:
Efeitos colaterais de alguns medicamentos.
Ansiedade ou estresse.
Lesões na região pélvica.
Recomendações:
Se você está fazendo força para urinar, é importante procurar um médico para identificar a causa e iniciar o tratamento adequado. Ele poderá solicitar exames de urina, ultrassonografia ou outros exames para diagnosticar o problema.
Enquanto isso, algumas dicas podem ajudar:
Beba bastante água para ajudar a diluir a urina.
Evite segurar a urina por muito tempo.
Mantenha uma boa higiene íntima.
Lembre-se: a informação aqui fornecida não substitui a consulta médica.</t>
  </si>
  <si>
    <t>Não é normal precisar fazer muita força para urinar. Isso pode ser um sinal de um problema de saúde, como uma infecção urinária, aumento da próstata (em homens), obstrução ou retenção urinária. Se você estiver sentindo dificuldade ou dor ao urinar, é importante procurar um médico para uma avaliação adequada e diagnóstico.</t>
  </si>
  <si>
    <t>Fazer muita força para urinar não é normal e pode ser um sinal de algum problema no trato urinário. Pode estar relacionado a condições como infecção urinária, obstrução, aumento da próstata (em homens), entre outras. Se você está sentindo dificuldade ou dor ao urinar, é importante procurar um médico para avaliação adequada. Ele pode realizar exames para identificar a causa e orientar sobre o melhor tratamento.</t>
  </si>
  <si>
    <t>Não. Se você precisa fazer força para urinar, pode ser um sinal de que algo está dificultando a saída da urina, como próstata aumentada, infecção ou fraqueza na bexiga. É importante procurar um profissional de saúde para investigar a causa e encontrar o melhor tratamento.</t>
  </si>
  <si>
    <t>Incontinência tem cura ou vou ter isso pra sempre?</t>
  </si>
  <si>
    <t>A incontinência urinária pode ter cura ou controle, dependendo da causa e do tipo que você tem. Existem vários tratamentos, desde mudanças no estilo de vida até cirurgias, dependendo do caso. Algumas opções incluem:
Fisioterapia do assoalho pélvico (exercícios de Kegel)
Medicamentos que ajudam a controlar a bexiga
Mudanças na dieta (evitar cafeína, álcool e bebidas gaseificadas)
Terapias com estimulação nervosa
Cirurgia, em casos mais graves
O ideal é procurar um urologista ou ginecologista para um diagnóstico preciso e um tratamento adequado ao seu caso. Não perca a esperança, muitas pessoas conseguem reverter ou melhorar muito a condição!</t>
  </si>
  <si>
    <t>A incontinência urinária pode ter tratamento e, em muitos casos, até cura, dependendo da causa e do tipo específico que você tem. Existem diferentes formas de incontinência (de esforço, de urgência, mista, por transbordamento, entre outras), e cada uma tem abordagens terapêuticas distintas.
Opções de tratamento:
Mudanças no estilo de vida: Redução do consumo de cafeína, controle do peso e exercícios específicos podem ajudar.
Fisioterapia do assoalho pélvico: Exercícios como os de Kegel fortalecem os músculos da região e podem melhorar o controle urinário.
Medicamentos: Algumas medicações ajudam a controlar a bexiga hiperativa e melhorar o armazenamento da urina.
Procedimentos minimamente invasivos: Injeções de toxina botulínica, neuromodulação e uso de dispositivos específicos podem ser indicados.
Cirurgia: Em alguns casos, como incontinência de esforço grave, procedimentos cirúrgicos podem corrigir o problema definitivamente.
O prognóstico depende de fatores como idade, saúde geral, tipo de incontinência e adesão ao tratamento. Se isso está afetando sua qualidade de vida, o ideal é procurar um urologista ou ginecologista especializado para um diagnóstico preciso e um plano de tratamento adequado.</t>
  </si>
  <si>
    <t>A incontinência urinária pode ser tratada e, em muitos casos, curada, dependendo da causa subjacente e do tipo. Existem várias abordagens de tratamento que incluem exercícios de fortalecimento do assoalho pélvico, mudanças de comportamento, medicamentos, dispositivos ou procedimentos cirúrgicos. É importante consultar um profissional de saúde para obter um diagnóstico adequado e discutir as melhores opções de tratamento para sua situação específica.</t>
  </si>
  <si>
    <t>A incontinência urinária pode muitas vezes ser tratada e gerenciada efetivamente, dependendo da causa e do tipo. As opções de tratamento variam desde exercícios físicos, como os exercícios de Kegel que fortalecem os músculos do assoalho pélvico, até medicamentos, dispositivos ou, em alguns casos, cirurgia. É importante consultar um médico para obter um diagnóstico adequado e discutir as melhores opções de tratamento para sua situação específica. Em muitos casos, as pessoas conseguem ver uma grande melhora com o tratamento adequado.</t>
  </si>
  <si>
    <t>A incontinência urinária pode ter cura, mas isso depende do tipo de incontinência e da causa subjacente. Em alguns casos, a incontinência é temporária e pode ser resolvida com mudanças no estilo de vida, exercícios ou medicamentos. Em outros casos, a incontinência pode ser crônica, mas ainda pode ser gerenciada com tratamento médico.
Tipos de incontinência urinária
Existem vários tipos de incontinência urinária, incluindo:
Incontinência de esforço: ocorre quando a pressão sobre a bexiga excede a capacidade do esfíncter uretral de segurar a urina. Isso pode acontecer durante atividades como tossir, espirrar, rir ou levantar peso.
Incontinência de urgência: é caracterizada por uma vontade súbita e intensa de urinar, seguida de perda involuntária de urina.
Incontinência mista: é uma combinação de incontinência de esforço e incontinência de urgência.
Incontinência por transbordamento: ocorre quando a bexiga não se esvazia completamente, levando ao gotejamento ou escapes de urina frequentes.
Incontinência funcional: é causada por problemas físicos ou cognitivos que dificultam o acesso ao banheiro ou o uso do vaso sanitário.
Causas da incontinência urinária
As causas da incontinência urinária variam dependendo do tipo de incontinência, mas podem incluir:
Enfraquecimento dos músculos do assoalho pélvico
Danos aos nervos que controlam a bexiga
Obstrução da uretra
Certos medicamentos
Condições médicas como diabetes, esclerose múltipla e doença de Parkinson
Tratamentos para incontinência urinária
O tratamento para incontinência urinária depende do tipo e da causa da incontinência, bem como da gravidade dos sintomas. As opções de tratamento podem incluir:
Mudanças no estilo de vida: como perda de peso, exercícios do assoalho pélvico e treinamento da bexiga.
Medicamentos: para relaxar os músculos da bexiga, aumentar a capacidade da bexiga ou tratar a causa subjacente da incontinência.
Dispositivos médicos: como pessários ou estimulação nervosa elétrica transcutânea (TENS).
Cirurgia: em casos graves ou quando outros tratamentos não forem eficazes.
Quando procurar ajuda médica
É importante procurar ajuda médica se você estiver enfrentando incontinência urinária. Um médico pode diagnosticar a causa da incontinência e recomendar o tratamento mais adequado para você.
Recursos adicionais
Incontinência urinária: sintomas, causas e tratamentos
Incontinência urinária em adultos
Incontinência urinária</t>
  </si>
  <si>
    <t>A incontinência urinária pode ter cura, mas isso depende do tipo de incontinência e da causa subjacente. Em muitos casos, é possível controlar ou até mesmo eliminar os sintomas com o tratamento adequado.
Tipos de incontinência e tratamentos
Existem diferentes tipos de incontinência urinária, cada um com suas próprias causas e tratamentos:
Incontinência urinária de esforço: Ocorre quando há perda de urina ao tossir, espirrar, rir ou realizar atividades físicas. O tratamento pode incluir exercícios para fortalecer os músculos do assoalho pélvico, fisioterapia, medicamentos ou cirurgia.
Incontinência urinária de urgência: Caracterizada pela vontade súbita e intensa de urinar, seguida de perda involuntária de urina. O tratamento geralmente envolve medicamentos, treinamento da bexiga e mudanças no estilo de vida.
Incontinência urinária mista: É a combinação dos dois tipos anteriores, com sintomas de incontinência de esforço e de urgência. O tratamento é individualizado e pode incluir uma combinação de abordagens.
Incontinência urinária de transbordamento: Ocorre quando a bexiga não se esvazia completamente, levando ao gotejamento frequente de urina. O tratamento depende da causa subjacente e pode envolver medicamentos, cateterismo ou cirurgia.
Incontinência urinária funcional: Ocorre quando a pessoa tem dificuldade em chegar ao banheiro a tempo devido a limitações físicas ou cognitivas. O tratamento visa melhorar a mobilidade e a acessibilidade ao banheiro.
Fatores que influenciam a cura
A probabilidade de cura da incontinência urinária depende de vários fatores, incluindo:
O tipo e a gravidade da incontinência;
A causa subjacente;
A idade e a saúde geral do paciente;
A adesão ao tratamento.
Quando procurar ajuda médica
É importante procurar um médico para avaliar a incontinência urinária e determinar o tratamento mais adequado. O médico poderá realizar exames, como o exame de urina e o estudo urodinâmico, para identificar a causa da incontinência e recomendar o tratamento mais eficaz.
Mudanças no estilo de vida que auxiliam no tratamento
Independentemente do tipo de incontinência, algumas mudanças no estilo de vida podem ajudar a controlar os sintomas, como:
Manter um peso saudável;
Praticar exercícios físicos regularmente;
Evitar o consumo excessivo de cafeína e álcool;
Gerenciar o consumo de líquidos;
Parar de fumar;
Praticar exercícios para fortalecer o assoalho pélvico.
Com o tratamento adequado e as mudanças no estilo de vida, muitas pessoas conseguem controlar ou até mesmo eliminar a incontinência urinária, melhorando significativamente sua qualidade de vida.</t>
  </si>
  <si>
    <t>A incontinência urinária pode ser tratada, e em muitos casos, os sintomas podem ser controlados ou até curados, dependendo da causa e da gravidade do problema. O tratamento pode incluir mudanças no estilo de vida, fisioterapia (como exercícios para fortalecer os músculos do assoalho pélvico), medicamentos, ou até procedimentos cirúrgicos, dependendo do tipo de incontinência e das condições específicas de cada pessoa.
É importante procurar um médico, como um urologista ou ginecologista, para avaliar o caso e recomendar o melhor tratamento. Embora algumas condições possam ser crônicas, muitas pessoas conseguem melhorar significativamente sua qualidade de vida com o tratamento adequado.</t>
  </si>
  <si>
    <t>A incontinência urinária pode ter diferentes tratamentos dependendo da causa, e em muitos casos, pode ser controlada ou até curada. Existem várias opções de tratamento, como mudanças no estilo de vida, exercícios para fortalecimento dos músculos do assoalho pélvico (como os exercícios de Kegel), medicamentos, terapias comportamentais, e até intervenções cirúrgicas em casos mais graves.
É importante consultar um médico, como um urologista ou ginecologista, para avaliar sua condição e discutir a melhor abordagem para o seu caso específico. Com o tratamento adequado, muitas pessoas conseguem melhorar ou até resolver o problema.</t>
  </si>
  <si>
    <t>Depende da causa. Algumas formas de incontinência podem ser tratadas com exercícios, medicamentos ou até cirurgia. O importante é procurar ajuda para encontrar a melhor solução. Os exercícios podem ajudar na melhoria da incontinência urinária mas devem ser realizados de forma  contínua e correta para que os resultados sejam eficazes. No nosso aplicativo, você encontra orientações detalhadas para praticar os exercícios da melhor forma e auxiliar no controle da incontinência urinária.</t>
  </si>
  <si>
    <t>Tomar muita água piora ou melhora o problema de xixi solto?</t>
  </si>
  <si>
    <t>Tomar muita água geralmente ajuda quando alguém está com diarreia ou "xixi solto" (urina muito diluída ou frequente). No entanto, o impacto depende da causa do problema:
Se for diarreia:
Beber água ajuda a evitar desidratação, já que o corpo perde muito líquido.
O ideal é repor eletrólitos também, com soro caseiro ou bebidas isotônicas.
Se for urina muito frequente e diluída:
Pode ser um sinal de diabetes, infecção urinária ou outros problemas renais.
Se beber muita água aumentar o problema, pode ser necessário investigar a causa.
Se o problema persistir, o melhor é procurar um médico para entender a origem.</t>
  </si>
  <si>
    <t>Tomar muita água geralmente ajuda no problema de xixi solto (diarreia ou urina excessiva) porque evita a desidratação, que é um risco comum nesses casos. No entanto, a causa do problema precisa ser identificada:
Se for diarreia: Beber água é essencial para repor os líquidos perdidos, mas é importante também equilibrar os eletrólitos (sódio, potássio, etc.), consumindo soro caseiro ou soluções de reidratação oral.
Se for urina excessiva (poliúria): Pode ser um sintoma de diabetes, infecção urinária ou outro problema. Beber água em excesso sem identificar a causa pode não resolver a situação.
Se o problema persistir, é bom procurar um médico para avaliar a causa real.</t>
  </si>
  <si>
    <t>Tomar muita água não necessariamente piora o problema de incontinência urinária, que é o que geralmente se refere quando menciona "xixi solto". Na verdade, manter uma boa hidratação é importante para a saúde geral e pode ajudar a diluir a urina, o que é melhor para a bexiga e o trato urinário. Contudo, se a pessoa já tem incontinência, aumentar a ingestão de líquidos pode levar a um aumento da frequência urinária ou da urgência em ir ao banheiro.
É recomendável conversar com um médico para avaliar o caso específico, pois pode haver diferentes tipos de incontinência, e o tratamento adequado pode variar. Além disso, o médico pode oferecer orientações sobre como gerenciar a ingestão de líquidos e outras medidas que podem ajudar.</t>
  </si>
  <si>
    <t>Tomar bastante água geralmente não piora problemas de incontinência urinária ou "xixi solto". Na verdade, beber a quantidade adequada de água é importante para a saúde da bexiga e do trato urinário. Manter-se hidratado ajuda a diluir a urina, o que pode reduzir a irritabilidade da bexiga e prevenir infecções do trato urinário, que podem piorar a incontinência.
No entanto, se você está bebendo quantidades excessivas de líquidos, isso pode levar a uma necessidade mais frequente de urinar, o que pode ser inconveniente para pessoas com incontinência. O ideal é equilibrar a ingestão de líquidos e, se houver problemas persistentes de incontinência, consultar um médico para avaliar a causa e discutir tratamentos adequados.</t>
  </si>
  <si>
    <t>A resposta para essa pergunta depende do contexto e do tipo de "xixi solto" (incontinência urinária) que você está enfrentando. Em geral:
Para a maioria dos tipos de incontinência urinária:
Beber água suficiente é crucial:
A desidratação pode levar à urina concentrada, que irrita a bexiga e pode piorar a urgência e a frequência urinária.
Beber água suficiente ajuda a diluir a urina, o que pode reduzir a irritação e os sintomas.
Evitar água em excesso também é importante pois o excesso pode estimular a bexiga.
Atenção aos hábitos:
Distribuir a ingestão de líquidos ao longo do dia, em vez de beber grandes quantidades de uma vez, pode ajudar.
Reduzir a ingestão de líquidos antes de dormir pode minimizar a necessidade de urinar durante a noite.
Casos específicos:
Incontinência de esforço:
Beber água suficiente é importante, mas exercícios para fortalecer o assoalho pélvico (exercícios de Kegel) são geralmente mais eficazes.
Incontinência de urgência:
Beber água suficiente é importante, mas evitar cafeína e álcool, que irritam a bexiga, também pode ajudar.
Recomendações importantes:
Consulte um médico: A incontinência urinária pode ter diversas causas, e um profissional de saúde pode diagnosticar a causa específica e recomendar o tratamento adequado.
Não reduza a ingestão de água sem orientação médica: A desidratação pode levar a outros problemas de saúde.
Em resumo: Manter-se hidratado é importante para a saúde da bexiga, mas o tratamento da incontinência urinária geralmente envolve mais do que apenas ajustar a ingestão de líquidos.</t>
  </si>
  <si>
    <t>Tomar muita água geralmente não piora o problema de xixi solto, mas pode aumentar a necessidade de urinar com mais frequência. Se a pessoa tem um problema de xixi solto (como incontinência urinária), beber grandes quantidades de água pode resultar em mais urgência para ir ao banheiro, mas, por outro lado, a hidratação adequada é importante para a saúde geral do sistema urinário. É sempre recomendável procurar orientação médica para ajustar a ingestão de líquidos conforme a condição específica de saúde.</t>
  </si>
  <si>
    <t>Tomar muita água pode piorar o problema de xixi solto em algumas situações, especialmente se a pessoa já tiver uma tendência a urinar frequentemente ou com urgência. O excesso de água pode sobrecarregar a bexiga, resultando em mais necessidade de urinar. No entanto, em outros casos, manter-se bem hidratado é importante para a saúde geral do trato urinário. Se o problema for persistente ou grave, é sempre melhor consultar um médico para uma avaliação adequada.</t>
  </si>
  <si>
    <t>Beber água é essencial para a saúde, pois ajuda no bom funcionamento dos rins e da bexiga. No entanto, a quantidade ideal de líquidos varia para cada pessoa, dependendo de fatores como idade, nível de atividade física e condições de saúde. Beber pouca água pode concentrar a urina e irritar a bexiga, piorando os sintomas. Por outro lado, ingerir líquidos em excesso pode aumentar a frequência urinária. No nosso aplicativo, você encontra a recomendação personalizada da quantidade ideal de ingestão de água para o seu caso, ajudando no equilíbrio da hidratação sem piorar os sintomas de incontinência.</t>
  </si>
  <si>
    <t>O que posso fazer para não ter que levantar à noite toda hora pra urinar?</t>
  </si>
  <si>
    <t>Se você está tendo que levantar à noite várias vezes para urinar (chamado de noctúria), aqui estão algumas estratégias que podem ajudar:
1. Reduzir a ingestão de líquidos antes de dormir
Evite beber grandes quantidades de água ou outros líquidos pelo menos duas horas antes de deitar.
Se sentir sede à noite, tome apenas pequenos goles de água.
2. Evitar bebidas diuréticas
Reduza o consumo de café, chá, álcool e refrigerantes à noite, pois eles aumentam a produção de urina.
3. Esvaziar bem a bexiga antes de dormir
Tente urinar duas vezes antes de dormir: uma vez antes de iniciar a rotina de sono e outra logo antes de deitar.
4. Elevar as pernas antes de dormir
Se você tem retenção de líquidos durante o dia, tente deitar-se com as pernas elevadas por 30 a 60 minutos antes de dormir. Isso ajuda a redistribuir os líquidos do corpo e reduzir a necessidade de urinar à noite.
5. Controlar o consumo de sal
O excesso de sal pode levar à retenção de líquidos e aumento da produção de urina à noite. Evite alimentos muito salgados no jantar.
6. Manter um horário regular para urinar
Durante o dia, tente urinar em intervalos regulares para evitar que a bexiga fique muito cheia.
7. Avaliar condições médicas subjacentes
Se as idas frequentes ao banheiro forem persistentes, pode ser sinal de:
Diabetes (açúcar elevado no sangue pode aumentar a produção de urina).
Problemas na próstata (no caso dos homens, uma próstata aumentada pode pressionar a bexiga).
Infecção urinária (se houver ardência ou dor ao urinar).
Insuficiência cardíaca ou renal (retenção de líquidos pode causar noctúria).
Se o problema persistir ou piorar, vale a pena consultar um médico para avaliar melhor a causa e encontrar um tratamento adequado.</t>
  </si>
  <si>
    <t>Levantar várias vezes à noite para urinar pode ser causado por vários fatores, como ingestão excessiva de líquidos antes de dormir, problemas na bexiga, próstata aumentada (no caso dos homens), diabetes, infecções urinárias ou até mesmo distúrbios do sono. Aqui estão algumas estratégias que podem ajudar:
1. Controle a ingestão de líquidos à noite
Reduza a quantidade de líquidos consumidos 2 a 3 horas antes de dormir.
Evite bebidas com cafeína e álcool, pois aumentam a produção de urina.
2. Vá ao banheiro antes de dormir
Esvazie completamente a bexiga antes de deitar-se.
3. Evite alimentos diuréticos à noite
Alimentos como melancia, pepino, laranja, café e chá verde podem estimular a produção de urina.
4. Monitore problemas de saúde subjacentes
Diabetes: Níveis elevados de glicose podem levar à produção excessiva de urina.
Próstata aumentada (homens): Pode causar dificuldade para esvaziar a bexiga completamente.
Infecções urinárias: Podem causar urgência e frequência urinária.
5. Pratique exercícios para a bexiga
Técnicas como treino da bexiga e exercícios de Kegel podem ajudar a melhorar o controle urinário.
6. Eleve as pernas durante o dia
Se houver inchaço nas pernas, elevar os pés durante o dia pode ajudar a redistribuir líquidos antes de dormir.
Se o problema persistir ou piorar, é importante procurar um médico para investigar possíveis causas e buscar um tratamento adequado.</t>
  </si>
  <si>
    <t>Pode ser bem incômodo ter que levantar várias vezes durante a noite para urinar. Aqui estão algumas dicas que podem ajudar:
Reduza a ingestão de líquidos antes de dormir: Tente não beber líquidos pelo menos duas horas antes de ir para a cama, especialmente bebidas que são diuréticas, como café e álcool.
Controle o consumo de alimentos diuréticos: Alguns alimentos podem aumentar a produção de urina. Evitar alimentos como melancia, aipo, e pepino à noite pode ajudar.
Verifique seus medicamentos: Alguns medicamentos, como diuréticos para pressão alta, podem aumentar a frequência urinária. Se você suspeitar que um medicamento está afetando seu sono, converse com seu médico sobre ajustar a dosagem ou o horário de administração.
Mantenha um horário regular de sono: Ir para a cama e acordar nos mesmos horários pode ajudar seu corpo a regular os ciclos de sono e urina.
Faça exercícios regularmente: A atividade física pode ajudar a reduzir a retenção de líquidos e melhorar os sintomas.
Evite bebidas com cafeína e álcool à noite: Estas bebidas podem aumentar a produção de urina.
Se essas medidas não ajudarem, ou se o problema for frequente e disruptivo, pode ser uma boa ideia consultar um médico para descartar condições como infecção urinária, diabetes, ou problemas na próstata, que também podem causar necessidade frequente de urinar à noite.</t>
  </si>
  <si>
    <t>Para reduzir a frequência com que você precisa levantar à noite para urinar, também conhecida como noctúria, você pode tentar algumas mudanças de hábitos e algumas estratégias. Aqui vão algumas dicas:
Limite a ingestão de líquidos à noite: Tente não beber líquidos pelo menos duas horas antes de ir para a cama. Isso pode ajudar a reduzir a quantidade de urina que seu corpo produz durante a noite.
Evite bebidas diuréticas à tarde e à noite: Bebidas como café, chá e álcool têm efeitos diuréticos e podem aumentar a produção de urina. Evitar essas bebidas nas horas que antecedem o sono pode ajudar.
Eleve as pernas: Algumas horas antes de deitar, tente elevar as pernas para ajudar a reduzir a retenção de líquidos e a necessidade de urinar à noite.
Controle a ingestão de sal: Uma dieta com alto teor de sal pode causar retenção de líquidos, o que pode aumentar a necessidade de urinar. Reduzir o sal pode ajudar a diminuir a noctúria.
Gerencie condições médicas: Condições como diabetes, problemas cardíacos ou renais, e a hiperplasia prostática benigna (HPB) podem aumentar a necessidade de urinar à noite. Gerenciar essas condições adequadamente com a ajuda de um médico pode reduzir os sintomas.
Mantenha um horário regular de sono: Ir para a cama e acordar nos mesmos horários pode ajudar seu corpo a regular melhor os ciclos de sono e a produção de urina.
Se essas mudanças de estilo de vida não ajudarem, é importante consultar um médico para descartar outras possíveis causas médicas e explorar outras opções de tratamento.</t>
  </si>
  <si>
    <t>A necessidade frequente de urinar durante a noite, conhecida como noctúria, pode ser bastante incômoda e afetar a qualidade do sono. Felizmente, existem algumas medidas que você pode tomar para reduzir a frequência urinária noturna:
1. Reduza a ingestão de líquidos antes de dormir:
Diminua o consumo de líquidos algumas horas antes de se deitar. Isso inclui água, chás, sucos e outras bebidas.
Evite bebidas diuréticas, como café e álcool, especialmente à noite.
2. Ajuste o horário dos medicamentos:
Se você toma diuréticos, converse com seu médico sobre a possibilidade de ajustar o horário da medicação para o período da manhã ou tarde.
3. Eleve as pernas durante o dia:
Elevar as pernas algumas vezes ao dia pode ajudar a reduzir o acúmulo de líquidos nas extremidades inferiores, o que pode diminuir a necessidade de urinar à noite.
O uso de meias de compressão também pode ser útil.
4. Gerencie condições médicas subjacentes:
Algumas condições médicas, como diabetes, infecções urinárias e apneia do sono, podem causar noctúria. O tratamento dessas condições pode ajudar a reduzir a frequência urinária noturna.
A hiperplasia prostática benigna (HPB) é uma causa comum de noctúria em homens. O tratamento da HPB pode aliviar os sintomas urinários.
5. Exercícios para fortalecer o assoalho pélvico:
Exercícios de Kegel podem fortalecer os músculos do assoalho pélvico, o que pode ajudar a controlar a bexiga e reduzir a noctúria.
6. Consulte um médico:
Se a noctúria persistir ou piorar, é importante consultar um médico para descartar causas subjacentes e discutir opções de tratamento.
Observações:
A noctúria pode ter diversas causas, e o tratamento adequado dependerá da causa subjacente.
O médico poderá solicitar exames para determinar a causa da noctúria e recomendar o tratamento mais adequado.
Caso acorde durante a noite, evite usar luzes muito fortes, isso ajudará a voltar a dormir mais rápido.
Lembre-se que este conteúdo é apenas para fins informativos e não substitui a consulta médica.</t>
  </si>
  <si>
    <t>A necessidade frequente de urinar durante a noite, conhecida como noctúria, pode ser bastante incômoda e atrapalhar o sono. No entanto, existem algumas medidas que você pode tomar para tentar diminuir essa frequência:
1. Modificações no estilo de vida:
Limite a ingestão de líquidos antes de dormir: Evite beber grandes quantidades de água, chá, café ou álcool algumas horas antes de se deitar.
Ajuste a medicação: Se você toma diuréticos, converse com seu médico sobre a possibilidade de ajustar o horário da medicação para que o efeito diurético seja menor durante a noite.
Eleve as pernas: Durante o dia, eleve as pernas por alguns períodos para ajudar a reduzir o acúmulo de líquidos nas extremidades, o que pode diminuir a necessidade de urinar à noite.
Exercícios do assoalho pélvico: Fortalecer os músculos do assoalho pélvico pode ajudar a controlar a bexiga.
2. Mudanças na alimentação:
Evite alimentos e bebidas que irritam a bexiga, como cafeína, álcool, alimentos cítricos e picantes.
3. Condições médicas:
A noctúria pode ser um sintoma de diversas condições médicas, como infecção urinária, diabetes, apneia do sono, hiperplasia prostática benigna (em homens) ou bexiga hiperativa. Caso a frequência urinária noturna seja muito incômoda ou acompanhada de outros sintomas, é fundamental consultar um médico para identificar a causa e receber o tratamento adequado.
Quando procurar um médico:
Se a noctúria for frequente e interferir na sua qualidade de sono.
Se você sentir dor ou ardência ao urinar.
Se a urina estiver com sangue ou com odor forte.
Se você tiver outros sintomas, como febre, calafrios ou dor lombar.
Informações importantes:
Este conteúdo tem caráter informativo e não substitui a avaliação médica.
Apenas um profissional de saúde pode diagnosticar a causa da noctúria e indicar o tratamento mais adequado para o seu caso.
Não se automedique.</t>
  </si>
  <si>
    <t>Levantar várias vezes à noite para urinar pode ser desconfortável, mas há algumas ações que podem ajudar a reduzir esse problema:
Limitar a ingestão de líquidos antes de dormir: Evite beber grandes quantidades de líquidos nas 2-3 horas antes de deitar. Isso pode reduzir a necessidade de urinar durante a noite.
Evitar cafeína e álcool: Estas substâncias podem aumentar a produção de urina e irritar a bexiga, causando mais urgência.
Ajustar a dieta: Alimentos ricos em sódio podem aumentar a produção de urina. Tente reduzir alimentos com muito sal e opte por uma dieta balanceada.
Fazer exercícios para a bexiga: Fortalecer os músculos da bexiga pode ajudar no controle do fluxo urinário. Algumas pessoas encontram alívio com exercícios de Kegel.
Tratar problemas de saúde subjacentes: Condições como diabetes, infecções do trato urinário (ITU), aumento da próstata (em homens), ou problemas renais podem causar aumento na frequência urinária. É importante procurar um médico para avaliar essas condições.
Evitar o uso de medicamentos diuréticos à noite: Se você estiver tomando medicamentos diuréticos, converse com seu médico sobre a possibilidade de tomá-los durante o dia, em vez da noite.
Se os episódios de urinar durante a noite forem frequentes e afetarem sua qualidade de vida, é recomendável consultar um médico para investigar as causas e opções de tratamento adequadas.</t>
  </si>
  <si>
    <t>Levantar à noite para urinar, conhecido como noctúria, pode ter diversas causas, como consumo excessivo de líquidos antes de dormir, problemas na bexiga, diabetes, entre outros. Aqui estão algumas dicas que podem ajudar:
Evite líquidos antes de dormir: Tente limitar a ingestão de líquidos nas 2-3 horas antes de deitar. Isso pode reduzir a necessidade de urinar durante a noite.
Reduza cafeína e álcool: Essas substâncias podem irritar a bexiga e aumentar a produção de urina.
Ajuste a dieta: Certos alimentos, como diuréticos naturais (melancia, pepino, etc.), podem aumentar a produção de urina. Evite-os à noite.
Pratique exercícios regularmente: A atividade física pode melhorar a função da bexiga e reduzir o desejo de urinar durante a noite.
Verifique medicamentos: Alguns medicamentos podem causar a necessidade de urinar mais frequentemente. Consulte seu médico se achar que isso pode ser o caso.
Trate condições subjacentes: Se você tem diabetes, apneia do sono ou outros problemas de saúde, tratá-los pode ajudar a reduzir a noctúria.
Se o problema persistir, é importante consultar um médico para investigar possíveis causas mais específicas.</t>
  </si>
  <si>
    <t>Evite beber muitos líquidos antes de dormir, principalmente café e álcool. Além de evitar bebidas estimulantes como café, chá preto, refrigerantes e bebidas alcoólicas à noite, também é importante criar uma rotina para urinar antes de dormir. Reduzir o consumo de líquidos algumas horas antes de deitar pode ajudar a diminuir as idas ao banheiro durante a madrugada. Algumas condições, como bexiga hiperativa, aumento da próstata ou outros problemas urinários, podem contribuir para a necessidade frequente de urinar à noite. No nosso aplicativo, você encontra orientações personalizadas para melhorar o controle urinário e hábitos que ajudam a reduzir a noctúria (urinar várias vezes à noite).</t>
  </si>
  <si>
    <t>Por que tenho vontade de urinar toda hora?</t>
  </si>
  <si>
    <t>A vontade frequente de urinar pode ter várias causas, desde condições benignas até problemas mais sérios de saúde. Algumas possibilidades incluem:
Infecção do Trato Urinário (ITU) – Infecções bacterianas na bexiga ou uretra podem causar urgência e aumento da frequência urinária, geralmente acompanhadas de dor ou ardência ao urinar.
Diabetes – Altos níveis de glicose no sangue podem levar o corpo a eliminar mais líquido, resultando em urina frequente.
Hiperatividade da Bexiga – A bexiga pode contrair involuntariamente, fazendo com que a pessoa sinta necessidade de urinar mesmo quando há pouca urina acumulada.
Problemas na Próstata (em homens) – Um aumento da próstata pode pressionar a uretra, dificultando o esvaziamento completo da bexiga e causando a sensação de que precisa urinar constantemente.
Consumo excessivo de líquidos, cafeína ou álcool – Essas substâncias têm efeito diurético e podem aumentar a produção de urina.
Ansiedade e Estresse – O sistema nervoso pode influenciar a função da bexiga, causando vontade de urinar mais frequentemente.
Doenças Neurológicas – Condições como esclerose múltipla e doença de Parkinson podem afetar o controle da bexiga.
Se a vontade de urinar vier acompanhada de outros sintomas, como dor, febre, sangue na urina ou dificuldade para urinar, é importante procurar um médico para uma avaliação mais detalhada.</t>
  </si>
  <si>
    <t xml:space="preserve">A vontade frequente de urinar pode ter diversas causas, que vão desde fatores simples, como aumento da ingestão de líquidos, até condições médicas que exigem atenção. Algumas possíveis razões incluem:
Infecção urinária – Ardência ao urinar, urgência e aumento da frequência são sintomas comuns.
Beber muita água ou cafeína – O consumo excessivo de líquidos, café, chá e álcool pode aumentar a produção de urina.
Diabetes – Níveis elevados de açúcar no sangue podem causar aumento da diurese (urina em grande quantidade e frequência).
Bexiga hiperativa – Contrações involuntárias da bexiga fazem com que a pessoa tenha vontade de urinar mesmo quando a bexiga não está cheia.
Próstata aumentada (nos homens) – Pode causar sensação de esvaziamento incompleto da bexiga e aumento da frequência urinária.
Ansiedade e estresse – O sistema nervoso pode estimular a necessidade frequente de urinar.
Uso de diuréticos – Medicamentos para pressão alta ou retenção de líquidos podem aumentar a eliminação de urina.
Se a vontade de urinar estiver acompanhada de dor, sangue na urina, febre ou interferência no sono, é importante procurar um médico para avaliação.
</t>
  </si>
  <si>
    <t>Isso pode acontecer por vários motivos. Algumas causas comuns incluem a ingestão excessiva de líquidos, especialmente bebidas que têm cafeína ou álcool, que são diuréticas. Também pode ser um sinal de infecção do trato urinário, que geralmente vem acompanhada de dor ou ardência ao urinar. Outras condições, como diabetes, problemas na próstata (em homens), ou problemas neurológicos podem causar isso também. Se isso está acontecendo frequentemente e causando desconforto, o ideal é consultar um médico para entender melhor a causa e receber o tratamento adequado.</t>
  </si>
  <si>
    <t>Sentir vontade de urinar frequentemente pode ser causado por vários fatores, Bob. Alguns dos mais comuns incluem a ingestão excessiva de líquidos, especialmente aqueles que são diuréticos como café e chá. Outras causas podem ser infecções do trato urinário, diabetes, uso de certos medicamentos, ou até condições mais sérias como problemas na bexiga ou próstata. Se isso está te incomodando ou se houver outros sintomas associados, é uma boa ideia consultar um médico para investigar melhor.</t>
  </si>
  <si>
    <t>A vontade frequente de urinar, também conhecida como polaquiúria, pode ter diversas causas, desde hábitos simples até condições de saúde mais complexas. Para te ajudar a entender melhor, separei as causas mais comuns:
Causas comuns:
Consumo excessivo de líquidos: Beber muita água, café, chá ou álcool aumenta a produção de urina.
Medicamentos diuréticos: Alguns medicamentos, como os usados para pressão alta, aumentam a produção de urina.
Gravidez: O útero em crescimento pressiona a bexiga, aumentando a vontade de urinar.
Idade: Com o envelhecimento, a capacidade da bexiga de armazenar urina diminui.
Ansiedade e estresse: Em alguns casos, a ansiedade e o estresse podem levar à necessidade frequente de urinar.
Causas médicas:
Infecção urinária (ITU): A ITU é uma das causas mais comuns de vontade frequente de urinar, geralmente acompanhada de dor ou ardência ao urinar.
Bexiga hiperativa: Condição em que os músculos da bexiga se contraem involuntariamente, causando vontade urgente e frequente de urinar.
Diabetes: Níveis elevados de açúcar no sangue podem aumentar a produção de urina.
Prostatite (em homens): Inflamação da próstata que pode causar vontade frequente de urinar, dor e dificuldade para urinar.
Cistite intersticial: Condição crônica que causa dor na bexiga e vontade frequente de urinar.
Cálculos renais: A presença de pedras nos rins pode irritar o trato urinário, causando vontade frequente de urinar e dor.
Incontinência urinária: Perda involuntária de urina, que pode ser causada por diversos fatores, incluindo enfraquecimento dos músculos do assoalho pélvico.
Quando procurar um médico:
Se a vontade frequente de urinar for acompanhada de dor, ardência, sangue na urina, febre ou outros sintomas.
Se a vontade frequente de urinar interferir na sua qualidade de vida.
Se você tiver dúvidas sobre a causa da sua vontade frequente de urinar.
Informações adicionais:
Para um diagnóstico preciso, é fundamental consultar um médico.
O tratamento dependerá da causa subjacente da vontade frequente de urinar.
Você pode consultar esses sites para mais informações:
Vontade de Urinar Toda Hora | Dr. Paulo Maron: https://www.tuasaude.com/vontade-de-urinar-toda-hora/
Vontade de urinar toda hora: 7 principais causas e o que fazer - Tua Saúde: https://www.tuasaude.com/vontade-de-urinar-toda-hora/
Espero que esta informação seja útil. Se tiver mais perguntas, fique à vontade para perguntar.</t>
  </si>
  <si>
    <t>A vontade frequente de urinar pode ter diversas causas, desde hábitos simples até condições médicas mais complexas. Para te ajudar a entender melhor, separei as causas mais comuns:
Causas comuns e simples:
Ingestão excessiva de líquidos: Beber muita água, café, chá ou álcool aumenta a produção de urina.
Medicamentos diuréticos: Alguns medicamentos, como os usados para pressão alta, aumentam a frequência urinária.
Causas relacionadas à saúde:
Infecção urinária (IU): É uma das causas mais comuns, acompanhada de dor ou ardência ao urinar e sensação de urgência.
Bexiga hiperativa: A bexiga se contrai involuntariamente, causando vontade urgente e frequente de urinar, mesmo com pouca urina.
Diabetes: Níveis elevados de açúcar no sangue fazem os rins trabalharem mais para eliminar o excesso, aumentando a produção de urina.
Prostatite (inflamação da próstata): Em homens, a próstata aumentada pode pressionar a uretra, dificultando o esvaziamento completo da bexiga e causando vontade frequente de urinar.
Gravidez: O útero em crescimento pressiona a bexiga, diminuindo sua capacidade e aumentando a frequência urinária.
Cistite intersticial: É uma condição crônica que causa dor na bexiga e vontade frequente de urinar.
Cálculos renais: Pedras nos rins podem causar irritação e aumentar a frequência urinária.
Outras possíveis causas:
Ansiedade e estresse.
Alterações hormonais.
Doenças neurológicas.
Quando procurar um médico:
Se a vontade frequente de urinar persistir por vários dias.
Se houver dor ou ardência ao urinar.
Se houver sangue na urina.
Se houver febre, calafrios ou dor lombar.
Se houver outros sintomas, como sede excessiva, perda de peso ou cansaço.
Lembre-se: este conteúdo é apenas informativo e não substitui a consulta médica. Caso esteja preocupado com a frequência urinária, procure um profissional de saúde para um diagnóstico e tratamento adequados.</t>
  </si>
  <si>
    <t>A vontade de urinar com frequência pode ser causada por diversos fatores, incluindo:
Infecção do trato urinário (ITU): É uma das causas mais comuns e pode provocar vontade frequente de urinar, sensação de que a bexiga não esvaziou completamente e até dor ou ardor ao urinar.
Hiperatividade da bexiga: Quando a bexiga se contrai involuntariamente, pode causar a sensação de necessidade urgente e frequente de urinar, mesmo quando a bexiga não está cheia.
Excesso de líquidos ou cafeína: Beber grandes quantidades de líquidos ou consumir bebidas com cafeína pode aumentar a produção de urina, levando à vontade de urinar com mais frequência.
Diabetes: Tanto o diabetes tipo 1 quanto o tipo 2 podem causar micção frequente, pois os altos níveis de glicose no sangue fazem com que o corpo produza mais urina para eliminar o excesso de açúcar.
Gravidez: Durante a gravidez, o aumento do útero pode pressionar a bexiga, causando a sensação de vontade frequente de urinar.
Problemas na próstata (em homens): O aumento da próstata pode pressionar a uretra, dificultando o fluxo urinário e fazendo com que o homem sinta vontade de urinar frequentemente.
Se você está preocupado com essa condição ou se ela está interferindo nas suas atividades diárias, é recomendável consultar um médico para avaliar melhor os sintomas e identificar a causa específica.</t>
  </si>
  <si>
    <t>A vontade de urinar frequentemente pode ter várias causas, algumas das quais incluem:
Infecção do Trato Urinário (ITU): Uma das causas mais comuns de micção frequente é uma infecção bacteriana no trato urinário, o que pode causar uma sensação constante de necessidade de urinar.
Beber líquidos em excesso: Se você estiver consumindo muitos líquidos, como água, café, chá ou bebidas alcoólicas, isso pode aumentar a frequência urinária.
Diabetes: O diabetes descontrolado pode fazer com que você urine mais frequentemente devido ao excesso de glicose no sangue, que é excretada pelos rins.
Problemas na bexiga ou próstata: Condições como bexiga hiperativa ou problemas na próstata (como aumento prostático) podem causar necessidade frequente de urinar.
Uso de diuréticos: Medicamentos diuréticos, que ajudam a eliminar o excesso de líquidos do corpo, também podem aumentar a frequência urinária.
Gravidez: Durante a gravidez, a pressão do útero na bexiga pode causar a sensação de necessidade constante de urinar.
Se a sensação de urgência ou frequência for persistente ou acompanhada de dor, é importante consultar um médico para avaliar a situação corretamente e determinar a causa exata.</t>
  </si>
  <si>
    <t>Isso pode ser sinal de infecção urinária, bexiga hiperativa, diabetes, uso de medicamentos diuréticos ou até ansiedade. Se estiver incomodando é importante procurar um profissional de saúde para investigar a causa e encontrar o melhor tratamento.</t>
  </si>
  <si>
    <t>O que posso fazer para não ter escapes de urina durante o dia?</t>
  </si>
  <si>
    <t>Os escapes de urina podem ter várias causas, como fraqueza dos músculos do assoalho pélvico, bexiga hiperativa, infecções urinárias, consumo excessivo de líquidos diuréticos (como café e álcool) ou até questões neurológicas. Algumas estratégias para reduzir ou eliminar os escapes incluem:
1. Fortalecimento do Assoalho Pélvico (Exercícios de Kegel)
Contraia os músculos do assoalho pélvico como se estivesse segurando a urina.
Mantenha a contração por 5 a 10 segundos e relaxe.
Faça 10 a 15 repetições, 3 vezes ao dia.
2. Controle do Consumo de Líquidos
Evite beber grandes quantidades de líquidos de uma só vez.
Reduza o consumo de café, álcool e bebidas gaseificadas, que irritam a bexiga.
3. Treinamento da Bexiga
Tente urinar em horários programados (exemplo: a cada 2 ou 3 horas), mesmo sem sentir vontade.
Aumente progressivamente o intervalo entre as idas ao banheiro para treinar a bexiga a segurar mais urina.
4. Manutenção do Peso Ideal
O excesso de peso aumenta a pressão sobre a bexiga, contribuindo para os escapes.
5. Evitar Constipação
O intestino preso pode pressionar a bexiga, aumentando o risco de escapes.
Consuma fibras e beba água regularmente para manter um bom funcionamento intestinal.
6. Fisioterapia Pélvica
Um fisioterapeuta especializado pode ajudar com exercícios específicos para fortalecimento do assoalho pélvico.
7. Uso de Medicamentos (se necessário)
Se os escapes forem frequentes e impactarem sua qualidade de vida, um médico pode indicar medicamentos para controle da bexiga hiperativa ou relaxamento da musculatura.
Caso os escapes persistam, o ideal é procurar um urologista ou ginecologista para avaliação mais detalhada.</t>
  </si>
  <si>
    <t>Os escapes de urina (incontinência urinária) podem ter várias causas, mas algumas estratégias gerais podem ajudar a controlar ou reduzir o problema:
1. Fortalecimento do Assoalho Pélvico
Exercícios de Kegel: Contraia os músculos do assoalho pélvico (como se fosse segurar o xixi), segure por 5 a 10 segundos e relaxe. Faça 3 séries de 10 a 15 repetições por dia.
Fisioterapia Pélvica: Um fisioterapeuta especializado pode ensinar técnicas para fortalecer essa região.
2. Controle da Ingestão de Líquidos
Evite beber grandes quantidades de líquidos de uma vez.
Reduza o consumo de café, álcool e refrigerantes, pois irritam a bexiga.
Beba água regularmente, mas evite excesso à noite.
3. Treinamento da Bexiga
Urine em horários programados, mesmo que não sinta vontade.
Tente segurar a urina um pouco mais antes de ir ao banheiro para aumentar a capacidade da bexiga.
4. Manter um Peso Saudável
O excesso de peso pode pressionar a bexiga, piorando os escapes.
5. Evitar Constipação
Comer fibras (frutas, vegetais, grãos integrais) e beber água suficiente para evitar prisão de ventre, pois o intestino cheio pode pressionar a bexiga.
6. Uso de Absorventes Específicos
Em casos mais frequentes, absorventes específicos para escapes urinários podem ajudar no dia a dia.
Se os escapes persistirem, consulte um médico urologista ou ginecologista para avaliar a causa e possíveis tratamentos, como medicamentos ou procedimentos específicos.</t>
  </si>
  <si>
    <t>Para lidar com escapes de urina durante o dia, há várias estratégias que você pode considerar:
Exercícios de Kegel: Estes exercícios fortalecem os músculos do assoalho pélvico, que suportam a uretra, a bexiga e outros órgãos. Fortalecer esses músculos pode ajudar a controlar a incontinência.
Treinamento vesical: Envolve aumentar o intervalo entre ir ao banheiro para treinar a bexiga a esvaziar-se em horários mais regulares e aumentar a capacidade de retenção.
Mudanças dietéticas: Evitar alimentos e bebidas que possam irritar a bexiga, como café, álcool, alimentos muito ácidos e picantes.
Perda de peso: Se estiver acima do peso, perder peso pode ajudar a diminuir a pressão sobre a bexiga.
Parar de fumar: Fumar pode piorar os sintomas da incontinência.
Uso de absorventes ou produtos específicos: Produtos específicos para incontinência podem ajudar a manejar os sintomas no dia a dia.
Se os sintomas persistirem ou afetarem significativamente a sua qualidade de vida, é importante consultar um médico para um diagnóstico adequado e possíveis tratamentos médicos, que podem incluir medicação ou até cirurgia, dependendo do caso.</t>
  </si>
  <si>
    <t>Para evitar escapes de urina durante o dia, aqui estão algumas dicas que podem ajudar:
Fortalecimento dos Músculos Pélvicos: Exercícios de Kegel, que fortalecem os músculos do assoalho pélvico, podem ajudar a controlar a incontinência. É importante aprender a técnica correta para realizar esses exercícios, o que pode ser feito com a orientação de um fisioterapeuta especializado.
Controle de Fluidos: Beber líquidos de maneira moderada ao longo do dia, sem excesso, especialmente de bebidas que possam irritar a bexiga como café, chá e álcool.
Horários Regulares para Ir ao Banheiro: Tente usar o banheiro em horários fixos ao longo do dia, geralmente a cada 2 a 4 horas, mesmo que não sinta necessidade.
Evitar Constipação: Manter uma dieta rica em fibras pode ajudar a evitar a constipação, que pode colocar pressão extra sobre a bexiga.
Controle de Peso: Manter um peso saudável pode reduzir a pressão sobre a bexiga e os músculos circundantes.
Parar de Fumar: Fumar pode contribuir para a fraqueza dos músculos do assoalho pélvico e irritar a bexiga.
Vestuário Apropriado: Usar roupas que permitam acesso fácil ao banheiro pode ajudar a evitar atrasos quando sentir urgência.
Se o problema persistir, é importante consultar um médico, pois podem existir condições médicas subjacentes que precisam de tratamento específico.</t>
  </si>
  <si>
    <t>O escape involuntário de urina, também conhecido como incontinência urinária, é uma condição comum que pode afetar pessoas de todas as idades, mas é mais frequente em idosos. Existem diversas medidas que você pode tomar para reduzir ou eliminar os escapes de urina durante o dia:
1. Fortalecimento do assoalho pélvico:
Exercícios de Kegel: Contraia os músculos que você usaria para interromper o fluxo de urina, mantenha a contração por alguns segundos e relaxe. Repita o exercício várias vezes ao dia.
A fisioterapia do pavimento pélvico pode ajudar a aliviar os sintomas e traz inúmeros benefícios quando é praticada regularmente.
2. Mudanças no estilo de vida:
Controle da ingestão de líquidos: Beba líquidos em quantidades adequadas ao longo do dia e evite grandes volumes antes de dormir.
Alimentação saudável: Mantenha um peso saudável, pois a obesidade pode aumentar a pressão sobre a bexiga. Evite alimentos e bebidas que irritam a bexiga, como cafeína, álcool e alimentos ácidos.
Parar de fumar: O tabagismo pode piorar a incontinência urinária.
3. Treinamento da bexiga:
Micção programada: Vá ao banheiro em intervalos regulares, mesmo que não sinta vontade de urinar.
Adiar a micção: Quando sentir vontade de urinar, tente adiar a ida ao banheiro por alguns minutos. Isso pode ajudar a aumentar a capacidade da bexiga.
4. Outras medidas:
Absorventes ou roupas íntimas absorventes: Use produtos específicos para incontinência urinária para se sentir mais seguro e confortável.
Medicamentos: Em alguns casos, o médico pode prescrever medicamentos para controlar a incontinência urinária.
Dispositivos médicos: Existem dispositivos, como pessários, que podem ajudar a controlar a incontinência urinária em mulheres.
Cirurgia: Em casos graves, a cirurgia pode ser uma opção de tratamento.
5. Tratamentos médicos:
Fisioterapia do pavimento pélvico: ajuda a fortalecer os músculos que controlam a micção.
Mudança de hábitos: algumas mudanças de hábito podem amenizar a perda urinária, como reduzir o consumo de café e chás pretos, programar mais idas ao banheiro e controlar a ingestão de líquidos ingeridos durante o dia, por exemplo.1   
1.
drarenataalmeida.com.br
drarenataalmeida.com.br
Tratamentos cirúrgicos: em alguns casos, são necessários procedimentos cirúrgicos para resolver o problema.
Recomendação:
É importante consultar um médico para identificar a causa da incontinência urinária e determinar o tratamento mais adequado para você. O médico poderá realizar exames e indicar as melhores opções de tratamento para o seu caso.
Recursos adicionais:
Para mais informações sobre incontinência urinária, você pode consultar os seguintes sites:
Incontinência urinária | Biblioteca Virtual em Saúde MS
Incontinência urinária em adultos - Distúrbios renais e urinários - MSD Manuals
Como lidar com a incontinência urinária de esforço - Lusíadas Saúde
Escape de urina: causas e como tratar - Dr. Elton Sanchotene
3 maneiras de tratar escapes de urina - Portal Drauzio Varella - UOL</t>
  </si>
  <si>
    <t>A incontinência urinária, caracterizada por escapes involuntários de urina, pode ser constrangedora e impactar significativamente a qualidade de vida. No entanto, existem diversas medidas que você pode tomar para controlar ou reduzir esses escapes:
Mudanças no estilo de vida:
Exercícios do assoalho pélvico (Kegel): Fortalecer os músculos do assoalho pélvico é fundamental para controlar a bexiga. Contraia os músculos como se estivesse interrompendo o fluxo de urina, segure por alguns segundos e relaxe. Repita várias vezes ao dia.
Treino da bexiga: Tente adiar a micção por alguns minutos quando sentir vontade de urinar. Isso pode ajudar a aumentar a capacidade da bexiga e reduzir a urgência.
Gerenciamento de líquidos: Beba líquidos em quantidade suficiente para evitar a desidratação, mas reduza o consumo de bebidas diuréticas (café, álcool, chá) e bebidas gasosas, especialmente à noite.
Alimentação: Evite alimentos que irritam a bexiga, como alimentos ácidos ou picantes. Mantenha um peso saudável, pois o excesso de peso pode pressionar a bexiga.
Gerenciamento do intestino: Evite a constipação, que pode pressionar a bexiga. Consuma alimentos ricos em fibras e beba bastante água.
Outras medidas:
Ida programada ao banheiro: Crie uma rotina de idas ao banheiro a cada 2-3 horas, mesmo que não sinta vontade de urinar.
Absorventes ou roupas íntimas para incontinência: Use produtos específicos para incontinência para se sentir mais seguro e confortável.
Medicamentos: Em alguns casos, o médico pode prescrever medicamentos para controlar a incontinência.
Fisioterapia: Um fisioterapeuta especializado em assoalho pélvico pode te ajudar com exercícios específicos e outras técnicas.
Dispositivos médicos: Para mulheres, existem dispositivos intravaginais que podem ajudar a sustentar a uretra e reduzir os escapes.
Cirurgia: Em casos graves, a cirurgia pode ser uma opção.
Importante:
É fundamental consultar um médico urologista para identificar a causa da incontinência e receber o tratamento adequado.
O médico poderá te orientar sobre os melhores exercícios, medicamentos ou outros tratamentos para o seu caso específico.
Recursos úteis:
Biblioteca Virtual em Saúde MS: https://bvsms.saude.gov.br/incontinencia-urinaria-nova-dica-em-saude-disponivel-na-bvsms/
Letra de Médico - VEJA: https://www.eldiario.es/edcreativo/diario-salud/escapes-involuntarios-orina-adulto-prevenirlos-tratarlos_1_9164074.html
TENA: https://www.tena.com.br/incontinencia</t>
  </si>
  <si>
    <t>Existem algumas abordagens que podem ajudar a reduzir ou prevenir escapes de urina durante o dia. Aqui estão algumas dicas gerais:
Treinamento da bexiga: Tente treinar sua bexiga para suportar intervalos mais longos entre as idas ao banheiro. Isso pode ajudar a aumentar a capacidade da bexiga e reduzir a urgência urinária.
Exercícios do assoalho pélvico (Kegel): Fortalecer os músculos do assoalho pélvico pode ajudar a melhorar o controle da bexiga. Esses exercícios envolvem contrair e relaxar os músculos que controlam a urina.
Controle do consumo de líquidos: Evite beber grandes quantidades de líquidos de uma vez e tente limitar a ingestão de bebidas que irritam a bexiga, como café, álcool e bebidas com cafeína.
Evitar constipação: A constipação pode aumentar a pressão sobre a bexiga. Mantenha uma dieta rica em fibras e beba bastante água para evitar prisão de ventre.
Medicamentos: Em alguns casos, medicamentos podem ser recomendados para controlar a urgência urinária e outros sintomas relacionados ao controle da bexiga.
Consulta com um médico: É importante consultar um médico para identificar a causa do problema, que pode ser desde infecções urinárias até condições mais complexas, como incontinência urinária.
Se os escapes de urina forem frequentes ou graves, é fundamental procurar orientação médica para um diagnóstico adequado e tratamento.</t>
  </si>
  <si>
    <t>Para ajudar a controlar escapes de urina durante o dia, existem algumas práticas que podem ser úteis:
Fortalecer a musculatura do assoalho pélvico (exercícios de Kegel): Esses exercícios ajudam a melhorar o controle da bexiga. Ao fortalecer os músculos que controlam a urina, você pode prevenir escapes.
Treinamento da bexiga: Isso envolve estabelecer horários regulares para ir ao banheiro, mesmo que não sinta vontade. Com o tempo, isso pode ajudar a aumentar a capacidade da bexiga.
Manter um peso saudável: O excesso de peso pode aumentar a pressão sobre a bexiga e causar escapes. Manter o peso ideal pode aliviar esse problema.
Evitar alimentos e bebidas irritantes: Certos alimentos e bebidas, como cafeína, álcool e alimentos picantes, podem irritar a bexiga e aumentar a necessidade de urinar ou provocar escapes.
Evitar segurar a urina por muito tempo: Ao segurar a urina por períodos prolongados, você pode enfraquecer os músculos da bexiga. Tente urinar regularmente.
Uso de produtos de absorção: Se necessário, utilizar absorventes específicos pode ajudar a gerenciar os escapes de urina, proporcionando conforto e segurança.
Consultas médicas: É importante consultar um médico, especialmente um urologista, para investigar as causas e receber um tratamento adequado. Dependendo da gravidade, ele pode sugerir medicamentos ou outras opções, como fisioterapia.
Essas práticas podem ajudar a reduzir ou prevenir os escapes, mas o acompanhamento profissional é fundamental para determinar o melhor plano de ação.</t>
  </si>
  <si>
    <t>Para evitar escapes de urina durante o dia, é importante adotar hábitos que fortaleçam o controle da bexiga. Praticar regularmente os exercícios para o assoalho pélvico, disponíveis no nosso aplicativo, pode ajudar a melhorar a força dos músculos responsáveis por segurar a urina. Além disso, é recomendável evitar bebidas que irritam a bexiga, como café, bebidas alcoólicas e refrigerantes, Manter um peso saudável, não segurar a urina por muito tempo e tratar possíveis infecções urinárias também são medidas importantes. No nosso aplicativo, você encontra orientações personalizadas para controlar a incontinência urinária e melhorar sua qualidade de vida. Se os escapes persistirem, é essencial procurar um profissional de saúde para investigar a causa e encontrar o melhor tratamento.</t>
  </si>
  <si>
    <t>Beber cerveja piora a incontinência urinária?</t>
  </si>
  <si>
    <t>Sim, beber cerveja pode piorar a incontinência urinária. Isso ocorre por alguns motivos:
Efeito Diurético – A cerveja contém álcool, que é um diurético natural. Isso significa que aumenta a produção de urina, podendo sobrecarregar a bexiga e piorar episódios de incontinência.
Irritação da Bexiga – O álcool e o gás da cerveja podem irritar a mucosa da bexiga, tornando-a mais sensível e aumentando a urgência urinária.
Relaxamento dos Músculos da Bexiga – O álcool pode reduzir o controle sobre os músculos que regulam a micção, tornando mais difícil segurar a urina.
Se você ou alguém que conhece tem problemas com incontinência, reduzir o consumo de álcool, especialmente cerveja, pode ajudar a minimizar os sintomas.</t>
  </si>
  <si>
    <t>Sim, beber cerveja pode piorar a incontinência urinária. Isso ocorre porque o álcool, incluindo a cerveja, tem um efeito diurético, aumentando a produção de urina e irritando a bexiga. Além disso, o álcool pode reduzir o controle da musculatura da bexiga, aumentando a frequência e urgência urinária. Se você tem incontinência urinária, reduzir ou evitar o consumo de cerveja pode ajudar a minimizar os sintomas.</t>
  </si>
  <si>
    <t>Sim, beber cerveja pode piorar a incontinência urinária. A cerveja atua como um diurético, o que significa que ela aumenta a produção de urina nos rins. Isso pode levar a um aumento na frequência de idas ao banheiro. Além disso, o álcool pode interferir na capacidade da bexiga de enviar sinais corretos ao cérebro sobre quando ela está cheia, o que pode dificultar o controle da micção. Portanto, para pessoas que já têm incontinência urinária, consumir cerveja pode agravar os sintomas.</t>
  </si>
  <si>
    <t>Sim, beber cerveja pode piorar a incontinência urinária em algumas pessoas. Isso acontece porque a cerveja atua como um diurético, aumentando a produção de urina nos rins e, consequentemente, fazendo com que a bexiga se encha mais rapidamente. Isso pode intensificar a urgência e a frequência urinária, especialmente em indivíduos que já sofrem de incontinência. Além disso, o álcool pode interferir na capacidade do cérebro de receber sinais de que a bexiga está cheia, dificultando o controle da micção.</t>
  </si>
  <si>
    <t>Sim, a cerveja pode piorar a incontinência urinária. Isso acontece por alguns motivos:
Efeito diurético: A cerveja, assim como outras bebidas alcoólicas, é diurética, ou seja, aumenta a produção de urina. Isso pode sobrecarregar a bexiga e aumentar a urgência e a frequência urinária.
Irritação da bexiga: O álcool pode irritar a mucosa da bexiga, o que também contribui para o aumento da vontade de urinar.
Relaxamento dos músculos: O álcool pode relaxar os músculos do assoalho pélvico, que são importantes para o controle da bexiga. O enfraquecimento desses músculos pode levar a escapes de urina.
Prejuízo da comunicação entre cérebro e bexiga: O álcool também pode prejudicar a comunicação entre o cérebro e a bexiga. Sem essa comunicação, é mais difícil controlar a vontade de urinar.
Além disso, algumas pessoas podem ser mais sensíveis aos efeitos da cerveja na bexiga do que outras.
Recomendações:
Se você sofre de incontinência urinária, é importante moderar o consumo de cerveja e outras bebidas alcoólicas.
Preste atenção em como seu corpo reage à cerveja. Se você notar que seus sintomas pioram após o consumo, considere reduzir ou eliminar a bebida.
Consulte um médico para avaliar a causa da sua incontinência e receber orientações sobre o tratamento adequado.
Para mais informações, você pode consultar as seguintes fontes:
Bebida Alcoólica x Incontinência Urinária - Vanessa Campanholi | Fisioterapia Pélvica
Incontinência urinária em adultos - Distúrbios renais e urinários - MSD Manuals</t>
  </si>
  <si>
    <t>Sim, o consumo de cerveja pode piorar a incontinência urinária. Isso ocorre por diversos fatores:
Efeito diurético: A cerveja, assim como outras bebidas alcoólicas, tem efeito diurético, ou seja, aumenta a produção de urina pelos rins. Isso pode sobrecarregar a bexiga e aumentar a urgência e a frequência urinária.
Irritação da bexiga: O álcool presente na cerveja pode irritar a mucosa da bexiga, tornando-a mais sensível e aumentando a vontade de urinar.
Prejuízo da comunicação entre cérebro e bexiga: O álcool pode afetar a comunicação entre o cérebro e a bexiga, dificultando o controle da micção.
Relaxamento dos músculos pélvicos: O álcool pode relaxar os músculos do assoalho pélvico, que são importantes para o controle da urina.
Outros fatores que podem influenciar:
A quantidade de cerveja consumida: Quanto maior a ingestão, maiores as chances de piora da incontinência.
A sensibilidade individual: Algumas pessoas são mais sensíveis aos efeitos da cerveja na bexiga do que outras.
Outras condições de saúde: Problemas de saúde como diabetes e infecções urinárias podem potencializar os efeitos da cerveja na incontinência.
Recomendações:
Se você sofre de incontinência urinária, é importante moderar o consumo de cerveja e outras bebidas alcoólicas.
Em caso de dúvidas ou sintomas persistentes, procure um médico urologista para avaliação e tratamento adequados.
Espero que esta informação seja útil.</t>
  </si>
  <si>
    <t>Sim, beber cerveja pode piorar a incontinência urinária em algumas pessoas. A cerveja contém álcool, que tem um efeito diurético, ou seja, aumenta a produção de urina. Além disso, o álcool pode irritar a bexiga e afetar o controle sobre a micção, o que pode agravar os sintomas da incontinência urinária. A ingestão excessiva de líquidos, especialmente aqueles que contêm cafeína ou álcool, pode também aumentar a frequência urinária e a urgência. Se a incontinência urinária é um problema, é recomendável moderar o consumo de bebidas alcoólicas e observar como elas afetam seus sintomas.</t>
  </si>
  <si>
    <t>Sim, o consumo de cerveja pode piorar a incontinência urinária. A cerveja contém álcool, que é um diurético, ou seja, estimula a produção de urina, o que pode aumentar a frequência urinária e a urgência. Isso pode afetar negativamente quem já tem problemas com o controle da bexiga. Além disso, o álcool pode relaxar os músculos que controlam a bexiga, dificultando a retenção da urina. Caso você ou alguém tenha esse problema, é recomendável consultar um médico para orientações específicas.</t>
  </si>
  <si>
    <t>Sim, o álcool irrita a bexiga e pode aumentar a vontade de urinar, piorando os escapes de urina.</t>
  </si>
  <si>
    <t>O que causa aquele gotejamento depois de urinar?</t>
  </si>
  <si>
    <t>O gotejamento após urinar pode ter várias causas, dependendo do contexto. Algumas das mais comuns incluem:
Esvaziamento incompleto da uretra – Após a micção, um pouco de urina pode permanecer na uretra, especialmente em homens. Isso ocorre porque os músculos do assoalho pélvico podem não estar totalmente contraídos para empurrar toda a urina para fora.
Fraqueza do assoalho pélvico – Músculos enfraquecidos podem não suportar bem a bexiga e a uretra, dificultando o esvaziamento completo.
Hiperplasia Prostática Benigna (HPB) – Nos homens, o aumento da próstata pode dificultar o fluxo urinário e fazer com que reste urina na uretra.
Estreitamento da uretra (estenose uretral) – Uma obstrução parcial pode impedir o esvaziamento total da urina, causando gotejamento depois da micção.
Disfunção do esfíncter urinário – Problemas no fechamento adequado do esfíncter podem permitir que a urina escape lentamente após o término da micção.
Infecção urinária ou inflamação – Infecções e irritações na bexiga ou na uretra podem afetar o controle do fluxo urinário.
Alterações neurológicas – Algumas condições, como diabetes, doenças da coluna ou esclerose múltipla, podem afetar o controle nervoso da micção.
Se o gotejamento for persistente ou vier acompanhado de outros sintomas (dor, ardência, aumento na frequência urinária), pode ser bom procurar um médico urologista para avaliação.</t>
  </si>
  <si>
    <t>O gotejamento pós-micção pode ter várias causas, dependendo da idade, do estilo de vida e da saúde do trato urinário. Algumas das principais razões incluem:
Uretra residual: Pequenos resíduos de urina podem ficar presos na uretra, especialmente em homens, e sair depois que a micção parece ter terminado.
Fraqueza do assoalho pélvico: Músculos fracos no assoalho pélvico podem dificultar o esvaziamento completo da bexiga.
Hiperplasia prostática benigna (HPB): Em homens mais velhos, o aumento da próstata pode pressionar a uretra e dificultar o esvaziamento completo da bexiga.
Estenose uretral: Um estreitamento da uretra pode fazer com que a urina fique retida e saia lentamente após a micção.
Infecção urinária ou prostatite: Inflamações na bexiga, na próstata ou na uretra podem causar esse sintoma.
Problemas neurológicos: Doenças como diabetes ou problemas na coluna podem afetar o controle da bexiga.
Mau hábito postural ao urinar: Algumas posições ao urinar podem impedir a saída completa da urina, como urinar sentado sem se inclinar levemente para frente.
Se for algo recorrente e incômodo, é bom procurar um médico urologista para avaliar se há alguma condição subjacente e indicar o melhor tratamento.</t>
  </si>
  <si>
    <t>O gotejamento pós-micção é um fenômeno comum, especialmente em homens mais velhos, mas também pode afetar mulheres. Algumas causas possíveis incluem:
Resíduo de Urina na Uretra: Após urinar, pode haver uma pequena quantidade de urina que permanece na uretra, o que pode levar a gotejamentos. Isso é mais comum em homens devido ao comprimento da uretra.
Fraqueza dos Músculos Pélvicos: Os músculos que ajudam a controlar a urina podem se tornar enfraquecidos com a idade, cirurgias ou partos, o que pode resultar em um controle menos eficiente da bexiga e gotejamento.
Problemas da Próstata: Em homens, o aumento da próstata ou condições relacionadas à próstata podem pressionar a uretra e interferir no fluxo urinário normal, causando gotejamento após terminar de urinar.
Infecções do Trato Urinário (ITU): Infecções podem irritar a bexiga e a uretra, levando a um gotejamento.
Medicamentos: Alguns medicamentos podem afetar a função da bexiga e da uretra, levando a problemas de gotejamento.
É sempre bom consultar um médico se esse gotejamento for frequente ou causar desconforto, pois ele pode avaliar e diagnosticar corretamente a causa subjacente, especialmente se estiver associado a outros sintomas como dor ou aumento da frequência urinária.</t>
  </si>
  <si>
    <t>Esse gotejamento após urinar, muitas vezes referido como pós-micção, pode ser causado por várias razões. Em homens, uma causa comum é a presença de um pouco de urina residual na uretra, que não foi completamente eliminada durante a micção. Isso pode ser mais comum com o avançar da idade ou em casos de aumento da próstata, que pode impedir a uretra de esvaziar completamente.
Em mulheres, isso também pode ocorrer, mas é menos comum e pode estar relacionado à posição ou relaxamento durante a micção, o que pode não permitir que toda a urina seja liberada.
Se isso for frequente ou preocupante, é recomendado consultar um médico para uma avaliação adequada, pois pode ser um sinal de condições subjacentes que precisam de tratamento.</t>
  </si>
  <si>
    <t>O gotejamento após urinar, também conhecido como gotejamento pós-miccional, pode ter diversas causas, variando desde condições benignas até problemas mais sérios. As causas mais comuns incluem:
1. Causas relacionadas à bexiga e à uretra:
Relaxamento dos músculos pélvicos: Com o envelhecimento, os músculos que controlam a micção podem enfraquecer, levando ao gotejamento.
Obstrução da uretra: Um estreitamento da uretra, causado por cicatrizes, inflamação ou aumento da próstata, pode dificultar o esvaziamento completo da bexiga.
Bexiga hiperativa: Contrações involuntárias da bexiga podem causar gotejamento após a micção.
Infecções urinárias: A inflamação causada por infecções pode irritar a uretra e levar ao gotejamento.
2. Causas relacionadas à próstata (em homens):
Hiperplasia prostática benigna (HPB): O aumento da próstata pode pressionar a uretra e dificultar o esvaziamento completo da bexiga.
Prostatite: A inflamação da próstata pode causar sintomas como dor, dificuldade para urinar e gotejamento.
Câncer de próstata: Em casos raros, o gotejamento pode ser um sintoma de câncer de próstata.
3. Outras causas:
Efeitos colaterais de medicamentos: Alguns medicamentos podem afetar o controle da bexiga e causar gotejamento.
Condições neurológicas: Doenças como esclerose múltipla, Parkinson e AVC podem afetar os nervos que controlam a micção.
Diabetes: O diabetes pode causar danos nos nervos que controlam a bexiga, levando ao gotejamento.
Quando procurar um médico:
O gotejamento após urinar pode ser um sintoma incômodo e, em alguns casos, pode indicar um problema de saúde subjacente. É importante procurar um médico se você apresentar os seguintes sintomas:
Gotejamento frequente ou intenso
Dor ao urinar
Sangue na urina
Dificuldade para urinar
Jato urinário fraco
Necessidade urgente de urinar
O médico poderá realizar exames para determinar a causa do gotejamento e recomendar o tratamento adequado.</t>
  </si>
  <si>
    <t>O gotejamento após urinar, também conhecido como gotejamento pós-miccional, pode ter diversas causas, variando desde fatores simples até condições médicas mais complexas. As causas mais comuns incluem:
Fraqueza dos músculos do assoalho pélvico: Esses músculos são responsáveis por controlar o fluxo urinário. Com o envelhecimento, ou após certas condições como a gravidez, esses músculos podem enfraquecer, dificultando o controle total da urina.
Hiperplasia prostática benigna (HPB): Nos homens, o aumento da próstata pode pressionar a uretra, dificultando o esvaziamento completo da bexiga e resultando em gotejamento.
Infecções do trato urinário (ITUs): ITUs podem irritar a uretra e a bexiga, causando gotejamento e outros sintomas como dor e ardência ao urinar.
Estenose uretral: O estreitamento da uretra pode dificultar o fluxo urinário e causar gotejamento.
Prostatite: A inflamação da próstata pode causar sintomas semelhantes aos da HPB e ITUs, incluindo gotejamento.
Diabetes: O diabetes pode causar danos nos nervos que controlam a bexiga, resultando em dificuldades no esvaziamento completo e gotejamento.
Medicamentos: Alguns medicamentos, como diuréticos, podem aumentar a produção de urina e contribuir para o gotejamento.
Fatores neurológicos: Condições neurológicas como a esclerose múltipla e a doença de Parkinson podem afetar o controle da bexiga e causar gotejamento.
É importante ressaltar que o gotejamento após urinar pode ser um sintoma de condições médicas sérias. Se você está preocupado com esse sintoma, é fundamental consultar um médico para obter um diagnóstico preciso e um tratamento adequado.</t>
  </si>
  <si>
    <t>O gotejamento depois de urinar, conhecido como "gotejamento pós-miccional", pode ser causado por diversos fatores. Algumas causas comuns incluem:
Hipertrofia prostática benigna (HPB): Em homens, o aumento da próstata pode comprimir a uretra, dificultando a completa evacuação da urina, resultando em gotejamento após o ato de urinar.
Fraqueza muscular do assoalho pélvico: Tanto em homens quanto em mulheres, a fraqueza nos músculos que controlam a bexiga e a uretra pode levar a gotejamentos após a micção.
Uretrite: Inflamação na uretra, causada por infecções ou irritações, pode dificultar o fluxo da urina e causar gotejamento.
Infecções urinárias: Quando a bexiga ou a uretra estão infectadas, isso pode interferir no processo de micção e causar gotejamentos.
Problemas neurológicos: Lesões ou condições que afetam os nervos que controlam a bexiga podem causar problemas na eliminação completa da urina.
Retenção urinária: Se a bexiga não se esvaziar completamente durante a micção, pode haver gotejamento residual.
Se isso ocorrer com frequência, é importante consultar um médico para avaliar as possíveis causas e receber o tratamento adequado.</t>
  </si>
  <si>
    <t>O gotejamento após urinar pode ser causado por vários fatores. Um dos mais comuns é o atraso no fechamento da uretra, que pode ocorrer quando a bexiga ainda contém uma pequena quantidade de urina após a micção completa. A contração do esfíncter urinário e a liberação de qualquer resíduo de urina pode levar ao gotejamento.
Outras possíveis causas incluem:
Fraqueza do esfíncter urinário: O esfíncter pode não fechar adequadamente, permitindo que pequenas quantidades de urina vazem.
Prostatite ou aumento da próstata (em homens): Isso pode dificultar o escoamento completo da urina, resultando em gotejamento após urinar.
Infecções do trato urinário (ITU): Podem causar irritação e gotejamento.
Problemas neurológicos: Distúrbios no sistema nervoso que controlam a bexiga podem afetar a micção.
Uso de certos medicamentos: Como diuréticos ou medicamentos para a próstata.
Se o problema for persistente, é recomendável consultar um médico para um diagnóstico adequado.</t>
  </si>
  <si>
    <t>Pode ser que um pouco de urina fique acumulada na uretra. Alguns homens conseguem resolver isso apertando suavemente a base do pênis para empurrar a urina para fora.</t>
  </si>
  <si>
    <t>Depois da cirurgia de próstata, vou conseguir segurar o xixi normalmente?</t>
  </si>
  <si>
    <t>Após a cirurgia de próstata, especialmente a prostatectomia radical (remoção total da próstata), é comum que os pacientes tenham algum grau de incontinência urinária no pós-operatório. No entanto, na maioria dos casos, a capacidade de segurar a urina melhora com o tempo.
O que pode acontecer após a cirurgia?
Incontinência temporária – Muitos pacientes apresentam alguma perda de urina logo após a remoção da sonda. Isso ocorre porque a próstata está próxima dos músculos que controlam a bexiga, e a cirurgia pode enfraquecer essa região.
Melhora progressiva – Com o tempo, os músculos do assoalho pélvico se fortalecem e o controle urinário tende a melhorar. Em alguns meses, muitos pacientes recuperam totalmente a continência.
Casos persistentes – Em uma pequena porcentagem de pacientes, a incontinência pode ser mais duradoura, especialmente se houver danos aos nervos ou músculos envolvidos no controle da urina.
Como melhorar a recuperação?
Exercícios de Kegel – Fortalecem os músculos do assoalho pélvico e ajudam no controle da urina.
Controle da ingestão de líquidos – Evitar excesso de cafeína e álcool pode ajudar.
Uso de absorventes no início – Em casos de escapes leves, pode ser útil.
Se houver dificuldade persistente, o urologista pode indicar tratamentos adicionais, como fisioterapia pélvica ou, em casos raros, cirurgias corretivas.
É importante conversar com o seu médico para entender as particularidades do seu caso e seguir as orientações pós-operatórias.</t>
  </si>
  <si>
    <t>Após a cirurgia de próstata, a capacidade de segurar a urina pode ser temporariamente afetada, mas a maioria dos homens recupera o controle urinário com o tempo. Isso depende do tipo de cirurgia realizada (prostatectomia parcial ou radical) e de fatores individuais, como idade e condição da musculatura do assoalho pélvico.
O que esperar:
Nos primeiros dias ou semanas: Incontinência urinária leve a moderada pode ocorrer, especialmente ao rir, tossir ou levantar peso.
Com o tempo: A maioria dos pacientes melhora em alguns meses com fisioterapia do assoalho pélvico (exercícios de Kegel).
Casos raros: Alguns homens podem ter incontinência persistente e necessitar de tratamentos adicionais.
Se a preocupação for grande, um urologista pode orientar melhor sobre a recuperação e opções para melhorar o controle urinário.</t>
  </si>
  <si>
    <t>Após uma cirurgia de próstata, como a prostatectomia, é comum enfrentar algumas dificuldades temporárias para controlar a urina, conhecidas como incontinência urinária. A maioria dos homens observa uma melhora significativa dentro de alguns meses após a cirurgia. No entanto, o tempo de recuperação pode variar de pessoa para pessoa, e alguns podem levar mais tempo para recuperar o controle completo da bexiga.
É importante seguir as orientações médicas e fazer exercícios de fortalecimento do assoalho pélvico, conhecidos como exercícios de Kegel, que podem ajudar a acelerar o processo de recuperação. Se você estiver enfrentando incontinência após a cirurgia, é uma boa ideia discutir isso com seu médico, que pode oferecer orientações adicionais ou tratamentos para ajudar.</t>
  </si>
  <si>
    <t>A recuperação da capacidade de segurar a urina após uma cirurgia de próstata pode variar de pessoa para pessoa. Muitos homens experimentam algum grau de incontinência urinária imediatamente após a cirurgia, especialmente após a prostatectomia radical, que é a remoção completa da próstata. No entanto, para a maioria dos homens, essa condição melhora com o tempo.
A reabilitação do controle urinário pode ser auxiliada por exercícios de fortalecimento do assoalho pélvico, conhecidos como exercícios de Kegel, que ajudam a fortalecer os músculos que controlam a passagem da urina. É importante seguir as orientações do seu médico sobre a recuperação e, se necessário, buscar a ajuda de um fisioterapeuta especializado em saúde pélvica.
Se tiver mais perguntas ou preocupações específicas, é sempre bom discutir isso diretamente com seu médico ou urologista, que pode oferecer informações mais detalhadas com base em seu caso específico.</t>
  </si>
  <si>
    <t>A maioria dos homens experimenta algum grau de incontinência urinária após a cirurgia de próstata, mas essa condição geralmente é temporária e melhora com o tempo. A recuperação completa do controle da bexiga pode levar de alguns meses a um ano, dependendo de fatores como:
Tipo de cirurgia: A técnica cirúrgica utilizada pode influenciar no tempo de recuperação.
Idade: Homens mais jovens tendem a se recuperar mais rápido.
Condições de saúde pré-existentes: Diabetes, obesidade e outras condições podem afetar a recuperação.
Exercícios de Kegel: Fortalecer os músculos do assoalho pélvico com exercícios de Kegel pode acelerar a recuperação.
O que esperar:
Imediatamente após a cirurgia, é comum ter escapes de urina frequentes e urgência urinária.
Com o tempo, a frequência e a intensidade dos escapes diminuirão gradualmente.
A maioria dos homens recupera o controle total da bexiga dentro de um ano.
Dicas para ajudar na recuperação:
Siga as orientações do seu médico: O seu médico fornecerá instruções específicas sobre como cuidar da sua bexiga após a cirurgia.
Faça exercícios de Kegel regularmente: Os exercícios de Kegel podem ajudar a fortalecer os músculos do assoalho pélvico e melhorar o controle da bexiga.
Use absorventes urinários: Absorventes urinários podem ajudar a controlar os escapes de urina durante a recuperação.
Mantenha uma boa hidratação: Beba bastante água para manter a urina diluída e evitar irritações na bexiga.
Evite cafeína e álcool: Cafeína e álcool podem irritar a bexiga e piorar a incontinência.
Se você tiver alguma dúvida ou preocupação sobre a incontinência urinária após a cirurgia de próstata, converse com seu médico.</t>
  </si>
  <si>
    <t>A incontinência urinária é um efeito colateral comum após a cirurgia de próstata, mas geralmente é temporária. A maioria dos homens recupera o controle total da bexiga dentro de alguns meses a um ano. No entanto, o tempo de recuperação varia de pessoa para pessoa e depende de alguns fatores, como:
Tipo de cirurgia: a prostatectomia radical (remoção completa da próstata) está mais associada à incontinência do que outros procedimentos menos invasivos.
Idade e saúde geral: homens mais jovens e com melhor saúde tendem a se recuperar mais rapidamente.
Condição pré-existente: homens com problemas de controle da bexiga antes da cirurgia podem ter mais dificuldade na recuperação.
Exercícios do assoalho pélvico: a prática regular de exercícios de Kegel pode fortalecer os músculos do assoalho pélvico e acelerar a recuperação.
O que esperar após a cirurgia
Incontinência inicial: é comum ter escapes de urina nos primeiros dias ou semanas após a cirurgia.
Melhora gradual: o controle da bexiga melhora gradualmente com o tempo.
Recuperação completa: a maioria dos homens recupera o controle total da bexiga dentro de um ano.
Dicas para lidar com a incontinência
Use absorventes: use absorventes ou fraldas para proteger suas roupas e se sentir mais confortável.
Faça exercícios de Kegel: pratique exercícios de Kegel regularmente para fortalecer os músculos do assoalho pélvico.
Evite cafeína e álcool: cafeína e álcool podem irritar a bexiga e piorar a incontinência.
Mantenha-se hidratado: beba bastante água para manter a urina diluída e evitar irritação na bexiga.
Consulte seu médico: converse com seu médico sobre suas preocupações e siga suas orientações para uma recuperação mais rápida e eficaz.
Informações adicionais
É importante manter a calma e ter paciência durante o processo de recuperação.
Caso a incontinência persista por mais de um ano, converse com seu médico sobre outras opções de tratamento, como medicamentos ou fisioterapia.
Se você tiver alguma dúvida ou preocupação, não hesite em perguntar ao seu médico.</t>
  </si>
  <si>
    <t>Após a cirurgia de próstata, a capacidade de segurar a urina pode ser afetada temporariamente, mas muitas pessoas conseguem retomar o controle normal com o tempo. Isso depende do tipo de cirurgia realizada (por exemplo, prostatectomia radical, que é uma remoção da próstata) e de como o corpo se recupera.
Nos primeiros meses, pode ocorrer incontinência urinária, mas com reabilitação, exercícios para o fortalecimento dos músculos do assoalho pélvico (como os exercícios de Kegel) e acompanhamento médico, muitas pessoas experimentam melhorias. Em alguns casos, pode ser necessário o uso de medicamentos ou outras intervenções.
O melhor é discutir essas questões com seu médico, pois ele pode fornecer informações específicas sobre o seu caso e as opções de tratamento.</t>
  </si>
  <si>
    <t>Após a cirurgia de próstata, a recuperação e a capacidade de controlar a urina podem variar de acordo com o tipo de procedimento realizado e a recuperação individual. Em muitos casos, especialmente em cirurgias como a prostatectomia radical (remoção da próstata), alguns homens podem enfrentar dificuldades temporárias para controlar a urina, como incontinência urinária. Isso ocorre porque a cirurgia pode afetar os músculos e os nervos envolvidos no controle da bexiga.
É comum que, após a cirurgia, a incontinência seja temporária e melhore com o tempo. O médico pode recomendar exercícios de fortalecimento, como os exercícios de Kegel, e, em alguns casos, tratamentos ou terapias adicionais.
É importante seguir as orientações do médico durante o período de recuperação e discutir qualquer preocupação sobre o controle urinário. Em muitos casos, os pacientes conseguem recuperar a função normal com o tempo.</t>
  </si>
  <si>
    <t>Após a cirurgia de próstata, é comum que alguns homens apresentem dificuldade para segurar a urina, especialmente nos primeiros meses. Isso acontece porque a próstata ajuda no controle urinário e sua remoção pode enfraquecer os músculos responsáveis por segurar a urina. No entanto, a maioria dos pacientes melhora com o tempo, principalmente com a realização de exercícios para fortalecer o assoalho pélvico, como os que estão disponíveis no nosso aplicativo. A recuperação varia de pessoa para pessoa e depende de fatores como o tipo de cirurgia realizada, a saúde geral do paciente e a adesão ao tratamento.</t>
  </si>
  <si>
    <t>Por que às vezes escapa xixi quando estou de pé por muito tempo?</t>
  </si>
  <si>
    <t>Escapes de urina ao ficar muito tempo de pé podem estar relacionados a algumas condições, como:
Fraqueza do assoalho pélvico – Os músculos que sustentam a bexiga podem estar enfraquecidos, o que dificulta o controle da urina, especialmente ao ficar muito tempo em pé.
Incontinência urinária de esforço – Se houver aumento da pressão intra-abdominal ao ficar de pé por períodos prolongados, pode ocorrer escape de urina, especialmente se os músculos do esfíncter urinário não estiverem firmes o suficiente.
Bexiga hiperativa – Se você sente urgência em urinar e dificuldade em segurar, pode ser um sinal dessa condição, onde a bexiga contrai involuntariamente.
Prolapso de órgãos pélvicos – Em alguns casos, a bexiga pode estar um pouco deslocada devido a fraqueza muscular, tornando o controle da urina mais difícil ao permanecer de pé por longos períodos.
Problemas neurológicos – Algumas condições neurológicas podem afetar o controle da bexiga, causando vazamentos ocasionais.
Se isso acontece com frequência, pode ser útil procurar um médico (urologista ou ginecologista, dependendo do caso) para avaliar melhor e sugerir tratamentos, como fisioterapia pélvica, exercícios de fortalecimento ou, em alguns casos, medicamentos.</t>
  </si>
  <si>
    <t>O escape de urina ao ficar de pé por muito tempo pode estar relacionado a algumas condições, como:
Fraqueza do assoalho pélvico – Os músculos que sustentam a bexiga podem estar enfraquecidos, dificultando o controle da urina, especialmente ao permanecer em pé por longos períodos.
Incontinência de esforço – Se houver pressão na bexiga ao ficar de pé, pode ocorrer escape de urina. Isso é comum em pessoas que tiveram partos vaginais, cirurgias na região pélvica ou que apresentam fraqueza muscular.
Bexiga hiperativa – Algumas pessoas têm uma bexiga que se contrai involuntariamente, causando escapes de urina, principalmente se a bexiga já estiver cheia.
Prolapso de órgãos pélvicos – Em mulheres, a bexiga ou o útero podem se deslocar levemente devido à fraqueza dos ligamentos e músculos pélvicos, aumentando a chance de escape urinário ao mudar de posição.
Problemas neurológicos – Algumas condições, como diabetes, esclerose múltipla ou lesões nervosas, podem afetar o controle da bexiga.
Se isso ocorre com frequência ou começou recentemente, pode ser útil procurar um médico (urologista ou ginecologista) para uma avaliação mais detalhada. Fortalecer o assoalho pélvico com exercícios de Kegel pode ajudar a melhorar o controle da bexiga.</t>
  </si>
  <si>
    <t>Isso pode acontecer por várias razões, dependendo da sua idade, saúde geral, e se você tem condições específicas. Em geral, isso pode ser um sinal de fraqueza dos músculos pélvicos, que são responsáveis por controlar a saída de urina. Ficar em pé por longos períodos pode aumentar a pressão sobre a bexiga e os músculos pélvicos, especialmente se os músculos não forem fortes o suficiente para aguentar a pressão extra.
Outro fator pode ser a incontinência de urgência, onde você sente uma necessidade repentina e intensa de urinar e pode ocorrer perda de urina antes de chegar ao banheiro. Também vale considerar a quantidade de líquidos que você ingere e se você tem hábitos que possam afetar sua bexiga, como consumo de cafeína ou álcool.
Se isso for algo frequente e estiver afetando sua qualidade de vida, seria bom consultar um médico para avaliar a situação mais a fundo e ver se há necessidade de tratamentos específicos, como exercícios para fortalecer os músculos pélvicos ou outras intervenções.</t>
  </si>
  <si>
    <t>Isso pode acontecer por várias razões, e é algo relativamente comum. Pode estar relacionado à pressão que se acumula na bexiga quando você fica em pé por longos períodos, especialmente se você tem o hábito de segurar a urina. Outros fatores como fraqueza muscular pélvica, problemas na próstata (em homens), ou condições de saúde específicas também podem contribuir para esse sintoma. Se isso está acontecendo frequentemente, seria uma boa ideia consultar um médico para uma avaliação mais detalhada e para descartar qualquer problema que possa necessitar de tratamento.</t>
  </si>
  <si>
    <t>Os escapes de xixi, ou incontinência urinária, podem ocorrer por diversos fatores, especialmente quando se passa muito tempo em pé. Algumas das causas mais comuns incluem:
1. Fraqueza muscular do assoalho pélvico:
Os músculos do assoalho pélvico sustentam a bexiga e a uretra. Quando esses músculos estão enfraquecidos, podem não conseguir controlar o fluxo de urina, principalmente sob pressão (como ficar em pé por longos períodos).
Essa fraqueza pode ser causada por:
Gravidez e parto
Envelhecimento
Obesidade
Tosse crônica
Levantamento de peso excessivo
2. Incontinência urinária de esforço:
Esse tipo de incontinência ocorre quando há perda involuntária de urina durante atividades que exercem pressão sobre a bexiga, como tossir, espirrar, rir ou, no seu caso, ficar em pé por muito tempo.
3. Incontinência urinária de urgência:
Caracterizada pela vontade súbita e intensa de urinar, seguida de perda involuntária de urina. A bexiga se contrai de forma inadequada, mesmo com pouco volume de urina.
4. Outras causas:
Infecções urinárias
Certos medicamentos
Doenças neurológicas
Obstipação
O que você pode fazer:
Exercícios de Kegel: fortalecem os músculos do assoalho pélvico.
Mantenha um peso saudável: o excesso de peso exerce pressão sobre a bexiga.
Evite cafeína e álcool: podem irritar a bexiga.
Consulte um médico: para identificar a causa específica e receber o tratamento adequado.
Importante: a incontinência urinária é uma condição comum e tratável. Não hesite em procurar ajuda médica para melhorar sua qualidade de vida.</t>
  </si>
  <si>
    <t>Os escapes de xixi, ou incontinência urinária, podem ocorrer por diversos fatores, especialmente quando se passa muito tempo em pé. As causas mais comuns incluem:
1. Fraqueza dos músculos do assoalho pélvico: Esses músculos sustentam a bexiga e a uretra. Quando enfraquecidos, podem não conseguir conter a urina sob pressão, como ao ficar em pé por longos períodos.
2. Incontinência urinária de esforço: A pressão sobre a bexiga, causada pelo tempo em pé, pode levar a pequenos escapes de urina.
3. Incontinência urinária de urgência: Uma vontade repentina e intensa de urinar, seguida de perda involuntária de urina, pode ser agravada pela postura prolongada em pé.
4. Bexiga hiperativa: A bexiga se contrai involuntariamente, causando vontade frequente de urinar e, em alguns casos, escapes.
5. Condições médicas: Infecções urinárias, diabetes, obesidade, constipação e algumas doenças neurológicas podem contribuir para a incontinência urinária.
6. Medicamentos: Alguns medicamentos, como diuréticos, podem aumentar a produção de urina e a frequência das micções, levando a escapes.
7. Idade: O envelhecimento natural pode enfraquecer os músculos do assoalho pélvico e reduzir a capacidade da bexiga de armazenar urina.
8. Gravidez e parto: A gravidez e o parto podem enfraquecer os músculos do assoalho pélvico, resultando em incontinência urinária temporária ou persistente.
9. Menopausa: A diminuição dos níveis de estrogênio durante a menopausa pode afetar a força dos músculos do assoalho pélvico.
10. Fatores do estilo de vida: O consumo excessivo de cafeína e álcool pode irritar a bexiga e aumentar a produção de urina.
O que você pode fazer:
Exercícios de Kegel: Fortalecem os músculos do assoalho pélvico, ajudando a controlar a micção.
Treino da bexiga: Ajuda a aumentar o tempo entre as idas ao banheiro.
Mudanças no estilo de vida: Reduza o consumo de cafeína e álcool, controle o peso e trate a constipação.
Medicamentos: Alguns medicamentos podem ajudar a controlar a incontinência urinária.
Dispositivos médicos: Pessários e outros dispositivos podem ajudar a sustentar a bexiga e a uretra.
Cirurgia: Em casos graves, a cirurgia pode ser uma opção para corrigir problemas estruturais.
Quando procurar um médico:
Se os escapes de xixi forem frequentes ou interferirem na sua qualidade de vida.
Se você sentir dor ou ardência ao urinar.
Se tiver sangue na urina.
Se tiver outros sintomas, como febre, calafrios ou dor lombar.</t>
  </si>
  <si>
    <t>Isso pode ocorrer por várias razões, mas uma das explicações mais comuns é a pressão sobre a bexiga quando você está em pé por longos períodos. Quando você está de pé, a gravidade pode fazer com que a bexiga se sobrecarregue, especialmente se houver algum enfraquecimento nos músculos do assoalho pélvico ou problemas relacionados à função da bexiga.
Outras possíveis causas incluem:
Fraqueza no assoalho pélvico: O enfraquecimento dos músculos que sustentam a bexiga pode dificultar o controle da urina, especialmente quando você fica em pé por um tempo prolongado.
Incontinência urinária: Em algumas pessoas, a incontinência urinária pode ocorrer devido a vários fatores, como idade, alterações hormonais ou gravidez.
Bexiga hiperativa: Isso acontece quando a bexiga se contrai involuntariamente, resultando em uma necessidade urgente de urinar, o que pode causar perdas de urina, especialmente quando você está em pé ou em movimento.
Se isso estiver acontecendo com frequência, é importante consultar um médico para investigar as causas e, assim, buscar tratamentos adequados.</t>
  </si>
  <si>
    <t>Isso pode acontecer devido a vários fatores, como fraqueza nos músculos do assoalho pélvico, que ajudam a controlar a bexiga, ou por causa do aumento da pressão na bexiga quando você fica em pé por muito tempo. Ficar de pé por longos períodos pode dificultar o controle urinário, especialmente se os músculos pélvicos não estão tão fortes. Além disso, condições como infecções urinárias, bexiga hiperativa ou problemas neurológicos também podem influenciar nisso.
Se isso for algo recorrente, é uma boa ideia consultar um médico para avaliar a situação e obter orientações mais específicas.</t>
  </si>
  <si>
    <t>Se a urina escapa quando você está de pé por muito tempo, pode ser sinal de fraqueza nos músculos do assoalho pélvico, que são responsáveis por segurar a urina. Isso pode acontecer devido ao envelhecimento, cirurgias na próstata, esforço excessivo ou até problemas neurológicos. Ficar muito tempo em pé pode aumentar a pressão sobre a bexiga e dificultar o controle urinário. Para melhorar esse problema, é importante fortalecer a musculatura do assoalho pélvico com exercícios específicos, como os que estão disponíveis no nosso aplicativo. Além disso, manter um peso saudável, evitar bebidas que irritam a bexiga (como café e álcool) e criar uma rotina para urinar em horários regulares pode ajudar. Se o problema persistir, é recomendável procurar um profissional da saúde para investigar a causa e encontrar o melhor tratamento.</t>
  </si>
  <si>
    <t>Por que minha urina sai fraca e demorada?</t>
  </si>
  <si>
    <t>Urina fraca e demorada pode ter várias causas, desde problemas simples até condições médicas mais sérias. Algumas possíveis razões incluem:
Hiperplasia Prostática Benigna (HPB) – Em homens, o aumento da próstata pode comprimir a uretra e dificultar a passagem da urina.
Infecção Urinária – Pode causar inflamação e obstrução parcial, levando a um fluxo mais fraco.
Pedras na Bexiga ou Uretra – Cálculos urinários podem obstruir a passagem da urina.
Estreitamento da Uretra (Estenose Uretral) – Pode ser causado por inflamações, cirurgias ou infecções anteriores.
Problemas Neurológicos – Doenças como diabetes, esclerose múltipla ou lesões nervosas podem afetar a função da bexiga.
Uso de Medicamentos – Alguns remédios, como anti-histamínicos e antidepressivos, podem afetar a micção.
Desidratação ou Retenção Urinária – Beber pouca água pode causar urina mais concentrada e menor fluxo.
Se o problema for persistente ou acompanhado de outros sintomas como dor, sangue na urina ou necessidade frequente de urinar, é importante procurar um médico, especialmente um urologista, para uma avaliação detalhada.</t>
  </si>
  <si>
    <t xml:space="preserve">A urina saindo fraca e demorada pode ter diversas causas, incluindo:
Hiperplasia Prostática Benigna (HPB) – Em homens, o crescimento da próstata pode comprimir a uretra e dificultar a passagem da urina.
Infecção Urinária – Pode causar inflamação e dificultar o fluxo urinário.
Cálculo Renal ou Vesical – Pedras nos rins ou na bexiga podem obstruir a saída da urina.
Estenose Uretral – Um estreitamento da uretra pode dificultar o fluxo da urina.
Problemas Neurológicos – Doenças como diabetes, esclerose múltipla ou lesões na medula podem afetar o controle da bexiga.
Desidratação – Urina mais concentrada pode ser eliminada em menor volume e com mais dificuldade.
Uso de Medicamentos – Alguns remédios, como descongestionantes ou antidepressivos, podem afetar a micção.
Se isso estiver acontecendo com frequência ou piorando, o ideal é procurar um médico urologista para avaliar a causa e indicar o tratamento adequado.
</t>
  </si>
  <si>
    <t>A urina fraca e demorada pode ser um sintoma de várias condições. Algumas possíveis causas incluem:
Desidratação: Quando você não bebe líquido suficiente, sua urina pode se tornar mais concentrada e sair mais lentamente.
Infecção do Trato Urinário (ITU): As infecções podem causar inchaço e inflamação, dificultando a passagem da urina.
Problemas na Próstata: Em homens, o aumento da próstata pode pressionar a uretra e restringir o fluxo de urina.
Estreitamento da Uretra: Condições que causam estreitamento ou bloqueio da uretra, como cicatrizes ou inflamação.
Problemas Neurológicos: Distúrbios que afetam os nervos que controlam a bexiga podem dificultar o início ou a manutenção do fluxo urinário.
É importante consultar um médico para um diagnóstico adequado e tratamento, especialmente se você está enfrentando desconforto ou outros sintomas.</t>
  </si>
  <si>
    <t>Existem várias razões pelas quais a urina pode sair fraca e demorada, e pode ser importante falar com um médico para entender melhor sua situação específica. Algumas possíveis causas incluem:
Desidratação: Quando não há fluido suficiente no corpo, a urina pode ser mais concentrada e sair mais lentamente.
Infecção do Trato Urinário (ITU): Infecções podem causar inflamação e tornar a micção dolorosa ou lenta.
Aumento da próstata: Em homens, um aumento da próstata pode pressionar a uretra e restringir o fluxo de urina.
Estenose Uretral: O estreitamento da uretra pode causar um fluxo urinário fraco.
Distúrbios neurológicos: Problemas como AVC, esclerose múltipla ou lesões na medula espinhal podem afetar os nervos que controlam a bexiga.
Medicamentos: Alguns medicamentos podem afetar a função da bexiga e o fluxo urinário.
É recomendável consultar um profissional de saúde para uma avaliação adequada, especialmente se esse sintoma é novo ou se está acompanhado de dor, febre, ou outros sintomas preocupantes.</t>
  </si>
  <si>
    <t>A urina fraca e demorada pode ser um sintoma de diversas condições, algumas mais simples e outras mais complexas. As causas variam entre homens e mulheres, e a intensidade e duração do sintoma também são importantes para entender a causa.
Possíveis causas comuns:
Desidratação: A falta de líquidos no corpo pode concentrar a urina, tornando o fluxo mais fraco e a micção mais demorada.
Infecção do trato urinário (ITU): Infecções podem causar inflamação e estreitamento da uretra, dificultando o fluxo da urina. Outros sintomas de ITU incluem dor ao urinar, vontade frequente de urinar e urina turva ou com odor forte.
Hiperplasia prostática benigna (HPB): Em homens, o aumento da próstata pode comprimir a uretra, dificultando o fluxo da urina.
Estreitamento da uretra (estenose): Cicatrizes ou outras condições podem estreitar a uretra, dificultando a passagem da urina.
Problemas neurológicos: Doenças como esclerose múltipla, Parkinson ou lesões na medula espinhal podem afetar os nervos que controlam a bexiga, causando dificuldade para urinar.
Cálculos renais: Pedras nos rins podem obstruir o fluxo da urina, causando dor intensa e dificuldade para urinar.
Medicamentos: Alguns medicamentos, como antidepressivos e anticolinérgicos, podem causar retenção urinária e dificuldade para urinar.
Gravidez: O crescimento do útero pode comprimir a bexiga e a uretra, dificultando o fluxo da urina.
Fraqueza muscular pélvica: Uma musculatura pélvica fraca pode dificultar o esvaziamento completo da bexiga.
Quando procurar um médico:
Se a dificuldade para urinar for repentina ou piorar progressivamente.
Se houver dor ao urinar, sangue na urina, febre ou calafrios.
Se você sentir dor na região lombar ou abdominal.
Se você tiver dificuldade para controlar a bexiga (incontinência urinária).
Informações adicionais:
Para um diagnóstico preciso, é fundamental consultar um médico para avaliação e exames complementares, se necessário.
É importante não se automedicar e beber bastante água.</t>
  </si>
  <si>
    <t>A urina fraca e demorada pode ter diversas causas, desde condições simples até problemas de saúde mais complexos. Para te ajudar a entender melhor, separei algumas das possibilidades mais comuns:
Causas comuns:
Desidratação: A falta de líquidos no organismo pode resultar em urina mais concentrada e com menor fluxo.
Hiperplasia prostática benigna (HPB): É o aumento da próstata, comum em homens mais velhos, que pode comprimir a uretra e dificultar a passagem da urina.
Infecção do trato urinário (ITU): A ITU pode causar inflamação na bexiga ou uretra, afetando o fluxo urinário.
Estreitamento da uretra: Cicatrizes ou outras condições podem estreitar a uretra, dificultando a passagem da urina.
Medicamentos: Alguns medicamentos podem afetar o fluxo urinário como efeito colateral.
Outras possíveis causas:
Cálculos renais: Pedras nos rins podem obstruir o fluxo da urina.
Doenças neurológicas: Condições como esclerose múltipla ou doença de Parkinson podem afetar o controle da bexiga.
Diabetes: A neuropatia diabética pode causar danos nos nervos que controlam a bexiga.
Câncer de próstata: Em casos mais raros, o câncer de próstata pode causar sintomas urinários.
Quando procurar um médico:
Se a urina fraca e demorada persistir por mais de alguns dias.
Se você tiver outros sintomas, como dor ao urinar, sangue na urina, febre ou dor abdominal.
Se você sentir dificuldade para esvaziar completamente a bexiga.
Importante:
Este texto tem caráter informativo e não substitui a avaliação médica.
Somente um médico pode diagnosticar a causa do problema e indicar o tratamento adequado.
Você deve consultar um médico urologista, especialista do sistema urinário.</t>
  </si>
  <si>
    <t>A urina fraca e demorada pode ser causada por diversos fatores. Alguns possíveis motivos incluem:
Problemas na próstata (em homens): A próstata aumentada pode pressionar a uretra, dificultando a passagem da urina.
Infecções urinárias: Infecções podem irritar o trato urinário, causando dificuldades ao urinar.
Desidratação: Quando o corpo está desidratado, a quantidade de urina pode diminuir, tornando o fluxo mais fraco.
Obstrução das vias urinárias: Pedras nos rins ou na bexiga, ou estreitamento da uretra, podem dificultar o fluxo de urina.
Disfunção neurológica: Problemas nos nervos que controlam a bexiga podem afetar a capacidade de urinar normalmente.
Uso de medicamentos: Alguns medicamentos podem causar retenção urinária ou afetar o fluxo urinário.
Se isso persistir ou piorar, é importante consultar um médico, especialmente um urologista, para diagnóstico e tratamento adequado.</t>
  </si>
  <si>
    <t>A urina fraca e demorada pode ser um sinal de várias condições de saúde, incluindo:
Desidratação: Quando você está desidratado, a urina pode sair com menor volume e mais concentrada, além de sair mais lentamente.
Infecção do trato urinário (ITU): Pode causar dificuldade em urinar e uma sensação de que a urina sai de forma fraca ou demorada.
Problemas na próstata (em homens): A hipertrofia benigna da próstata (aumento da próstata) ou até condições mais graves podem dificultar o fluxo urinário.
Obstruções nas vias urinárias: Cálculos renais ou pedras na bexiga podem bloquear o fluxo de urina.
Problemas neurológicos: Doenças que afetam os nervos que controlam a bexiga, como diabetes ou lesões na medula espinhal, podem dificultar o processo de urinar.
Medicamentos: Alguns medicamentos podem causar retenção urinária ou afetar o fluxo urinário.
É importante procurar um médico para um diagnóstico preciso, especialmente se isso for algo novo ou persistente.</t>
  </si>
  <si>
    <t>Isso pode ser um sinal de próstata aumentada, que pode pressionar a uretra e dificultar o fluxo da urina, ou até um problema na bexiga, como fraqueza nos músculos que controlam a eliminação da urina. Em alguns casos, uma infecção urinária ou um estreitamento da uretra também pode causar esse tipo de sintoma. Se a urina continuar saindo de forma fraca e demorada, é importante consultar um profissional de saúde para investigar a causa e escolher o tratamento adequado.</t>
  </si>
  <si>
    <t>A incontinência urinária pode piorar com a idade?</t>
  </si>
  <si>
    <t>Sim, a incontinência urinária pode piorar com a idade. Isso ocorre devido a diversos fatores, como:
Enfraquecimento dos músculos do assoalho pélvico: Com o envelhecimento, há uma perda natural de tônus muscular, o que pode comprometer o controle da bexiga.
Alterações hormonais: Em mulheres, a queda do estrogênio após a menopausa pode afetar a elasticidade dos tecidos da uretra e bexiga.
Doenças crônicas: Condições como diabetes, AVC e doenças neurológicas (como Parkinson e Alzheimer) podem interferir no controle urinário.
Redução da capacidade da bexiga: Com a idade, a bexiga pode perder elasticidade e armazenar menos urina, aumentando a frequência e urgência urinária.
Efeitos colaterais de medicamentos: Alguns remédios (diuréticos, sedativos, antidepressivos) podem afetar o controle da micção.
O tratamento pode envolver fortalecimento dos músculos pélvicos (exercícios de Kegel), mudanças na dieta, fisioterapia, medicações e, em alguns casos, procedimentos médicos.</t>
  </si>
  <si>
    <t>Sim, a incontinência urinária pode piorar com a idade. O envelhecimento está associado a diversas mudanças fisiológicas que aumentam o risco de perda involuntária de urina, como:
Enfraquecimento dos músculos do assoalho pélvico e do esfíncter urinário, dificultando o controle da micção.
Redução da capacidade e elasticidade da bexiga, tornando-a mais hiperativa e menos eficiente no armazenamento de urina.
Alterações hormonais, especialmente a redução de estrogênio nas mulheres após a menopausa, que afeta a força muscular e a integridade dos tecidos da uretra.
Doenças neurológicas e metabólicas, como diabetes, AVC e Parkinson, que podem comprometer a comunicação entre a bexiga e o cérebro.
Efeitos colaterais de medicamentos, como diuréticos, antidepressivos e relaxantes musculares, que podem aumentar a frequência urinária ou dificultar o controle.
Obstruções urinárias, como hiperplasia benigna da próstata (nos homens), que pode dificultar o esvaziamento completo da bexiga e causar incontinência por transbordamento.
Embora a idade seja um fator de risco, a incontinência urinária não deve ser considerada uma consequência inevitável do envelhecimento. Existem tratamentos eficazes, como fisioterapia pélvica, mudanças no estilo de vida, medicamentos e até procedimentos cirúrgicos, dependendo da causa e gravidade do problema.</t>
  </si>
  <si>
    <t>Sim, a incontinência urinária pode piorar com a idade. Isso ocorre devido a uma combinação de fatores naturais do envelhecimento, como a diminuição da elasticidade da bexiga, enfraquecimento dos músculos do assoalho pélvico, alterações hormonais, e aumento do risco de doenças que podem afetar a função urinária, como diabetes e problemas neurológicos. É importante abordar qualquer preocupação com um médico, que pode oferecer tratamentos e sugestões para manejar ou melhorar essa condição.</t>
  </si>
  <si>
    <t>Sim, a incontinência urinária pode piorar com a idade. À medida que as pessoas envelhecem, mudanças no sistema urinário e outros problemas de saúde podem aumentar o risco de incontinência. Alguns fatores que contribuem para isso incluem enfraquecimento dos músculos do assoalho pélvico, problemas de próstata em homens, menopausa em mulheres, e condições neurológicas que podem afetar a capacidade de controlar a bexiga. Além disso, o uso de certos medicamentos e a presença de condições crônicas, como diabetes, podem influenciar a severidade da incontinência com o passar dos anos. É importante consultar um médico para avaliação e tratamento adequados se houver preocupações com a incontinência urinária.</t>
  </si>
  <si>
    <t>Sim, a incontinência urinária pode piorar com a idade. Várias mudanças fisiológicas que ocorrem com o envelhecimento podem contribuir para o agravamento dessa condição, incluindo:
Enfraquecimento dos músculos do assoalho pélvico: Esses músculos são responsáveis por controlar a bexiga, e seu enfraquecimento pode levar à perda de urina, especialmente durante esforços como tossir, espirrar ou levantar peso.
Redução da capacidade da bexiga: Com a idade, a bexiga pode perder sua capacidade de armazenar urina, o que aumenta a frequência da micção e a urgência em urinar.
Alterações hormonais: Nas mulheres, a diminuição dos níveis de estrogênio após a menopausa pode afetar a força dos músculos do assoalho pélvico e a saúde do trato urinário.
Condições médicas: Certas condições de saúde, como diabetes, doença de Parkinson, acidente vascular cerebral (AVC) e demência, podem aumentar o risco de incontinência urinária ou agravar os sintomas existentes.
Uso de medicamentos: Alguns medicamentos, como diuréticos, antidepressivos e sedativos, podem contribuir para a incontinência urinária.
Dificuldade de locomoção: Dificuldades de mobilidade relacionadas à idade podem dificultar a chegada ao banheiro a tempo, resultando em episódios de incontinência.
É importante ressaltar:
A incontinência urinária não é uma parte inevitável do envelhecimento.
Existem diversas opções de tratamento disponíveis, incluindo exercícios para fortalecer o assoalho pélvico, medicamentos, dispositivos médicos e cirurgia.
É fundamental consultar um médico para obter um diagnóstico preciso e um plano de tratamento adequado.
Caso queira pesquisar mais a respeito, posso sugerir estes links:
Incontinência urinária em idosos é comum, mas não normal - NotreDame Intermédica
Perda de urina não é normal em nenhuma idade - Veja Saúde</t>
  </si>
  <si>
    <t>Sim, a incontinência urinária pode piorar com a idade. Várias mudanças fisiológicas que ocorrem com o envelhecimento podem contribuir para o agravamento desse problema:
Alterações nos músculos e tecidos:
Enfraquecimento dos músculos do assoalho pélvico: Estes músculos desempenham um papel crucial no controle da bexiga. Com o envelhecimento, eles podem perder força e elasticidade, dificultando a retenção da urina.
Diminuição da capacidade da bexiga: A bexiga pode perder a capacidade de armazenar tanta urina quanto antes, levando a uma necessidade mais frequente de urinar e a um risco maior de vazamentos.
Alterações hormonais:
Menopausa: Nas mulheres, a diminuição dos níveis de estrogênio durante a menopausa pode enfraquecer os tecidos da uretra, aumentando a probabilidade de incontinência.
Aumento da próstata: Nos homens, o aumento da próstata (hiperplasia prostática benigna ou HPB) pode obstruir o fluxo de urina, levando a sintomas como urgência urinária e gotejamento pós-miccional.
Outros fatores que podem piorar a incontinência urinária na terceira idade:
Condições médicas como diabetes, doença de Parkinson e acidente vascular cerebral (AVC).
O uso de certos medicamentos.
Dificuldades de mobilidade, que podem dificultar o acesso ao banheiro a tempo.
Informações adicionais:
É importante ressaltar que a incontinência urinária não é uma parte inevitável do envelhecimento.
Existem diversos tratamentos eficazes disponíveis, incluindo exercícios para fortalecer o assoalho pélvico, medicamentos, mudanças no estilo de vida e, em alguns casos, cirurgia.
É fundamental procurar ajuda médica, pois o médico poderá fazer um diagnóstico preciso e recomendar o tratamento mais adequado.
Espero que esta informação tenha sido útil.</t>
  </si>
  <si>
    <t>Sim, a incontinência urinária pode piorar com a idade. Isso acontece devido a várias razões, como o enfraquecimento dos músculos da bexiga e do assoalho pélvico, alterações hormonais (principalmente nas mulheres após a menopausa), e problemas de saúde relacionados à idade, como doenças neurológicas ou problemas de mobilidade. Além disso, os envelhecimento pode afetar a capacidade da bexiga de se expandir e contrair adequadamente. No entanto, a incontinência urinária pode ser tratada e controlada com mudanças no estilo de vida, exercícios do assoalho pélvico, medicação ou, em alguns casos, cirurgia.</t>
  </si>
  <si>
    <t>Sim, a incontinência urinária pode piorar com a idade. Com o passar dos anos, diversos fatores podem contribuir para o agravamento dessa condição, como:
Enfraquecimento dos músculos do assoalho pélvico: O enfraquecimento natural desses músculos, que ajudam a controlar a bexiga, pode levar a dificuldades em manter a urina.
Alterações hormonais: A redução de hormônios como o estrogênio (nas mulheres) pode afetar os tecidos da bexiga e da uretra, prejudicando o controle da urina.
Problemas de mobilidade ou doenças crônicas: Condições como diabetes, doenças neurológicas ou distúrbios de mobilidade podem aumentar a dificuldade em controlar a bexiga.
Alterações na bexiga: Com a idade, a bexiga pode perder capacidade de armazenar a urina adequadamente e ter uma resposta mais intensa ao estímulo de urinar.
É importante consultar um médico para avaliar a condição e discutir opções de tratamento, que podem incluir mudanças no estilo de vida, fisioterapia, medicamentos ou outros tratamentos.</t>
  </si>
  <si>
    <t>Sim, a incontinência urinária pode piorar com a idade. Isso ocorre porque, com o passar dos anos, os músculos do assoalho pélvico e da bexiga podem enfraquecer, o que dificulta o controle da urina. Além disso, condições como o aumento da próstata nos homens, problemas neurológicos podem contribuir para o agravamento da incontinência. No entanto, a boa notícia é que, com tratamentos adequados, como exercícios para fortalecer os músculos pélvicos, controle do peso e mudanças no estilo de vida, é possível melhorar os sintomas e prevenir o agravamento da condição. No nosso aplicativo, você encontra orientações personalizadas para ajudar a controlar a incontinência e manter a qualidade de vida.</t>
  </si>
  <si>
    <t>O que posso fazer para evitar impotência depois da cirurgia de próstata?</t>
  </si>
  <si>
    <t>Após uma cirurgia de próstata, especialmente a prostatectomia radical (usada no tratamento do câncer de próstata), a impotência sexual pode ser uma preocupação comum. No entanto, existem estratégias para minimizar esse risco e recuperar a função erétil. Aqui estão algumas recomendações:
1. Reabilitação Peniana
Uso de inibidores da PDE5 (ex.: Sildenafil, Tadalafil, Vardenafil): Esses medicamentos ajudam na circulação sanguínea para o pênis e devem ser usados sob orientação médica.
Bomba de vácuo: Um dispositivo que ajuda a estimular a circulação sanguínea no pênis, prevenindo atrofia.
Injeções intracavernosas: Aplicação de medicamentos diretamente no pênis para estimular a ereção.
Terapia com ondas de choque de baixa intensidade: Pode estimular a regeneração dos vasos sanguíneos e melhorar a função erétil.
2. Exercícios e Estilo de Vida
Exercícios de Kegel: Fortalecem os músculos do assoalho pélvico, ajudando na recuperação da função erétil e no controle urinário.
Atividade física regular: Melhora a circulação e a saúde cardiovascular, fatores essenciais para a ereção.
Alimentação saudável: Dieta rica em frutas, vegetais, peixes e gorduras saudáveis pode ajudar na recuperação.
Controle do peso: A obesidade pode agravar problemas vasculares e hormonais.
3. Controle dos Fatores Psicológicos
Terapia sexual ou aconselhamento: O impacto psicológico da cirurgia pode afetar a função erétil. Um terapeuta especializado pode ajudar.
Apoio da parceira(o): A comunicação e o suporte emocional são fundamentais no processo de recuperação.
4. Avaliação Hormonal
Testosterona: Se os níveis estiverem baixos, pode ser necessário um acompanhamento endocrinológico para reposição hormonal, desde que não haja contraindicações.
Se você passou ou vai passar por essa cirurgia, o ideal é discutir todas essas abordagens com seu médico urologista para um plano personalizado de reabilitação.</t>
  </si>
  <si>
    <t>Após uma cirurgia de próstata, como a prostatectomia radical, a impotência pode ser um efeito colateral comum devido a danos nos nervos e vasos sanguíneos envolvidos na ereção. No entanto, há diversas estratégias para minimizar esse risco e recuperar a função erétil. Aqui estão algumas recomendações:
1. Terapia de Reabilitação Peniana
Uso de inibidores da PDE5 (como Viagra, Cialis e Levitra) pode estimular o fluxo sanguíneo e auxiliar na recuperação da função erétil.
Bomba de vácuo peniana: Ajuda a manter a circulação sanguínea no pênis e prevenir fibrose.
Injeções intracavernosas (como Alprostadil) podem ser uma alternativa caso os comprimidos não funcionem.
2. Atividade Sexual e Estímulo Regular
Manter a atividade sexual ou masturbação regular pode ajudar a evitar a atrofia dos tecidos e estimular a recuperação.
3. Estilo de Vida Saudável
Exercícios físicos, especialmente os que melhoram a circulação sanguínea, como caminhada e exercícios aeróbicos.
Dieta balanceada: Alimentos ricos em antioxidantes, como frutas, verduras e peixes ricos em ômega-3, ajudam na saúde vascular.
Evitar álcool em excesso e cigarro, pois prejudicam a circulação sanguínea.
Controle do peso e diabetes, pois o sobrepeso e o açúcar elevado no sangue afetam os vasos sanguíneos.
4. Fisioterapia Pélvica
Exercícios de Kegel fortalecem os músculos do assoalho pélvico, podendo melhorar a função erétil.
5. Suporte Médico e Psicológico
Terapia com um urologista especializado em disfunção erétil pode ajudar na escolha do melhor tratamento.
O apoio psicológico também pode ser útil, pois fatores emocionais influenciam a ereção.
A recuperação da função erétil pode levar meses ou até anos, dependendo do tipo de cirurgia e do dano aos nervos. Se a função não melhorar com os tratamentos iniciais, implantes penianos podem ser uma solução definitiva.</t>
  </si>
  <si>
    <t>Após uma cirurgia de próstata, como a prostatectomia radical que pode afetar a função erétil, existem várias estratégias que podem ajudar na recuperação da função sexual. É importante discutir essas opções com seu médico, mas aqui estão algumas abordagens comuns:
Reabilitação peniana: Iniciar terapia de reabilitação peniana logo após a cirurgia pode ajudar. Isso geralmente envolve o uso de medicamentos orais (como Viagra ou Cialis), injeções penianas ou dispositivos a vácuo que ajudam a aumentar o fluxo sanguíneo para o pênis.
Consulta com um urologista: Um especialista pode oferecer opções de tratamento personalizadas e acompanhar a recuperação da função erétil.
Atividade física: Exercícios regulares, especialmente aqueles que melhoram a circulação sanguínea e a saúde cardiovascular, podem contribuir positivamente para a recuperação sexual.
Dieta saudável: Uma dieta rica em frutas, vegetais, fibras, e pobre em gorduras saturadas pode melhorar a saúde cardiovascular, o que é benéfico para a função erétil.
Evitar fumar e limitar o álcool: Fumar pode piorar a disfunção erétil, enquanto o consumo moderado de álcool pode ajudar, mas o excesso pode ser prejudicial.
Psicoterapia: O apoio emocional e a terapia podem ser úteis, especialmente se houver ansiedade ou depressão relacionadas às questões de saúde sexual.
Essas estratégias podem variar em eficácia de pessoa para pessoa, então é essencial trabalhar em conjunto com profissionais de saúde para encontrar o melhor plano para sua situação específica.</t>
  </si>
  <si>
    <t>Depois de uma cirurgia de próstata, como a prostatectomia, existem várias estratégias que podem ajudar a minimizar o risco de impotência, também conhecida como disfunção erétil. Aqui estão algumas sugestões comumente recomendadas por profissionais da saúde:
Reabilitação Peniana: Frequentemente, os médicos recomendam terapias de reabilitação peniana para promover a circulação sanguínea e ajudar na recuperação das funções eréteis. Isso pode incluir o uso de medicamentos orais que ajudam a estimular ereções, como sildenafil (Viagra), tadalafil (Cialis), entre outros.
Dispositivos de Vácuo: Utilizar dispositivos de ereção a vácuo que ajudam a trazer sangue para o pênis pode ser útil para manter a função erétil.
Injeções Penianas: Em alguns casos, os médicos podem recomendar injeções no pênis com medicamentos que estimulam a ereção diretamente no local.
Aconselhamento Psicológico: O suporte psicológico é fundamental, pois lidar com a disfunção erétil pode ser emocionalmente desafiador. Terapia com um psicólogo ou um conselheiro pode ajudar a gerenciar o estresse e a ansiedade relacionados.
Exercícios de Kegel: Fortalecer os músculos do assoalho pélvico através dos exercícios de Kegel pode ajudar em alguns aspectos da recuperação da função erétil após a cirurgia.
Estilo de Vida Saudável: Manter um estilo de vida saudável, com uma dieta balanceada, evitando o fumo, limitando o álcool e exercitando-se regularmente, pode melhorar a saúde geral e potencialmente ajudar na recuperação da função sexual.
É importante discutir essas opções com seu médico, que pode fornecer recomendações personalizadas baseadas na sua situação específica e no tipo de cirurgia realizada. A recuperação da função sexual após a cirurgia de próstata pode variar significativamente de pessoa para pessoa.</t>
  </si>
  <si>
    <t>A disfunção erétil (DE) é uma complicação comum após a cirurgia de próstata. No entanto, existem medidas que você pode tomar antes e depois da cirurgia para minimizar o risco e melhorar suas chances de recuperação:
Antes da cirurgia:
Comunique-se com seu médico: Discuta suas preocupações sobre a DE com seu urologista. Ele pode fornecer informações personalizadas sobre os riscos e benefícios da cirurgia, além de discutir opções para preservar a função erétil.
Mantenha um estilo de vida saudável: Adotar hábitos saudáveis antes da cirurgia pode melhorar a saúde geral e a função vascular, o que pode beneficiar a recuperação da função erétil. Isso inclui:
Parar de fumar
Manter um peso saudável
Praticar exercícios físicos regularmente
Adotar uma dieta equilibrada
Conheça as técnicas cirúrgicas: Informe-se sobre as diferentes técnicas cirúrgicas disponíveis, como a prostatectomia radical robótica, que pode preservar os nervos responsáveis pela ereção em alguns casos.
Após a cirurgia:
Reabilitação peniana precoce: Iniciar a reabilitação peniana logo após a cirurgia pode ajudar a melhorar o fluxo sanguíneo para o pênis e promover a recuperação dos nervos. As opções de reabilitação podem incluir:
Medicamentos orais (inibidores da PDE5)
Dispositivos de vácuo
Injeções penianas
Terapia de ondas de choque de baixa intensidade
Exercícios do assoalho pélvico (Kegel): Fortalecer os músculos do assoalho pélvico pode ajudar a melhorar o controle urinário e a função erétil.
Acompanhamento médico: O acompanhamento regular com seu urologista é essencial para monitorar a recuperação da função erétil e ajustar o tratamento conforme necessário.
Apoio psicológico: A DE pode ter um impacto significativo na saúde emocional e no relacionamento. Buscar apoio psicológico pode ajudar a lidar com o estresse e a ansiedade associados à condição.
Informações importantes:
A recuperação da função erétil pode levar tempo, geralmente de 12 a 24 meses.
Nem todos os homens recuperam completamente a função erétil após a cirurgia de próstata.
Existem diversas opções de tratamento disponíveis para a DE, incluindo medicamentos, dispositivos de vácuo, injeções penianas e próteses penianas.
Recursos adicionais:
Sociedade Brasileira de Urologia: https://www.youtube.com/watch?v=D93C6jHUH5g
Lembre-se de que cada caso é único, e a melhor abordagem para prevenir a DE após a cirurgia de próstata deve ser discutida com seu médico.</t>
  </si>
  <si>
    <t>A disfunção erétil (DE) é uma complicação comum após a cirurgia de próstata. No entanto, existem medidas que você pode tomar antes, durante e após a cirurgia para minimizar o risco e acelerar a recuperação da função erétil.
Antes da cirurgia:
Comunique-se com seu médico: Discuta abertamente suas preocupações sobre a DE com seu urologista. Ele pode fornecer informações personalizadas sobre o risco associado ao seu caso específico e as opções de tratamento disponíveis.
Mantenha um estilo de vida saudável: Adotar hábitos saudáveis, como praticar exercícios regularmente, manter uma dieta equilibrada e não fumar, pode melhorar a saúde geral e a função vascular, o que é importante para a função erétil.
Considere a reabilitação peniana pré-operatória: Alguns estudos sugerem que iniciar a reabilitação peniana antes da cirurgia, como o uso de medicamentos ou dispositivos de vácuo, pode ajudar a preservar a função erétil.
Durante a cirurgia:
Cirurgia robótica: A cirurgia robótica, quando realizada por um cirurgião experiente, pode minimizar os danos aos nervos responsáveis pela ereção, reduzindo o risco de DE.
Técnica de preservação nervosa: Seu cirurgião pode utilizar técnicas que visam preservar os nervos eréteis durante a cirurgia.
Após a cirurgia:
Reabilitação peniana pós-operatória: A reabilitação peniana é fundamental para recuperar a função erétil após a cirurgia. As opções incluem:
Medicamentos: Inibidores da PDE5, como sildenafil, tadalafil e vardenafil, podem ajudar a melhorar o fluxo sanguíneo para o pênis.
Dispositivos de vácuo: Dispositivos de vácuo podem criar uma ereção mecânica.
Injeções penianas: Injeções de medicamentos diretamente no pênis podem induzir uma ereção.
Exercícios do assoalho pélvico (Kegel): Fortalecer os músculos do assoalho pélvico pode ajudar a melhorar a função erétil e a continência urinária.
Terapia de ondas de choque: A terapia de ondas de choque de baixa intensidade é uma opção não invasiva que pode estimular a formação de novos vasos sanguíneos no pênis, melhorando a função erétil.
Implante de prótese peniana: Em casos de DE grave que não respondem a outros tratamentos, o implante de prótese peniana pode ser uma opção.
Acompanhamento psicológico: A DE pode ter um impacto significativo na saúde emocional e na qualidade de vida. O acompanhamento psicológico pode ajudar a lidar com o estresse e a ansiedade associados à DE.
Acompanhamento médico: É importante manter um acompanhamento regular com seu urologista para monitorar a recuperação da função erétil e ajustar o tratamento conforme necessário.
Lembre-se que a recuperação da função erétil após a cirurgia de próstata pode levar tempo, geralmente de 6 a 18 meses. Seja paciente e persistente com o tratamento.</t>
  </si>
  <si>
    <t>A impotência sexual após a cirurgia de próstata, como a prostatectomia, pode ser um efeito colateral comum, mas existem várias estratégias para minimizar esse risco. Aqui estão algumas recomendações que podem ajudar:
Converse com seu médico: É essencial discutir com o seu urologista ou cirurgião as opções para preservar a função erétil durante e após a cirurgia. Técnicas de preservação dos nervos podem ser usadas, quando possível, para evitar danos ao sistema nervoso responsável pelas ereções.
Reabilitação sexual precoce: Após a cirurgia, pode ser útil começar a reabilitação sexual o mais cedo possível. O uso de medicamentos como o Viagra ou outros inibidores da fosfodiesterase tipo 5 (PDE5) pode ser prescrito para ajudar a melhorar a função erétil.
Exercícios de Kegel: Fortalecer os músculos do assoalho pélvico pode ser benéfico. Esses exercícios ajudam a melhorar a circulação sanguínea na região genital e podem ajudar na função sexual.
Manter um estilo de vida saudável: Alimentação balanceada, exercício regular e controle do peso corporal são importantes para a saúde vascular, que impacta diretamente na função erétil. Evitar o tabagismo e reduzir o consumo de álcool também são recomendados.
Terapia psicológica ou apoio emocional: A recuperação emocional após a cirurgia pode afetar a função sexual. O apoio psicológico pode ser útil para lidar com o estresse, ansiedade ou depressão relacionados ao impacto da cirurgia na vida sexual.
Acompanhamento médico contínuo: Acompanhamento pós-operatório regular é essencial para monitorar e tratar qualquer problema de impotência sexual precocemente.
Cada caso é único, por isso, a melhor estratégia pode variar dependendo das circunstâncias específicas da sua cirurgia e saúde.</t>
  </si>
  <si>
    <t>A impotência sexual pode ser uma preocupação após uma cirurgia de próstata, como a prostatectomia, que pode afetar os nervos e vasos sanguíneos responsáveis pela ereção. Aqui estão algumas estratégias que podem ajudar a minimizar o risco de impotência após a cirurgia:
Consultar o médico especialista: O acompanhamento regular com o urologista é fundamental para monitorar a recuperação e identificar qualquer problema precocemente.
Exercícios de Kegel: Esses exercícios ajudam a fortalecer os músculos do assoalho pélvico, o que pode melhorar a função sexual e controlar a incontinência urinária.
Terapia medicamentosa: Medicamentos como os inibidores da fosfodiesterase tipo 5 (como o Viagra ou Cialis) podem ser recomendados para ajudar a manter ereções após a cirurgia.
Estimulação precoce: Iniciar atividades de estimulação sexual e terapia de ereção logo após a recuperação pode ajudar a melhorar o fluxo sanguíneo e a função erétil.
Cuidados com a saúde cardiovascular: Manter uma dieta saudável, evitar o tabagismo, controlar o colesterol e praticar atividades físicas regulares ajuda a manter boa saúde vascular, o que é crucial para a função erétil.
Dispositivos de vácuo: Dispositivos que criam uma ereção por vácuo podem ser úteis para aqueles que enfrentam dificuldades pós-cirúrgicas, pois ajudam a promover o fluxo sanguíneo para o pênis.
Consultas com um terapeuta sexual: A cirurgia de próstata pode ter impactos psicológicos, e falar com um terapeuta pode ajudar a lidar com as questões emocionais e o estresse relacionados à função sexual.
Acompanhamento psicológico: O impacto emocional da cirurgia, como a perda da função sexual, pode afetar a recuperação. Apoio psicológico ou terapia sexual pode ser benéfico.
É importante discutir com o seu médico qualquer uma dessas opções, pois cada caso pode exigir abordagens diferentes.</t>
  </si>
  <si>
    <t>A impotência após a cirurgia de próstata é uma condição comum de acontecer. É fundamental adotar hábitos que incluam exercícios e hábitos saudáveis, como: manter uma alimentação saudável, controle do estresse, realizar exercícios físicos regulares (de acordo com suas condições de saúde), manter o acompanhamento regular com o profissional de saúde. A recuperação da função erétil pode levar tempo, então é importante ter paciência e continuar seguindo as orientações.</t>
  </si>
  <si>
    <t>Usar fralda é a única solução para quem perde urina?</t>
  </si>
  <si>
    <t>Não, o uso de fraldas não é a única solução para quem tem perda de urina. Existem várias abordagens para lidar com a incontinência urinária, dependendo da causa e da gravidade do problema. Algumas alternativas incluem:
Treinamento da bexiga – Técnicas para aumentar o intervalo entre as idas ao banheiro.
Exercícios de Kegel – Fortalecem os músculos do assoalho pélvico e podem ajudar a controlar melhor a urina.
Medicamentos – Alguns remédios podem reduzir a urgência urinária e melhorar o controle da bexiga.
Dispositivos médicos – Como pessários (para mulheres) ou clampes uretrais (para homens), que ajudam a controlar perdas urinárias.
Mudanças no estilo de vida – Redução do consumo de cafeína, controle do peso e regulação da ingestão de líquidos podem ajudar.
Terapias comportamentais – Como a micção programada, que ensina a esvaziar a bexiga em horários fixos.
Procedimentos minimamente invasivos – Aplicação de toxina botulínica (Botox) na bexiga ou preenchimentos uretrais para melhorar o controle urinário.
Cirurgia – Em casos mais graves, cirurgias como sling uretral ou esfíncter urinário artificial podem ser indicadas.
Se a incontinência urinária estiver impactando a qualidade de vida, o ideal é procurar um urologista ou um ginecologista para avaliar a melhor abordagem.</t>
  </si>
  <si>
    <t xml:space="preserve">Não, o uso de fraldas não é a única solução para quem tem incontinência urinária. Existem várias abordagens que podem ajudar a controlar ou até resolver o problema, dependendo da causa e do grau da incontinência. Algumas alternativas incluem:
Treinamento da bexiga – Técnicas como urinar em horários programados e aumentar gradualmente o tempo entre as idas ao banheiro podem ajudar a controlar a bexiga.
Exercícios do assoalho pélvico (exercícios de Kegel) – Fortalecem os músculos que controlam a urina, sendo especialmente úteis para incontinência de esforço.
Medicamentos – Alguns remédios ajudam a reduzir a frequência urinária ou relaxam a bexiga para melhorar o controle.
Dispositivos médicos – Existem opções como pessários (para mulheres), que ajudam a sustentar a bexiga, ou estimuladores elétricos que fortalecem os músculos pélvicos.
Mudanças na alimentação e estilo de vida – Reduzir o consumo de cafeína, álcool e alimentos diuréticos pode diminuir a perda involuntária de urina.
Procedimentos minimamente invasivos – Injeções de toxina botulínica na bexiga ou preenchimentos uretrais podem ajudar no controle.
Cirurgia – Em casos mais graves, procedimentos cirúrgicos podem ser uma opção, como a colocação de sling (uma faixa de suporte para a uretra) ou esfíncter urinário artificial.
Se a incontinência estiver afetando a qualidade de vida, o ideal é procurar um médico, como um urologista ou ginecologista, para avaliar o melhor tratamento.
</t>
  </si>
  <si>
    <t>Não, usar fralda não é a única solução para quem perde urina, uma condição conhecida como incontinência urinária. Existem várias abordagens e tratamentos dependendo do tipo e da causa da incontinência. Aqui estão algumas alternativas:
Exercícios de Kegel: Fortalecem os músculos do assoalho pélvico e podem ser eficazes, especialmente para incontinência de esforço.
Medicamentos: Alguns medicamentos podem ajudar a controlar a urgência urinária e reduzir os episódios de incontinência.
Mudanças no estilo de vida: Perda de peso, controle de fluidos, e evitar alimentos irritantes para a bexiga podem ajudar a controlar a incontinência.
Dispositivos: Existem dispositivos pélvicos, como pesários, que podem ser usados para suportar os órgãos pélvicos e prevenir a perda de urina.
Cirurgia: Em casos mais severos ou quando outras terapias não funcionam, a cirurgia pode ser uma opção para melhorar a incontinência.
É importante consultar um médico para uma avaliação adequada e recomendação de tratamento baseada nas necessidades individuais.</t>
  </si>
  <si>
    <t>Não, usar fraldas não é a única solução para quem perde urina, que é um problema conhecido como incontinência urinária. Existem várias alternativas e tratamentos disponíveis dependendo do tipo e da gravidade da incontinência. Alguns dos métodos comuns incluem:
Exercícios de fortalecimento pélvico: Exercícios como os de Kegel ajudam a fortalecer os músculos do assoalho pélvico, o que pode melhorar o controle da bexiga.
Medicamentos: Alguns medicamentos podem ajudar a controlar a urgência e a frequência urinária.
Mudanças no estilo de vida: Manter um peso saudável, evitar alimentos e bebidas que irritam a bexiga (como cafeína e álcool) e parar de fumar podem ajudar.
Treinamento da bexiga: Técnicas que ensinam a aumentar os intervalos entre as idas ao banheiro e a controlar os impulsos urinários.
Dispositivos auxiliares: Existem dispositivos como pessários ou clamps uretrais que podem ajudar a controlar a incontinência.
Cirurgia: Em casos mais graves ou quando outras terapias não funcionam, procedimentos cirúrgicos podem ser considerados.
É importante consultar um profissional de saúde para uma avaliação adequada e para discutir o melhor plano de tratamento baseado nas necessidades individuais.</t>
  </si>
  <si>
    <t>Não, usar fralda não é a única solução para quem perde urina. Existem diversas opções de tratamento, que variam de acordo com o tipo e a gravidade da incontinência urinária. É importante consultar um médico urologista ou ginecologista para que ele possa avaliar o caso e indicar o tratamento mais adequado.
Algumas das opções de tratamento para incontinência urinária incluem:
Mudanças no estilo de vida:
Redução do consumo de cafeína e álcool;
Controle do peso;
Treinamento da bexiga;
Exercícios de Kegel para fortalecer o assoalho pélvico.
Medicamentos: Existem diversos medicamentos que podem ajudar a controlar a incontinência urinária, dependendo do tipo da incontinência.
Fisioterapia: A fisioterapia para o assoalho pélvico pode ajudar a fortalecer os músculos que controlam a bexiga.
Dispositivos médicos: Existem dispositivos, como pessários, que podem ser inseridos na vagina para ajudar a sustentar a bexiga.
Cirurgia: Em casos mais graves, a cirurgia pode ser necessária para corrigir o problema.
Tratamentos alternativos: algumas pessoas encontram alívio com acupuntura ou estimulação elétrica.
É importante ressaltar que a incontinência urinária é uma condição comum e tratável. Não hesite em procurar ajuda médica para encontrar a melhor solução para você.</t>
  </si>
  <si>
    <t>Não, o uso de fraldas não é a única solução para a perda de urina, também conhecida como incontinência urinária. Existem diversas opções de tratamento, que variam de acordo com o tipo e a gravidade da incontinência.
Tratamentos não cirúrgicos:
Mudanças no estilo de vida:
Redução do consumo de cafeína e álcool.
Controle do peso.
Treino da bexiga.
Exercícios do assoalho pélvico (exercícios de Kegel).
Fisioterapia:
Fisioterapia do assoalho pélvico.
Biofeedback.
Medicamentos:
Medicamentos anticolinérgicos.
Medicamentos alfa-bloqueadores.
Hormonioterapia (especialmente para mulheres).
Dispositivos médicos:
Pessários.
Dispositivos de estimulação elétrica.
Tratamentos cirúrgicos:
Existem diversas cirurgias para tratar a incontinência urinária, dependendo da causa e do tipo da incontinência.
Outras opções:
Existem também outras opções, como o uso de coletores urinários, que podem ser mais confortáveis e discretos do que as fraldas.
Estimulação do nervo tibial posterior.
Injeção de agentes volumizadores.
Recomendação:
É importante consultar um médico urologista ou ginecologista para avaliar a causa da incontinência urinária e determinar o tratamento mais adequado para cada caso.
Recursos adicionais:
Para mais informações sobre incontinência urinária, você pode consultar os seguintes sites:
Portal Drauzio Varella: 3 maneiras de tratar escapes de urina.
Incontinência urinária | Biblioteca Virtual em Saúde MS.
Incontinência urinária em adultos - Distúrbios renais e urinários - MSD Manuals.
Lembre-se que a incontinência urinária é uma condição comum e tratável. Não hesite em procurar ajuda médica para melhorar sua qualidade de vida.</t>
  </si>
  <si>
    <t>Não, usar fralda não é a única solução para quem perde urina. Existem várias opções de tratamento e manejo para a perda urinária, dependendo da causa e da gravidade do problema. Algumas alternativas incluem:
Mudanças no estilo de vida: Reduzir o consumo de cafeína, álcool e líquidos em excesso, bem como realizar exercícios para fortalecer os músculos do assoalho pélvico (como os exercícios de Kegel).
Medicamentos: Existem medicamentos que podem ajudar a controlar a incontinência urinária, dependendo do tipo de perda urinária.
Dispositivos médicos: Como pessários (para mulheres) ou dispositivos para coletar a urina, que podem ser uma alternativa mais discreta.
Tratamentos cirúrgicos: Em casos mais graves, pode ser necessário realizar uma cirurgia para corrigir o problema.
É importante consultar um médico, como um urologista ou um ginecologista, para determinar a causa da perda urinária e discutir as opções de tratamento mais adequadas para cada caso.</t>
  </si>
  <si>
    <t>Não, usar fraldas não é a única solução para quem perde urina. A incontinência urinária pode ser tratada de várias maneiras, dependendo da causa e da gravidade do problema. Algumas opções incluem:
Exercícios do assoalho pélvico (como os exercícios de Kegel) para fortalecer os músculos responsáveis pelo controle da urina.
Medicamentos que ajudam a controlar a bexiga.
Dispositivos médicos, como pessários ou eletroestimulação, que ajudam a controlar a perda urinária.
Mudanças no estilo de vida, como controle de líquidos, alimentação saudável e exercícios regulares.
Cirurgias em casos mais graves, como a cirurgia para corrigir o suporte da bexiga ou esfíncter urinário.
É sempre importante procurar um médico, especialmente um urologista ou um especialista em continência, para avaliar a causa da perda urinária e discutir o melhor tratamento.</t>
  </si>
  <si>
    <t>Não. Usar fralda não é a única solução para quem perde urina. Embora as fraldas possam ser úteis em casos mais graves, há várias opções de tratamento que podem ajudar a controlar ou até resolver o problema de incontinência urinária, dependendo da sua causa. Algumas alternativas incluem exercícios para o assoalho pélvico e mudanças no estilo de vida, manter um peso saudável e realizar exercícios regulares podem ajudar no controle da incontinência.</t>
  </si>
  <si>
    <t>Qtd. Palavras - Resp2- Turbo</t>
  </si>
  <si>
    <t>Verbosity - ChatGPT-4 Turbo</t>
  </si>
  <si>
    <t>Diferença Verbosity - ChatGPT4 Turbo</t>
  </si>
  <si>
    <t>Rank Diferença Verbosity - ChatGPT4 Turbo</t>
  </si>
  <si>
    <t>Rank Diferença Verbosity - ChatGPT4 Turbo Negativo ou Positivo</t>
  </si>
  <si>
    <t>Qtd. Palavras - Resp1- Gemini</t>
  </si>
  <si>
    <t>Qtd. Palavras - Resp2- Gemini</t>
  </si>
  <si>
    <t>Qtd. Palavras - Resp1- chagGPT4o Mini</t>
  </si>
  <si>
    <t>Qtd. Palavras - Resp2- chatgpt 4o Mini</t>
  </si>
  <si>
    <t>Verbosity - chatGPT4o Mini</t>
  </si>
  <si>
    <t>Diferença Verbosity - chatGPT4o Mini</t>
  </si>
  <si>
    <t>Rank Diferença Verbosity - chatGPT4o Mini</t>
  </si>
  <si>
    <t>Rank Diferença Verbosity - chatGPT4o Mini Negativo ou Positivo</t>
  </si>
  <si>
    <t>Fiz a cirurgia recentemente. Agora faço xixi sem querer quando dou risada ou espirro.
Isso é normal?</t>
  </si>
  <si>
    <t>Sim, isso pode ser normal dependendo do tipo de cirurgia que você fez. A perda involuntária de urina ao rir, espirrar ou fazer esforço é chamada de incontinência urinária de esforço e pode ocorrer após procedimentos que envolvem a bexiga, a uretra, o útero ou a região pélvica.
Se você fez uma cirurgia ginecológica (como histerectomia), urológica ou na região abdominal, pode ser que os músculos do assoalho pélvico tenham ficado mais fracos ou que haja uma alteração temporária no controle da bexiga. Isso geralmente melhora com o tempo e com exercícios para fortalecer essa região (como os exercícios de Kegel).
No entanto, se a perda de urina persistir ou piorar, é importante conversar com seu médico. Em alguns casos, pode ser necessário um acompanhamento com um fisioterapeuta pélvico ou um urologista para avaliar o tratamento mais adequado.</t>
  </si>
  <si>
    <t>Sim, isso pode ser normal dependendo do tipo de cirurgia que você fez. A perda involuntária de urina ao rir, espirrar ou fazer esforço é chamada de incontinência urinária de esforço e pode ocorrer após procedimentos que envolvem a bexiga, a próstata (no caso dos homens) ou a região pélvica.
Se sua cirurgia foi ginecológica, abdominal ou urológica, pode ser que os músculos do assoalho pélvico estejam temporariamente enfraquecidos. Em muitos casos, isso melhora com o tempo, especialmente se você fizer exercícios para fortalecer a musculatura do períneo, como os exercícios de Kegel.
No entanto, se os sintomas persistirem ou piorarem, é importante procurar o médico que realizou a cirurgia para avaliar se há algo que precisa ser tratado. Dependendo do caso, fisioterapia pélvica ou outros tratamentos podem ajudar a resolver o problema.</t>
  </si>
  <si>
    <t>Sim, isso é relativamente comum após certos tipos de cirurgia, especialmente as que envolvem a região abdominal ou pélvica. O que você está descrevendo soa como incontinência urinária de esforço, que pode ocorrer quando há pressão aumentada no abdômen, como ao rir ou espirrar. Normalmente, isso pode ser resultado da pressão sobre a bexiga e os músculos do assoalho pélvico.
É uma boa ideia mencionar isso ao seu médico ou cirurgião. Eles podem avaliar a situação mais de perto e, se necessário, recomendar tratamentos específicos, que podem incluir exercícios de fortalecimento dos músculos pélvicos, chamados exercícios de Kegel, ou outras intervenções dependendo do caso.</t>
  </si>
  <si>
    <t>É comum que isso aconteça após algumas cirurgias, especialmente se forem relacionadas ao sistema urinário ou pélvico. Isso pode ser um sinal de incontinência urinária de esforço, que ocorre quando há pressão sobre a bexiga, como ao rir ou espirrar. É uma boa ideia conversar com seu médico sobre isso para que ele possa avaliar a situação e, se necessário, recomendar tratamentos ou exercícios que podem ajudar a gerenciar ou resolver esse problema.</t>
  </si>
  <si>
    <t>A incontinência urinária, ou perda involuntária de urina, é uma condição comum que pode surgir após algumas cirurgias, especialmente aquelas na região pélvica, como:
Prostatectomia (remoção da próstata): Comum em homens, pode causar incontinência temporária ou prolongada.
Histerectomia (remoção do útero): Em mulheres, pode enfraquecer os músculos do assoalho pélvico.
Cirurgias para correção de prolapso de órgãos pélvicos: Podem alterar a posição da bexiga e uretra.
Incontinência urinária de esforço
A incontinência urinária que ocorre ao tossir, espirrar ou rir é chamada de incontinência urinária de esforço. Ela ocorre quando os músculos do assoalho pélvico, que sustentam a bexiga e a uretra, estão enfraquecidos ou danificados.
O que fazer
Se você está tendo escapes de urina após a cirurgia, é importante conversar com seu médico. Ele poderá avaliar a causa da incontinência e recomendar o tratamento mais adequado. As opções de tratamento podem incluir:
Exercícios de Kegel: Fortalecem os músculos do assoalho pélvico.
Fisioterapia: Um fisioterapeuta especializado pode te ajudar com exercícios e outras técnicas para melhorar o controle da bexiga.
Medicamentos: Alguns medicamentos podem ajudar a controlar a incontinência.
Cirurgia: Em casos mais graves, a cirurgia pode ser necessária para corrigir o problema.
Outras considerações
É importante que você converse com o profissional da saúde responsável pela sua cirurgia e explique a situação. Existem exercícios que podem ser feitos no período pós-operatório para auxiliar no fortalecimento dos músculos pélvicos.
Caso os escapes de urina persistam por muito tempo, é possível utilizar absorventes higiênicos ou roupa íntima absorvente.
Recursos adicionais
Sociedade Brasileira de Urologia: https://portaldaurologia.org.br/
Espero que estas informações sejam úteis. Lembre-se que é fundamental procurar um médico para obter um diagnóstico e tratamento adequados.</t>
  </si>
  <si>
    <t>A incontinência urinária após cirurgia é uma preocupação comum e pode ocorrer por diversos motivos, dependendo do tipo de cirurgia realizada. Em muitos casos, é uma condição temporária que melhora com o tempo e exercícios específicos. No entanto, é fundamental buscar orientação médica para um diagnóstico preciso e um plano de tratamento adequado.
Possíveis causas da incontinência urinária pós-cirúrgica
Cirurgias pélvicas: Procedimentos na região pélvica, como histerectomia, prostatectomia ou cirurgias para correção de prolapso de órgãos pélvicos, podem afetar os músculos e nervos responsáveis pelo controle da bexiga.
Lesões nervosas: Em alguns casos, os nervos que controlam a bexiga podem ser lesionados durante a cirurgia, resultando em incontinência urinária.
Fraqueza muscular: A cirurgia e o período de recuperação podem enfraquecer os músculos do assoalho pélvico, que são essenciais para o controle da bexiga.
Efeitos da anestesia: A anestesia utilizada durante a cirurgia pode afetar temporariamente a função da bexiga.
Outras causas: Infecções urinárias, uso de medicamentos e condições de saúde preexistentes também podem contribuir para a incontinência urinária pós-cirúrgica.
Quando procurar ajuda médica
É importante consultar um médico se você estiver apresentando incontinência urinária após a cirurgia, especialmente se:
A incontinência persistir por mais de algumas semanas.
A incontinência piorar com o tempo.
Você sentir dor ou desconforto ao urinar.
Você apresentar outros sintomas, como febre, sangue na urina ou alterações no padrão urinário.
Opções de tratamento
O tratamento para incontinência urinária pós-cirúrgica varia dependendo da causa e da gravidade da condição. Algumas opções de tratamento incluem:
Exercícios de Kegel: Fortalecer os músculos do assoalho pélvico com exercícios específicos pode ajudar a melhorar o controle da bexiga.
Fisioterapia: Um fisioterapeuta especializado em saúde pélvica pode ensinar exercícios e técnicas para fortalecer os músculos do assoalho pélvico e melhorar o controle da bexiga.
Medicamentos: Em alguns casos, medicamentos podem ser prescritos para ajudar a controlar a incontinência urinária.
Dispositivos médicos: Dispositivos como cones vaginais ou estimulação elétrica podem ser utilizados para fortalecer os músculos do assoalho pélvico.
Cirurgia: Em casos raros, a cirurgia pode ser necessária para corrigir a causa da incontinência urinária.
Dicas adicionais
Mantenha um diário miccional para registrar a frequência e o volume das micções, bem como os episódios de incontinência.
Evite alimentos e bebidas que possam irritar a bexiga, como cafeína, álcool e alimentos ácidos.
Mantenha um peso saudável, pois o excesso de peso pode aumentar a pressão sobre a bexiga.
Use roupas confortáveis e fáceis de tirar para facilitar a ida ao banheiro.
Lembre-se de que cada caso é único, e o tratamento mais adequado dependerá da sua situação individual. Converse com seu médico para obter um diagnóstico preciso e um plano de tratamento personalizado.</t>
  </si>
  <si>
    <t>É comum que algumas pessoas experimentem perda involuntária de urina após uma cirurgia, especialmente se a cirurgia envolveu a região pélvica ou os músculos relacionados ao controle da bexiga. Esse tipo de incontinência urinária, chamada incontinência de esforço, pode ocorrer quando há pressão sobre a bexiga ao rir, espirrar, tossir ou fazer atividades físicas.
É importante conversar com seu médico para avaliar a situação e discutir opções de tratamento, que podem incluir fisioterapia, exercícios para fortalecer os músculos do assoalho pélvico (como os exercícios de Kegel), ou outros tipos de intervenção. Se o problema persistir ou piorar, o acompanhamento médico é fundamental.</t>
  </si>
  <si>
    <t>É possível que você esteja experimentando o que é conhecido como incontinência urinária de esforço, que é quando há perda involuntária de urina ao fazer atividades que aumentam a pressão na bexiga, como rir, espirrar, tossir ou levantar objetos pesados. Isso pode ocorrer após uma cirurgia, dependendo da área e dos músculos envolvidos.
Embora seja relativamente comum, especialmente após cirurgias que afetam a região pélvica, é importante que você converse com seu médico sobre esses sintomas. Ele pode sugerir tratamentos, como exercícios para fortalecer os músculos do assoalho pélvico (como os exercícios de Kegel), ou até outras opções, dependendo da causa e da gravidade da condição.
Se os sintomas persistirem, é essencial que um profissional de saúde faça uma avaliação para garantir que não haja complicações adicionais.</t>
  </si>
  <si>
    <t>Olá, Isso pode ser um sinal de incontinência urinária de esforço. Acontece quando os músculos do assoalho pélvico estão fracos e não conseguem segurar a urina ao tossir, rir ou espirrar.</t>
  </si>
  <si>
    <t>Por que às vezes meu pênis não fica duro como antes?</t>
  </si>
  <si>
    <t>Existem várias razões pelas quais a ereção pode não estar tão firme quanto antes. Algumas causas comuns incluem:
Fatores físicos:
Problemas circulatórios (hipertensão, diabetes, colesterol alto)
Baixa testosterona
Uso de certos medicamentos (antidepressivos, anti-hipertensivos)
Doenças neurológicas
Consumo excessivo de álcool ou tabaco
Fatores psicológicos:
Estresse e ansiedade (inclusive ansiedade de desempenho)
Depressão
Problemas de relacionamento
Hábitos de vida:
Sedentarismo
Alimentação inadequada
Privação de sono
Se isso tem acontecido com frequência, pode ser interessante procurar um urologista para avaliar as causas e possíveis soluções. Pequenas mudanças no estilo de vida, como exercícios físicos e uma alimentação equilibrada, podem ajudar bastante.</t>
  </si>
  <si>
    <t>A dificuldade em obter ou manter uma ereção pode ter várias causas, tanto físicas quanto psicológicas. Algumas das razões mais comuns incluem:
Fatores físicos:
Circulação sanguínea – Problemas como hipertensão, diabetes e colesterol alto podem afetar o fluxo de sangue para o pênis.
Hormônios – Baixos níveis de testosterona podem influenciar a função erétil.
Uso de substâncias – Álcool, cigarro e algumas drogas podem impactar negativamente a ereção.
Medicamentos – Alguns remédios para pressão alta, depressão e ansiedade podem ter efeitos colaterais que dificultam a ereção.
Sedentarismo e obesidade – O estilo de vida afeta diretamente a saúde vascular e hormonal.
Problemas neurológicos – Doenças como esclerose múltipla ou lesões na coluna podem interferir nos sinais nervosos.
Fatores psicológicos:
Estresse e ansiedade – Problemas no trabalho, financeiros ou preocupações pessoais podem atrapalhar o desempenho sexual.
Pressão para o desempenho – A preocupação excessiva em "dar conta do recado" pode gerar um ciclo de ansiedade.
Depressão – A falta de interesse em atividades prazerosas pode incluir a diminuição da libido.
Problemas de relacionamento – Conflitos e falta de intimidade emocional podem afetar a ereção.
Se isso estiver acontecendo com frequência, pode ser uma boa ideia procurar um urologista ou um endocrinologista para investigar possíveis causas físicas. Se o problema for mais relacionado ao psicológico, um terapeuta sexual ou psicólogo pode ajudar.
Se quiser, posso te ajudar a entender melhor algum desses pontos.</t>
  </si>
  <si>
    <t>Existem várias razões pelas quais isso pode acontecer, e é bastante comum. As causas podem ser físicas, como problemas de circulação, hormônios, ou condições de saúde como diabetes; ou podem ser psicológicas, como estresse, ansiedade ou questões emocionais. Fatores como idade, estilo de vida e medicação também podem influenciar. Se isso está te preocupando, é uma boa ideia conversar com um médico, que pode ajudar a identificar a causa e sugerir tratamentos apropriados.</t>
  </si>
  <si>
    <t>A disfunção erétil, que é quando o pênis não fica tão duro quanto antes ou tem dificuldade em manter a ereção, pode ser causada por vários fatores. Isso pode incluir questões físicas como problemas de circulação, diabetes, pressão alta, ou hormonais. Fatores psicológicos como estresse, ansiedade ou depressão também podem influenciar. Além disso, o uso de certos medicamentos e hábitos de vida como o consumo excessivo de álcool ou tabagismo podem ter impacto.
É importante conversar com um médico para identificar a causa e buscar o tratamento adequado. O profissional de saúde pode avaliar sua situação específica e recomendar exames ou tratamentos que possam ajudar.</t>
  </si>
  <si>
    <t>A disfunção erétil (DE), caracterizada pela dificuldade em obter ou manter uma ereção satisfatória para a atividade sexual, pode ser influenciada por diversos fatores, tanto físicos quanto psicológicos.
Causas físicas:
Problemas circulatórios: Doenças como aterosclerose, hipertensão e diabetes podem comprometer o fluxo sanguíneo para o pênis, dificultando a ereção.
Problemas neurológicos: Doenças como esclerose múltipla, Parkinson e lesões na medula espinhal podem afetar os nervos responsáveis pela ereção.
Problemas hormonais: Níveis baixos de testosterona podem diminuir o desejo sexual e a capacidade de ereção.
Uso de medicamentos: Alguns medicamentos, como antidepressivos, anti-hipertensivos e medicamentos para próstata, podem ter a disfunção erétil como efeito colateral.
Outras condições: Obesidade, tabagismo, alcoolismo e uso de drogas ilícitas também podem contribuir para a DE.
Causas psicológicas:
Estresse e ansiedade: O estresse do dia a dia e a ansiedade em relação ao desempenho sexual podem dificultar a ereção.
Depressão: A depressão pode diminuir o desejo sexual e a capacidade de ereção.
Problemas de relacionamento: Conflitos e dificuldades no relacionamento com o parceiro podem afetar a função erétil.
Outros fatores:
Idade: A disfunção erétil é mais comum em homens mais velhos, mas pode afetar homens de todas as idades.
Estilo de vida: Um estilo de vida sedentário, com má alimentação e falta de exercícios, pode aumentar o risco de DE.
O que fazer:
É fundamental consultar um médico urologista para investigar a causa da disfunção erétil e receber o tratamento adequado.
O médico poderá solicitar exames para verificar a saúde geral, os níveis hormonais e a função vascular.
O tratamento pode incluir medicamentos, terapia sexual, mudanças no estilo de vida e, em alguns casos, cirurgia.
Recomendações:
Adote um estilo de vida saudável, com alimentação equilibrada, prática regular de exercícios e controle do peso.
Evite o tabagismo e o consumo excessivo de álcool.
Gerencie o estresse e a ansiedade com técnicas de relaxamento, como meditação e ioga.
Mantenha uma comunicação aberta e honesta com seu parceiro sobre suas preocupações e dificuldades.
Lembre-se: a disfunção erétil é uma condição comum e tratável. Não hesite em procurar ajuda médica para melhorar sua qualidade de vida e bem-estar sexual.</t>
  </si>
  <si>
    <t>A dificuldade em manter uma ereção rígida pode ser preocupante, mas é importante lembrar que existem diversas causas possíveis, e muitas delas são tratáveis. Separamos as principais causas para você:
Causas físicas
Doenças cardiovasculares: problemas no coração e vasos sanguíneos podem dificultar o fluxo de sangue para o pênis, essencial para a ereção.
Diabetes: o excesso de açúcar no sangue pode danificar nervos e vasos sanguíneos, afetando a ereção.
Hormônios: baixos níveis de testosterona podem diminuir o desejo sexual e a capacidade de ter uma ereção.
Medicamentos: alguns medicamentos, como antidepressivos e remédios para pressão alta, podem ter a disfunção erétil como efeito colateral.
Lesões: lesões na coluna vertebral, pélvis ou pênis podem afetar os nervos e vasos sanguíneos responsáveis pela ereção.
Tabagismo: fumar danifica os vasos sanguíneos e reduz o fluxo de sangue para o pênis.
Álcool e drogas: o consumo excessivo de álcool e o uso de drogas ilícitas podem causar disfunção erétil.
Causas psicológicas
Estresse e ansiedade: preocupações com trabalho, dinheiro ou relacionamentos podem afetar a função erétil.
Depressão: a depressão pode diminuir o desejo sexual e a capacidade de ter uma ereção.
Problemas de relacionamento: conflitos com o parceiro(a) podem levar a problemas de ereção.
Ansiedade de desempenho: o medo de não conseguir ter ou manter uma ereção pode criar um ciclo de ansiedade e disfunção erétil.
O que fazer
Se você está enfrentando dificuldades frequentes com a ereção, é importante consultar um médico, de preferência um urologista. Ele poderá realizar um exame físico, solicitar exames laboratoriais e avaliar seu histórico médico para identificar a causa do problema e indicar o tratamento mais adequado.
Tratamentos
O tratamento para a disfunção erétil varia de acordo com a causa, podendo incluir:
Mudanças no estilo de vida: adotar hábitos saudáveis, como praticar exercícios físicos, ter uma alimentação equilibrada, evitar o tabagismo e o consumo excessivo de álcool.
Medicamentos: existem medicamentos orais que podem ajudar a melhorar o fluxo de sangue para o pênis.
Terapia: a terapia sexual ou psicológica pode ser útil para lidar com questões emocionais e psicológicas que contribuem para a disfunção erétil.
Outros tratamentos: em casos mais graves, podem ser indicados outros tratamentos, como injeções penianas, dispositivos de vácuo ou cirurgia.
Lembre-se que a disfunção erétil é um problema comum e tratável. Não hesite em procurar ajuda médica para melhorar sua saúde sexual e qualidade de vida.</t>
  </si>
  <si>
    <t>A dificuldade ocasional de obter ou manter uma ereção pode ser influenciada por vários fatores, e isso é bastante comum. Algumas possíveis causas incluem:
Estresse e Ansiedade: Preocupações com o desempenho ou com outras questões da vida podem afetar a função sexual.
Cansaço ou Falta de Sono: O corpo pode estar cansado ou sem energia suficiente, o que impacta a função erétil.
Dieta e Estilo de Vida: Uma alimentação pouco saudável, falta de exercícios físicos, e o uso excessivo de álcool ou tabaco podem prejudicar a circulação sanguínea, afetando as ereções.
Problemas de Saúde: Algumas condições, como diabetes, hipertensão ou problemas hormonais, podem afetar a função erétil.
Idade: Com o tempo, pode haver uma diminuição natural da função sexual devido a mudanças hormonais.
Se isso estiver acontecendo frequentemente, pode ser útil conversar com um médico, que pode ajudar a identificar qualquer causa subjacente e sugerir tratamentos ou mudanças no estilo de vida.</t>
  </si>
  <si>
    <t>Existem várias razões pelas quais isso pode acontecer, e pode ser útil observar se há outros sintomas associados. Alguns fatores comuns incluem:
Idade: Com o passar dos anos, o fluxo sanguíneo pode diminuir e os hormônios podem mudar, o que pode afetar a função erétil.
Estresse e Ansiedade: Problemas emocionais e psicológicos podem interferir na resposta sexual. O estresse e a ansiedade são grandes contribuintes para a disfunção erétil temporária.
Estilo de Vida: Hábitos como o consumo excessivo de álcool, tabagismo, dieta pobre ou sedentarismo podem prejudicar a função erétil.
Problemas de Saúde: Condições médicas como diabetes, hipertensão, colesterol elevado ou problemas hormonais podem afetar a ereção.
Medicamentos: Alguns medicamentos podem ter efeitos colaterais que influenciam a função sexual.
Se isso for algo que te preocupa, é uma boa ideia procurar um médico especializado, como um urologista, para uma avaliação adequada e orientações personalizadas.</t>
  </si>
  <si>
    <t>Se você realizou a cirurgia de retirada da próstata recentemente, isso pode ser comum de acontecer. Além disso, pode ser causado por outros motivos como: estresse, cansaço, problemas de circulação, diabetes ou até mesmo efeitos colaterais de medicamentos. Se o problema persistir, é importante procurar um profissional da saúde para investigar a causa e encontrar o melhor tratamento.</t>
  </si>
  <si>
    <t>Depois da cirurgia de próstata, ainda vou conseguir ter ereção?</t>
  </si>
  <si>
    <t>Depende do tipo de cirurgia de próstata realizada e de outros fatores individuais, como idade, estado de saúde geral e função erétil antes do procedimento. Aqui estão algumas possibilidades:
Prostatectomia radical (remoção total da próstata) – Esse procedimento é realizado principalmente para tratar o câncer de próstata. Pode afetar os nervos responsáveis pela ereção, mas há técnicas de preservação nervosa que aumentam as chances de recuperação da função erétil. Em geral, a recuperação pode levar meses ou até anos, e alguns homens podem precisar de tratamentos como medicamentos, injeções ou dispositivos para ajudar na ereção.
Ressecção transuretral da próstata (RTU-P) – Esse procedimento, usado para tratar hiperplasia prostática benigna (HPB), tem menor impacto na função erétil, embora possa causar ejaculação retrógrada (o sêmen vai para a bexiga em vez de sair pela uretra).
Outros fatores – A idade, doenças pré-existentes (como diabetes e hipertensão), tabagismo e uso de certos medicamentos também influenciam a recuperação da função erétil.
Se a disfunção erétil ocorrer após a cirurgia, existem tratamentos disponíveis, como medicamentos (Viagra, Cialis), terapia de injeção peniana, dispositivos de vácuo e implantes penianos.
Recomenda-se conversar com o urologista para avaliar suas chances de recuperação e as melhores opções de tratamento caso necessário.</t>
  </si>
  <si>
    <t>Depende do tipo de cirurgia realizada e de outros fatores individuais, como sua idade, estado de saúde geral e função erétil antes do procedimento.
Existem diferentes tipos de cirurgia de próstata:
Prostatectomia radical (retirada total da próstata, geralmente devido ao câncer) – Pode afetar os nervos responsáveis pela ereção, mas técnicas como a preservação dos nervos podem ajudar a minimizar esse impacto. A recuperação da ereção pode levar meses ou anos, e em alguns casos, pode ser necessário tratamento com medicamentos, bombas de vácuo ou implantes penianos.
Ressecção transuretral da próstata (RTU-P) (usada para tratar hiperplasia prostática benigna) – Geralmente, essa cirurgia não afeta diretamente a ereção, mas pode causar ejaculação retrógrada (o sêmen vai para a bexiga em vez de sair pelo pênis).
Se a função erétil for prejudicada, existem opções de tratamento, como medicamentos (Viagra, Cialis), injeções, próteses penianas e terapias de reabilitação peniana.
Recomendo conversar com um urologista para avaliar o seu caso específico e entender as melhores opções para a sua recuperação.</t>
  </si>
  <si>
    <t>Após uma cirurgia de próstata, como a prostatectomia, a capacidade de ter uma ereção pode ser afetada, dependendo de vários fatores, incluindo a técnica cirúrgica utilizada, a idade do paciente, e a função erétil pré-operatória. Cirurgias que poupam os nervos têm maior probabilidade de preservar a função erétil, mas ainda assim pode haver um período de recuperação durante o qual as ereções podem não ser como antes. É importante discutir essas preocupações com o urologista, que pode oferecer informações específicas com base no caso individual e discutir possíveis tratamentos para ajudar na recuperação da função erétil.</t>
  </si>
  <si>
    <t>Após uma cirurgia de próstata, como a prostatectomia radical, que é a remoção completa da próstata, é possível que ocorram alterações na função sexual, incluindo dificuldades com ereção. No entanto, muitos fatores influenciam a recuperação da função erétil, como a idade do paciente, a função sexual antes da cirurgia, e se os nervos responsáveis pela ereção foram poupados durante o procedimento.
Técnicas cirúrgicas que poupam os nervos têm como objetivo preservar a função erétil, mas mesmo nessas técnicas, nem sempre é garantido que não haverá alterações. Em muitos casos, a função erétil pode ser recuperada com o tempo, e existem tratamentos disponíveis para ajudar, como medicamentos, dispositivos de vácuo ou injeções penianas. É importante discutir essas questões com o urologista, que pode fornecer as informações mais detalhadas com base na situação específica e orientar sobre as melhores opções de tratamento.</t>
  </si>
  <si>
    <t>A recuperação da função erétil após a cirurgia de próstata varia muito de paciente para paciente. Alguns homens recuperam a capacidade de ter ereções, enquanto outros podem apresentar algum grau de disfunção erétil. A probabilidade de recuperação depende de diversos fatores, como:
Idade: homens mais jovens geralmente têm maior probabilidade de recuperar a função erétil.
Saúde geral: condições como diabetes, doenças cardíacas e tabagismo podem afetar a recuperação.
Técnica cirúrgica: técnicas cirúrgicas minimamente invasivas, como a cirurgia robótica, podem preservar melhor os nervos responsáveis pela ereção.
Experiência do cirurgião: cirurgiões experientes em cirurgia de próstata tendem a ter melhores resultados na preservação da função erétil.
Estado da função erétil antes da cirurgia: Pacientes que tinham uma melhor função erétil antes da cirurgia têm maior chance de recuperá-la.
O que esperar após a cirurgia:
É comum apresentar disfunção erétil nos primeiros meses após a cirurgia.
A recuperação da função erétil pode levar de alguns meses a dois anos.
Existem diversos tratamentos disponíveis para disfunção erétil, como medicamentos orais, injeções, dispositivos de vácuo e próteses penianas.
Recomendações:
Converse com seu médico sobre suas expectativas e preocupações em relação à função erétil.
Siga as orientações médicas para otimizar a recuperação.
Não hesite em procurar ajuda médica se você estiver enfrentando dificuldades com a função erétil.
É importante lembrar que a qualidade de vida após a cirurgia de próstata não se resume apenas à função erétil. Muitos homens levam vidas sexuais satisfatórias após a cirurgia, mesmo que a função erétil não seja a mesma de antes.</t>
  </si>
  <si>
    <t>A capacidade de obter ereções após a cirurgia de próstata depende de alguns fatores, incluindo:
O tipo de cirurgia:
A prostatectomia radical, que envolve a remoção completa da próstata, pode afetar os nervos responsáveis pela ereção.
Técnicas cirúrgicas minimamente invasivas, como a cirurgia robótica, podem reduzir o risco de danos aos nervos e aumentar as chances de preservar a função erétil.
A idade do paciente: Homens mais jovens geralmente têm maior probabilidade de recuperar a função erétil após a cirurgia.
A saúde geral do paciente: Condições como diabetes, doenças cardíacas e tabagismo podem afetar a função erétil.
A experiência do cirurgião: Um cirurgião experiente e habilidoso pode minimizar o risco de danos aos nervos durante a cirurgia.
Recuperação da função erétil:
A recuperação da função erétil pode levar de alguns meses a alguns anos após a cirurgia.
Existem tratamentos disponíveis para ajudar a melhorar a função erétil, como medicamentos, dispositivos de vácuo e terapia peniana.
Recomendações:
Converse com seu médico sobre suas preocupações e expectativas em relação à função erétil após a cirurgia.
Discuta as opções de tratamento disponíveis para ajudar a melhorar a função erétil.
Portal da Urologia, "A função erétil após a cirurgia do câncer de próstata"
Dr. Leonardo Ortigara, "Como fica a vida sexual após a retirada da próstata?"
Dr. Alessandro Rossol, "Reabilitação sexual após o tratamento do câncer de próstata"
Lembre-se que cada caso é único, e a recuperação da função erétil pode variar de pessoa para pessoa. É importante ter paciência e seguir as orientações do seu médico.</t>
  </si>
  <si>
    <t>Após uma cirurgia de próstata, como a prostatectomia, a capacidade de ter ereção pode ser afetada, mas isso varia de pessoa para pessoa. Alguns fatores, como a idade, a saúde geral, o tipo de cirurgia realizada (se é uma prostatectomia radical, por exemplo), e o estado dos nervos responsáveis pela ereção, influenciam esse resultado.
Em muitos casos, os nervos responsáveis pela ereção podem ser preservados, o que aumenta a probabilidade de recuperação da função erétil. Contudo, é possível que a recuperação leve algum tempo, e em alguns casos, a função erétil possa não retornar totalmente, mesmo com tratamento.
Existem opções de tratamento, como medicamentos (ex: Viagra, Cialis), terapias hormonais, e até dispositivos de assistência, como próteses penianas, para ajudar na recuperação da função sexual.
É importante conversar com seu médico para discutir suas expectativas e opções após a cirurgia. Eles podem ajudar a orientar você sobre o melhor tratamento ou abordagem para manter ou recuperar a função erétil.</t>
  </si>
  <si>
    <t>Após a cirurgia de próstata, especialmente se for uma prostatectomia radical, as chances de manter a função erétil podem variar dependendo de fatores como a idade, a saúde geral, o tipo de cirurgia e o impacto na área responsável pelos nervos que controlam a ereção. A próstata está localizada próxima a nervos importantes para a ereção, e, em alguns casos, esses nervos podem ser danificados durante a cirurgia.
Entretanto, muitos homens conseguem recuperar a função erétil após a cirurgia, especialmente se os nervos responsáveis pela ereção forem preservados. Existem também tratamentos, como medicamentos ou terapias de reabilitação peniana, que podem ajudar na recuperação da função erétil.
É fundamental conversar com o médico responsável para entender os riscos específicos no seu caso e explorar as opções de tratamento ou reabilitação que podem ajudar na recuperação.</t>
  </si>
  <si>
    <t>Pode ser que a ereção fique mais fraca ou demore um pouco para voltar ao normal. Existem tratamentos, como os exercícios da musculatura pélvica que podem ajudar. Vários fatores podem influenciar como o estado de saúde do paciente antes da cirurgia e a adesão ao tratamento após o procedimento. A recuperação da função erétil pode levar tempo e variar de pessoa para pessoa. Além dos tratamentos, a prática regular dos exercícios para a musculatura pélvica, disponíveis no nosso aplicativo, pode auxiliar na reabilitação. É importante procurar um profissional de saúde para investigar a causa e encontrar o melhor tratamento.</t>
  </si>
  <si>
    <t>Ficar muito tempo sem fazer sexo pode causar impotência?</t>
  </si>
  <si>
    <t>Não, ficar muito tempo sem fazer sexo não causa impotência. A disfunção erétil (impotência) está relacionada a diversos fatores, como problemas circulatórios, hormonais, neurológicos, psicológicos e hábitos de vida. No entanto, a inatividade sexual prolongada pode levar a uma redução da libido e, em alguns casos, a uma menor resposta erétil devido à falta de estímulo, mas isso geralmente não é permanente.
Se houver preocupação com a função erétil, é importante manter um estilo de vida saudável, com alimentação equilibrada, atividade física e acompanhamento médico, se necessário.</t>
  </si>
  <si>
    <t>Não, ficar muito tempo sem fazer sexo não causa impotência. A disfunção erétil está mais relacionada a fatores como problemas vasculares, hormonais, neurológicos, psicológicos e hábitos de vida (como sedentarismo, tabagismo, alcoolismo e estresse).
No entanto, a falta de atividade sexual por longos períodos pode levar a uma redução da libido ou à diminuição da resposta erétil devido à menor estimulação, mas isso não significa que a impotência se tornará permanente. Se houver dificuldades persistentes em conseguir ou manter uma ereção, pode ser interessante procurar um médico para investigar possíveis causas e tratamentos.</t>
  </si>
  <si>
    <t>Não, ficar muito tempo sem fazer sexo não causa impotência. A impotência, ou disfunção erétil, é caracterizada pela dificuldade em obter ou manter uma ereção adequada para a atividade sexual. Essa condição pode ser influenciada por vários fatores, incluindo questões psicológicas, hormonais, vasculares, neurológicas, ou até mesmo relacionadas ao estilo de vida, como o consumo excessivo de álcool e tabagismo.
A falta de atividade sexual não é uma causa direta de impotência. Contudo, manter uma vida sexual ativa pode ajudar a preservar a função erétil, principalmente porque o sexo regular pode ajudar a manter o tônus dos músculos penianos e a saúde vascular. Se houver preocupações com disfunção erétil ou outros problemas sexuais, é aconselhável consultar um médico para avaliação e orientação adequadas.</t>
  </si>
  <si>
    <t>Ficar um longo período sem praticar sexo não causa impotência diretamente. No entanto, a impotência, ou disfunção erétil, pode ser influenciada por uma série de fatores, como estresse, problemas de relacionamento, questões de saúde física e mental, entre outros. Se uma pessoa está com dificuldades para ter uma ereção ou está percebendo alguma mudança em sua função sexual, é importante procurar um médico para uma avaliação mais detalhada.</t>
  </si>
  <si>
    <t>A abstinência sexual prolongada, por si só, não causa impotência (disfunção erétil). No entanto, a falta de sexo pode contribuir para alguns fatores que, em conjunto, aumentam o risco de desenvolver disfunção erétil, como:
Fatores psicológicos:
A falta de sexo pode gerar ansiedade e estresse, o que pode afetar a capacidade de obter e manter uma ereção.
A baixa autoestima e a insegurança também podem surgir com a falta de intimidade, agravando problemas de desempenho sexual.
Fatores hormonais:
Em alguns homens, a abstinência sexual prolongada pode levar a uma leve diminuição nos níveis de testosterona, o que pode afetar o desejo sexual e a função erétil. No entanto, essa queda geralmente é temporária e reversível.
Fatores físicos:
Embora não seja uma causa direta, a falta de uso regular do pênis pode, em alguns casos, levar a uma leve atrofia dos tecidos penianos. No entanto, isso é mais comum em homens com outras condições de saúde subjacentes.
É importante ressaltar que a disfunção erétil é um problema multifacetado, com causas que variam de fatores psicológicos e hormonais a problemas de saúde como diabetes, doenças cardíacas e obesidade.
Se você está preocupado com a sua saúde sexual, é sempre recomendado consultar um médico. Ele poderá avaliar o seu caso individualmente, identificar possíveis causas subjacentes e recomendar o tratamento mais adequado.</t>
  </si>
  <si>
    <t>A ausência prolongada de atividade sexual pode, sim, contribuir para a disfunção erétil (impotência), mas não é a única causa. A relação entre a falta de sexo e a impotência é complexa e envolve fatores físicos e psicológicos.
Fatores físicos:
Saúde vascular: A falta de atividade sexual pode levar a alterações no fluxo sanguíneo para o pênis, dificultando a ereção.
Saúde hormonal: A testosterona, hormônio importante para a função sexual, pode diminuir com a inatividade sexual prolongada.
Saúde do tecido peniano: A falta de ereções regulares pode levar à atrofia do tecido peniano, dificultando a ereção no futuro.
Fatores psicológicos:
Ansiedade e estresse: A falta de sexo pode gerar ansiedade e estresse, que por sua vez podem afetar a função erétil.
Problemas de relacionamento: A ausência de intimidade sexual pode levar a problemas de relacionamento, que também podem contribuir para a disfunção erétil.
Baixa autoestima: A falta de sexo pode levar à baixa autoestima, que também pode afetar a função erétil.
Outras causas da impotência:
É importante ressaltar que a impotência pode ter diversas outras causas, incluindo:
Doenças crônicas, como diabetes e doenças cardíacas.
Uso de medicamentos.
Tabagismo e consumo excessivo de álcool.
Problemas neurológicos.
Recomendação:
Se você está preocupado com a sua saúde sexual, é importante consultar um médico urologista. Ele poderá avaliar o seu caso, identificar as possíveis causas da impotência e indicar o tratamento mais adequado.</t>
  </si>
  <si>
    <t>Ficar muito tempo sem fazer sexo não causa impotência por si só. A impotência, ou disfunção erétil, pode ser causada por uma variedade de fatores, incluindo problemas de saúde física, psicológica e emocional, como estresse, ansiedade, depressão, doenças cardiovasculares, diabetes, entre outros.
No entanto, longos períodos de abstinência podem afetar a função sexual em algumas pessoas, especialmente se houver fatores psicológicos envolvidos, como ansiedade de desempenho. Em geral, a falta de atividade sexual não é a causa direta da impotência, mas pode ser um reflexo de questões subjacentes que merecem atenção.
Se houver preocupações sobre a saúde sexual, é importante consultar um médico para avaliação e orientação adequada.</t>
  </si>
  <si>
    <t>Ficar um longo período sem praticar sexo não causa impotência diretamente. No entanto, a falta de atividade sexual pode afetar a função sexual de algumas pessoas de maneiras diferentes. Por exemplo, pode haver uma diminuição do desejo sexual ou dificuldades psicológicas, como estresse ou ansiedade, que podem impactar a função sexual.
A impotência, ou disfunção erétil, tem causas variadas, como problemas de saúde (diabetes, hipertensão, entre outros), fatores emocionais e hormonais. Caso haja preocupação com a função sexual, é recomendado consultar um médico para uma avaliação adequada.</t>
  </si>
  <si>
    <t>Não necessariamente, mas manter uma vida sexual ativa pode ajudar na circulação sanguínea do pênis e na função erétil.</t>
  </si>
  <si>
    <t>Tenho evitado fazer sexo depois da cirurgia. Isso é bom?</t>
  </si>
  <si>
    <t>Depende do tipo de cirurgia que você realizou e das orientações médicas que recebeu. Em muitos casos, é recomendado evitar esforço físico, incluindo atividade sexual, por um período para permitir uma recuperação adequada. No entanto, se você já passou pelo tempo de recuperação indicado pelo seu médico e não sente dor ou desconforto, pode ser seguro retomar gradualmente.
Se tiver dúvidas ou sentir insegurança, o ideal é consultar seu médico para obter uma recomendação específica para o seu caso. Ele pode avaliar sua recuperação e indicar se já está tudo bem ou se ainda é melhor esperar um pouco mais.</t>
  </si>
  <si>
    <t>Depende do tipo de cirurgia que você fez e das recomendações médicas que recebeu. Em muitos casos, é recomendado evitar relações sexuais por um período para permitir a cicatrização adequada e evitar complicações. No entanto, se já passou tempo suficiente e você se sente bem, pode ser interessante conversar com seu médico para entender se já é seguro retomar a atividade sexual. Se houver algum desconforto, dor ou receio, vale a pena discutir isso também para encontrar a melhor abordagem.</t>
  </si>
  <si>
    <t>É comum ter preocupações sobre atividades físicas, como sexo, após uma cirurgia. A recomendação mais segura é seguir as orientações do seu médico, que pode avaliar sua situação específica e aconselhar sobre o momento adequado para retomar essa atividade. Geralmente, depende do tipo de cirurgia realizada e da sua recuperação. Se ainda não recebeu orientações específicas, seria uma boa ideia consultar seu médico para esclarecer isso.</t>
  </si>
  <si>
    <t xml:space="preserve">Após uma cirurgia, é comum que a recuperação envolva algumas restrições e cuidados. Evitar atividades como o sexo pode ser uma medida prudente, especialmente se a cirurgia foi recente ou se o médico recomendou repouso para evitar complicações. É importante seguir as orientações médicas e consultar o profissional que acompanhou sua cirurgia sobre quando é seguro retomar a atividade sexual. Cada caso é único, e o médico pode fornecer orientações específicas baseadas na sua recuperação.
</t>
  </si>
  <si>
    <t>A resposta para essa pergunta depende do tipo de cirurgia que você fez e das suas condições individuais de saúde. É fundamental conversar com seu médico para obter orientações personalizadas sobre quando você pode retomar a atividade sexual com segurança.
No entanto, posso fornecer algumas informações gerais:
Benefícios de evitar sexo após a cirurgia:
Recuperação adequada: Após uma cirurgia, o corpo precisa de tempo para se curar. Evitar atividades físicas intensas, como o sexo, permite que o corpo concentre energia na recuperação.
Prevenção de complicações: Dependendo do tipo de cirurgia, a atividade sexual precoce pode aumentar o risco de complicações, como sangramento, infecção ou abertura da incisão.
Cicatrização: O sexo pode colocar pressão sobre a área cirúrgica, o que pode prejudicar a cicatrização e levar a cicatrizes mais evidentes.
Riscos de retomar a atividade sexual precocemente:
Complicações na cicatrização: A atividade sexual pode prejudicar o processo de cicatrização, resultando em infecções, abertura de pontos ou queloides.
Dor e desconforto: A área cirúrgica pode ficar dolorida e sensível por algum tempo após a cirurgia. A atividade sexual pode aumentar a dor e o desconforto.
Problemas emocionais: A ansiedade e o medo de sentir dor ou de prejudicar a cicatrização podem afetar negativamente a experiência sexual.
Quando retomar a atividade sexual:
A maioria dos médicos recomenda esperar pelo menos 4 a 6 semanas após a cirurgia antes de retomar a atividade sexual. No entanto, o tempo de espera pode variar dependendo do tipo de cirurgia e da sua recuperação individual.
O médico poderá te dar um aval específico sobre o seu caso.
Comece devagar e gradualmente, e observe como seu corpo reage. Se sentir dor ou desconforto, pare e converse com seu médico.
Recomendações importantes:
Converse abertamente com seu médico sobre suas preocupações e dúvidas em relação à atividade sexual após a cirurgia.
Siga rigorosamente as orientações médicas sobre cuidados pós-operatórios, incluindo repouso, medicação e higiene.
Seja paciente e gentil consigo mesmo durante o processo de recuperação.
Lembre-se: a saúde e o bem-estar vêm em primeiro lugar. A atividade sexual pode ser retomada com segurança quando o médico liberar e quando você se sentir pronto.</t>
  </si>
  <si>
    <t>A resposta para essa pergunta depende do tipo de cirurgia que você fez e das recomendações do seu médico. Em alguns casos, a atividade sexual pode ser retomada logo após a cirurgia, enquanto em outros é necessário esperar algumas semanas ou até meses.
Em geral, é recomendado evitar sexo nas seguintes situações:
Cirurgias abdominais: o esforço físico pode prejudicar a cicatrização e causar complicações.
Cirurgias cardíacas: a atividade sexual pode aumentar a frequência cardíaca e a pressão arterial, o que pode ser perigoso para pacientes em recuperação.
Cirurgias ortopédicas: dependendo da área operada, o movimento e o esforço durante o sexo podem ser prejudiciais.
Cirurgias íntimas: é preciso esperar a cicatrização completa para evitar infecções e outras complicações.
É importante seguir as orientações do seu médico:
Pergunte ao seu médico: ele poderá te orientar sobre o momento certo para retomar a atividade sexual, levando em consideração o seu caso específico.
Seja honesto com seu médico: informe sobre qualquer desconforto ou dor que você esteja sentindo durante ou após o sexo.
Respeite os limites do seu corpo: não force a situação e interrompa a atividade caso sinta qualquer desconforto.
Outras considerações:
Tipos de cirurgia e recuperação: O tempo de espera e as restrições podem variar dependendo do tipo de cirurgia realizada e do tempo de recuperação individual.
Condições médicas pré-existentes: Pessoas com condições médicas pré-existentes, como problemas cardíacos ou pressão alta, podem precisar de precauções adicionais.
Medicações: Certos medicamentos podem interagir com a atividade sexual. Converse com seu médico sobre quaisquer medicamentos que você esteja tomando.
Lembre-se: A saúde e o bem-estar vêm em primeiro lugar. Siga as orientações médicas e seja paciente durante o processo de recuperação.</t>
  </si>
  <si>
    <t>É importante seguir as orientações do seu médico após uma cirurgia, especialmente se você tiver feito uma cirurgia invasiva ou que envolva a área abdominal, pélvica ou relacionada ao sistema reprodutor. Evitar a atividade sexual durante o período de recuperação pode ser benéfico para evitar complicações, como infecções ou aumento da pressão na área operada.
Cada caso é único, e o ideal é discutir com seu médico quando é seguro retomar a atividade sexual com base na sua recuperação e nas características da cirurgia que você realizou.</t>
  </si>
  <si>
    <t>É comum que muitas pessoas se sintam mais cautelosas após uma cirurgia, principalmente quando o corpo está se recuperando. A resposta a essa questão depende do tipo de cirurgia que você fez e do estágio da sua recuperação. Em geral, é importante seguir as orientações do seu médico, que pode recomendar um período de abstinência sexual até que a recuperação seja completa e que não haja riscos para sua saúde.
A retomada das atividades sexuais deve ser gradual e baseada no conforto e no estado do corpo. Se você tiver dúvidas ou preocupações específicas, é uma boa ideia falar com seu médico para garantir que está tomando as melhores decisões para a sua recuperação.</t>
  </si>
  <si>
    <t>Manter uma vida sexual ativa é importante para a saúde física e psicológica. A prática regular de sexo pode ajudar a melhorar a circulação sanguínea, o que é essencial para a função erétil. Além disso, o sexo tem benefícios emocionais, como a redução do estresse e a melhora do bem-estar mental, o que também pode impactar positivamente a função sexual. Portanto, manter uma vida sexual saudável pode ajudar a prevenir problemas de ereção e promover a saúde geral.</t>
  </si>
  <si>
    <t>Diferença Verbosity - Absoluto</t>
  </si>
  <si>
    <t>A incontinência urinária após a prostatectomia radical (retirada da próstata) pode durar de algumas semanas a até um ano, dependendo do paciente e do tipo de cirurgia realizada. Aqui estão alguns pontos importantes:
 Fase inicial (0 a 3 meses): A maioria dos homens apresenta algum grau de incontinência logo após a remoção do cateter.
 Melhora gradual (3 a 12 meses): Com exercícios do assoalho pélvico (como os exercícios de Kegel), a maioria dos pacientes recupera o controle urinário dentro de 6 a 12 meses.
 Casos persistentes (acima de 1 ano): Cerca de 5% a 10% dos homens podem ter incontinência urinária duradoura e podem precisar de tratamentos adicionais, como fisioterapia, medicações ou cirurgia (como o implante de um esfíncter urinário artificial).
 Se a incontinência persistir por mais de um ano, pode ser necessário procurar um especialista para avaliar opções terapêuticas.</t>
  </si>
  <si>
    <t>A incontinência urinária após a prostatectomia radical (cirurgia de retirada da próstata) pode durar de algumas semanas a vários meses e, em alguns casos, pode persistir por mais de um ano.
 Aqui está um resumo do tempo de recuperação esperado:
 Primeiros dias a semanas: A maioria dos homens experimenta algum grau de incontinência logo após a retirada da sonda urinária.
 Primeiros 3 meses: Muitos recuperam o controle da bexiga dentro desse período, especialmente com fisioterapia do assoalho pélvico (exercícios de Kegel).
 6 a 12 meses: A grande maioria dos pacientes recupera o controle urinário dentro desse período.
 Após 1 ano: Se a incontinência persistir, pode ser considerada permanente, mas há tratamentos como fisioterapia avançada, medicamentos e até cirurgias corretivas, como sling uretral ou esfíncter urinário artificial.
 Fatores como idade, condição prévia do paciente e técnica cirúrgica influenciam o tempo de recuperação. Se a incontinência persistir após 1 ano, é recomendável buscar uma avaliação médica especializada.</t>
  </si>
  <si>
    <t>Os principais fatores de risco para a disfunção erétil (DE) incluem:
 Fatores Fisiológicos e Médicos
 Doenças cardiovasculares – Hipertensão arterial, aterosclerose e insuficiência cardíaca podem comprometer o fluxo sanguíneo peniano.
 Diabetes mellitus – Causa danos aos nervos e vasos sanguíneos, reduzindo a função erétil.
 Obesidade – Associada a problemas vasculares e hormonais que afetam a ereção.
 Síndrome metabólica – Conjunto de condições que incluem resistência à insulina, pressão alta e colesterol alto.
 Distúrbios hormonais – Baixos níveis de testosterona ou excesso de prolactina podem interferir na ereção.
 Doenças neurológicas – AVC, esclerose múltipla e lesões na medula espinhal podem prejudicar a comunicação entre cérebro e pênis.
 Insuficiência renal e hepática – Alterações metabólicas que podem afetar a função erétil.
 Cirurgias pélvicas ou trauma na região – Procedimentos como prostatectomia podem danificar nervos e vasos sanguíneos.
 Fatores Psicogênicos
 Ansiedade e estresse – Podem ativar o sistema nervoso simpático, inibindo a ereção.
 Depressão – Afeta neurotransmissores essenciais para a excitação e ereção.
 Baixa autoestima e insegurança – Medo do desempenho pode causar disfunção psicogênica.
 Relacionamentos problemáticos – Conflitos conjugais e falta de comunicação podem contribuir para a DE.
 Fatores de Estilo de Vida
 Tabagismo – Danifica vasos sanguíneos e reduz o óxido nítrico, essencial para a ereção.
 Consumo excessivo de álcool – Afeta o sistema nervoso e pode reduzir a libido e a resposta erétil.
 Uso de drogas ilícitas – Cocaína, heroína e maconha podem prejudicar a função sexual.
 Sedentarismo – Reduz a circulação sanguínea e afeta os níveis hormonais.
 Fatores Medicamentosos
 Antidepressivos e ansiolíticos – Inibidores seletivos da recaptação de serotonina (ISRS) podem reduzir a libido e a ereção.
 Anti-hipertensivos – Alguns betabloqueadores e diuréticos podem afetar a função erétil.
 Antipsicóticos – Podem interferir na libido e na resposta sexual.
 Esteroides anabolizantes – O uso abusivo pode levar à atrofia testicular e disfunção hormonal.
 Se a disfunção erétil for persistente, é fundamental procurar um médico para avaliação e tratamento adequado.</t>
  </si>
  <si>
    <t>A disfunção erétil (DE) pode ter diversas causas, geralmente divididas em fatores físicos, psicológicos e relacionados ao estilo de vida. Os principais fatores de risco incluem:
 Fatores físicos e médicos
 Doenças cardiovasculares – Hipertensão arterial, aterosclerose e insuficiência cardíaca afetam o fluxo sanguíneo, dificultando a ereção.
 Diabetes mellitus – Pode danificar os nervos e os vasos sanguíneos, prejudicando a resposta erétil.
 Obesidade – Está associada à resistência à insulina, inflamação crônica e disfunção endotelial, impactando a circulação.
 Distúrbios hormonais – Baixos níveis de testosterona, hiperprolactinemia e distúrbios da tireoide podem interferir na libido e na função erétil.
 Doença de Peyronie – Formação de placas fibrosas no pênis, causando curvatura e dor na ereção.
 Doenças neurológicas – Acidente vascular cerebral (AVC), esclerose múltipla e neuropatia periférica podem comprometer a condução nervosa envolvida na ereção.
 Doenças renais e hepáticas – Podem afetar o equilíbrio hormonal e a circulação sanguínea.
 Cirurgias ou lesões – Procedimentos como prostatectomia radical ou traumas na região pélvica podem danificar nervos e vasos sanguíneos.
 Fatores psicológicos
 Ansiedade e estresse – Afetam a excitação sexual e a liberação de neurotransmissores essenciais para a ereção.
 Depressão – Pode reduzir a libido e afetar os neurotransmissores relacionados à função sexual.
 Problemas de relacionamento – Conflitos conjugais, falta de intimidade emocional e insegurança podem influenciar a resposta erétil.
 Transtorno de estresse pós-traumático (TEPT) – Especialmente em homens que sofreram traumas sexuais ou emocionais.
 Fatores relacionados ao estilo de vida
 Tabagismo – Danifica os vasos sanguíneos, reduzindo a circulação no pênis.
 Consumo excessivo de álcool – Pode afetar o sistema nervoso central e reduzir a produção de testosterona.
 Uso de drogas ilícitas – Substâncias como cocaína, maconha e opióides prejudicam a função neurológica e vascular.
 Sedentarismo – A falta de atividade física está associada à obesidade, resistência à insulina e problemas circulatórios.
 Privação de sono – Pode afetar a produção de hormônios sexuais e aumentar o estresse.
 Medicamentos que podem causar disfunção erétil
 Antidepressivos – Inibidores seletivos da recaptação de serotonina (ISRS) e tricíclicos podem afetar a libido e a ereção.
 Antihipertensivos – Betabloqueadores e diuréticos podem reduzir o fluxo sanguíneo peniano.
 Antipsicóticos e sedativos – Afetam a função dopaminérgica e a libido.
 Medicamentos para próstata – Alguns inibidores da 5-alfa-redutase usados para hiperplasia prostática benigna podem reduzir os níveis de testosterona.
 Se houver sinais persistentes de disfunção erétil, é recomendável procurar um médico para avaliação, pois pode ser um indicativo de problemas sistêmicos mais graves.</t>
  </si>
  <si>
    <t>A prevenção da incontinência urinária masculina envolve hábitos saudáveis, fortalecimento do assoalho pélvico e cuidados médicos. Aqui estão algumas estratégias eficazes:
 1. Exercícios para o Assoalho Pélvico (Kegel)
 Fortalecem os músculos responsáveis pelo controle da urina.
 Contraia os músculos como se estivesse segurando o fluxo de urina, mantenha por 5 segundos e relaxe.
 Repita de 10 a 15 vezes, 3 vezes ao dia.
 2. Controle do Peso
 O excesso de peso aumenta a pressão sobre a bexiga e o assoalho pélvico, favorecendo escapes de urina.
 3. Evitar Tabaco e Álcool
 O cigarro pode levar a tosse crônica, que enfraquece os músculos pélvicos.
 O álcool irrita a bexiga e aumenta a produção de urina.
 4. Redução de Cafeína e Alimentos Irritantes
 Café, chá preto, refrigerantes e alimentos muito ácidos (como cítricos e picantes) podem irritar a bexiga.
 5. Hidratação Equilibrada
 Beba água regularmente, mas evite ingerir grandes volumes de líquidos de uma só vez, especialmente antes de dormir.
 6. Evitar Segurar a Urina por Longos Períodos
 O hábito de segurar a urina pode enfraquecer a bexiga ao longo do tempo.
 7. Cuidar da Saúde da Próstata
 O aumento da próstata (hiperplasia prostática benigna) pode afetar o controle urinário.
 Consulte um urologista regularmente para exames preventivos.
 8. Praticar Atividade Física Regular
 Exercícios como caminhada, natação e alongamento ajudam na circulação sanguínea e fortalecem os músculos abdominais e pélvicos.
 9. Evitar Constipação
 A prisão de ventre pode aumentar a pressão sobre a bexiga. Consuma fibras e mantenha-se hidratado.
 10. Consultar um Urologista Regularmente
 Exames periódicos ajudam a detectar problemas precocemente e evitam complicações futuras.
 Se houver sintomas de incontinência urinária, é essencial procurar um médico para diagnóstico e tratamento adequado.</t>
  </si>
  <si>
    <t>A prevenção da incontinência urinária masculina envolve hábitos saudáveis e cuidados com o sistema urinário e o assoalho pélvico. Algumas estratégias incluem:
 1. Fortalecimento do Assoalho Pélvico
 Exercícios de Kegel: Contraia os músculos do assoalho pélvico (como se estivesse segurando a urina) por 5 segundos, relaxe e repita de 10 a 15 vezes, 3 vezes ao dia.
 Evitar levantar peso excessivo sem contrair os músculos pélvicos para evitar fraqueza muscular.
 2. Manutenção do Peso Saudável
 O excesso de peso aumenta a pressão na bexiga e no assoalho pélvico, contribuindo para a incontinência.
 3. Controle da Alimentação e Hidratação
 Reduzir cafeína, álcool, refrigerantes, chás diuréticos e alimentos ácidos, que podem irritar a bexiga.
 Consumir fibras para evitar constipação, que pode pressionar a bexiga.
 Manter uma hidratação equilibrada, evitando grandes quantidades de líquidos antes de dormir.
 4. Evitar Tabagismo
 O tabaco pode levar a tosse crônica, que aumenta a pressão sobre a bexiga e os músculos pélvicos.
 5. Controle de Doenças Crônicas
 Diabetes mal controlado pode causar danos nos nervos que afetam a bexiga.
 Hipertensão e problemas cardíacos podem afetar a circulação e impactar o controle urinário.
 6. Evitar o Uso Excessivo de Medicamentos
 Alguns remédios para pressão alta, diuréticos e antidepressivos podem afetar o controle da bexiga.
 7. Consulta Regular ao Urologista
 Exames preventivos ajudam a detectar problemas precocemente, como hiperplasia prostática benigna (HPB), que pode causar retenção urinária e incontinência.
 8. Urinar Regularmente
 Não segurar a urina por muito tempo e estabelecer horários para ir ao banheiro pode ajudar a manter a bexiga treinada.
 Se houver sintomas de perda involuntária de urina, buscar um médico o quanto antes pode evitar complicações e melhorar a qualidade de vida.</t>
  </si>
  <si>
    <t>A bexiga urinária tem a função de armazenar a urina produzida pelos rins antes de ser eliminada do corpo. Ela é um órgão muscular oco, localizado na pelve, que se expande conforme se enche de urina e se contrai durante a micção, permitindo que a urina seja expelida através da uretra.
 Principais funções:
 Armazenamento da urina – A bexiga pode conter em média de 400 a 600 mL de urina antes de enviar sinais ao cérebro indicando a necessidade de esvaziamento.
 Controle da micção – A bexiga possui músculos e esfíncteres que ajudam a reter a urina até que seja o momento adequado para eliminá-la.
 Eliminação da urina – Quando cheia, os músculos da bexiga se contraem, enquanto o esfíncter se relaxa, permitindo a saída da urina pelo canal da uretra.
 Se precisar de mais detalhes, posso explicar melhor!</t>
  </si>
  <si>
    <t>Os três principais tipos de incontinência urinária masculina são:
 Incontinência de esforço – Ocorre quando há perda involuntária de urina ao realizar atividades que aumentam a pressão abdominal, como tossir, espirrar, rir, levantar peso ou se exercitar. Geralmente está associada a cirurgias na próstata, como a prostatectomia radical.
 Incontinência de urgência – Também chamada de bexiga hiperativa, caracteriza-se pela necessidade súbita e incontrolável de urinar, frequentemente acompanhada por perda de urina antes de conseguir chegar ao banheiro. Pode estar relacionada a problemas neurológicos, hiperatividade do músculo detrusor da bexiga ou infecções urinárias.
 Incontinência por transbordamento – Acontece quando a bexiga não esvazia completamente, resultando em perdas involuntárias de pequenas quantidades de urina ao longo do dia. Está frequentemente associada a obstrução do fluxo urinário (como no aumento da próstata – hiperplasia prostática benigna) ou fraqueza do músculo da bexiga.
 Se precisar de mais detalhes ou quiser entender melhor as opções de tratamento, me avise!</t>
  </si>
  <si>
    <t>Os três principais tipos de incontinência urinária masculina são:
 Incontinência de esforço – Ocorre quando há perda involuntária de urina ao realizar atividades que aumentam a pressão abdominal, como tossir, espirrar, rir ou levantar peso. Geralmente está associada a cirurgias na próstata, fraqueza dos músculos do assoalho pélvico ou disfunção do esfíncter urinário.
 Incontinência de urgência – Caracteriza-se por uma vontade súbita e intensa de urinar, acompanhada pela incapacidade de segurar a urina até chegar ao banheiro. Está frequentemente associada à bexiga hiperativa e pode ser causada por problemas neurológicos, infecções urinárias ou hiperatividade do músculo detrusor da bexiga.
 Incontinência por transbordamento – Acontece quando a bexiga não esvazia completamente e ocorre um escape constante ou intermitente de urina. Isso pode ser causado por obstruções (como hiperplasia prostática benigna - HPB), neuropatias diabéticas ou lesões na medula espinhal que afetam a função da bexiga.
 Cada tipo pode ter abordagens de tratamento específicas, incluindo fisioterapia, medicamentos e, em alguns casos, procedimentos cirúrgicos.Os três principais tipos de incontinência urinária masculina são:
 Incontinência de esforço – Ocorre quando há perda involuntária de urina ao realizar atividades que aumentam a pressão abdominal, como tossir, espirrar, rir ou levantar peso. Geralmente está associada a cirurgias na próstata, fraqueza dos músculos do assoalho pélvico ou disfunção do esfíncter urinário.
 Incontinência de urgência – Caracteriza-se por uma vontade súbita e intensa de urinar, acompanhada pela incapacidade de segurar a urina até chegar ao banheiro. Está frequentemente associada à bexiga hiperativa e pode ser causada por problemas neurológicos, infecções urinárias ou hiperatividade do músculo detrusor da bexiga.
 Incontinência por transbordamento – Acontece quando a bexiga não esvazia completamente e ocorre um escape constante ou intermitente de urina. Isso pode ser causado por obstruções (como hiperplasia prostática benigna - HPB), neuropatias diabéticas ou lesões na medula espinhal que afetam a função da bexiga.
 Cada tipo pode ter abordagens de tratamento específicas, incluindo fisioterapia, medicamentos e, em alguns casos, procedimentos cirúrgicos.</t>
  </si>
  <si>
    <t>Ao receberem alta hospitalar, a maioria dos pacientes submetidos a cirurgias precisa seguir uma série de cuidados para a recuperação adequada, incluindo:
 Uso de medicamentos – Antibióticos, analgésicos e anti-inflamatórios, conforme prescrição médica.
 Cuidados com o curativo – Higienização e troca dos curativos para evitar infecções.
 Restrições de atividade – Evitar esforços físicos, dirigir ou carregar peso, dependendo do tipo de cirurgia.
 Fisioterapia ou reabilitação – Em alguns casos, são recomendados exercícios para recuperação da mobilidade.
 Dieta adequada – Ajustes na alimentação para facilitar a cicatrização e evitar complicações, como constipação.
 Acompanhamento médico – Retorno para avaliação da cicatrização e possível remoção de pontos.
 Atenção a sinais de complicação – Observar febre, inchaço excessivo, vermelhidão ou dor intensa e procurar atendimento se necessário.
 Esses cuidados variam conforme o tipo de cirurgia realizada.</t>
  </si>
  <si>
    <t>Diversas práticas complementares têm sido estudadas para auxiliar no controle da incontinência urinária após a prostatectomia radical. Entre as mais investigadas estão o treinamento dos músculos do assoalho pélvico (TMAP), a eletroestimulação (EE) e o biofeedback (BF).​
 repositorio.ufmg.br
 +10
 scielo.isciii.es
 +10
 researchgate.net
 +10
 Treinamento dos Músculos do Assoalho Pélvico (TMAP): Consiste em exercícios específicos que visam fortalecer os músculos responsáveis pelo controle da micção. Estudos indicam que o TMAP pode acelerar a recuperação da continência urinária após a cirurgia. Por exemplo, uma revisão sistemática da Cochrane analisou 99 ensaios clínicos e concluiu que apenas 10,2% dos pacientes que realizaram TMAP permaneceram incontinentes após 12 meses, em comparação com 32,1% daqueles que não realizaram os exercícios. ​
 researchgate.net
 +3
 saude.sp.gov.br
 +3
 accamargo.phlnet.com.br
 +3
 scielo.isciii.es
 Eletroestimulação (EE): Este método utiliza estímulos elétricos para ativar os músculos do assoalho pélvico, auxiliando no fortalecimento muscular e no controle da incontinência. Estudos sugerem que a EE pode aumentar o sucesso dos exercícios musculares pélvicos em pacientes com incontinência após a prostatectomia radical. ​
 pt.wikipedia.org
 +8
 scielo.isciii.es
 +8
 scielo.br
 +8
 Biofeedback (BF): O BF fornece ao paciente informações em tempo real sobre a atividade dos músculos do assoalho pélvico, permitindo uma melhor conscientização e controle durante os exercícios. Pesquisas demonstram que o uso do BF, isoladamente ou em combinação com outras terapias, pode melhorar significativamente a recuperação da continência urinária. ​
 researchgate.net
 Combinação de Terapias: A associação de TMAP com EE e/ou BF tem mostrado resultados promissores. Por exemplo, um estudo com 90 pacientes divididos em três grupos (EE isolada, EE + BF e apenas TMAP) observou que a terapia combinada (EE + BF) resultou em melhorias estatisticamente significativas na recuperação da continência urinária em comparação com os outros grupos. ​
 accamargo.phlnet.com.br
 +2
 scielo.isciii.es
 +2
 scielo.br
 +2
 Acupuntura Auricular: Além das terapias mencionadas, a acupuntura auricular tem sido estudada como uma prática complementar. Um ensaio clínico randomizado avaliou a efetividade da acupuntura auricular associada ao TMAP no controle da incontinência urinária pós-prostatectomia radical. Os resultados indicaram que, embora a acupuntura não tenha potencializado a redução da gravidade da incontinência, houve uma melhora significativa na qualidade de vida dos pacientes, especialmente nos domínios relacionados a emoções e sono/disposição. ​
 repositorio.ufmg.br
 Em suma, práticas complementares como o treinamento dos músculos do assoalho pélvico, eletroestimulação, biofeedback e acupuntura auricular têm sido estudadas e demonstram potencial para auxiliar no controle da incontinência urinária após a prostatectomia radical. A escolha da terapia ou combinação de terapias deve ser individualizada, considerando as características e necessidades específicas de cada paciente.​</t>
  </si>
  <si>
    <t>Ao receberem alta hospitalar, a maioria dos pacientes submetidos à cirurgia necessita:
 Seguir as orientações médicas – Incluir cuidados com curativos, uso de medicamentos prescritos (como antibióticos e analgésicos) e sinais de alerta para complicações.
 Manter repouso e evitar esforços – Dependendo da cirurgia, pode ser necessário um período de recuperação com restrição de atividades físicas.
 Fazer acompanhamento médico – Retornar para consultas de revisão para avaliar a recuperação e possível remoção de pontos.
 Seguir dieta específica – Algumas cirurgias exigem restrições alimentares ou um plano alimentar específico para melhor recuperação.
 Higienizar corretamente o local da cirurgia – Manter o local limpo e seco para evitar infecções.
 Observar sinais de complicações – Como febre, dor intensa, inchaço excessivo, sangramentos ou secreções anormais.
 Realizar fisioterapia ou reabilitação – Se necessário, para recuperação da mobilidade e fortalecimento muscular.
 O tempo e os cuidados variam conforme o tipo de cirurgia realizada.</t>
  </si>
  <si>
    <t>Ao receberem alta hospitalar, a maioria dos pacientes submetidos a cirurgia precisa:
 Seguir a prescrição médica – Tomar os medicamentos prescritos corretamente, incluindo antibióticos, analgésicos e anti-inflamatórios, se necessário.
 Realizar repouso adequado – Evitar esforços físicos intensos conforme orientação médica.
 Cuidar da ferida cirúrgica – Manter o curativo limpo e seco, trocar conforme indicado e observar sinais de infecção, como vermelhidão, inchaço ou secreção.
 Acompanhar a alimentação e hidratação – Manter uma dieta equilibrada e ingerir líquidos para auxiliar a recuperação.
 Evitar atividades restritas – Dependendo do tipo de cirurgia, pode ser necessário evitar dirigir, levantar peso ou outras atividades específicas.
 Comparecer às consultas de acompanhamento – Retornar ao médico para revisão e retirada de pontos, se necessário.
 Observar sintomas de alerta – Como febre, dor intensa, sangramento excessivo ou qualquer sintoma incomum, que devem ser comunicados ao médico imediatamente.
 Seguir orientações fisioterapêuticas – Em alguns casos, a reabilitação com fisioterapia pode ser necessária para a recuperação total.
 Cada cirurgia tem recomendações específicas, e é fundamental seguir as orientações médicas para garantir a melhor recuperação possível.</t>
  </si>
  <si>
    <t>A incontinência urinária após a prostatectomia radical é uma complicação que afeta significativamente a qualidade de vida dos pacientes. Para auxiliar no tratamento dessa condição, diversas tecnologias foram desenvolvidas:​
 ufmg.br
 +2
 pt.wikipedia.org
 +2
 pt.wikipedia.org
 +2
 Aplicativos de saúde móvel (mHealth):
 IUProst®: Desenvolvido por pesquisadores da Universidade Federal de Minas Gerais (UFMG) e da Universidade Federal de Goiás (UFG), o IUProst® é um aplicativo destinado a apoiar homens que apresentam incontinência urinária após a prostatectomia radical. O aplicativo oferece exercícios para a musculatura pélvica, informações sobre a cirurgia, vídeos explicativos e relatos de pacientes que tiveram sucesso no tratamento, promovendo o autocuidado e a melhoria da qualidade de vida. Atualmente, está disponível para dispositivos Android. ​
 scielo.br
 +4
 ufmg.br
 +4
 PMC
 +4
 Esfíncter urinário artificial:
 Esfíncter urinário artificial (AUS): Este dispositivo implantável é considerado o padrão-ouro para o tratamento da incontinência urinária de esforço moderada a grave em homens. O AUS substitui a função do esfíncter natural, permitindo ao paciente controlar a micção manualmente. Modelos como o AMS 800 e o ZSI 375 são amplamente utilizados, apresentando taxas de sucesso que variam de 61% a 100% na literatura médica. ​
 pt.wikipedia.org
 +3
 pt.wikipedia.org
 +3
 pt.wikipedia.org
 +3
 Dispositivos de compressão peniana:
 Clamp peniano: Este dispositivo externo aplica pressão na uretra para prevenir vazamentos urinários, sendo uma alternativa menos invasiva e de menor custo em comparação às opções cirúrgicas. Embora eficazes na redução da incontinência, seu uso prolongado pode estar associado a complicações, como dor, erosão uretral e edema. ​
 pt.wikipedia.org
 +1
 pt.wikipedia.org
 +1
 Terapias fisioterapêuticas:
 Treinamento dos músculos do assoalho pélvico (TMAP): Exercícios específicos para fortalecer a musculatura pélvica têm sido eficazes na recuperação precoce da continência urinária após a prostatectomia. Estudos indicam que o TMAP, associado ou não a biofeedback e eletroestimulação, pode contribuir significativamente para a recuperação da continência. ​
 scielo.isciii.es
 Cada uma dessas tecnologias oferece alternativas para o manejo da incontinência urinária pós-prostatectomia, e a escolha do tratamento mais adequado deve ser individualizada, considerando as características e necessidades específicas de cada paciente.</t>
  </si>
  <si>
    <t>​Pesquisadores da Universidade Federal de Minas Gerais (UFMG) e da Universidade Federal de Goiás (UFG) desenvolveram o aplicativo móvel IUProst®, destinado a auxiliar no tratamento da incontinência urinária (IU) em homens após a prostatectomia radical, cirurgia comumente realizada para o tratamento do câncer de próstata localizado. O IUProst® oferece recursos como exercícios para fortalecimento da musculatura pélvica, informações sobre a cirurgia, vídeos explicativos e relatos de pacientes que obtiveram sucesso no tratamento, visando melhorar a qualidade de vida e promover o autocuidado dos usuários. ​
 repositorio.ufmg.br
 +6
 ufmg.br
 +6
 PMC
 +6
 Além disso, existem outras tecnologias utilizadas no tratamento da incontinência urinária pós-prostatectomia, como o esfíncter urinário artificial, considerado o padrão-ouro para casos moderados a graves. Este dispositivo implantável substitui a função do esfíncter natural, controlando o fluxo urinário e auxiliando na recuperação da continência. ​
 pt.wikipedia.org
 +5
 pt.wikipedia.org
 +5
 Governo Federal
 +5
 pt.wikipedia.org
 +1
 Governo Federal
 +1
 Outra opção é o uso de eslingas uretrais, que são dispositivos cirúrgicos implantados para fornecer suporte adicional à uretra, ajudando a restaurar a continência urinária em pacientes com incontinência leve a moderada após a prostatectomia. ​
 Essas tecnologias, juntamente com intervenções fisioterapêuticas, como o treinamento dos músculos do assoalho pélvico, compõem o conjunto de opções disponíveis para o manejo da incontinência urinária após a prostatectomia, visando melhorar a qualidade de vida dos pacientes afetados por essa condição.</t>
  </si>
  <si>
    <t>Sim, segurar a urina por muito tempo pode ser prejudicial à saúde. Aqui estão alguns dos principais riscos:
 Infecções Urinárias (ITUs) – A urina retida na bexiga por muito tempo pode favorecer a proliferação de bactérias, aumentando o risco de infecções do trato urinário.
 Dilatamento da Bexiga – A bexiga pode se esticar além do normal, o que pode levar a dificuldades em esvaziá-la completamente no futuro.
 Pedras nos Rins – A retenção prolongada de urina pode contribuir para a formação de cálculos renais, já que minerais e resíduos podem se cristalizar.
 Refluxo Vesicoureteral – A pressão excessiva na bexiga pode forçar a urina a voltar para os rins, o que pode causar infecções e danos renais.
 Dor e Desconforto – Além de ser desconfortável, segurar a urina pode causar cólicas na bexiga e no abdômen.
 O ideal é atender à vontade de urinar sempre que possível para evitar esses problemas. Se houver dificuldade para urinar ou dor persistente, é recomendável procurar um médico.</t>
  </si>
  <si>
    <t>Sim, segurar a urina por muito tempo pode ser prejudicial à saúde. Isso pode causar problemas como:
 Infecções urinárias: A urina acumulada pode facilitar a proliferação de bactérias no trato urinário.
 Cálculos renais: A retenção frequente pode aumentar o risco de formação de pedras nos rins.
 Enfraquecimento da bexiga: O hábito pode comprometer o funcionamento normal da bexiga, dificultando o esvaziamento completo.
 Refluxo urinário: A urina pode retornar para os rins, causando danos renais.
 Dor e desconforto: O acúmulo de urina pode causar dor abdominal e até espasmos musculares.
 O ideal é atender ao desejo de urinar sempre que sentir vontade, evitando complicações futuras.</t>
  </si>
  <si>
    <t>Antes de fortalecer os músculos pélvicos, é importante seguir algumas etapas para garantir que o treinamento seja seguro e eficaz:
 Avaliação Médica – Consulte um médico ou fisioterapeuta especializado em saúde pélvica para identificar possíveis disfunções, como fraqueza ou hipertonia (excesso de tensão) nos músculos do assoalho pélvico.
 Consciência Corporal – Antes de iniciar os exercícios, é fundamental saber localizar e sentir a contração dos músculos pélvicos corretamente. Isso pode ser feito com técnicas de biofeedback ou palpação.
 Correção da Postura – A postura influencia a função do assoalho pélvico. Uma postura inadequada pode comprometer a eficácia dos exercícios.
 Relaxamento Muscular – Se houver tensão excessiva nos músculos pélvicos, pode ser necessário um trabalho de relaxamento antes de iniciar o fortalecimento.
 Respiração Adequada – A coordenação entre respiração e contração muscular é essencial. A ativação do assoalho pélvico deve ser sincronizada com a expiração para evitar pressão desnecessária sobre a região.
 Função Intestinal e Vesical – Problemas como constipação ou incontinência urinária devem ser controlados para evitar que o fortalecimento piore os sintomas.
 Escolha dos Exercícios Adequados – Nem todos os exercícios pélvicos servem para todas as pessoas. A orientação de um profissional pode ajudar a selecionar os melhores para cada caso.
 Seguir essas etapas antes de iniciar o fortalecimento do assoalho pélvico pode prevenir lesões e melhorar os resultados dos exercícios.</t>
  </si>
  <si>
    <t>Antes de fortalecer os músculos pélvicos, é essencial considerar os seguintes aspectos:
 Avaliação médica – Consulte um profissional de saúde (fisioterapeuta especializado em assoalho pélvico ou médico) para verificar se há alguma disfunção, como fraqueza, tensão excessiva ou prolapsos.
 Consciência corporal – Antes de fortalecer, é fundamental identificar corretamente os músculos do assoalho pélvico. Exercícios de biofeedback ou orientação profissional podem ajudar.
 Relaxamento muscular – Algumas pessoas têm músculos pélvicos excessivamente contraídos. Antes de fortalecer, pode ser necessário aprender a relaxá-los para evitar dor e disfunções.
 Postura adequada – A posição da pelve e da coluna influencia a função do assoalho pélvico. Melhorar a postura pode otimizar os exercícios.
 Respiração correta – A coordenação entre a respiração e a ativação do assoalho pélvico é importante. Praticar respiração diafragmática ajuda na execução correta dos exercícios.
 Exclusão de problemas urinários ou intestinais – Se houver sintomas como incontinência urinária, constipação ou dor pélvica, um profissional pode recomendar ajustes nos exercícios.
 Após esses passos, pode-se iniciar um programa de fortalecimento com exercícios como os de Kegel, sempre com orientação adequada para evitar sobrecarga ou compensações inadequadas.</t>
  </si>
  <si>
    <t>BLIND</t>
  </si>
  <si>
    <t>​Diversos estudos buscaram validar intervenções de enfermagem para a alta de pacientes submetidos à prostatectomia. Em uma revisão integrativa da literatura, foram identificadas 93 intervenções agrupadas em 11 categorias, incluindo cuidados gerais, manejo do cateter vesical, orientações sobre sinais e sintomas pós-operatórios esperados, retorno às atividades, reconhecimento de complicações, nutrição e hidratação, prevenção de infecções, administração de medicamentos, higiene, controle da dor e exercícios pélvicos. ​
 pesquisa.bvsalud.org
 +3
 scielo.br
 +3
 pdfs.semanticscholar.org
 +3
 Posteriormente, essas intervenções foram submetidas à validação por peritos, resultando na confirmação de 84 intervenções consideradas adequadas para o preparo da alta de pacientes prostatectomizados. Apenas uma intervenção foi considerada relativamente adequada, enquanto as demais foram validadas como adequadas. ​
 pesquisa.bvsalud.org
 +3
 pdfs.semanticscholar.org
 +3
 scielo.br
 +3
 repositorio.usp.br
 +2
 scielo.br
 +2
 pdfs.semanticscholar.org
 +2
 Essas intervenções validadas fornecem uma base para a elaboração de planos de alta eficazes, visando a recuperação e o bem-estar dos pacientes após a cirurgia.</t>
  </si>
  <si>
    <t>​Diversos estudos têm validado intervenções de enfermagem essenciais para a alta de pacientes submetidos à prostatectomia. Essas intervenções, agrupadas em categorias, visam preparar o paciente para os cuidados pós-operatórios e promover sua recuperação adequada.​
 scielo.br
 +1
 researchgate.net
 +1
 pdfs.semanticscholar.org
 +1
 scielo.br
 +1
 1. Cuidados com o cateter vesical:
 Ensinar o paciente a monitorar o cateter para evitar obstruções, prevenindo distensão vesical e dor.​
 scielo.br
 Orientar sobre a higienização adequada do cateter e sinais de possíveis complicações.​
 2. Controle da dor e de outros sintomas:
 Instruir o paciente sobre o manejo de sintomas como dor, espasmos vesicais, constipação, fadiga, distúrbios do sono, edema ou náusea.​
 scielo.br
 Orientar sobre técnicas farmacológicas e não farmacológicas para alívio da dor, incluindo banhos de assento mornos ou compressas mornas na região suprapúbica após a remoção do cateter.​
 scielo.br
 3. Prevenção de infecções:
 Informar sobre a importância da ingestão adequada de líquidos não irritantes para a bexiga.​
 scielo.br
 Orientar sobre cuidados de higiene pessoal para prevenir infecções urinárias e de feridas cirúrgicas.​
 4. Exercícios pélvicos:
 Ensinar exercícios para fortalecimento do assoalho pélvico, visando melhorar o controle urinário e reduzir a incontinência.​
 scielo.br
 5. Retorno às atividades:
 Fornecer orientações sobre a retomada gradual das atividades diárias e exercícios físicos, respeitando os limites individuais e o período de recuperação.​
 6. Sinais e sintomas de complicações:
 Educar o paciente e seus familiares sobre sinais de possíveis complicações pós-operatórias e as ações a serem tomadas caso ocorram.​
 7. Aspectos emocionais e psicológicos:
 Oferecer suporte emocional, abordando possíveis alterações na função sexual e incentivando a comunicação aberta sobre preocupações e expectativas.​
 Essas intervenções foram validadas por especialistas e são fundamentais para a elaboração de planos de alta eficazes, contribuindo para a recuperação e qualidade de vida dos pacientes prostatectomizados.</t>
  </si>
  <si>
    <t>A relação entre disfunção sexual masculina e sintomas do trato urinário inferior (STUI) é bem documentada na literatura médica. Ambos os problemas compartilham fatores fisiopatológicos comuns e podem estar interligados por mecanismos neurológicos, vasculares e hormonais. Algumas das principais conexões incluem:
 Fatores comuns de risco:
 Idade avançada
 Doenças cardiovasculares
 Diabetes mellitus
 Hipertensão arterial
 Síndrome metabólica
 Sedentarismo e obesidade
 Disfunção do endotélio e redução do óxido nítrico (NO):
 O NO é essencial para a ereção e para a relaxação do músculo liso da bexiga e próstata.
 A disfunção endotelial reduz a produção de NO, levando a uma menor perfusão peniana e a dificuldades miccionais.
 Hiperatividade do sistema nervoso autonômico:
 A ativação excessiva do sistema simpático pode contribuir para disfunção erétil e para sintomas urinários como noctúria, urgência e jato urinário fraco.
 Hiperplasia Prostática Benigna (HPB):
 O crescimento da próstata pode causar obstrução infravesical, resultando em fluxo urinário fraco, esvaziamento incompleto da bexiga e aumento da frequência urinária.
 Pacientes com HPB apresentam maior incidência de disfunção erétil e ejaculatória.
 Efeito dos tratamentos para STUI:
 Inibidores da 5α-redutase (ex: finasterida, dutasterida) podem reduzir a libido e causar disfunção erétil.
 Bloqueadores α-adrenérgicos (ex: tansulosina, doxazosina) podem afetar a ejaculação retrógrada, mas costumam melhorar a função erétil indiretamente por aliviarem os sintomas urinários.
 Inflamação crônica e estresse oxidativo:
 Processos inflamatórios na próstata e no trato urinário podem levar a disfunção erétil e agravar os sintomas urinários.
 Conclusão:
 A disfunção sexual masculina e os STUI são frequentemente comorbidades interligadas. Melhorar a saúde metabólica, tratar fatores de risco e optar por abordagens terapêuticas que levem em conta ambos os problemas pode otimizar a qualidade de vida do paciente.
 Se precisar de informações mais detalhadas sobre algum aspecto, me avise!</t>
  </si>
  <si>
    <t>A relação entre disfunção sexual masculina e sintomas do trato urinário inferior (STUI) é bem estabelecida na literatura médica, sendo ambos frequentemente associados a condições urológicas, neurológicas e metabólicas.
 Principais Relações e Mecanismos
 Hiperplasia Prostática Benigna (HPB)
 O crescimento da próstata pode levar à compressão da uretra, resultando em dificuldade miccional, fluxo urinário fraco e aumento da frequência urinária.
 A HPB está associada a disfunção erétil (DE) devido a fatores como inflamação crônica, estresse oxidativo e comprometimento da função endotelial.
 Disfunção do Músculo Liso e Endotélio
 O comprometimento da função endotelial que afeta o fluxo sanguíneo para o pênis também pode contribuir para sintomas urinários, pois os mesmos mecanismos regulam a contratilidade da próstata e da bexiga.
 Inflamação Crônica e Estresse Oxidativo
 Processos inflamatórios sistêmicos estão implicados tanto nos STUI quanto na disfunção erétil.
 A liberação de citocinas pró-inflamatórias pode afetar a função do endotélio vascular e dos tecidos prostáticos.
 Disfunção Autonômica e Hiperatividade do Sistema Nervoso Simpático
 A hiperatividade simpática pode levar à contração excessiva do músculo liso da próstata e da bexiga, piorando os STUI.
 Esse mesmo fenômeno contribui para a disfunção erétil ao reduzir a capacidade de relaxamento das artérias penianas.
 Uso de Medicações
 Alguns fármacos utilizados para tratar STUI, como bloqueadores α-adrenérgicos e inibidores da 5-alfa redutase, podem impactar negativamente a função erétil ou a libido.
 Condições Metabólicas e Comorbidades
 Diabetes mellitus, síndrome metabólica e doenças cardiovasculares são fatores de risco comuns para STUI e disfunção erétil, pois afetam a vascularização e a inervação da região urogenital.
 Abordagem Clínica
 O tratamento pode envolver modificações no estilo de vida, terapia farmacológica e intervenções cirúrgicas, dependendo da gravidade dos sintomas.
 Inibidores da fosfodiesterase tipo 5 (como o sildenafil) podem melhorar tanto os sintomas urinários quanto a função erétil em alguns casos.
 Terapias que reduzem a hiperatividade simpática ou promovem o relaxamento do músculo liso prostático também podem ser benéficas para ambas as condições.
 Se precisar de mais detalhes, posso aprofundar em aspectos específicos como diagnóstico e tratamento.</t>
  </si>
  <si>
    <t>Os tratamentos para disfunção sexual masculina variam conforme a causa do problema e podem incluir abordagens médicas, psicológicas e mudanças no estilo de vida. Aqui estão as principais opções:
 1. Tratamentos Médicos
 Inibidores da PDE5: Medicamentos como sildenafil (Viagra), tadalafil (Cialis), vardenafil (Levitra) e avanafil (Stendra) ajudam a melhorar a ereção ao aumentar o fluxo sanguíneo para o pênis.
 Terapia hormonal: Se houver deficiência de testosterona, a reposição hormonal pode ser indicada.
 Injeções penianas: Medicamentos como alprostadil podem ser injetados diretamente no pênis para estimular a ereção.
 Dispositivos de vácuo: As bombas penianas criam um vácuo ao redor do pênis, promovendo a ereção.
 Próteses penianas: Implantes cirúrgicos são indicados para casos graves e refratários a outros tratamentos.
 2. Terapias Psicoterapêuticas
 Terapia cognitivo-comportamental (TCC): Ajuda a tratar ansiedade, depressão e questões emocionais que podem contribuir para a disfunção.
 Terapia sexual: Auxilia na comunicação e na redução de ansiedade relacionada ao desempenho sexual.
 3. Mudanças no Estilo de Vida
 Exercícios físicos: Melhoram a circulação sanguínea e aumentam os níveis de testosterona.
 Dieta equilibrada: Reduz fatores de risco como obesidade, colesterol alto e diabetes.
 Redução do estresse: Técnicas como meditação, ioga e mindfulness ajudam no controle da ansiedade.
 Evitar álcool e tabaco: O consumo excessivo pode afetar a função erétil.
 4. Tratamentos Alternativos
 Acupuntura: Algumas pesquisas sugerem benefícios para a função sexual.
 Suplementos naturais: Ginseng, L-arginina e maca peruana podem auxiliar, mas devem ser usados com cautela e orientação médica.
 Se o problema persistir, é essencial procurar um urologista ou endocrinologista para avaliação e tratamento adequado.</t>
  </si>
  <si>
    <t>A disfunção sexual masculina pode ter várias causas, incluindo fatores físicos, psicológicos e hormonais. Os tratamentos variam conforme a causa subjacente e podem incluir:
 1. Tratamentos Médicos
 Inibidores da PDE5 (ex.: sildenafila [Viagra], tadalafila [Cialis], vardenafila [Levitra], avanafila [Stendra]) → Melhoram o fluxo sanguíneo para o pênis.
 Reposição de Testosterona → Indicada para homens com baixos níveis de testosterona.
 Injeções penianas (ex.: alprostadil, papaverina, fentolamina) → Aplicadas diretamente no pênis para estimular a ereção.
 Dispositivos de vácuo (bomba peniana) → Criam pressão negativa para aumentar o fluxo sanguíneo.
 Próteses penianas → Implantes cirúrgicos para casos graves de disfunção erétil.
 2. Tratamentos Psicológicos
 Terapia Cognitivo-Comportamental (TCC) → Para tratar ansiedade, depressão e questões emocionais relacionadas à sexualidade.
 Terapia sexual → Pode envolver o parceiro para melhorar a comunicação e reduzir a ansiedade.
 3. Mudanças no Estilo de Vida
 Dieta equilibrada → Reduzir açúcar, processados e álcool pode melhorar a função sexual.
 Exercício físico → Melhora a circulação sanguínea e os níveis hormonais.
 Redução do estresse → Técnicas como meditação, yoga e terapia podem ajudar.
 Abandono do tabagismo e do álcool excessivo → O fumo e o álcool podem comprometer a função erétil.
 4. Tratamentos Naturais e Alternativos
 Suplementos (ex.: L-arginina, ginseng, maca peruana, tribulus terrestris) → Podem ajudar, mas devem ser usados com orientação médica.
 Acupuntura → Algumas evidências sugerem benefícios para a disfunção erétil.
 O tratamento ideal depende da causa da disfunção, por isso, a avaliação médica é essencial para um diagnóstico correto e um plano de tratamento eficaz.</t>
  </si>
  <si>
    <t>A incontinência urinária feminina pode ser prevenida e tratada com diversas estratégias que variam conforme o tipo e a gravidade do quadro. As principais abordagens incluem mudanças no estilo de vida, fisioterapia, medicamentos e, em alguns casos, procedimentos cirúrgicos. Aqui estão as principais estratégias:
 Prevenção
 Exercícios do assoalho pélvico (Kegel) – Fortalecem os músculos responsáveis pelo controle da urina, prevenindo a incontinência de esforço.
 Controle do peso – A obesidade aumenta a pressão sobre a bexiga, favorecendo a perda involuntária de urina.
 Evitar tabagismo – Fumar pode causar tosse crônica, aumentando o risco de incontinência de esforço.
 Redução do consumo de cafeína e álcool – Essas substâncias irritam a bexiga e aumentam a produção de urina.
 Hidratação equilibrada – Beber líquidos suficientes sem exagero evita a irritação da bexiga.
 Evitar constipação – O intestino preso aumenta a pressão sobre a bexiga e pode contribuir para a incontinência.
 Treinamento da bexiga – Estabelecer horários regulares para urinar pode ajudar a melhorar o controle da bexiga.
 Tratamento
 1. Terapia Comportamental e Fisioterapia
 Exercícios de Kegel – Para fortalecer o assoalho pélvico e melhorar o controle urinário.
 Biofeedback – Técnica que ajuda a identificar e fortalecer os músculos corretos.
 Eletroestimulação – Utiliza estímulos elétricos para fortalecer os músculos pélvicos.
 2. Medicamentos
 Antimuscarínicos (ex.: oxibutinina, solifenacina) – Usados na incontinência de urgência para reduzir a hiperatividade da bexiga.
 Duloxetina – Pode ser usada na incontinência de esforço, pois aumenta a força dos músculos pélvicos.
 Estrógenos tópicos – Podem melhorar a função uretral em mulheres na pós-menopausa.
 3. Dispositivos e Intervenções Menos Invasivas
 Pessários vaginais – Dispositivos que sustentam a uretra e a bexiga, úteis para algumas mulheres com incontinência de esforço.
 Injeções uretrais (colágeno, ácido hialurônico) – Ajudam a fechar melhor a uretra.
 4. Tratamentos Cirúrgicos
 Cirurgia de Sling (Faixa suburetral) – Colocação de uma malha sintética para suportar a uretra, comum na incontinência de esforço.
 Esfíncter artificial – Implante usado em casos mais graves.
 Neuromodulação sacral – Estimulação dos nervos que controlam a bexiga, indicada para casos refratários.
 Conclusão
 A escolha do tratamento depende do tipo de incontinência (de esforço, de urgência ou mista) e da gravidade dos sintomas. Muitas mulheres podem melhorar significativamente com medidas simples, como fortalecimento do assoalho pélvico e mudanças no estilo de vida, enquanto casos mais graves podem necessitar de intervenções médicas ou cirúrgicas.</t>
  </si>
  <si>
    <t>A incontinência urinária feminina é uma condição comum que pode afetar mulheres de todas as idades, principalmente após a gravidez, parto e menopausa. A prevenção e o tratamento podem incluir uma combinação de mudanças no estilo de vida, exercícios, terapias médicas e, em alguns casos, cirurgias. Aqui estão as principais estratégias:
 Prevenção da Incontinência Urinária
 Exercícios do assoalho pélvico (Kegel): Fortalecem os músculos que controlam a bexiga.
 Manutenção do peso corporal saudável: O excesso de peso pode aumentar a pressão sobre a bexiga.
 Evitar esforços excessivos: Reduzir atividades que aumentam a pressão intra-abdominal, como levantamento de peso excessivo.
 Controle do consumo de líquidos: Evitar excesso de cafeína, álcool e líquidos antes de dormir.
 Evitar constipação: Uma dieta rica em fibras ajuda a prevenir o esforço ao evacuar, o que pode enfraquecer o assoalho pélvico.
 Parar de fumar: Fumar pode causar tosse crônica, que aumenta a pressão sobre a bexiga.
 Tratamento da Incontinência Urinária
 Abordagens não cirúrgicas
 Fisioterapia pélvica: Fortalece os músculos do assoalho pélvico e melhora o controle urinário.
 Treinamento da bexiga: Envolve urinar em horários programados para melhorar o controle.
 Biofeedback: Ajuda a identificar e fortalecer os músculos corretos para o controle urinário.
 Medicamentos: Algumas opções, como anticolinérgicos, podem reduzir a hiperatividade da bexiga em certos tipos de incontinência.
 Dispositivos vaginais (pessários): Auxiliam no suporte da bexiga em mulheres com prolapso pélvico associado.
 Tratamentos minimamente invasivos
 Laser vaginal (CO₂ ou Erbium-YAG): Estimula a produção de colágeno e melhora a função do tecido vaginal.
 Injeções de toxina botulínica (Botox): Podem ajudar a reduzir espasmos na bexiga.
 Agentes de volume uretral: Injeção de substâncias na uretra para aumentar sua resistência ao fluxo de urina.
 Tratamentos cirúrgicos
 Cirurgia de Sling (Faixa suburetral): Consiste na colocação de uma faixa de suporte sob a uretra para melhorar o controle.
 Colpossuspensão de Burch: Indicado para casos de incontinência por esforço.
 Esfíncter urinário artificial: Indicado em casos mais graves.
 A escolha do tratamento depende do tipo de incontinência (de esforço, de urgência ou mista) e da gravidade dos sintomas. Para casos leves a moderados, estratégias comportamentais e fisioterapia costumam ser eficazes, enquanto casos mais graves podem exigir cirurgia.
 Se houver dúvidas ou se os sintomas estiverem impactando a qualidade de vida, o ideal é procurar um urologista ou ginecologista especializado para um diagnóstico preciso e um plano de tratamento adequado.</t>
  </si>
  <si>
    <t>​A associação da acupuntura auricular ao treinamento muscular do assoalho pélvico (TMAP) em pacientes com incontinência urinária pós-prostatectomia radical foi investigada em um ensaio clínico randomizado. O estudo incluiu 60 homens, divididos em dois grupos: um recebeu apenas orientações sobre TMAP, enquanto o outro recebeu TMAP associado à acupuntura auricular. Após oito semanas, ambos os grupos apresentaram redução na gravidade da incontinência urinária, sem diferenças estatisticamente significativas entre eles. No entanto, o grupo que recebeu a acupuntura auricular associada ao TMAP mostrou uma melhora significativa na qualidade de vida, especialmente nos domínios "emoções" e "sono/disposição". Além disso, houve uma redução significativa nos sintomas de noctúria e urgência miccional nesse grupo. ​
 repositorio.ufmg.br
 +5
 scielo.br
 +5
 researchgate.net
 +5
 repositorio.ufmg.br
 +2
 repositorio.ufmg.br
 +2
 pesquisa.bvsalud.org
 +2
 pesquisa.bvsalud.org
 +2
 repositorio.ufmg.br
 +2
 repositorio.ufmg.br
 +2
 Esses resultados sugerem que, embora a acupuntura auricular não tenha potencializado a redução da gravidade da incontinência urinária além do efeito do TMAP isolado, sua associação ao TMAP pode melhorar a qualidade de vida e reduzir sintomas associados, como noctúria e urgência miccional, em homens submetidos à prostatectomia radical.</t>
  </si>
  <si>
    <t>​A associação da acupuntura auricular ao treinamento muscular do assoalho pélvico (TMAP) em homens com incontinência urinária pós-prostatectomia radical foi investigada em um ensaio clínico randomizado. O estudo incluiu 60 homens, divididos em dois grupos: um recebeu apenas orientações sobre TMAP, enquanto o outro recebeu TMAP associado à acupuntura auricular, ambos por oito semanas. ​
 repositorio.ufmg.br
 +4
 researchgate.net
 +4
 scielo.br
 +4
 repositorio.ufmg.br
 Os resultados mostraram que ambos os grupos apresentaram redução na gravidade da incontinência urinária, sem diferenças estatisticamente significativas entre eles. No entanto, o grupo que recebeu a acupuntura auricular associada ao TMAP apresentou melhorias significativas na qualidade de vida, especialmente nos domínios "emoções" e "sono e disposição", além de uma menor incidência de noctúria e urgência miccional. ​
 pesquisa.bvsalud.org
 +2
 repositorio.ufmg.br
 +2
 repositorio.ufmg.br
 +2
 repositorio.ufmg.br
 +2
 pesquisa.bvsalud.org
 +2
 repositorio.ufmg.br
 +2
 Esses achados sugerem que, embora a acupuntura auricular não tenha potencializado a redução da gravidade da incontinência urinária além do efeito do TMAP isolado, sua associação ao TMAP pode oferecer benefícios adicionais na qualidade de vida e na redução de sintomas urinários associados. Portanto, a combinação dessas terapias pode ser considerada uma abordagem eficaz para o manejo da incontinência urinária pós-prostatectomia radical.​</t>
  </si>
  <si>
    <t>​A Associação Europeia de Urologia (EAU) publicou, em 2022, diretrizes atualizadas sobre a incontinência urinária masculina. Essas diretrizes abordam definições, fisiopatologia, diagnóstico e opções de tratamento para os diferentes tipos de incontinência urinária (IU) em homens.​
 Classificação da Incontinência Urinária (IU):
 Incontinência Urinária de Esforço (IUE): Perda involuntária de urina durante atividades que aumentam a pressão intra-abdominal, como tossir, espirrar ou levantar objetos pesados.​
 Governo Federal
 +2
 Uroweb
 +2
 Governo Federal
 +2
 Incontinência Urinária de Urgência (IUU): Perda de urina associada a uma vontade súbita e intensa de urinar, frequentemente relacionada à hiperatividade do músculo detrusor.​
 Governo Federal
 +2
 Governo Federal
 +2
 Uroweb
 +2
 Incontinência Urinária Mista: Combinação de IUE e IUU.​
 Apurologia
 +4
 Governo Federal
 +4
 Governo Federal
 +4
 Abordagem Diagnóstica: Uma avaliação detalhada é essencial para diagnosticar corretamente o tipo de IU e determinar seu tratamento adequado. Isso inclui a história clínica completa, exame físico e exames complementares, conforme necessário.​
 Apurologia
 Uroweb
 Opções de Tratamento:
 Intervenções Comportamentais e Modificações no Estilo de Vida:
 Mudanças no estilo de vida, como perda de peso, cessação do tabagismo e ajustes na ingestão de líquidos, podem melhorar os sintomas de IU.​
 Treinamento dos músculos do assoalho pélvico é recomendado como terapia inicial para todos os tipos de IU.​
 Apurologia
 +4
 Governo Federal
 +4
 Governo Federal
 +4
 Tratamento Farmacológico:
 Medicamentos antimuscarínicos são indicados para tratar sintomas de IUU, com ou sem incontinência de urgência.​
 Governo Federal
 +2
 Apurologia
 +2
 Uroweb
 +2
 Tratamento Cirúrgico para IUE:
 Agentes de Bulking: Injeções periuretrais que aumentam a resistência uretral.​
 pt.wikipedia.org
 +3
 pt.wikipedia.org
 +3
 Estudo Geral
 +3
 Slings Masculinos: Dispositivos que fornecem suporte adicional à uretra.​
 Esfíncter Urinário Artificial (EUA): Considerado o padrão-ouro para tratamento cirúrgico da IUE moderada a grave em homens.​
 Governo Federal
 +4
 Uroweb
 +4
 Estudo Geral
 +4
 Tratamento Cirúrgico para IUU:
 Injeção de Toxina Botulínica A na Bexiga: Reduz a atividade do músculo detrusor.​
 Uroweb
 +1
 Governo Federal
 +1
 Estimulação do Nervo Sacral: Modula a atividade neural para melhorar o controle urinário.​
 Cistoplastia de Aumento ou Desvio Urinário: Procedimentos reservados para casos refratários.​
 É importante que o tratamento seja individualizado, levando em consideração a gravidade dos sintomas, a causa subjacente da incontinência e as preferências do paciente. A decisão terapêutica deve ser compartilhada entre o médico e o paciente, visando a melhor qualidade de vida possível.​
 Para informações mais detalhadas, recomenda-se consultar as diretrizes completas da EAU publicadas em 2022.</t>
  </si>
  <si>
    <t>​A Associação Europeia de Urologia (EAU) publicou em 2022 diretrizes atualizadas sobre a incontinência urinária masculina, abordando definições, fisiopatologia, diagnóstico e opções de tratamento. ​
 PubMed
 Classificação da Incontinência Urinária (IU):
 Incontinência Urinária de Esforço (IUE): Perda de urina durante atividades que aumentam a pressão intra-abdominal, como tossir, espirrar ou levantar objetos pesados.​
 Governo Federal
 +2
 Uroweb
 +2
 Governo Federal
 +2
 Incontinência Urinária de Urgência (IUU): Perda de urina associada a uma vontade súbita e intensa de urinar, difícil de adiar.​
 Uroweb
 Incontinência Urinária Mista: Combinação de IUE e IUU.​
 Estudo Geral
 +3
 Governo Federal
 +3
 Governo Federal
 +3
 Avaliação Diagnóstica: A avaliação inicial deve incluir:​
 pt.wikipedia.org
 +3
 PubMed
 +3
 Governo Federal
 +3
 Histórico Clínico Completo: Identificar sintomas, fatores de risco e impacto na qualidade de vida.​
 Uroweb
 Exame Físico: Avaliar o abdômen, períneo, sistema neurológico e genitais externos.​
 Exames Complementares: Análise de urina, diário miccional e, se necessário, estudos urodinâmicos e exames de imagem.​
 Uroweb
 Opções de Tratamento:
 Intervenções Comportamentais e Modificações no Estilo de Vida:
 Treinamento dos Músculos do Assoalho Pélvico: Exercícios para fortalecer a musculatura pélvica, recomendados especialmente após prostatectomia.​
 Apurologia
 +2
 Governo Federal
 +2
 pt.wikipedia.org
 +2
 Modificações no Estilo de Vida: Perda de peso, cessação do tabagismo e ajuste na ingestão de líquidos.​
 Tratamento Farmacológico:
 Antimuscarínicos: Indicados para sintomas de IUU, com ou sem incontinência de urgência.​
 Governo Federal
 +3
 Apurologia
 +3
 Governo Federal
 +3
 Tratamento Cirúrgico:
 Agentes de Bulking Uretral: Injeções para aumentar o volume uretral e melhorar a continência.​
 Estudo Geral
 +2
 pt.wikipedia.org
 +2
 Uroweb
 +2
 Slings Masculinos: Dispositivos que fornecem suporte à uretra, indicados para IUE leve a moderada.​
 Uroweb
 +1
 Estudo Geral
 +1
 Esfíncter Urinário Artificial (EUA): Considerado o padrão-ouro para IUE moderada a grave, especialmente após prostatectomia.​
 Uroweb
 +1
 uroweb.org
 +1
 Considerações Finais: As diretrizes da EAU enfatizam uma abordagem individualizada, considerando as preferências do paciente, comorbidades e gravidade dos sintomas. A escolha do tratamento deve ser baseada em evidências científicas e na experiência clínica, visando melhorar a qualidade de vida do paciente.​</t>
  </si>
  <si>
    <t>A incontinência urinária após uma prostatectomia radical pode persistir por diferentes períodos, dependendo de vários fatores, como idade do paciente, técnica cirúrgica utilizada, reabilitação do assoalho pélvico e saúde geral.
 Duração média da incontinência pós-prostatectomia:
 Primeiros 3 meses: A maioria dos pacientes apresenta algum grau de incontinência logo após a retirada da sonda vesical, mas há uma melhora progressiva.
 Até 6 meses: Aproximadamente 50-90% dos pacientes recuperam a continência parcial ou total nesse período.
 Após 12 meses: Cerca de 90-95% dos pacientes recuperam a continência, mas alguns podem ter pequenos escapes ocasionais.
 Persistência após 1-2 anos: Se a incontinência persistir após esse período, pode ser considerada crônica, exigindo tratamento adicional como fisioterapia, medicamentos ou cirurgia (como esfíncter artificial ou sling masculino).
 Fatores que influenciam a recuperação:
 Técnica cirúrgica (preservação dos nervos e esfíncteres)
 Fortalecimento do assoalho pélvico (exercícios de Kegel ajudam na recuperação)
 Idade do paciente (mais jovens tendem a recuperar mais rápido)
 Condições pré-existentes (obesidade, diabetes, radioterapia prévia)
 Se a incontinência persistir após um ano, é importante procurar um urologista para avaliar as opções terapêuticas.</t>
  </si>
  <si>
    <t>A incontinência urinária após a prostatectomia radical pode persistir por alguns meses a até um ano, dependendo de vários fatores, como idade do paciente, técnica cirúrgica utilizada e a realização de fisioterapia pélvica.
 Curto prazo (até 3 meses): A maioria dos pacientes apresenta alguma incontinência logo após a retirada da sonda, mas muitos começam a recuperar o controle dentro dos primeiros três meses.
 Médio prazo (3 a 12 meses): A maioria dos homens melhora progressivamente ao longo do primeiro ano, especialmente com exercícios de fortalecimento do assoalho pélvico (como os exercícios de Kegel).
 Longo prazo (&gt;12 meses): Cerca de 5 a 20% dos pacientes podem continuar apresentando algum grau de incontinência urinária após um ano, podendo necessitar de tratamentos adicionais, como reabilitação fisioterapêutica, dispositivos externos ou até cirurgia corretiva em casos mais graves.
 A recuperação é individual, mas a fisioterapia precoce e um acompanhamento médico adequado podem acelerar a reabilitação.</t>
  </si>
  <si>
    <t>A recuperação do controle urinário após a cirurgia, especialmente em procedimentos como prostatectomia ou cirurgias ginecológicas, pode ser facilitada com algumas estratégias eficazes. Aqui estão algumas abordagens:
 1. Exercícios do Assoalho Pélvico (Kegel)
 Fortalecem os músculos responsáveis pelo controle urinário.
 Devem ser iniciados antes da cirurgia para melhores resultados no pós-operatório.
 A prática deve ser feita regularmente, com contrações e relaxamentos dos músculos pélvicos.
 2. Controle da Ingestão de Líquidos
 Evitar grandes quantidades de líquidos de uma só vez.
 Reduzir o consumo de cafeína e álcool, que podem irritar a bexiga.
 Manter uma hidratação equilibrada, evitando desidratação.
 3. Treinamento da Bexiga
 Estabelecer horários para urinar, mesmo sem vontade, para reeducar a bexiga.
 Aumentar gradativamente o tempo entre as idas ao banheiro para melhorar a capacidade de retenção.
 4. Uso de Técnicas de Biofeedback
 Ajuda a identificar e fortalecer corretamente os músculos pélvicos.
 Pode ser realizado com acompanhamento fisioterapêutico.
 5. Fisioterapia Pélvica
 Profissionais especializados podem guiar exercícios específicos para melhorar o controle urinário.
 Terapias como eletroestimulação podem ser indicadas.
 6. Alimentação Adequada
 Evitar alimentos irritantes para a bexiga (picantes, cítricos, adoçantes artificiais).
 Manter uma dieta rica em fibras para evitar constipação, que pode agravar a incontinência.
 7. Controle do Peso
 O excesso de peso pode aumentar a pressão sobre a bexiga, piorando a incontinência.
 Manter um peso saudável reduz essa pressão e melhora o controle urinário.
 8. Medicamentos (se necessário)
 Em alguns casos, o médico pode prescrever medicamentos para melhorar o controle da bexiga.
 9. Técnicas de Relaxamento
 A ansiedade pode agravar a incontinência urinária.
 Técnicas como respiração profunda e mindfulness podem ajudar a reduzir a tensão.
 10. Paciência e Persistência
 A recuperação pode levar semanas ou meses, dependendo da cirurgia e do organismo de cada pessoa.
 A persistência nos exercícios e hábitos saudáveis é essencial para bons resultados.
 Se houver dificuldades persistentes, um urologista ou fisioterapeuta especializado pode indicar tratamentos mais específicos para acelerar a recuperação.</t>
  </si>
  <si>
    <t>A recuperação do controle urinário após uma cirurgia, como a prostatectomia ou outras intervenções que afetam o trato urinário, pode ser acelerada com algumas estratégias eficazes. Aqui estão algumas abordagens recomendadas:
 1. Exercícios do Assoalho Pélvico (Kegel)
 Fortalecem os músculos responsáveis pelo controle urinário.
 Devem ser iniciados antes da cirurgia e retomados conforme orientação médica.
 Envolve contrair e relaxar os músculos do períneo (como se estivesse segurando a urina).
 2. Controle da Ingestão de Líquidos
 Beber líquidos de forma equilibrada, evitando excessos antes de dormir.
 Reduzir cafeína, álcool e bebidas gaseificadas, pois podem irritar a bexiga.
 3. Treinamento da Bexiga
 Urinar em intervalos programados para restaurar a capacidade da bexiga de reter urina.
 Aumentar gradativamente o tempo entre as idas ao banheiro.
 4. Controle do Peso e Alimentação
 O excesso de peso pode pressionar a bexiga e agravar a incontinência.
 Uma dieta rica em fibras evita constipação, que pode piorar o problema.
 5. Fisioterapia Pélvica
 Acompanhamento com um fisioterapeuta especializado pode acelerar a recuperação.
 Técnicas como biofeedback ajudam a melhorar o controle muscular.
 6. Uso de Dispositivos Auxiliares
 Absorventes ou fraldas podem ser usados temporariamente para lidar com escapes urinários.
 Dispositivos como cones vaginais (para mulheres) e slings masculinos podem ser indicados em casos mais severos.
 7. Medicamentos e Tratamentos Complementares
 Alguns medicamentos podem ajudar a fortalecer o esfíncter urinário ou reduzir a hiperatividade da bexiga.
 Em casos mais graves, procedimentos minimamente invasivos podem ser recomendados.
 8. Paciência e Persistência
 A recuperação varia de pessoa para pessoa e pode levar meses.
 Manter uma rotina disciplinada e seguir as recomendações médicas é essencial.
 Se a incontinência persistir por muito tempo, é importante buscar um urologista para avaliar outras opções de tratamento.</t>
  </si>
  <si>
    <t>O suporte educacional pode melhorar a adaptação dos pacientes à incontinência urinária pós-prostatectomia de diversas formas, auxiliando na reabilitação física, psicológica e social. Algumas estratégias incluem:
 Educação sobre a condição e recuperação
 Explicação detalhada sobre a incontinência urinária como um efeito colateral comum da prostatectomia, normalizando a experiência e reduzindo a ansiedade.
 Informação sobre o tempo esperado de recuperação e as taxas de melhora com diferentes abordagens.
 Treinamento e reabilitação do assoalho pélvico
 Instrução sobre exercícios de Kegel para fortalecer os músculos do assoalho pélvico e melhorar o controle urinário.
 Acompanhamento com fisioterapeutas especializados para orientar corretamente a execução dos exercícios.
 Orientação sobre o uso de dispositivos e estratégias de manejo
 Ensino do uso de absorventes, dispositivos de coleta urinária e roupas adequadas para minimizar impactos na rotina diária.
 Demonstração de técnicas para controle da bexiga, como micção programada e mudanças nos hábitos de consumo de líquidos.
 Apoio psicológico e emocional
 Promoção de grupos de apoio ou aconselhamento psicológico para lidar com impactos na autoestima, sexualidade e qualidade de vida.
 Educação para parceiros(as) sobre como apoiar emocionalmente o paciente durante a adaptação.
 Mudanças no estilo de vida
 Dicas sobre alimentação e hidratação para evitar irritação da bexiga e melhorar o controle urinário.
 Redução do consumo de cafeína, álcool e alimentos ácidos, que podem agravar a incontinência.
 Acompanhamento contínuo e individualizado
 Monitoramento por profissionais de saúde para avaliar a progressão da recuperação e ajustar intervenções conforme necessário.
 Disponibilização de materiais educativos em formato digital ou impresso para reforço contínuo das orientações.
 Com um suporte educacional estruturado, os pacientes podem desenvolver maior autonomia, confiança e qualidade de vida ao lidar com a incontinência urinária pós-prostatectomia.</t>
  </si>
  <si>
    <t>O suporte educacional pode desempenhar um papel crucial na adaptação dos pacientes à incontinência urinária pós-prostatectomia, proporcionando conhecimento, estratégias de enfrentamento e apoio emocional. Algumas formas de melhorar essa adaptação incluem:
 Educação Pré e Pós-operatória: Informar os pacientes sobre a possibilidade da incontinência urinária antes da cirurgia pode reduzir o impacto psicológico. Após a cirurgia, fornecer informações sobre a recuperação e opções de tratamento ajuda a gerenciar expectativas.
 Treinamento do Assoalho Pélvico: Programas de fisioterapia com exercícios específicos, como os exercícios de Kegel, podem fortalecer os músculos do assoalho pélvico e melhorar o controle urinário.
 Apoio Psicológico e Emocional: Grupos de apoio e aconselhamento individual podem ajudar os pacientes a lidar com o estresse, ansiedade e impacto na autoestima causados pela incontinência.
 Uso de Recursos Visuais e Interativos: Vídeos educativos, aplicativos e materiais ilustrativos podem facilitar a compreensão das estratégias de reabilitação.
 Acompanhamento Multidisciplinar: Envolver urologistas, enfermeiros especializados, fisioterapeutas e psicólogos no suporte ao paciente garante um cuidado integral.
 Orientação sobre Dispositivos e Estilo de Vida: Ensinar sobre o uso de absorventes, coletores urinários e técnicas comportamentais (como restrição de líquidos antes de sair) pode melhorar a qualidade de vida.
 Estímulo ao Engajamento do Paciente: Incentivar o paciente a participar ativamente do tratamento e a relatar sua evolução ajuda na adesão às estratégias de reabilitação.
 Ao integrar esses elementos, o suporte educacional pode reduzir o impacto da incontinência urinária e melhorar a adaptação e qualidade de vida dos pacientes após a prostatectomia.</t>
  </si>
  <si>
    <t>A Teoria das Necessidades Humanas Básicas, proposta por Wanda de Aguiar Horta, é um modelo da enfermagem que se baseia na ideia de que o ser humano possui necessidades fundamentais que devem ser atendidas para manter seu equilíbrio e saúde. Essa teoria se inspira na hierarquia de necessidades de Maslow, mas é aplicada no contexto do cuidado em saúde.
 Quando analisamos a saúde sexual dentro dessa teoria, podemos entender que ela está diretamente relacionada ao equilíbrio do indivíduo em diferentes níveis:
 Necessidades fisiológicas – A sexualidade envolve funções biológicas, hormonais e reprodutivas que impactam o bem-estar físico. Alterações nesses aspectos podem gerar desconforto e até doenças, afetando a qualidade de vida.
 Necessidades psicossociais – A sexualidade também tem um papel fundamental na identidade, na autoestima e na expressão emocional. Desequilíbrios nesse aspecto podem levar a frustrações, ansiedade ou baixa autoestima.
 Necessidades psicobiológicas – A satisfação da necessidade sexual influencia o equilíbrio mental e emocional. Traumas, repressões ou dificuldades nesse âmbito podem levar a distúrbios psicológicos, como depressão ou ansiedade.
 Necessidades espirituais – Para algumas pessoas, a sexualidade está conectada a valores, crenças e propósito de vida. Conflitos entre valores pessoais e experiências sexuais podem gerar angústias e crises existenciais.
 Dessa forma, a Teoria das Necessidades Humanas Básicas explica que o equilíbrio do indivíduo depende do atendimento dessas diferentes dimensões. Quando a saúde sexual é negligenciada, outras áreas da vida podem ser afetadas, causando um desequilíbrio geral. Por outro lado, quando a sexualidade é vivenciada de forma saudável e satisfatória, ela contribui para um estado de bem-estar integral.</t>
  </si>
  <si>
    <t>A Teoria das Necessidades Humanas Básicas, desenvolvida por Wanda de Aguiar Horta, é baseada na concepção de que o ser humano possui necessidades que, quando satisfeitas, promovem equilíbrio e saúde, e, quando não atendidas, geram desequilíbrios e sofrimento. Essa teoria se alinha com a hierarquia de necessidades de Maslow, mas enfatiza a interdependência dos aspectos biológicos, psicológicos e sociais.
 Saúde Sexual e Equilíbrio do Indivíduo
 Dentro dessa abordagem, a saúde sexual está inserida principalmente na necessidade psicobiológica de integridade e bem-estar e na necessidade psicossocial de aceitação e relacionamento interpessoal. Isso porque a sexualidade não se restringe apenas ao ato sexual, mas engloba aspectos emocionais, afetivos e identitários que influenciam o equilíbrio global do indivíduo.
 Necessidades Psicobiológicas
 A saúde sexual envolve o funcionamento adequado do organismo, incluindo equilíbrio hormonal, prevenção de infecções sexualmente transmissíveis e bem-estar físico.
 A privação pode gerar disfunções sexuais, estresse e problemas psicossomáticos.
 Necessidades Psicológicas
 A satisfação da sexualidade influencia a autoestima, a identidade pessoal e a regulação emocional.
 A repressão ou frustração pode levar a estados de ansiedade, depressão e insatisfação consigo mesmo.
 Necessidades Psicossociais
 O equilíbrio sexual está ligado à qualidade dos relacionamentos interpessoais, ao afeto e à aceitação social.
 A ausência de uma vida sexual saudável pode gerar isolamento, conflitos conjugais e dificuldades de comunicação.
 Conclusão
 A Teoria das Necessidades Humanas Básicas explica que a saúde sexual faz parte do equilíbrio global do indivíduo, pois impacta sua fisiologia, sua psique e seus relacionamentos sociais. Quando essa necessidade é suprida de maneira saudável e consciente, há um aumento do bem-estar geral e da qualidade de vida. Por outro lado, a privação ou repressão da sexualidade pode gerar desequilíbrios que afetam a saúde mental, emocional e até mesmo física do indivíduo.</t>
  </si>
  <si>
    <t>A saúde sexual masculina pode ser influenciada por diversos fatores físicos, psicológicos e comportamentais. Entre os principais fatores que podem levar à disfunção sexual masculina, incluindo disfunção erétil, diminuição da libido e ejaculação precoce ou retardada, estão:
 1. Fatores Físicos e Biológicos
 Doenças cardiovasculares: Hipertensão, aterosclerose e insuficiência cardíaca podem comprometer a circulação sanguínea, dificultando a ereção.
 Diabetes: Pode causar danos aos nervos e vasos sanguíneos, afetando a resposta sexual.
 Obesidade: Está associada a alterações hormonais, resistência à insulina e problemas vasculares.
 Distúrbios hormonais: Baixos níveis de testosterona ou disfunções da tireoide podem reduzir a libido e a função erétil.
 Uso de medicamentos: Antidepressivos, ansiolíticos, anti-hipertensivos e alguns medicamentos para próstata podem afetar a função sexual.
 Distúrbios neurológicos: Doenças como esclerose múltipla, Parkinson e lesões na medula espinhal podem comprometer a transmissão dos impulsos nervosos necessários para a ereção.
 Distúrbios do sono: Apneia do sono e insônia podem levar à redução da produção de testosterona e fadiga, impactando o desejo e desempenho sexual.
 2. Fatores Psicológicos
 Ansiedade e estresse: O aumento dos níveis de cortisol pode inibir a produção de testosterona e dificultar a excitação.
 Depressão: Pode reduzir o desejo sexual e afetar a função erétil.
 Baixa autoestima e insegurança: Medo de não satisfazer a(o) parceira(o) pode gerar ansiedade de desempenho.
 Traumas e experiências negativas: Experiências sexuais traumáticas ou problemas de relacionamento podem afetar a resposta sexual.
 3. Hábitos e Estilo de Vida
 Sedentarismo: A falta de atividade física pode reduzir a circulação sanguínea e os níveis de testosterona.
 Tabagismo: O cigarro compromete a circulação sanguínea e pode levar à disfunção erétil.
 Consumo excessivo de álcool: Pode prejudicar o funcionamento do sistema nervoso e reduzir os níveis de testosterona.
 Uso de drogas recreativas: Substâncias como cocaína, maconha e opioides podem afetar a libido e a função erétil.
 Alimentação inadequada: Dietas ricas em gorduras saturadas e pobres em nutrientes essenciais podem impactar a circulação sanguínea e a produção hormonal.
 4. Envelhecimento
 Com o passar dos anos, há uma redução natural nos níveis de testosterona e no fluxo sanguíneo, o que pode contribuir para alterações na função sexual.
 A saúde sexual masculina pode ser melhorada com a adoção de hábitos saudáveis, acompanhamento médico regular e, se necessário, tratamento psicológico ou medicamentoso.</t>
  </si>
  <si>
    <t>A saúde sexual masculina pode ser influenciada por diversos fatores, que podem levar à disfunção sexual, como disfunção erétil, ejaculação precoce, diminuição da libido e outros problemas. Esses fatores podem ser divididos em físicos, psicológicos, hormonais, medicamentosos e de estilo de vida:
 1. Fatores físicos e doenças
 Doenças cardiovasculares: Hipertensão, aterosclerose e insuficiência cardíaca podem reduzir o fluxo sanguíneo para o pênis.
 Diabetes: Pode causar danos nos nervos e vasos sanguíneos, dificultando a ereção.
 Obesidade: Está associada a níveis mais baixos de testosterona e problemas vasculares.
 Distúrbios neurológicos: Doenças como Parkinson, esclerose múltipla e lesões na medula espinhal podem afetar a transmissão dos impulsos nervosos.
 Doenças renais e hepáticas: Podem afetar os níveis hormonais e a circulação sanguínea.
 Câncer de próstata e tratamentos: Cirurgias ou radioterapia na região pélvica podem causar disfunção erétil.
 2. Fatores psicológicos
 Ansiedade e estresse: Aumento do cortisol pode inibir a resposta sexual.
 Depressão: Afeta neurotransmissores essenciais para a excitação e prazer.
 Transtornos de ansiedade: Medo de falhar pode gerar um ciclo de disfunção erétil.
 Baixa autoestima e problemas de relacionamento: Dificuldades emocionais podem impactar a libido.
 3. Fatores hormonais
 Baixos níveis de testosterona: Reduzem a libido e podem causar dificuldades na ereção.
 Distúrbios da tireoide: Hipotireoidismo e hipertireoidismo podem afetar o desejo sexual e a função erétil.
 Excesso de prolactina: A hiperprolactinemia pode inibir a produção de testosterona.
 4. Uso de medicamentos
 Antidepressivos (ISRS): Podem causar diminuição da libido e dificuldade na ereção.
 Antipsicóticos e ansiolíticos: Afetam neurotransmissores relacionados ao prazer.
 Betabloqueadores e diuréticos: Podem reduzir o fluxo sanguíneo peniano.
 Corticosteroides e anabolizantes: O uso prolongado pode prejudicar a produção hormonal.
 5. Hábitos de vida e fatores ambientais
 Tabagismo: Causa danos vasculares que reduzem o fluxo sanguíneo para o pênis.
 Consumo excessivo de álcool: Afeta o sistema nervoso central e reduz a produção de testosterona.
 Uso de drogas ilícitas: Cocaína, maconha e opioides podem prejudicar a função erétil.
 Sedentarismo: Está associado à obesidade, diabetes e problemas cardiovasculares.
 Privação de sono: Reduz a testosterona e aumenta o estresse.
 6. Idade e fatores naturais
 Envelhecimento: A produção de testosterona diminui com o tempo, e a saúde vascular pode ser comprometida.
 Menopausa masculina (andropausa): Redução gradual dos hormônios masculinos pode afetar a libido e a função sexual.
 Conclusão
 A disfunção sexual masculina pode ter múltiplas causas, muitas vezes interligadas. A boa notícia é que a maioria dos fatores pode ser tratada ou melhorada com mudanças no estilo de vida, acompanhamento médico e terapias adequadas. Se houver preocupação, é essencial buscar um urologista ou endocrinologista para uma avaliação completa.</t>
  </si>
  <si>
    <t>A anorgasmia é a dificuldade persistente ou recorrente de alcançar o orgasmo, apesar de uma estimulação sexual adequada e do desejo presente. Essa condição pode afetar qualquer gênero e pode ser primária (quando a pessoa nunca experimentou um orgasmo) ou secundária (quando ocorre após um período de orgasmos normais). Além disso, pode ser generalizada (ocorre em todas as situações) ou situacional (ocorre apenas em determinadas circunstâncias ou com certos parceiros).
 Impacto na Experiência do Orgasmo:
 Frustração e Ansiedade – Muitas pessoas com anorgasmia podem sentir frustração, ansiedade ou baixa autoestima devido à dificuldade de alcançar o orgasmo.
 Redução do Prazer Sexual – Mesmo que o prazer esteja presente durante a atividade sexual, a ausência do orgasmo pode levar à sensação de insatisfação.
 Dificuldade nos Relacionamentos – A anorgasmia pode impactar a vida afetiva e sexual, gerando insegurança, cobranças e mal-entendidos entre os parceiros.
 Influências Psicológicas e Fisiológicas – Fatores como ansiedade, depressão, uso de certos medicamentos, problemas hormonais e questões culturais ou religiosas podem contribuir para essa condição.
 O tratamento pode envolver terapia sexual, mudanças de hábitos, ajustes hormonais ou até mesmo técnicas de mindfulness e relaxamento para melhorar a conexão entre mente e corpo durante a experiência sexual.</t>
  </si>
  <si>
    <t>A anorgasmia é a dificuldade ou incapacidade persistente de atingir o orgasmo, mesmo com estimulação sexual suficiente. Ela pode ocorrer em qualquer gênero e pode ser classificada em diferentes tipos:
 Primária: Quando a pessoa nunca experimentou um orgasmo em nenhuma circunstância.
 Secundária: Quando a pessoa já experimentou orgasmos antes, mas desenvolveu dificuldade ou incapacidade de atingi-los.
 Situacional: Quando o orgasmo só ocorre em certas situações (por exemplo, com um parceiro específico ou apenas com masturbação).
 Generalizada: Quando a pessoa nunca consegue atingir o orgasmo, independentemente da situação.
 Impacto na Experiência do Orgasmo
 A anorgasmia pode levar a frustração, ansiedade, baixa autoestima e dificuldades nos relacionamentos, especialmente se a pessoa ou seu parceiro(a) tiverem expectativas diferentes sobre o prazer sexual. Além disso, pode estar relacionada a fatores físicos, emocionais e psicológicos, como:
 Causas fisiológicas: Problemas hormonais, doenças neurológicas, efeitos colaterais de medicamentos (como antidepressivos).
 Fatores psicológicos: Estresse, ansiedade, traumas passados, repressão cultural ou religiosa.
 Questões relacionais: Falta de comunicação, problemas emocionais no relacionamento, expectativas irreais.
 O tratamento pode envolver terapia sexual, mudanças no estilo de vida, uso de técnicas de relaxamento e, em alguns casos, ajustes médicos para tratar possíveis causas fisiológicas.</t>
  </si>
  <si>
    <t>As bases científicas utilizadas no desenvolvimento do aplicativo BLIND incluem:
 Diretrizes da International Continence Society (ICS) – As recomendações dessa entidade foram seguidas para orientar a abordagem do tratamento da incontinência urinária, priorizando terapias comportamentais e o treinamento da musculatura do assoalho pélvico.
 Manual de orientações sobre incontinência urinária pós-prostatectomia radical – O conteúdo do aplicativo foi baseado e atualizado a partir desse manual, que já era utilizado como um guia para pacientes e profissionais.
 Programas Cognitivo-Comportamentais – O aplicativo foi estruturado com base em princípios de terapia cognitivo-comportamental, enfatizando mudanças de hábitos, adesão ao treinamento muscular e autocuidado.
 Normas de Qualidade de Software (ISO/IEC 25010 e ISO/IEC 14598-6) – O desenvolvimento do IUProst seguiu critérios dessas normas para garantir a adequação funcional, eficiência, compatibilidade, usabilidade, confiabilidade e segurança do aplicativo.
 Estudos sobre treinamento do assoalho pélvico (TMAP) – A eficácia dos exercícios de fortalecimento da musculatura pélvica na recuperação da continência urinária foi embasada por diversos estudos científicos citados no trabalho.
 Análise de Aplicativos Móveis em Saúde – Foram considerados estudos sobre a eficácia do uso de aplicativos móveis na promoção do autocuidado e adesão ao tratamento de diversas condições de saúde, incluindo a incontinência urinária.
 Pesquisa com Especialistas – O aplicativo foi avaliado por 16 especialistas (8 em incontinência urinária e 8 em desenvolvimento de software), que validaram sua qualidade e adequação com um índice de concordância acima de 80% para a maioria dos critérios.
 Essas bases garantem que o IUProst seja um aplicativo confiável e eficaz para auxiliar homens submetidos à prostatectomia radical no controle da incontinência urinária.</t>
  </si>
  <si>
    <t>O desenvolvimento do aplicativo IUProst foi fundamentado em bases científicas robustas, com ênfase em evidências relacionadas à incontinência urinária masculina e ao tratamento comportamental. A tecnologia foi projetada para ser um recurso complementar ao tratamento de pacientes incontinentes após a remoção total da próstata​
 .
 As principais bases científicas utilizadas incluem:
 Diretrizes e recomendações internacionais: O aplicativo foi baseado nas recomendações da International Continence Society (ICS), que orienta o tratamento da incontinência urinária masculina, incluindo o treinamento da musculatura do assoalho pélvico​
 .
 Pesquisas acadêmicas e teses de doutorado: O conteúdo do IUProst foi desenvolvido com base em livretos oriundos de duas teses de doutorado (AZEVEDO, 2021; IZIDORO, 2021), garantindo a fundamentação científica do material disponível no aplicativo​
 .
 Instrumentos validados para avaliação da incontinência urinária: Foram incorporados dois instrumentos amplamente utilizados e validados no Brasil:
 International Consultation on Incontinence Questionnaire-Short Form (ICIQ-SF), que avalia a perda urinária e seu impacto na qualidade de vida​
 .
 Escala de Incontinência Urinária Pós-Prostatectomia Radical (EIUPR), que mede a gravidade da incontinência urinária em pacientes submetidos à prostatectomia​
 .
 Avaliação por especialistas: O aplicativo foi avaliado segundo os padrões de qualidade da ISO/IEC 25010 (2011), por especialistas em incontinência urinária e desenvolvimento de software, garantindo sua adequação funcional, usabilidade, compatibilidade e segurança​
 .
 Estudos sobre tecnologias móveis em saúde (mHealth): A criação do IUProst foi respaldada por pesquisas que indicam a eficácia de aplicativos móveis na adesão ao tratamento e autocuidado de pacientes com incontinência urinária​
 .
 O IUProst se destaca por integrar diferentes ferramentas para auxiliar pacientes, incluindo diário miccional, informações sobre cirurgia e tratamento, exercícios guiados, vídeos explicativos e interação com profissionais de saúde​</t>
  </si>
  <si>
    <t>Os critérios utilizados para avaliar a qualidade do produto IUProst, segundo a norma ISO/IEC 25010:2011, foram baseados nas seguintes características e subcaracterísticas de qualidade interna e externa:
 Critérios de Avaliação
 Adequação Funcional:
 Completude Funcional: Avaliação se todas as funções necessárias estão presentes.
 Correção Funcional: Avaliação da precisão na execução das funções.
 Adequação Funcional: Avaliação se as funções facilitam a realização de tarefas.
 Eficiência de Desempenho:
 Comportamento em relação ao tempo: Avaliação do tempo de resposta do sistema.
 Utilização de Recursos: Eficiência na alocação de recursos computacionais.
 Capacidade: Avaliação da capacidade de armazenamento e processamento.
 Compatibilidade:
 Interoperabilidade: Capacidade do sistema de interagir com outros sistemas.
 Usabilidade:
 Apreensibilidade: Facilidade de aprendizado.
 Operabilidade: Facilidade de operação e controle.
 Acessibilidade: Suporte para usuários com deficiência.
 Proteção contra erros do usuário: Capacidade de identificar entradas inválidas.
 Estética da interface: Agradabilidade do design visual.
 Confiabilidade:
 Maturidade: Frequência de falhas durante o uso.
 Tolerância a falhas: Capacidade de continuar funcionando após falhas.
 Recuperabilidade: Possibilidade de recuperar dados afetados por falhas.
 Disponibilidade: Acessibilidade contínua do software.
 Segurança:
 Confidencialidade: Controle de acesso através de senhas.
 Integridade: Proteção contra acessos não autorizados e alterações indevidas.
 Não repúdio: Registro de autor, data e hora das interações.
 Autenticação: Uso de métodos para garantir a irretratabilidade do acesso.
 Metodologia de Avaliação
 A avaliação foi realizada por especialistas em desenvolvimento de software e interface do usuário (IU).
 Foram utilizados questionários estruturados, baseados em estudos anteriores de Sperandio (2008) e Oliveira (2015).
 Cada característica foi classificada conforme a ISO/IEC 14598-6:
 C (Concordo)
 NC (Não Concordo)
 NA (Não se Aplica)
 Apenas os valores "C" foram considerados na análise final.
 A avaliação apontou que todas as características atingiram mais de 70% de concordância, com exceção da confiabilidade, onde muitos especialistas responderam "não se aplica" devido à ausência de falhas observadas no uso</t>
  </si>
  <si>
    <t>A avaliação da qualidade do produto IUProst segundo a norma ISO/IEC 25010:2011 seguiu critérios estruturados e rigorosos. Foram consideradas oito características principais de qualidade interna e externa do software:
 Adequação Funcional:
 Completude funcional (se o IUProst cobre todas as tarefas específicas).
 Correção funcional (se fornece resultados corretos).
 Adequação funcional (se facilita a realização das tarefas)​
 .
 Eficiência de Desempenho:
 Comportamento em relação ao tempo (tempo de resposta adequado).
 Utilização de recursos (uso eficiente dos recursos computacionais).
 Capacidade (suporte adequado ao volume de dados armazenados)​
 .
 Compatibilidade:
 Interoperabilidade (capacidade do IUProst de trocar informações com outros sistemas)​
 .
 Usabilidade:
 Reconhecimento de adequação (facilidade de compreensão e uso).
 Apreensibilidade (facilidade de aprendizado).
 Operabilidade (facilidade de operação e controle).
 Acessibilidade (suporte para usuários com deficiência).
 Proteção contra erros do usuário.
 Estética da interface com o usuário (design e cores agradáveis)​
 .
 Confiabilidade:
 Maturidade (baixa frequência de falhas).
 Tolerância a falhas (capacidade de continuar operando após falhas).
 Recuperabilidade (capacidade de recuperar dados afetados)​
 .
 Segurança:
 Confidencialidade (controle de acesso por senha).
 Integridade (proteção contra acesso não autorizado e modificação indevida de dados).
 Não repúdio (registro do autor, data e hora das ações no sistema).
 Responsabilização (identificação do usuário que registrou os dados).
 Autenticação (método que garante a irretratabilidade da autenticação)​
 .
 Manutenibilidade (não avaliada por falta de acesso ao código-fonte).
 Portabilidade (não avaliada por falta de acesso ao código-fonte)​
 .
 Método de Avaliação
 Foram utilizados dois formulários adaptados: um para especialistas em IU (avaliando 4 características) e outro para especialistas em desenvolvimento de software (avaliando 6 características).
 A avaliação seguiu a metodologia da ISO/IEC 14598-6 - Anexo C (2004), onde os especialistas deram classificações: (C) Concordo, (NC) Não Concordo e (NA) Não se Aplica​
 .
 As características avaliadas tiveram um índice de concordância superior a 70%, indicando um nível satisfatório de qualidade do IUProst​
 .
 Caso precise de mais detalhes sobre alguma característica específica, posso buscar informações adicionais!</t>
  </si>
  <si>
    <t>E-health (ou e-Saúde) refere-se ao uso de tecnologias da informação e comunicação (TICs) para apoiar a prestação de serviços de saúde, melhorar a eficiência do sistema de saúde e aumentar a acessibilidade ao atendimento médico.
 Definição inicial pela OMS
 A Organização Mundial da Saúde (OMS) definiu e-health em 2005 como:
 “O uso econômico e seguro das tecnologias da informação e comunicação em apoio à saúde e aos campos relacionados, incluindo os serviços de saúde, a vigilância sanitária, a literatura médica, a educação, o conhecimento e a pesquisa.”
 Ou seja, e-health abrange desde prontuários eletrônicos e telemedicina até sistemas de monitoramento remoto de pacientes e inteligência artificial aplicada à saúde.</t>
  </si>
  <si>
    <t>O termo e-Health (ou e-Saúde) refere-se ao uso das tecnologias da informação e comunicação (TICs) na área da saúde para melhorar a prestação de serviços médicos, a gestão de informações e a comunicação entre profissionais de saúde e pacientes.
 Definição inicial pela OMS
 A Organização Mundial da Saúde (OMS) definiu e-Health em 2005 como:
 "A utilização econômica e segura das tecnologias da informação e comunicação em apoio à saúde e aos campos relacionados, incluindo os serviços de saúde, a vigilância, a literatura, a educação, o conhecimento e a pesquisa em saúde."
 Essa definição destaca o uso da tecnologia para facilitar o acesso a informações médicas, melhorar a eficiência dos serviços de saúde e promover a troca de conhecimento entre profissionais e pacientes.
 Principais aplicações do e-Health
 Telemedicina: Consultas médicas remotas via vídeo ou telefone.
 Prontuários eletrônicos: Armazenamento e compartilhamento de históricos médicos.
 Aplicativos de saúde: Monitoramento de condições de saúde, como pressão arterial e glicose.
 Big Data e Inteligência Artificial: Análise de dados para diagnóstico e tratamento mais precisos.
 Dispositivos vestíveis (wearables): Relógios e sensores para monitoramento contínuo da saúde.
 Atualmente, o conceito evoluiu e se expandiu, abrangendo m-Health (uso de dispositivos móveis na saúde) e saúde digital, integrando inteligência artificial e análise preditiva.</t>
  </si>
  <si>
    <t>Soma Rank - ChatGPT4o</t>
  </si>
  <si>
    <t>420 &gt; 126 (não rejeitamos a hipótese nula)</t>
  </si>
  <si>
    <t>Gemini Turbo (2ª resposta)</t>
  </si>
  <si>
    <t>O órgão do corpo humano responsável por filtrar o sangue e produzir a urina é o rim.
 Os rins são órgãos vitais que desempenham diversas funções importantes no corpo humano, incluindo:
 Filtragem do sangue: Os rins removem resíduos e toxinas do sangue, como ureia, creatinina e ácido úrico.
 Produção de urina: A urina é formada a partir da água e dos resíduos filtrados do sangue.
 Equilíbrio de eletrólitos: Os rins regulam os níveis de eletrólitos no sangue, como sódio, potássio e cálcio.
 Controle da pressão arterial: Os rins produzem hormônios que ajudam a controlar a pressão arterial.
 Produção de hormônios: Os rins produzem hormônios importantes para a produção de glóbulos vermelhos e para a saúde dos ossos.
 O processo de formação da urina envolve várias etapas:
 Filtração: O sangue é filtrado nos néfrons, as unidades funcionais dos rins.
 Reabsorção: A água e os nutrientes essenciais são reabsorvidos de volta para o sangue.
 Secreção: Resíduos adicionais são secretados do sangue para a urina.
 Excreção: A urina é transportada dos rins para a bexiga pelos ureteres e, em seguida, eliminada do corpo pela uretra.
 Os rins são essenciais para a saúde e o bem-estar geral. É importante manter os rins saudáveis bebendo água suficiente, seguindo uma dieta equilibrada e praticando exercícios físicos regularmente.</t>
  </si>
  <si>
    <t>Os rins são os órgãos do corpo humano responsáveis por filtrar o sangue e produzir a urina. Eles desempenham um papel vital na remoção de resíduos e toxinas do sangue, além de manterem o equilíbrio de eletrólitos e fluidos no corpo.
 Aqui estão alguns pontos-chave sobre os rins:
 Função principal:
 Filtrar o sangue para remover resíduos metabólicos, como ureia, creatinina e ácido úrico.
 Produzir urina para excretar esses resíduos do corpo.
 Regular o equilíbrio de água e eletrólitos no corpo.
 Contribuir para o controle da pressão arterial.
 auxiliar na produção de hormonios.
 Localização:
 Localizados na parte posterior do abdômen, um de cada lado da coluna vertebral.
 Como funciona:
 O sangue entra nos rins, onde é filtrado por estruturas chamadas néfrons.
 Os néfrons removem resíduos e excesso de água do sangue, formando a urina.
 A urina é então transportada para a bexiga pelos ureteres e eliminada do corpo pela uretra.
 Os rins são essenciais para a saúde geral, e é importante mantê-los saudáveis por meio de uma dieta equilibrada, hidratação adequada e exercícios regulares.</t>
  </si>
  <si>
    <t>A incontinência urinária após a cirurgia de retirada da próstata, conhecida como prostatectomia radical, é uma complicação comum, mas geralmente temporária. A duração da incontinência varia de homem para homem, dependendo de diversos fatores, como:
 Idade: Homens mais jovens tendem a se recuperar mais rapidamente.
 Técnica cirúrgica: Técnicas minimamente invasivas podem reduzir o tempo de recuperação.
 Condições pré-existentes: Problemas de saúde como diabetes ou obesidade podem prolongar a incontinência.
 Fisioterapia pélvica: Exercícios para fortalecer os músculos do assoalho pélvico podem acelerar a recuperação.
 Tempo de recuperação:
 A maioria dos homens experimenta alguma melhora significativa nos primeiros 3 a 6 meses após a cirurgia.
 A recuperação completa do controle urinário pode levar de 12 a 18 meses em alguns casos.
 Uma pequena porcentagem dos homens pode continuar a ter incontinência urinária por mais tempo, ou mesmo de forma permanente.
 Recomendações:
 Converse com seu médico: Ele poderá avaliar seu caso individualmente e fornecer um prognóstico mais preciso.
 Realize fisioterapia pélvica: Exercícios específicos podem fortalecer os músculos responsáveis pelo controle urinário.
 Mantenha um estilo de vida saudável: Uma dieta equilibrada e exercícios regulares podem auxiliar na recuperação.
 É importante lembrar que cada caso é único, e o tempo de recuperação pode variar. Se você tiver alguma dúvida ou preocupação, converse com seu médico para obter informações e orientações personalizadas.</t>
  </si>
  <si>
    <t>A incontinência urinária após a cirurgia de remoção da próstata (prostatectomia radical) é uma complicação comum, mas geralmente temporária. A duração da incontinência varia de homem para homem, dependendo de diversos fatores, como:
 Técnica cirúrgica: Cirurgias minimamente invasivas, como a prostatectomia robótica, geralmente estão associadas a uma recuperação mais rápida do controle urinário.
 Idade do paciente: Homens mais jovens tendem a se recuperar mais rapidamente do que homens mais velhos.
 Condição física do paciente: Pacientes com boa saúde geral e que realizam exercícios para fortalecer o assoalho pélvico tendem a se recuperar mais rápido.
 Gravidade da incontinência inicial: Homens com incontinência mais grave logo após a cirurgia podem levar mais tempo para se recuperar.
 Tempo de recuperação:
 A maioria dos homens experimenta alguma melhora no controle urinário nas primeiras semanas e meses após a cirurgia.
 A recuperação completa pode levar de 3 a 12 meses, em média.
 Em alguns casos, a incontinência pode persistir por mais de 12 meses, mas isso é menos comum.
 Tratamentos:
 Existem diversos tratamentos disponíveis para ajudar a controlar a incontinência urinária após a prostatectomia, incluindo:
 Exercícios de Kegel: Fortalecem os músculos do assoalho pélvico, que ajudam a controlar a urina.
 Fisioterapia pélvica: Um fisioterapeuta especializado pode ensinar exercícios e técnicas para melhorar o controle urinário.
 Medicamentos: Alguns medicamentos podem ajudar a relaxar a bexiga ou fortalecer o esfíncter urinário.
 Cirurgia: Em casos raros, a cirurgia pode ser necessária para corrigir a incontinência persistente.
 Recomendações:
 Converse com seu médico urologista: Ele pode avaliar sua condição individual e recomendar o melhor plano de tratamento.
 Seja paciente: A recuperação do controle urinário leva tempo, então seja persistente com seus exercícios e tratamentos.
 Use absorventes ou fraldas: Para se proteger contra vazamentos enquanto se recupera.
 Procure ajuda especializada, como fisioterapia pélvica, o mais rápido possível, pois quanto antes se começar o tratamento maiores as chances de sucesso.
 Importante:
 Este texto tem fins informativos e não substitui a consulta médica.
 Se você está preocupado com a incontinência urinária após a prostatectomia, consulte seu médico urologista.</t>
  </si>
  <si>
    <t>A disfunção erétil (DE) é uma condição multifacetada, influenciada por uma variedade de fatores físicos, psicológicos e de estilo de vida. Os principais fatores de risco incluem:
 1. Condições de saúde:
 Doenças cardiovasculares: A DE pode ser um sinal precoce de problemas cardíacos, pois o fluxo sanguíneo reduzido afeta tanto o coração quanto o pênis.
 Diabetes: Níveis elevados de açúcar no sangue podem danificar nervos e vasos sanguíneos, prejudicando a ereção.
 Hipertensão: A pressão alta pode danificar os vasos sanguíneos, dificultando o fluxo sanguíneo para o pênis.
 Colesterol alto: O acúmulo de placas nas artérias impede o fluxo sanguíneo adequado.
 Obesidade: O excesso de peso está associado a problemas hormonais e vasculares que contribuem para a DE.
 Doença de Parkinson e esclerose múltipla: Estas condições neurológicas podem afetar os nervos envolvidos na ereção.
 Apneia do sono: A interrupção da respiração durante o sono pode reduzir os níveis de testosterona e prejudicar a função erétil.
 Doença renal crônica: A DE é comum em homens com doença renal crônica devido a alterações hormonais e vasculares.
 2. Fatores de estilo de vida:
 Tabagismo: O cigarro danifica os vasos sanguíneos e reduz o fluxo sanguíneo para o pênis.
 Consumo excessivo de álcool: O álcool pode interferir na função erétil a curto e longo prazo.
 Uso de drogas ilícitas: Algumas drogas, como cocaína e heroína, podem causar DE.
 Sedentarismo: A falta de atividade física contribui para problemas cardiovasculares e obesidade, que aumentam o risco de DE.
 Dieta inadequada: Uma dieta rica em gorduras saturadas, açúcar e alimentos processados pode prejudicar a saúde vascular e hormonal.
 3. Fatores psicológicos:
 Estresse: O estresse crônico pode afetar a produção de hormônios e prejudicar a função erétil.
 Ansiedade e depressão: Problemas de saúde mental podem interferir no desejo sexual e na capacidade de obter uma ereção.
 Problemas de relacionamento: Conflitos e falta de comunicação no relacionamento podem causar ansiedade e prejudicar a função erétil.
 Ansiedade de desempenho: O medo de falhar na relação sexual pode criar um ciclo de ansiedade e disfunção erétil.
 4. Outros fatores:
 Idade: A DE é mais comum em homens mais velhos, devido a alterações hormonais e vasculares relacionadas ao envelhecimento.
 Medicamentos: Alguns medicamentos, como antidepressivos, anti-hipertensivos e medicamentos para o tratamento de câncer de próstata, podem causar DE como efeito colateral.
 Cirurgias ou lesões na região pélvica: A cirurgia de próstata, por exemplo, pode danificar nervos e vasos sanguíneos envolvidos na ereção.
 É importante ressaltar:
 Se você está preocupado com a disfunção erétil, converse com seu médico.
 O tratamento da DE geralmente envolve uma combinação de mudanças no estilo de vida, medicamentos e terapia psicológica.
 Manter um estilo de vida saudável, controlar doenças crônicas e procurar ajuda profissional para problemas psicológicos podem ajudar a prevenir e tratar a disfunção erétil.
 Para informações adicionais, você pode consultar as fontes:
 Disfunção erétil e doenças cardiovasculares: qual é a relação - UROMED
 8 principais causas de disfunção erétil - Tua Saúde
 6 principais fatores da disfunção erétil - CBU - Centro Brasileiro de Urologia</t>
  </si>
  <si>
    <t>A disfunção erétil (DE) é uma condição multifacetada, influenciada por uma variedade de fatores físicos, psicológicos e de estilo de vida. Aqui estão os principais fatores de risco associados à DE:
 Fatores de risco físicos:
 Doenças cardiovasculares: A DE pode ser um sinal precoce de problemas cardíacos, pois o fluxo sanguíneo reduzido para o pênis também pode afetar o coração.
 Diabetes: Níveis elevados de açúcar no sangue podem danificar os nervos e vasos sanguíneos, afetando a função erétil.
 Obesidade: O excesso de peso está associado a níveis mais baixos de testosterona e problemas vasculares, contribuindo para a DE.
 Hipertensão: A pressão alta pode danificar os vasos sanguíneos, dificultando o fluxo sanguíneo para o pênis.
 Colesterol alto: O colesterol alto pode levar à aterosclerose (acúmulo de placas nas artérias), prejudicando o fluxo sanguíneo.
 Doença de Peyronie: Esta condição causa tecido cicatricial dentro do pênis, resultando em ereções dolorosas e curvadas.
 Esclerose múltipla e doença de Parkinson: Doenças neurológicas podem interferir nos sinais nervosos necessários para alcançar e manter uma ereção.
 Lesões: Lesões na coluna vertebral, pênis, próstata, bexiga ou pelve podem causar DE.
 Medicamentos: Alguns medicamentos prescritos (como antidepressivos, anti-hipertensivos e medicamentos para próstata) podem ter a DE como efeito colateral.
 Abuso de substâncias: O uso excessivo de álcool, tabaco e drogas ilícitas pode afetar negativamente a função erétil.
 Fatores de risco psicológicos:
 Estresse: O estresse crônico pode interferir na capacidade do corpo de relaxar e responder à excitação sexual.
 Ansiedade: A ansiedade de desempenho pode levar a um ciclo de falha e medo, dificultando a obtenção de uma ereção.
 Depressão: A depressão está frequentemente associada à diminuição do desejo sexual e à DE.
 Problemas de relacionamento: Conflitos e falta de comunicação em um relacionamento podem afetar a intimidade sexual.
 Fatores de risco de estilo de vida:
 Tabagismo: O tabagismo danifica os vasos sanguíneos, reduzindo o fluxo sanguíneo para o pênis.
 Consumo excessivo de álcool: O álcool pode deprimir o sistema nervoso central, afetando a função erétil.
 Sedentarismo: A falta de atividade física pode contribuir para problemas cardiovasculares e obesidade, ambos fatores de risco para DE.
 Importante:
 Se você está preocupado com a disfunção erétil, consulte um médico. Ele pode avaliar sua saúde geral, identificar possíveis causas subjacentes e recomendar opções de tratamento adequadas.
 A detecção e tratamento precoces de condições subjacentes, como doenças cardíacas e diabetes, podem ajudar a prevenir ou retardar a progressão da DE.</t>
  </si>
  <si>
    <t>A incontinência urinária masculina pode ser prevenida ou ter seus sintomas amenizados com algumas mudanças no estilo de vida e exercícios específicos. Aqui estão algumas dicas:
 Exercícios para fortalecer o assoalho pélvico (exercícios de Kegel):
 Identifique os músculos corretos: contraia os músculos que você usaria para interromper o fluxo de urina.
 Realize os exercícios regularmente: contraia os músculos por 3 a 5 segundos, relaxe por 3 a 5 segundos e repita 10 vezes. Faça isso 3 vezes ao dia.
 Varie os exercícios: experimente contrações rápidas e lentas para fortalecer diferentes fibras musculares.
 Mudanças no estilo de vida:
 Mantenha um peso saudável: o excesso de peso exerce pressão sobre a bexiga.
 Controle a ingestão de líquidos: evite beber muito líquido antes de dormir e reduza o consumo de cafeína e álcool, que podem irritar a bexiga.
 Alimentação: aumentar o consumo de fibras evita a constipação, uma das causas da incontinência urinária.
 Pare de fumar: fumar pode piorar a incontinência urinária.
 Outras dicas:
 Vá ao banheiro regularmente: estabeleça horários regulares para urinar, mesmo que não sinta vontade.
 Use roupas confortáveis: evite roupas apertadas que pressionem a bexiga.
 Mantenha a higiene: a higiene adequada pode ajudar a prevenir infecções urinárias, que podem piorar a incontinência.
 Quando procurar um médico:
 Se você tiver incontinência urinária persistente ou que piore com o tempo.
 Se você tiver outros sintomas, como dor ao urinar, sangue na urina ou febre.
 Se a incontinência estiver afetando sua qualidade de vida.
 É importante ressaltar que essas dicas podem ajudar a prevenir ou amenizar a incontinência urinária, mas não substituem a avaliação e o tratamento médico. Consulte um médico urologista para obter um diagnóstico preciso e um plano de tratamento individualizado.</t>
  </si>
  <si>
    <t>A incontinência urinária masculina pode ser prevenida ou ter seus sintomas amenizados com algumas mudanças no estilo de vida e exercícios específicos. Aqui estão algumas dicas:
 Hábitos de vida saudáveis:
 Mantenha um peso saudável: o excesso de peso exerce pressão sobre a bexiga, o que pode levar à incontinência.
 Alimentação: evite alimentos e bebidas que irritam a bexiga, como cafeína, álcool, alimentos ácidos e condimentados. Aumente o consumo de fibras para prevenir a constipação, que também pode afetar o controle da bexiga.
 Hidratação: beba água suficiente, mas evite o excesso de líquidos antes de dormir.
 Não fume: o tabagismo pode irritar a bexiga e piorar a incontinência.
 Exercícios:
 Exercícios de Kegel: fortalecem os músculos do assoalho pélvico, que são essenciais para o controle da bexiga. Para identificar os músculos corretos, tente interromper o fluxo de urina durante a micção. Contraia esses músculos por alguns segundos, relaxe e repita o exercício várias vezes ao dia.
 Treinamento da bexiga: pratique urinar em intervalos regulares para treinar a bexiga a reter a urina por períodos mais longos.
 Outras dicas:
 Consulte um médico: se você tiver sintomas de incontinência urinária, procure um médico para obter um diagnóstico e tratamento adequados.
 Gerencie condições de saúde: algumas condições de saúde, como diabetes e hiperplasia prostática benigna (HPB), podem contribuir para a incontinência urinária. O tratamento dessas condições pode ajudar a melhorar o controle da bexiga.
 Use produtos de incontinência: se você tiver escapes de urina, use produtos de incontinência, como absorventes ou cuecas, para se sentir mais confortável e confiante.
 Lembre-se que a prevenção da incontinência urinária masculina requer um esforço contínuo e a adoção de hábitos saudáveis.</t>
  </si>
  <si>
    <t>A bexiga urinária é um órgão muscular oco que faz parte do sistema urinário. Sua principal função é armazenar a urina, um resíduo líquido produzido pelos rins, até que ela possa ser eliminada do corpo.
 Como a bexiga funciona:
 Armazenamento: A urina, produzida pelos rins, flui através dos ureteres e se acumula na bexiga. As paredes da bexiga são flexíveis e elásticas, permitindo que ela se expanda para acomodar o volume crescente de urina.
 Micção: Quando a bexiga atinge um certo nível de enchimento, envia sinais ao cérebro, criando a sensação de vontade de urinar. Durante a micção, os músculos da parede da bexiga se contraem, e o esfíncter uretral relaxa, permitindo que a urina seja expelida através da uretra.
 Funções adicionais:
 Além do armazenamento e da micção, a bexiga também desempenha um papel na manutenção do equilíbrio de fluidos e eletrólitos no corpo.
 O controle da micção também envolve coordenação nervosa e muscular complexa.
 Em resumo, a bexiga urinária é essencial para o armazenamento e a eliminação da urina, contribuindo para a saúde e o bem-estar geral.</t>
  </si>
  <si>
    <t>A bexiga urinária desempenha um papel fundamental no sistema urinário, com a principal função de armazenar a urina produzida pelos rins antes de ser eliminada do corpo. Para entender melhor, veja detalhes sobre sua função e funcionamento:
 Função:
 Armazenamento de urina: A bexiga age como um reservatório temporário, acumulando a urina que é continuamente filtrada pelos rins.
 Micção: Quando a bexiga atinge um certo nível de enchimento, ela sinaliza a necessidade de urinar. Durante a micção, os músculos da parede da bexiga se contraem, e a urina é expelida através da uretra.
 Funcionamento:
 A urina, após ser produzida nos rins, desce pelos ureteres e chega à bexiga.
 A bexiga se expande para acomodar a urina, graças à sua capacidade elástica.
 Quando a bexiga está cheia, receptores nervosos enviam sinais ao cérebro, criando a sensação de vontade de urinar.
 O esvaziamento da bexiga ocorre pela contração de sua musculatura e relaxamento dos esfíncteres da uretra.
 É importante notar que a capacidade de armazenamento da bexiga varia entre os indivíduos, mas, em média, um adulto pode armazenar de 300ml a 500ml de urina.</t>
  </si>
  <si>
    <t>Os três principais tipos de incontinência urinária masculina são:
 Incontinência por esforço: ocorre quando há perda de urina durante atividades que aumentam a pressão abdominal, como tossir, espirrar, rir ou levantar peso.
 Incontinência de urgência: caracterizada pela vontade súbita e intensa de urinar, seguida de perda involuntária de urina.
 Incontinência por transbordamento: acontece quando a bexiga não se esvazia completamente, causando gotejamento frequente de urina.
 Além desses tipos principais, outros tipos de incontinência urinária masculina incluem:
 Incontinência mista: uma combinação de incontinência por esforço e de urgência.
 Incontinência funcional: perda de urina devido a limitações físicas ou cognitivas que impedem a pessoa de chegar ao banheiro a tempo.
 Incontinência reflexa: causada por danos nos nervos que controlam a bexiga, resultando em contrações involuntárias da bexiga.</t>
  </si>
  <si>
    <t>Existem três tipos principais de incontinência urinária masculina:
 Incontinência de esforço: vazamento de urina causado por atividades que aumentam a pressão no abdômen, como tossir, espirrar, rir ou levantar peso. É o tipo mais comum de incontinência urinária masculina, especialmente após cirurgia de próstata.
 Incontinência de urgência: necessidade repentina e intensa de urinar, seguida por perda involuntária de urina. Pode ser causada por contrações involuntárias da bexiga ou por problemas neurológicos.
 Incontinência por transbordamento: gotejamento frequente ou constante de urina devido ao esvaziamento incompleto da bexiga. Pode ser causada por obstrução da uretra ou por problemas neurológicos que afetam a função da bexiga.
 Outros tipos de incontinência urinária incluem:
 Incontinência mista: combinação de incontinência de esforço e de urgência.
 Incontinência funcional: perda de urina devido a problemas de mobilidade ou cognitivos que dificultam chegar ao banheiro a tempo.
 É importante ressaltar que a incontinência urinária não é uma parte normal do envelhecimento e pode ser tratada com sucesso em muitos casos. Se você está sofrendo de incontinência urinária, é importante consultar um médico para determinar a causa e o tratamento adequado.</t>
  </si>
  <si>
    <t>A prática complementar mais estudada para auxiliar no controle da incontinência urinária pós-prostatectomia radical é a fisioterapia do assoalho pélvico. Essa abordagem terapêutica visa fortalecer os músculos do assoalho pélvico, que desempenham um papel fundamental no controle da micção.
 A fisioterapia do assoalho pélvico geralmente inclui:
 Exercícios de Kegel: contrações e relaxamentos dos músculos do assoalho pélvico para melhorar sua força e resistência.
 Biofeedback: técnica que utiliza sensores para ajudar o paciente a identificar e controlar os músculos do assoalho pélvico.
 Eletroestimulação: uso de correntes elétricas de baixa intensidade para estimular os músculos do assoalho pélvico.
 Treinamento da bexiga: técnicas para ajudar o paciente a controlar a urgência e a frequência urinária.
 Estudos têm demonstrado que a fisioterapia do assoalho pélvico pode:
 Reduzir a gravidade da incontinência urinária.
 Acelerar a recuperação do controle urinário após a cirurgia.
 Melhorar a qualidade de vida dos pacientes.
 Outras práticas complementares que podem ser utilizadas em conjunto com a fisioterapia do assoalho pélvico incluem:
 Acupuntura
 Mudanças no estilo de vida, como controle do peso e restrição de líquidos.
 É importante ressaltar que a escolha do tratamento mais adequado deve ser individualizada, levando em consideração as características e necessidades de cada paciente. A fisioterapia do assoalho pélvico deve ser realizada por um fisioterapeuta especializado em saúde pélvica.</t>
  </si>
  <si>
    <t>Após a alta hospitalar, os pacientes submetidos à cirurgia geralmente precisam realizar uma série de cuidados para garantir uma recuperação adequada e prevenir complicações. As necessidades específicas variam de acordo com o tipo de cirurgia, o estado de saúde do paciente e as orientações médicas individuais. No entanto, algumas medidas comuns incluem:
 Cuidados com a ferida cirúrgica:
 Manter a área da incisão limpa e seca para evitar infecções.
 Trocar curativos conforme as instruções médicas.
 Observar sinais de infecção, como vermelhidão, inchaço, calor, dor intensa ou secreção.
 Medicação:
 Tomar os medicamentos prescritos corretamente, seguindo a dosagem e o horário indicados.
 Informar o médico sobre quaisquer efeitos colaterais.
 Alimentação:
 Seguir uma dieta equilibrada e nutritiva para auxiliar na recuperação.
 Em alguns casos, podem ser necessárias restrições alimentares temporárias.
 Atividade física:
 Realizar atividades leves e progressivas, conforme orientação médica.
 Evitar esforços excessivos e atividades que possam comprometer a cicatrização.
 Consultas de acompanhamento:
 Comparecer às consultas de retorno com o médico para avaliação da recuperação.
 Relatar quaisquer sintomas ou problemas que surgirem.
 Outros cuidados:
 Descansar adequadamente.
 Evitar o consumo de álcool e tabaco.
 Manter uma boa higiene pessoal.
 Seguir as orientações específicas fornecidas pela equipe médica.
 É fundamental que o paciente receba instruções claras e detalhadas sobre os cuidados pós-operatórios antes da alta hospitalar. Em caso de dúvidas ou problemas, é importante entrar em contato com o médico ou com o serviço de saúde responsável.</t>
  </si>
  <si>
    <t>Após a alta hospitalar, a grande maioria dos pacientes submetidos à cirurgia necessita realizar uma série de cuidados para garantir a recuperação completa e evitar complicações. As necessidades específicas variam de acordo com o tipo de cirurgia e a condição de saúde do paciente, mas algumas medidas são comuns a quase todos os casos:
 Cuidados gerais:
 Repouso: É fundamental repousar e evitar esforços excessivos nas primeiras semanas após a cirurgia. O tempo de repouso varia dependendo do tipo de cirurgia e da recuperação individual.
 Alimentação: Seguir uma dieta equilibrada e rica em nutrientes é essencial para auxiliar na cicatrização e recuperação do organismo. Em alguns casos, o médico pode recomendar uma dieta específica.
 Hidratação: Beber bastante água é importante para manter o corpo hidratado e auxiliar na eliminação de toxinas.
 Higiene: Manter a higiene pessoal é fundamental para evitar infecções. O médico ou enfermeiro fornecerá instruções específicas sobre como cuidar da área operada.
 Medicação: Seguir rigorosamente a prescrição médica, tomando os medicamentos nos horários e doses corretas.
 Acompanhamento médico: Comparecer às consultas de acompanhamento com o médico para avaliar a recuperação e realizar exames de controle.
 Cuidados específicos:
 Cuidados com a ferida cirúrgica: Manter a ferida limpa e seca, trocando o curativo conforme as orientações médicas. Observar sinais de infecção, como vermelhidão, inchaço, dor intensa ou secreção.
 Fisioterapia: Em alguns casos, a fisioterapia é necessária para auxiliar na recuperação da mobilidade e força muscular.
 Exercícios: Realizar exercícios leves e progressivos, conforme orientação médica, para evitar o sedentarismo e auxiliar na recuperação.
 Cuidados emocionais: A recuperação após uma cirurgia pode ser um período desafiador, tanto física quanto emocionalmente. É importante buscar apoio emocional de familiares, amigos ou profissionais de saúde.
 Sinais de alerta:
 Febre alta
 Dor intensa
 Vermelhidão, inchaço ou secreção na ferida cirúrgica
 Náuseas e vômitos persistentes
 Dificuldade para respirar
 Sangramento excessivo
 Em caso de qualquer um desses sinais, é fundamental procurar atendimento médico imediatamente.</t>
  </si>
  <si>
    <t>Após a alta hospitalar, os pacientes submetidos à cirurgia geralmente precisam realizar uma série de ações para garantir uma recuperação adequada e prevenir complicações. As necessidades específicas variam de acordo com o tipo de cirurgia, a condição de saúde do paciente e as orientações médicas individuais, mas algumas necessidades comuns incluem:
 Cuidados com a ferida cirúrgica:
 Higiene: Manter a ferida limpa e seca para prevenir infecções.
 Curativos: Trocar os curativos conforme as instruções médicas.
 Sinais de alerta: Observar sinais de infecção, como vermelhidão, inchaço, calor, dor intensa ou secreção.
 Medicação:
 Cumprir a prescrição: Tomar os medicamentos prescritos (analgésicos, antibióticos, etc.) nos horários e doses corretas.
 Efeitos colaterais: Estar atento a possíveis efeitos colaterais e comunicar o médico.
 Alimentação:
 Dieta adequada: Seguir as recomendações nutricionais para promover a cicatrização e a recuperação.
 Hidratação: Beber bastante água para manter o corpo hidratado.
 Repouso e atividade física:
 Repouso adequado: Descansar o suficiente para permitir que o corpo se recupere.
 Atividade física: Realizar atividades leves e progressivas, conforme orientação médica, para evitar complicações como trombose.
 Acompanhamento médico:
 Consultas de retorno: Comparecer às consultas de acompanhamento para que o médico possa avaliar a recuperação e ajustar o tratamento, se necessário.
 Exames: Realizar exames de acompanhamento, caso seja necessário.
 Cuidados adicionais:
 Equipamentos: caso necessários, adquirir equipamentos como cadeira de rodas, cadeiras de banho, ou outros itens.
 Apoio domiciliar: considerar a contratação de profissionais de saúde para auxiliar nos cuidados em casa, se necessário.
 Reabilitação: Participar de programas de reabilitação, como fisioterapia, se indicado.
 Saúde mental: buscar apoio emocional, se necessário, pois a recuperação pode ser um período desafiador.
 É fundamental que os pacientes sigam as orientações da equipe médica e esclareçam todas as dúvidas antes da alta hospitalar.</t>
  </si>
  <si>
    <t>Para auxiliar no tratamento da incontinência urinária pós-prostatectomia, diversas tecnologias e abordagens terapêuticas foram desenvolvidas, com o objetivo de melhorar a qualidade de vida dos pacientes. Entre elas, destacam-se:
 Aplicativos Móveis:
 O aplicativo IUProst®, desenvolvido por pesquisadores da UFMG e da UFG, é um exemplo notável. Ele oferece informações, dicas, exercícios para fortalecer a musculatura pélvica e vídeos explicativos, facilitando o acesso ao autocuidado e ao acompanhamento do tratamento.
 Fisioterapia:
 A fisioterapia pélvica, com exercícios específicos para fortalecer os músculos do assoalho pélvico, é uma abordagem comum e eficaz. Esses exercícios ajudam a melhorar o controle da bexiga e reduzir a incontinência.
 Dispositivos Médicos:
 Existem dispositivos como slings e esfíncteres artificiais que podem ser implantados cirurgicamente para auxiliar no controle da urina em casos mais graves.
 Biofeedback:
 Essa técnica utiliza sensores e monitores para ajudar o paciente a ter consciência e controle sobre os músculos do assoalho pélvico, facilitando o aprendizado dos exercícios de fortalecimento.
 Eletroestimulação:
 A eletroestimulação usa impulsos elétricos suaves para estimular os músculos do assoalho pélvico, fortalecendo-os e melhorando o controle da bexiga.
 É importante ressaltar que o tratamento mais adequado varia de acordo com a gravidade da incontinência e as características individuais de cada paciente. Portanto, é fundamental consultar um médico especialista para avaliação e orientação personalizada.</t>
  </si>
  <si>
    <t>O tratamento da incontinência urinária pós-prostatectomia pode se beneficiar de diversas tecnologias, abrangendo desde aplicativos móveis até intervenções cirúrgicas avançadas. Abaixo, detalho algumas das principais:
 Tecnologias de Apoio e Monitoramento:
 Aplicativos Móveis:
 O aplicativo IUProst®, desenvolvido por pesquisadores da UFMG e UFG, é um exemplo notável. Ele oferece exercícios para fortalecer a musculatura pélvica, informações sobre a cirurgia, vídeos explicativos e dicas para hábitos saudáveis, visando o autocuidado e o controle da incontinência.
 Tratamentos e Intervenções:
 Fisioterapia:
 Embora a fisioterapia não altere o desfecho da recuperação, ela pode acelerar o processo de retorno ao controle urinário. Exercícios específicos para o assoalho pélvico são cruciais.
 Cirurgia Robótica:
 A precisão da cirurgia robótica permite uma dissecação mais delicada e a preservação de tecidos importantes para a continência urinária. Isso pode levar a melhores resultados pós-operatórios.
 Esfíncter Urinário Artificial:
 Em casos de incontinência persistente, o implante de um esfíncter urinário artificial pode ser uma opção. Esse dispositivo simula a função do esfíncter natural, controlando o fluxo de urina.
 Slings Masculinos:
 São dispositivos que apoiam a uretra, ajudando a restaurar o controle urinário.
 Pontos importantes:
 A escolha da tecnologia ou tratamento adequado varia conforme a gravidade da incontinência e as características individuais do paciente.
 O acompanhamento médico é fundamental para avaliar a evolução do quadro e ajustar o tratamento conforme necessário.
 As informações disponibilizadas nos aplicativos não substituem o atendimento médico presencial, o qual se faz indispensável para o auxílio no reconhecimento do problema e tratamento adequado.
 Para informações mais detalhadas e personalizadas, consulte um médico urologista.</t>
  </si>
  <si>
    <t>O Índice Internacional de Função Erétil (IIEF) foi o instrumento adaptado para avaliar a disfunção sexual em homens brasileiros com sintomas do trato urinário inferior (LUTS). Especificamente, sua versão de 5 itens, o IIEF-5, tem sido utilizada com essa finalidade.
 Mais detalhes sobre o IIEF-5
 O IIEF-5 é uma versão abreviada do questionário original de 15 itens. Ele é projetado para ser mais rápido e fácil de administrar, o que o torna útil para triagem e avaliação inicial da disfunção erétil.
 O questionário avalia os seguintes domínios da função sexual masculina:
 Função erétil: a capacidade de atingir e manter uma ereção.
 Função orgásmica: a capacidade de atingir o orgasmo.
 Desejo sexual: o nível de desejo sexual.
 Satisfação com a relação sexual: o nível de satisfação com a relação sexual.
 Satisfação geral: o nível geral de satisfação sexual.
 O IIEF-5 tem se mostrado uma ferramenta válida e confiável para avaliar a disfunção erétil em homens com LUTS. Ele pode ser usado para monitorar a resposta ao tratamento e para avaliar o impacto da LUTS na função sexual.</t>
  </si>
  <si>
    <t>O questionário Índice Internacional de Função Erétil (IIEF) foi traduzido e adaptado transculturalmente para o português brasileiro, sendo utilizado para avaliar a disfunção erétil em homens brasileiros com sintomas do trato urinário inferior (LUTS).
 O IIEF consiste em 15 questões que abrangem 5 domínios da função erétil:
 Função erétil: avalia a capacidade de obter e manter uma ereção;
 Função orgásmica: avalia a capacidade de atingir o orgasmo;
 Desejo sexual: avalia o interesse e a frequência da atividade sexual;
 Satisfação com o intercurso sexual: avalia a satisfação com a qualidade da relação sexual;
 Satisfação global: avalia a satisfação geral com a vida sexual.
 O IIEF é um instrumento validado e confiável, sendo amplamente utilizado em pesquisas e na prática clínica para avaliar a disfunção erétil em homens com LUTS.
 Além do IIEF, outros instrumentos também podem ser utilizados para avaliar a disfunção sexual em homens brasileiros com LUTS, como:
 Quociente Sexual - Versão Masculina (QS-M): um instrumento de fácil manuseio e linguagem acessível que avalia vários domínios da função sexual masculina.
 Escala de Autoeficácia Sexual - Função Erétil (SSES-E): avalia a autoconfiança na capacidade de obter e manter uma ereção.
 A escolha do instrumento a ser utilizado dependerá do objetivo da avaliação e das características do paciente.</t>
  </si>
  <si>
    <t>Sim, segurar a urina por muito tempo pode ser prejudicial à saúde, pois pode causar:
 Infecção urinária: A urina retida na bexiga por longos períodos pode propiciar a proliferação de bactérias, aumentando o risco de infecções do trato urinário.
 Disfunções na bexiga: A retenção prolongada de urina pode enfraquecer os músculos da bexiga, causando incontinência urinária.
 Problemas renais: Em casos extremos, a urina pode retornar aos rins, causando infecções e danos renais.
 Cálculos renais: Segurar a urina por muito tempo pode contribuir para a formação de pedras nos rins.
 Dificuldade em urinar: A retenção prolongada pode dificultar o esvaziamento completo da bexiga.
 Com que frequência é normal urinar?
 A frequência normal de micção varia de pessoa para pessoa, dependendo da quantidade de líquidos ingeridos, da temperatura ambiente e de outros fatores. Em geral, urinar de 4 a 10 vezes por dia é considerado normal.
 Quando procurar um médico?
 É importante procurar um médico caso você sinta dor ao urinar, tenha necessidade frequente de urinar ou esteja urinando com muita frequência ou pouca frequência.</t>
  </si>
  <si>
    <t>Sim, segurar a urina por muito tempo pode ser prejudicial à saúde. Embora a bexiga seja um órgão elástico capaz de armazenar urina, forçá-la a reter o líquido urinário por longos períodos pode levar a complicações a curto e longo prazo.
 Possíveis consequências de segurar a urina:
 Infecção urinária: A urina contém bactérias que, se permanecerem na bexiga por tempo prolongado, podem se multiplicar e causar infecção.
 Disfunção da bexiga: Reter a urina com frequência pode enfraquecer os músculos da bexiga, dificultando o esvaziamento completo e causando incontinência urinária.
 Dor e desconforto: A retenção prolongada pode causar dor na bexiga, na região pélvica e nos rins.
 Cálculo renal: Em pessoas com predisposição, segurar a urina pode aumentar o risco de formação de cálculos renais.
 Hidronefrose: Em casos extremos, a retenção urinária pode causar hidronefrose, uma condição em que os rins incham devido ao acúmulo de urina.
 Com que frequência devemos urinar?
 A frequência urinária varia de pessoa para pessoa, mas, em média, o ideal é urinar de 6 a 8 vezes por dia. No entanto, essa frequência pode ser influenciada por fatores como a quantidade de líquidos ingeridos, a temperatura ambiente e o uso de medicamentos.
 Recomendações:
 Sempre que sentir vontade de urinar, vá ao banheiro.
 Não se force a segurar a urina por longos períodos, mesmo em situações inconvenientes.
 Mantenha-se hidratado, bebendo água regularmente.
 Se sentir dor ao urinar ou notar alterações na cor ou no odor da urina, procure um médico.
 Se você tiver dúvidas sobre a frequência urinária ideal para você ou se estiver preocupado com a saúde da sua bexiga, converse com seu médico.</t>
  </si>
  <si>
    <t>Antes de iniciar um programa de fortalecimento dos músculos pélvicos, é importante considerar alguns aspectos para garantir a eficácia dos exercícios e evitar lesões.
 Avaliação Profissional
 Consulta médica: É fundamental consultar um médico ou fisioterapeuta especializado em saúde pélvica. O profissional poderá avaliar a condição dos seus músculos pélvicos, identificar possíveis problemas e orientar sobre os exercícios mais adequados para o seu caso.
 Identificação dos músculos: Para exercitar os músculos certos, é importante saber localizá-los. Uma forma de fazer isso é tentar interromper o fluxo de urina durante a micção. Os músculos que você contrai para realizar essa ação são os músculos do assoalho pélvico. No entanto, não faça isso com frequência, pois pode prejudicar o funcionamento da bexiga.
 Preparação para os exercícios
 Esvazie a bexiga: Antes de iniciar os exercícios, certifique-se de que sua bexiga esteja vazia. Isso evita desconforto e garante que você esteja concentrando a força nos músculos corretos.
 Postura correta: Os exercícios podem ser realizados em diferentes posições, como deitado, sentado ou em pé. O importante é manter a coluna ereta e os músculos relaxados, com exceção dos músculos pélvicos.
 Respiração: A respiração é fundamental durante os exercícios. Inspire profundamente pelo nariz e expire pela boca, contraindo os músculos pélvicos durante a expiração.
 Regularidade: A consistência é fundamental para obter resultados. Realize os exercícios regularmente, de preferência todos os dias, seguindo as orientações do profissional de saúde.
 Observações
 Em alguns casos, biofeedback ou estimulação elétrica podem ser utilizados para aumentar a eficácia dos exercícios.
 Lembre-se que cada pessoa é única, e as necessidades podem variar. As informações acima são apenas um guia geral e não substituem a orientação de um profissional de saúde.</t>
  </si>
  <si>
    <t>Antes de iniciar um programa de fortalecimento dos músculos pélvicos, é crucial considerar alguns aspectos importantes para garantir a eficácia dos exercícios e evitar possíveis complicações:
 Avaliação profissional:
 Uma avaliação com um fisioterapeuta especializado em reabilitação pélvica é fundamental. Este profissional pode avaliar o estado da musculatura pélvica, identificar possíveis disfunções e orientar sobre os exercícios mais adequados para cada caso.
 Consciência da musculatura:
 É essencial aprender a identificar e isolar os músculos do assoalho pélvico. A dificuldade em contrair os músculos certos pode levar a exercícios ineficazes ou mesmo prejudiciais.
 Técnica correta:
 Realizar os exercícios de forma inadequada pode não trazer os resultados esperados e até mesmo agravar problemas existentes. A orientação de um profissional é importante para aprender a técnica correta de contração e relaxamento dos músculos pélvicos.
 Respiração adequada:
 A respiração desempenha um papel importante durante os exercícios pélvicos. É necessário aprender a coordenar a respiração com as contrações musculares para otimizar os resultados.
 Consistência:
 Como qualquer programa de exercícios, o fortalecimento dos músculos pélvicos requer consistência. A prática regular dos exercícios é fundamental para obter resultados duradouros.
 Conhecer o que não fazer:
 Saber proteger o soalho pelvico de atividades que prejudicam essa musculatura.
 Condições de saúde:
 É importante considerar condições de saúde pré-existentes que possam influenciar nos exercícios pélvicos. Pessoas com dor pélvica crônica, prolapso de órgãos pélvicos ou outras condições específicas devem buscar orientação profissional antes de iniciar qualquer programa de fortalecimento.
 Ao considerar esses aspectos, você estará melhor preparado para fortalecer seus músculos pélvicos de forma segura e eficaz.</t>
  </si>
  <si>
    <t>O aplicativo desenvolvido, chamado IUProst, visa auxiliar homens que passaram por prostatectomia radical e sofrem de incontinência urinária. Ele fornece informações sobre a cirurgia, tratamento e mudanças no estilo de vida, além de exercícios para a musculatura pélvica, diários miccionais e gráficos de evolução. O aplicativo também inclui vídeos explicativos sobre os exercícios, relatos de pacientes e contato com profissionais de saúde.  
 O objetivo principal do IUProst é ser uma ferramenta complementar ao tratamento, ajudando os pacientes a terem acesso a informações e suporte para a realização dos exercícios, sem restrições de tempo e espaço. O aplicativo também busca promover a educação em saúde e o autocuidado, além de estreitar a comunicação entre pacientes e profissionais de saúde.</t>
  </si>
  <si>
    <t>O aplicativo foi desenvolvido para auxiliar no tratamento da incontinência urinária em homens que se submeteram à prostatectomia radical. Ele fornece acesso interativo a informações sobre a saúde do paciente, incluindo orientações de autocuidado e autoconhecimento sobre a IU. O aplicativo também permite contato com profissionais de saúde, o que pode ajudar a melhorar a qualidade de vida do paciente.</t>
  </si>
  <si>
    <t>A alta hospitalar de pacientes submetidos à prostatectomia exige um plano de cuidados individualizado e abrangente, com intervenções de enfermagem que assegurem a recuperação segura e eficaz no domicílio. As principais intervenções validadas incluem:
 1. Cuidados com a sonda vesical:
 Manuseio e higiene: Orientar o paciente sobre o manuseio correto da sonda, incluindo técnicas de higiene para prevenir infecções.
 Drenagem: Instruir sobre o esvaziamento da bolsa coletora, observação da coloração e volume da urina, e reconhecimento de sinais de alerta (obstrução, vazamento, etc.).
 Remoção: Explicar o processo de remoção da sonda e os cuidados após a retirada, como controle urinário e possíveis desconfortos.
 2. Controle da dor:
 Medicação: Orientar sobre o uso correto de analgésicos prescritos, horários, doses e possíveis efeitos colaterais.
 Técnicas não farmacológicas: Ensinar técnicas de relaxamento, respiração profunda e outras medidas para alívio da dor.
 3. Prevenção de infecções:
 Higiene: Reforçar a importância da higiene pessoal, especialmente da área genital, para prevenir infecções urinárias e da ferida cirúrgica.
 Sinais de alerta: Instruir sobre os sinais e sintomas de infecção (febre, dor, secreção, etc.) e quando procurar ajuda médica.
 4. Cuidados com a ferida cirúrgica:
 Higiene: Orientar sobre a limpeza e troca de curativos, observando sinais de infecção (vermelhidão, inchaço, secreção, etc.).
 Sinais de alerta: Instruir sobre os sinais de alerta da ferida operatória e quando procurar ajuda médica.
 5. Controle da incontinência urinária:
 Exercícios de Kegel: Ensinar e incentivar a prática regular de exercícios para fortalecer os músculos do assoalho pélvico.
 Gerenciamento da incontinência: Orientar sobre o uso de absorventes, horários para urinar e outras estratégias para minimizar o impacto da incontinência.
 6. Retorno às atividades:
 Gradualidade: Instruir sobre a retomada gradual das atividades diárias, evitando esforços excessivos e levantamento de peso.
 Atividade física: Orientar sobre a importância da atividade física leve para recuperação, como caminhadas curtas.
 7. Alimentação e hidratação:
 Dieta: Orientar sobre uma dieta equilibrada, rica em fibras e líquidos, para prevenir constipação e promover a cicatrização.
 Hidratação: Incentivar a ingestão adequada de líquidos para manter a hidratação e o bom funcionamento dos rins.
 8. Suporte emocional:
 Apoio psicológico: Oferecer suporte emocional e psicológico para lidar com as mudanças no corpo, a incontinência urinária e outras dificuldades.
 Informações: Fornecer informações claras e precisas sobre a recuperação, possíveis complicações e recursos disponíveis.
 9. Acompanhamento médico:
 Consultas de acompanhamento: Informar sobre a importância das consultas de acompanhamento para avaliar a recuperação e detectar precocemente possíveis complicações.
 Sinais de alerta: Instruir sobre os sinais de alerta que exigem atenção médica imediata, como febre alta, dor intensa, sangramento excessivo, etc.
 Recursos adicionais:
 Para informações mais detalhadas e personalizadas, consulte um profissional de saúde, como um enfermeiro ou médico urologista.
 A Sociedade Brasileira de Urologia (SBU) e outras organizações de saúde podem fornecer materiais educativos e suporte para pacientes submetidos à prostatectomia.
 Lembre-se: Este guia fornece informações gerais e não substitui a orientação individualizada de um profissional de saúde.</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</si>
  <si>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</si>
  <si>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Um dos benefícios relatados da acupuntura auricular para pacientes com incontinência urinária é a melhora no controle da bexiga e o fortalecimento dos músculos do assoalho pélvico. Estudos também apontam que a técnica pode auxiliar na redução da urgência miccional e da noctúria (necessidade de urinar durante a noite).
 Além disso, a acupuntura auricular pode contribuir para a melhora da qualidade de vida dos pacientes, uma vez que a incontinência urinária pode gerar constrangimento e afetar o bem-estar emocional.</t>
  </si>
  <si>
    <t>Um dos benefícios relatados da acupuntura auricular para pacientes com incontinência urinária é a melhora no controle da bexiga e o fortalecimento dos músculos do assoalho pélvico. Isso pode levar a uma redução na frequência e na gravidade dos episódios de incontinência.
 Além disso, estudos sugerem que a acupuntura auricular pode ajudar a:
 Reduzir a urgência miccional: Diminuição da necessidade repentina e incontrolável de urinar.
 Diminuir a noctúria: Redução do número de vezes que a pessoa precisa se levantar à noite para urinar.
 Melhorar a qualidade de vida: Alívio dos sintomas e do impacto emocional da incontinência urinária.
 É importante ressaltar que a acupuntura auricular é considerada uma terapia complementar e não substitui os tratamentos médicos convencionais para incontinência urinária. É sempre recomendado consultar um profissional de saúde qualificado para obter um diagnóstico preciso e um plano de tratamento adequado.</t>
  </si>
  <si>
    <t>A relação entre disfunção sexual masculina (DSM) e sintomas do trato urinário inferior (STUI) é complexa e multifacetada, com várias teorias e mecanismos propostos. Embora a ligação exata ainda esteja sendo investigada, existem algumas conexões importantes a serem consideradas:
 1. Causas Compartilhadas:
 Envelhecimento: Tanto a DSM quanto os STUI são mais prevalentes em homens mais velhos. O envelhecimento leva a alterações hormonais, vasculares e neurológicas que podem contribuir para ambas as condições.
 Doenças Subjacentes: Condições como diabetes, doenças cardiovasculares, obesidade e síndrome metabólica podem afetar tanto a função sexual quanto a urinária.
 Fatores Psicológicos: Ansiedade, depressão e estresse podem exacerbar tanto a DSM quanto os STUI.
 2. Mecanismos de Conexão:
 Óxido Nítrico: O óxido nítrico desempenha um papel crucial na função erétil e no relaxamento do músculo liso do trato urinário inferior. Disfunções no sistema do óxido nítrico podem, portanto, afetar ambos os sistemas.
 Sistema Nervoso Autônomo: O sistema nervoso autônomo controla tanto a função sexual quanto a urinária. Desequilíbrios nesse sistema podem levar a problemas em ambas as áreas.
 Inflamação Crônica: A inflamação crônica na próstata e em outras áreas do trato urinário inferior pode contribuir para os STUI e, indiretamente, afetar a função sexual.
 Medicamentos: Alguns medicamentos usados para tratar STUI, como os alfa-bloqueadores, podem ter efeitos colaterais que afetam a função sexual.
 3. Impacto dos STUI na Função Sexual:
 Os STUI podem causar desconforto, dor e constrangimento, o que pode afetar negativamente o desejo sexual e a capacidade de ter relações sexuais satisfatórias.
 A ansiedade e o estresse associados aos STUI podem contribuir para a disfunção erétil e outros problemas sexuais.
 A incontinência urinária pode gerar constrangimento e interferir na vida sexual.
 4. Condições especificas:
 Hiperplasia Prostática Benigna (HPB): O aumento da próstata, comum na HPB, pode causar STUI e também está associado à disfunção erétil.
 Prostatite crônica: A inflamação da prostata pode causar dor e desconforto que afetam a função sexual.
 É importante observar que a presença de STUI não significa necessariamente que um homem terá DSM, e vice-versa. No entanto, a coexistência dessas duas condições é comum e pode ter um impacto significativo na qualidade de vida.
 Recomendação:
 Se você estiver enfrentando problemas sexuais ou urinários, é fundamental procurar um médico urologista. Ele poderá realizar uma avaliação completa, diagnosticar a causa subjacente e recomendar o tratamento adequado.</t>
  </si>
  <si>
    <t>A relação entre disfunção sexual masculina (DSM) e sintomas do trato urinário inferior (STUI) é complexa e multifacetada, com diversas condições compartilhando fatores de risco e mecanismos fisiopatológicos. Estudos têm demonstrado uma associação significativa entre STUI, especialmente aqueles relacionados à hiperplasia prostática benigna (HPB), e diferentes formas de DSM, como disfunção erétil (DE), ejaculação precoce (EP) e diminuição da libido.
 Principais mecanismos envolvidos:
 Fatores de risco comuns:
 Idade avançada: tanto a HPB quanto a DSM são mais prevalentes em homens mais velhos.
 Doenças cardiovasculares: condições como hipertensão e aterosclerose podem comprometer o fluxo sanguíneo tanto para a próstata quanto para o pênis, contribuindo para STUI e DE.
 Diabetes mellitus: a neuropatia diabética pode afetar os nervos que controlam a função urinária e sexual.
 Obesidade e síndrome metabólica: a resistência à insulina e o desequilíbrio hormonal associados a essas condições podem influenciar negativamente a saúde prostática e sexual.
 Mecanismos fisiopatológicos:
 Disfunção endotelial: o comprometimento da função do endotélio (camada interna dos vasos sanguíneos) pode reduzir o fluxo sanguíneo para a próstata e o pênis, resultando em STUI e DE.
 Inflamação crônica: a inflamação na próstata pode levar a alterações estruturais e funcionais que contribuem para STUI e, indiretamente, afetar a função sexual.
 Alterações hormonais: o desequilíbrio entre testosterona e outros hormônios pode influenciar tanto a função prostática quanto a sexual.
 Fatores psicológicos: a ansiedade e a depressão, que podem ser tanto causa quanto consequência de STUI e DSM, podem exacerbar os sintomas e criar um ciclo vicioso.
 Condições específicas:
 Hiperplasia prostática benigna (HPB): STUI como jato urinário fraco, frequência urinária aumentada e noctúria são frequentemente associados à DE e outros tipos de DSM.
 Prostatite crônica: a inflamação da próstata pode causar dor pélvica crônica, STUI e DSM.
 É importante ressaltar que a presença de STUI não implica necessariamente em DSM, e vice-versa. No entanto, a coexistência dessas condições é comum e pode impactar significativamente a qualidade de vida do homem.
 Recomendações:
 Homens com STUI e/ou DSM devem procurar um médico urologista para avaliação completa e diagnóstico preciso.
 O tratamento deve ser individualizado e pode incluir mudanças no estilo de vida, medicamentos e, em alguns casos, cirurgia.
 Recursos adicionais:
 Sociedade Brasileira de Urologia: https://portaldaurologia.org.br/
 Uromed: https://uromed.com.br/artigos/sintomas-do-trato-urinario-inferior-condicao-e-mais-frequente-entre-os-homens/
 Centro de Andrologia e Urologia: https://www.uro-rs.com.br/avalie-seus-sintomas</t>
  </si>
  <si>
    <t>A disfunção sexual masculina pode manifestar-se de diversas formas, como dificuldade em obter ou manter uma ereção, ejaculação precoce ou retardada, diminuição do desejo sexual e problemas com o orgasmo. Os tratamentos disponíveis variam de acordo com a causa subjacente e a gravidade do problema, e podem incluir:
 1. Medicamentos:
 Inibidores da PDE5: medicamentos como sildenafila (Viagra), tadalafila (Cialis) e vardenafila (Levitra) atuam aumentando o fluxo sanguíneo para o pênis, facilitando a ereção.
 Terapia de reposição hormonal: em casos de disfunção erétil causada por baixos níveis de testosterona, a reposição hormonal pode ser uma opção.
 2. Terapias não medicamentosas:
 Psicoterapia e terapia sexual: podem ajudar a identificar e tratar causas psicológicas da disfunção sexual, como ansiedade, estresse e problemas de relacionamento.
 Dispositivos de vácuo: auxiliam a obter e manter a ereção através da criação de vácuo ao redor do pênis.
 Injeções penianas: medicamentos injetados diretamente no pênis podem relaxar os músculos e aumentar o fluxo sanguíneo, facilitando a ereção.
 Ondas de choque: uma terapia relativamente nova que utiliza ondas de choque de baixa intensidade para estimular o crescimento de novos vasos sanguíneos no pênis, melhorando a função erétil.
 3. Mudanças no estilo de vida:
 Alimentação saudável: uma dieta equilibrada e rica em nutrientes pode melhorar a saúde vascular e a função sexual.
 Exercícios físicos regulares: a atividade física regular melhora a saúde geral e pode auxiliar na função erétil.
 Redução do estresse: técnicas de relaxamento, como ioga e meditação, podem ajudar a reduzir o estresse e a ansiedade, que podem contribuir para a disfunção sexual.
 Abandono do tabagismo e consumo moderado de álcool: o tabagismo e o consumo excessivo de álcool podem prejudicar a função sexual.
 4. Tratamentos cirúrgicos:
 Implante peniano: em casos de disfunção erétil grave que não respondem a outros tratamentos, a cirurgia de implante peniano pode ser considerada.
 É importante ressaltar que a escolha do tratamento mais adequado deve ser individualizada e discutida com um médico especialista, como um urologista ou sexólogo. O profissional poderá avaliar a causa da disfunção sexual e recomendar o tratamento mais eficaz para cada caso.</t>
  </si>
  <si>
    <t>A disfunção sexual masculina pode manifestar-se de diversas formas, como dificuldade em obter ou manter uma ereção, ejaculação precoce ou retardada, diminuição do desejo sexual e problemas com o orgasmo. O tratamento para cada caso dependerá da causa subjacente e da gravidade dos sintomas.
 Opções de tratamento disponíveis:
 1. Medicamentos orais:
 Inibidores da fosfodiesterase tipo 5 (PDE5): são os medicamentos mais comuns para tratar a disfunção erétil. Eles atuam aumentando o fluxo sanguíneo para o pênis, facilitando a ereção. Exemplos: sildenafila (Viagra), tadalafila (Cialis), vardenafila (Levitra) e avanafila (Stendra).
 Repositor hormonal: indicado para homens com baixos níveis de testosterona, o tratamento com testosterona pode ajudar a melhorar o desejo sexual e a função erétil.
 2. Terapias:
 Terapia sexual: com um terapeuta sexual pode ajudar a identificar e tratar questões psicológicas que contribuem para a disfunção sexual, como ansiedade de desempenho, estresse ou problemas de relacionamento.
 Terapia psicológica: caso a disfunção sexual esteja relacionada a problemas de saúde mental, como depressão ou ansiedade, a terapia psicológica pode ser útil.
 Terapia de reposição de testosterona: em casos de deficiência hormonal, a reposição de testosterona pode ser recomendada para melhorar a função sexual.
 3. Mudanças no estilo de vida:
 Exercícios físicos: a prática regular de exercícios físicos pode melhorar a saúde cardiovascular, o fluxo sanguíneo e a função sexual.
 Alimentação saudável: uma dieta equilibrada e rica em nutrientes pode contribuir para a saúde geral e sexual.
 Controle do peso: o excesso de peso pode aumentar o risco de disfunção erétil. Perder peso pode ajudar a melhorar a função sexual.
 Redução do estresse: o estresse crônico pode afetar negativamente a função sexual. Técnicas de relaxamento, como ioga ou meditação, podem ajudar a reduzir o estresse.
 Abandono do tabagismo e do consumo excessivo de álcool: o tabagismo e o consumo excessivo de álcool podem prejudicar a saúde cardiovascular e a função sexual.
 4. Outros tratamentos:
 Injeções penianas: medicamentos injetados diretamente no pênis para induzir a ereção.
 Dispositivos de vácuo: cilindros colocados sobre o pênis para criar vácuo e facilitar a ereção.
 Implantes penianos: próteses infláveis ou maleáveis implantadas cirurgicamente no pênis.
 Ondas de choque: terapia de ondas de choque de baixa intensidade para estimular o crescimento de novos vasos sanguíneos no pênis.
 É importante ressaltar que a escolha do tratamento adequado dependerá da avaliação médica individualizada. Um profissional de saúde poderá diagnosticar a causa da disfunção sexual e recomendar o tratamento mais adequado para cada caso.</t>
  </si>
  <si>
    <t>A incontinência urinária feminina é uma condição comum que afeta mulheres de todas as idades, mas é mais prevalente em mulheres mais velhas. A condição pode ser causada por uma variedade de fatores, incluindo gravidez, parto, menopausa e obesidade. Existem várias estratégias que podem ser usadas para prevenir e tratar a incontinência urinária feminina, incluindo:
 Prevenção:
 Exercícios de Kegel: Exercitar os músculos do assoalho pélvico pode ajudar a fortalecer os músculos que controlam a micção.
 Controle de peso: O excesso de peso pode aumentar a pressão sobre a bexiga, o que pode levar à incontinência urinária.
 Controle da ingestão de líquidos: Reduzir o consumo de líquidos, especialmente à noite, pode ajudar a diminuir a frequência da micção.
 Evitar substâncias irritantes para a bexiga: Cafeína, álcool e alimentos ácidos podem irritar a bexiga e aumentar a frequência da micção.
 Tratamento de constipação: A constipação pode exercer pressão sobre a bexiga e levar à incontinência urinária.
 Prática de atividade física regular: Ajuda na prevenção da incontinência urinária, desde que sejam atividades leves, como yoga e pilates. Atividades mais pesadas, como crossfit, podem agravar o quadro.
 Tratamento:
 Mudanças no estilo de vida: As mesmas mudanças no estilo de vida que podem ajudar a prevenir a incontinência urinária também podem ser usadas para tratá-la.
 Medicamentos: Existem vários medicamentos que podem ajudar a relaxar os músculos da bexiga ou aumentar a capacidade da bexiga.
 Dispositivos médicos: Dispositivos como pessários e estimuladores nervosos sacrais podem ser usados para ajudar a controlar a incontinência urinária.
 Cirurgia: A cirurgia pode ser usada para corrigir problemas anatômicos que podem estar contribuindo para a incontinência urinária.
 Fisioterapia: Um fisioterapeuta especializado em assoalho pélvico pode ensinar exercícios para fortalecer os músculos do assoalho pélvico e melhorar o controle da bexiga.
 Neuromodulação neural: É um procedimento minimamente invasivo que ocorre em várias etapas sem anestesia geral, e tem se mostrado eficaz no tratamento da incontinência urinária.
 É importante ressaltar que o tratamento ideal para a incontinência urinária feminina varia de mulher para mulher. Se você está sofrendo de incontinência urinária, é importante consultar um médico para determinar a causa da sua condição e discutir as opções de tratamento disponíveis.</t>
  </si>
  <si>
    <t>A incontinência urinária feminina é uma condição comum que afeta mulheres de todas as idades, mas é mais prevalente em mulheres mais velhas. As estratégias de prevenção e tratamento variam dependendo do tipo e da gravidade da incontinência.
 Prevenção
 Exercícios do assoalho pélvico (Kegel): Fortalecem os músculos que controlam a micção, ajudando a prevenir a incontinência de esforço.
 Manutenção de peso saudável: O excesso de peso exerce pressão sobre a bexiga, aumentando o risco de incontinência.
 Gerenciamento da ingestão de líquidos: Beber quantidades adequadas de água e limitar o consumo de cafeína e álcool pode ajudar a controlar a frequência urinária.
 Tratamento de constipação: A constipação pode exercer pressão sobre a bexiga, contribuindo para a incontinência.
 Tratamento
 Mudanças de estilo de vida: As mesmas mudanças de estilo de vida recomendadas para prevenção também são eficazes no tratamento da incontinência leve a moderada.
 Fisioterapia: Um fisioterapeuta especializado em saúde pélvica pode ensinar exercícios específicos para fortalecer o assoalho pélvico e melhorar o controle da bexiga.
 Medicamentos: Existem medicamentos que podem ajudar a relaxar os músculos da bexiga ou aumentar a capacidade da bexiga.
 Dispositivos médicos: Dispositivos como pessários ou estimuladores elétricos podem ser usados para ajudar a controlar a incontinência.
 Cirurgia: Em casos graves de incontinência, a cirurgia pode ser necessária para corrigir problemas estruturais no trato urinário.
 Tipos de incontinência e seus tratamentos
 Incontinência de esforço: Perda involuntária de urina durante atividades como tossir, espirrar, rir ou levantar peso. Tratamento: exercícios do assoalho pélvico, fisioterapia, medicamentos, dispositivos médicos ou cirurgia.
 Incontinência de urgência: Vontade súbita e intensa de urinar, seguida de perda involuntária de urina. Tratamento: mudanças de estilo de vida, treinamento da bexiga, medicamentos ou estimulação nervosa.
 Incontinência mista: Combinação de incontinência de esforço e urgência. Tratamento: uma combinação de tratamentos para ambos os tipos de incontinência.
 Incontinência por transbordamento: Gotejamento frequente ou perda de pequenas quantidades de urina devido ao esvaziamento incompleto da bexiga. Tratamento: medicamentos, cateterismo intermitente ou cirurgia.
 Quando procurar um médico
 É importante procurar um médico se você estiver enfrentando incontinência urinária para obter um diagnóstico preciso e um plano de tratamento individualizado.</t>
  </si>
  <si>
    <t>A eficácia da acupuntura auricular associada ao treinamento muscular pélvico (TMFP) para o controle da incontinência urinária pós-prostatectomia radical (IUPPR) tem sido objeto de estudo em diversas pesquisas. Abaixo estão alguns pontos importantes sobre o tema:
 Estudos e Resultados
 Eficácia da Associação:
 Estudos clínicos randomizados têm demonstrado que a combinação da acupuntura auricular com o TMFP pode ser eficaz na redução da IUPPR.
 Essa abordagem combinada parece ser mais eficaz do que o TMFP isolado, especialmente no que diz respeito à melhora da qualidade de vida dos pacientes e à redução dos sintomas de urgência miccional e noctúria.
 A acupuntura auricular, quando associada ao TMFP, parece potencializar os efeitos do treinamento muscular, acelerando a recuperação do controle urinário.
 Mecanismos de Ação:
 Acredita-se que a acupuntura auricular atue no sistema nervoso, modulando a atividade dos músculos do assoalho pélvico e melhorando a função da bexiga.
 O TMFP, por sua vez, fortalece os músculos do assoalho pélvico, que desempenham um papel crucial no controle da micção.
 A associação das duas terapias tende a acelerar a recuperação da força muscular, e a capacidade inibitória da bexiga.
 Resultados Observados:
 Redução da perda urinária (medida pelo teste do absorvente).
 Diminuição da frequência de uso de absorventes.
 Melhora da qualidade de vida dos pacientes.
 Redução dos sintomas de urgência miccional e noctúria.
 Considerações Importantes
 É fundamental que o tratamento seja realizado por profissionais qualificados, tanto em acupuntura quanto em fisioterapia pélvica.
 A resposta ao tratamento pode variar de paciente para paciente.
 A acupuntura auricular e o TMFP são considerados tratamentos seguros, com poucos efeitos colaterais.
 Recursos e artigos relevantes:
 Para se aprofundar no assunto, sugiro a leitura de estudos como:
 "Efetividade da acupuntura auricular associada ao treinamento muscular pélvico para controle da incontinência urinária pós-prostatectomia radical: ensaio clínico randomizado" de Cissa Azevedo.
 "Efetividade da acupuntura sistêmica no controle da incontinência urinária pós-prostatectomia radical: ensaio clínico randomizado" disponivel no Scielo.
 Lembre-se de que é sempre importante consultar um médico ou fisioterapeuta especializado em saúde pélvica para obter orientações personalizadas sobre o tratamento da IUPPR.</t>
  </si>
  <si>
    <t>A eficácia da acupuntura auricular associada ao treinamento muscular pélvico (TMP) para o controle da incontinência urinária pós-prostatectomia radical (IUPPR) tem sido objeto de estudo em diversas pesquisas. Abaixo estão algumas informações importantes sobre o assunto:
 Resultados de pesquisas:
 Efetividade:
 Estudos clínicos randomizados têm demonstrado que a combinação da acupuntura auricular com o TMP pode ser eficaz na redução da gravidade da IUPPR.
 A associação dessas terapias tem mostrado resultados positivos, principalmente na melhora da qualidade de vida dos pacientes, reduzindo os sintomas de noctúria (necessidade de urinar à noite) e urgência miccional.
 No geral, o resultado que salta a vista dos estudos clínicos randomizados é que o treinamento muscular pélvico associado a acupuntura auricular tem melhores resultados do que apenas o treinamento muscular.
 Mecanismos de ação:
 Acredita-se que a acupuntura auricular atue no sistema nervoso, promovendo o relaxamento do esfíncter urinário e melhorando o controle da bexiga.
 O TMP, por sua vez, fortalece os músculos do assoalho pélvico, que desempenham um papel fundamental na continência urinária.
 A combinação dessas duas terapias podem ter um efeito sinérgico, potencializando os benefícios de cada uma.
 Considerações:
 A eficácia do tratamento pode variar de paciente para paciente, dependendo da gravidade da incontinência, da saúde geral e da adesão às terapias.
 É importante que o tratamento seja realizado por profissionais qualificados, tanto na acupuntura auricular quanto no TMP.
 Para uma tomada de decisão sobre o tratamento, um médico deverá ser consultado para que as individualidades do paciente sejam consideradas.
 Recursos adicionais:
 Para obter informações mais detalhadas sobre os estudos e os resultados, você pode consultar os seguintes recursos:
 Repositório Institucional da UFMG
 Biblioteca Virtual em Saúde (BVS)
 Scielo
 É importante ressaltar que a acupuntura auricular e o TMP são consideradas terapias complementares e não substituem o tratamento médico convencional.</t>
  </si>
  <si>
    <t>As diretrizes da Associação Europeia de Urologia (EAU) sobre incontinência urinária masculina abrangem diversos aspectos, desde a avaliação diagnóstica até as opções de tratamento. Para obter informações detalhadas e atualizadas, recomendo consultar os seguintes recursos:
 Diretrizes da EAU:
 O site oficial da EAU (uroweb.org) é a principal fonte de informações, oferecendo acesso às diretrizes completas e atualizadas.
 O PubMed também pode ser um recurso útil para encontrar artigos científicos e resumos das diretrizes da EAU.
 Sociedade Brasileira de Urologia (SBU):
 A SBU também disponibiliza diretrizes e informações sobre incontinência urinária, muitas vezes baseadas nas diretrizes internacionais, incluindo as da EAU. No link http://sbu.org.br/pdf/guidelines_EAU/2012/223.pdf você encontra um manual de diretrizes.
 Associação Portuguesa de Urologia (APU):
 No seguinte link, você encontra informações das orientações sobre incontinência urinária: https://apurologia.pt/wp-content/uploads/2018/10/Incont-Urinaria.pdf
 Principais pontos abordados nas diretrizes da EAU:
 Avaliação diagnóstica:
 Histórico médico detalhado.
 Exame físico.
 Testes urodinâmicos.
 Exames de imagem, quando necessário.
 Tratamentos:
 Mudanças de estilo de vida: Como a perda de peso, restrição de ingestão de cafeína e álcool, e horários estabelecidos para ingestão de líquidos.
 Fisioterapia do assoalho pélvico: Exercícios para fortalecer os músculos do assoalho pélvico.
 Tratamento medicamentoso: Uso de medicamentos específicos para incontinência urinária.
 Tratamentos cirúrgicos: Diversas opções cirúrgicas, dependendo do tipo e gravidade da incontinência.
 Observações importantes:
 As diretrizes da EAU são atualizadas regularmente, por isso é importante consultar as versões mais recentes.
 O tratamento da incontinência urinária masculina deve ser individualizado, levando em consideração as características e necessidades de cada paciente.
 Em caso de sintomas de incontinência urinária, procure um médico especialista para fazer um diagnóstico e indicação do tratamento adequado.</t>
  </si>
  <si>
    <t>As diretrizes da Associação Europeia de Urologia (EAU) sobre incontinência urinária masculina abordam diversos aspectos do diagnóstico e tratamento dessa condição. Aqui estão alguns pontos-chave:
 Classificação e diagnóstico:
 Tipos de incontinência: A EAU classifica a incontinência urinária masculina em diferentes tipos, incluindo incontinência urinária de esforço (IUE), incontinência urinária de urgência (IUU) e incontinência urinária mista (IUM).
 Avaliação inicial: As diretrizes enfatizam a importância de uma avaliação inicial completa, incluindo histórico médico, exame físico, avaliação da função vesical e exames de imagem, se necessário.
 Diagnóstico diferencial: É importante diferenciar a incontinência urinária de outras condições, como hiperplasia prostática benigna (HPB) e infecções do trato urinário.
 Tratamento:
 Mudanças no estilo de vida: As diretrizes recomendam mudanças no estilo de vida como primeira linha de tratamento, incluindo exercícios do assoalho pélvico, controle do peso e modificações na dieta.
 Tratamento medicamentoso: Em alguns casos, medicamentos podem ser prescritos para tratar a incontinência urinária, dependendo do tipo e da causa subjacente.
 Tratamento cirúrgico: A cirurgia pode ser considerada em casos de incontinência urinária persistente ou grave, especialmente após prostatectomia radical. Existem várias opções cirúrgicas disponíveis, incluindo sling suburetral masculino e esfíncter urinário artificial.
 Considerações adicionais:
 As diretrizes da EAU também abordam a incontinência urinária em populações específicas, como homens com doença de Parkinson ou lesão da medula espinhal.
 A EAU enfatiza a importância de uma abordagem individualizada para o tratamento da incontinência urinária masculina, levando em consideração as necessidades e preferências de cada paciente.
 Onde encontrar as diretrizes completas:
 Para obter informações detalhadas, você pode consultar as diretrizes da EAU no site oficial da Associação Europeia de Urologia (uroweb.org). Além do site da EAU, o site da Associação Portuguesa de Urologia (apurologia.pt) tambem possui informação relevante.
 Espero que esta informação seja útil. Lembre-se que é importante consultar um médico urologista para obter um diagnóstico e tratamento adequados para a incontinência urinária masculina.</t>
  </si>
  <si>
    <t>A incontinência urinária após a prostatectomia radical é uma complicação comum, mas geralmente temporária. A maioria dos homens experimenta algum grau de incontinência nos primeiros meses após a cirurgia. No entanto, o tempo de recuperação varia de pessoa para pessoa.
 Fatores que influenciam a duração da incontinência:
 Idade: Homens mais jovens tendem a se recuperar mais rapidamente.
 Saúde geral: Condições como diabetes e obesidade podem prolongar a recuperação.
 Técnica cirúrgica: A experiência do cirurgião e a técnica utilizada podem influenciar a recuperação.
 Exercícios do assoalho pélvico: Realizar exercícios de Kegel regularmente pode acelerar a recuperação.
 Tempo de recuperação:
 A maioria dos homens começa a notar melhora significativa no controle da bexiga dentro de 3 a 6 meses após a cirurgia.
 Para alguns, a recuperação completa pode levar até 12 meses ou mais.
 Embora seja menos comum, alguns homens podem continuar a ter problemas de incontinência por um período mais longo.
 Tratamentos disponíveis:
 Exercícios do assoalho pélvico (Exercícios de Kegel): Fortalecem os músculos que controlam a micção.
 Mudanças no estilo de vida: Limitar a ingestão de cafeína e álcool, perder peso (se necessário) e gerenciar a ingestão de líquidos.
 Medicamentos: Alguns medicamentos podem ajudar a controlar a incontinência de urgência.
 Dispositivos médicos: Dispositivos como grampos penianos ou esfíncteres urinários artificiais podem ser opções para casos persistentes.
 Cirurgia: Em casos raros, a cirurgia pode ser necessária para corrigir problemas persistentes.
 Recomendações:
 Converse com seu médico sobre suas preocupações e expectativas em relação à recuperação.
 Siga as orientações do seu médico e fisioterapeuta em relação aos exercícios do assoalho pélvico.
 Mantenha um diário da micção para monitorar seu progresso e identificar padrões.
 Não hesite em procurar ajuda se a incontinência persistir ou piorar.
 É importante lembrar que cada caso é único, e o tempo de recuperação pode variar. Se você tiver alguma dúvida ou preocupação, consulte seu médico para obter orientação personalizada.</t>
  </si>
  <si>
    <t>A incontinência urinária após a prostatectomia radical é uma complicação comum, mas geralmente temporária. A maioria dos homens experimenta algum grau de incontinência nos primeiros meses após a cirurgia, mas a função urinária tende a melhorar gradualmente com o tempo.
 Duração:
 3 a 12 meses: Em geral, a maioria dos homens recupera o controle urinário dentro de 3 a 12 meses após a prostatectomia radical.
 Melhora gradual: A melhora geralmente é gradual, com a maioria dos pacientes notando progresso significativo nos primeiros 6 meses.
 Casos persistentes: Em alguns casos, a incontinência pode persistir por mais de 12 meses, mas isso é menos comum.
 Fatores que influenciam a duração:
 Idade do paciente
 Condição física geral
 Tipo de cirurgia realizada
 Técnica cirúrgica utilizada
 Acompanhamento e realização de exercicios de fisioterapia do assoalho pélvico.
 O que fazer:
 Exercícios de Kegel: Exercícios regulares do assoalho pélvico (exercícios de Kegel) podem ajudar a fortalecer os músculos que controlam a micção e acelerar a recuperação.
 Acompanhamento médico: É importante manter um acompanhamento regular com o médico urologista para monitorar a recuperação e discutir opções de tratamento, se necessário.
 Fisioterapia: Em alguns casos, a fisioterapia especializada pode ser recomendada para ajudar na recuperação da função urinária.
 Importante: A recuperação da continência urinária varia de pessoa para pessoa. Se você estiver preocupado com sua incontinência, converse com seu médico para obter orientação individualizada.</t>
  </si>
  <si>
    <t>A recuperação do controle urinário após cirurgias, especialmente aquelas que afetam a região pélvica, como a prostatectomia radical, requer um plano abrangente e personalizado. Abaixo, detalho algumas estratégias cruciais:
 1. Exercícios do Assoalho Pélvico (Exercícios de Kegel)
 Identificação dos músculos: Essencial para o sucesso dos exercícios, consiste em contrair os músculos que interrompem o fluxo da urina e a expulsão de gases.
 Técnica correta: Contraia os músculos por 5 a 10 segundos, relaxe por igual período e repita 10 a 15 vezes, 3 a 4 vezes ao dia.
 Consistência: A prática regular é fundamental, com resultados visíveis em semanas ou meses.
 2. Mudanças no Estilo de Vida
 Hidratação controlada: Evitar ingestão excessiva de líquidos antes de dormir e reduzir o consumo de cafeína e álcool, diuréticos naturais.
 Dieta balanceada: Rica em fibras para evitar constipação, que exerce pressão sobre a bexiga.
 Peso saudável: O excesso de peso aumenta a pressão abdominal, agravando a incontinência.
 Parar de fumar: A tosse crônica associada ao tabagismo sobrecarrega o assoalho pélvico.
 3. Treinamento da Bexiga
 Micção programada: Urinar em intervalos regulares, aumentando gradativamente o tempo entre as idas ao banheiro.
 Técnicas de urgência: Estratégias de distração e relaxamento para controlar a vontade súbita de urinar.
 Registro: Manter um diário miccional para identificar padrões e gatilhos.
 4. Biofeedback e Eletroestimulação
 Biofeedback: Monitoramento da atividade muscular do assoalho pélvico para aprimorar a técnica dos exercícios.
 Eletroestimulação: Uso de correntes elétricas suaves para estimular os músculos do assoalho pélvico.
 5. Fisioterapia do Assoalho Pélvico
 Avaliação individualizada: Identificação de disfunções e desenvolvimento de um plano de tratamento específico.
 Técnicas manuais: Liberação de tensões musculares e melhora da coordenação.
 Exercícios personalizados: Fortalecimento e coordenação dos músculos do assoalho pélvico.
 6. Medicamentos
 Casos específicos: Uso de medicamentos para incontinência de urgência ou outros tipos de incontinência, conforme orientação médica.
 Efeitos colaterais: Monitoramento e ajuste da dose sob supervisão médica.
 7. Cirurgia (Casos Selecionados)
 Opção para incontinência persistente: Procedimentos como sling uretral masculino ou esfíncter urinário artificial.
 8. Dispositivos Médicos
 Clamp peniano: Dispositivo externo que comprime a uretra para prevenir vazamentos.
 Cateteres: Uso intermitente ou contínuo para esvaziar a bexiga.
 Acompanhamento Multidisciplinar
 Urologista: Especialista em saúde do trato urinário masculino.
 Fisioterapeuta pélvico: Especialista em reabilitação do assoalho pélvico.
 Enfermeiro: Suporte e orientação sobre o manejo da incontinência.
 Recursos e Suporte
 Associações de pacientes: Grupos de apoio e informações sobre incontinência urinária.
 Materiais educativos: Livros, sites e vídeos com informações sobre prevenção e tratamento.
 Lembre-se: Cada caso é único, e a recuperação do controle urinário leva tempo e dedicação. A consulta com um profissional de saúde é fundamental para um plano de tratamento individualizado e eficaz.</t>
  </si>
  <si>
    <t>A recuperação do controle urinário após uma cirurgia depende do tipo de procedimento realizado, mas algumas estratégias gerais podem ajudar:
 1. Exercícios do assoalho pélvico (Kegel):
 Identifique os músculos corretos: Contraia os músculos que você usaria para interromper o fluxo de urina.
 Realize os exercícios regularmente: Contraia os músculos por 5-10 segundos, relaxe e repita 10-15 vezes, várias vezes ao dia.
 Varie os exercícios: Faça contrações rápidas e longas para fortalecer diferentes fibras musculares.
 2. Mudanças no estilo de vida:
 Controle da ingestão de líquidos: Reduza o consumo de cafeína e álcool, que podem irritar a bexiga.
 Gerenciamento do peso: A perda de peso pode aliviar a pressão sobre a bexiga.
 Parar de fumar: O tabagismo pode irritar a bexiga e causar tosse, o que pode levar à incontinência.
 Evitar esforço: Evitar esforço por 30 dias após a cirurgia.
 3. Treinamento da bexiga:
 Micção programada: Vá ao banheiro em horários regulares, mesmo que não sinta vontade.
 Aumento gradual do intervalo: Aumente gradualmente o tempo entre as idas ao banheiro.
 Técnicas de supressão: Use técnicas de relaxamento e respiração profunda para controlar a vontade de urinar.
 4. Fisioterapia:
 Eletroestimulação: Um fisioterapeuta pode usar eletrodos para estimular os músculos do assoalho pélvico.
 Biofeedback: Um fisioterapeuta pode usar sensores para ajudá-lo a aprender a controlar os músculos do assoalho pélvico.
 5. Medicamentos:
 Anticolinérgicos: Relaxam os músculos da bexiga e podem ajudar com a incontinência de urgência.
 Alfa-bloqueadores: Relaxam os músculos da próstata e podem ajudar com a incontinência por transbordamento.
 Estrogênio tópico: Pode ajudar a fortalecer os músculos da uretra em mulheres.
 6. Outras intervenções:
 Dispositivos médicos: Dispositivos como pessários e slings podem ajudar a sustentar a uretra.
 Cirurgia: Em casos graves, a cirurgia pode ser necessária para reparar danos aos músculos ou nervos do assoalho pélvico.
 7. Acompanhamento médico:
 É importante consultar um médico ou fisioterapeuta para obter um plano de tratamento personalizado.
 O médico pode recomendar exames e procedimentos adicionais para determinar a causa da incontinência e monitorar o progresso do tratamento.
 Recursos adicionais:
 Associação Portuguesa de Urologia: [https://apurologia.pt/](https://apurologia.pt/)
 Sociedade Brasileira de Urologia: https://sbu-sp.org.br/publico/incontinencia-urinaria/
 Lembre-se que a recuperação do controle urinário pode levar tempo e paciência. Seja persistente com seus exercícios e siga as orientações do seu médico ou fisioterapeuta.</t>
  </si>
  <si>
    <t>O suporte educacional desempenha um papel fundamental na adaptação de pacientes à incontinência urinária pós-prostatectomia. Ao fornecer informações claras, orientação prática e apoio emocional, o suporte educacional ajuda os pacientes a:
 1. Compreender a condição:
 Informações sobre a incontinência: Explicações sobre as causas, tipos e duração esperada da incontinência após a prostatectomia.
 Anatomia e fisiologia: Esclarecimento sobre as mudanças no sistema urinário após a cirurgia.
 Expectativas realistas: Ajuda a definir expectativas realistas sobre a recuperação da continência e a lidar com a frustração.
 2. Desenvolver habilidades de gerenciamento:
 Exercícios do assoalho pélvico: Instrução e acompanhamento na realização dos exercícios de Kegel para fortalecer os músculos do assoalho pélvico.
 Técnicas de controle da bexiga: Estratégias para retardar a vontade de urinar, programar idas ao banheiro e evitar gatilhos da incontinência.
 Uso de dispositivos de auxílio: Orientação sobre o uso de absorventes, coletores de urina e outros dispositivos para gerenciar a incontinência.
 Cuidados com a pele: Dicas para prevenir irritações e infecções da pele causadas pelo contato com a urina.
 3. Promover a saúde emocional:
 Apoio emocional: Criação de um ambiente seguro para o paciente expressar suas preocupações, medos e frustrações.
 Informações sobre recursos: Orientação sobre grupos de apoio, terapia individual ou em grupo e outros recursos para lidar com o impacto emocional da incontinência.
 Estratégias de enfrentamento: Ferramentas para lidar com o estresse, a ansiedade e a vergonha associados à incontinência.
 4. Melhorar a qualidade de vida:
 Retorno às atividades: Orientações sobre como retomar gradualmente as atividades diárias, o trabalho e o lazer.
 Saúde sexual: Informações sobre como a incontinência pode afetar a saúde sexual e estratégias para lidar com essas mudanças.
 Nutrição e hidratação: Orientações sobre como a dieta e a ingestão de líquidos podem afetar a incontinência.
 Recursos adicionais:
 Além do suporte educacional fornecido por profissionais de saúde, existem diversos recursos online e offline que podem auxiliar os pacientes:
 Associações de pacientes e grupos de apoio.
 Materiais educativos impressos e online.
 Aplicativos e dispositivos para monitoramento e exercícios do assoalho pélvico.
 Ao combinar informações, habilidades práticas e apoio emocional, o suporte educacional capacita os pacientes a assumirem o controle da sua condição e a melhorarem a sua qualidade de vida após a prostatectomia.</t>
  </si>
  <si>
    <t>O suporte educacional desempenha um papel fundamental na adaptação de pacientes à incontinência urinária pós-prostatectomia. Ao fornecer informações claras, orientação prática e apoio emocional, o suporte educacional ajuda os pacientes a entenderem sua condição, aprenderem a lidar com os sintomas e recuperarem a qualidade de vida.
 Principais aspectos do suporte educacional
 Informações sobre a incontinência urinária: O suporte educacional fornece informações detalhadas sobre as causas, tipos e duração da incontinência urinária após a prostatectomia. Isso ajuda os pacientes a entenderem sua condição e a terem expectativas realistas sobre a recuperação.
 Treinamento de exercícios do assoalho pélvico: O suporte educacional ensina os pacientes a identificarem e fortalecerem os músculos do assoalho pélvico, que desempenham um papel crucial no controle da urina. O treinamento regular desses músculos pode melhorar significativamente a continência.
 Orientações sobre o uso de dispositivos e acessórios: O suporte educacional informa os pacientes sobre os diferentes tipos de dispositivos e acessórios disponíveis para o controle da incontinência urinária, como absorventes, coletores e dispositivos de estimulação elétrica. Além disso, fornece orientações sobre como usar esses dispositivos de forma eficaz e segura.
 Estratégias para lidar com o impacto emocional: A incontinência urinária pode ter um impacto significativo na autoestima, nas relações sociais e na qualidade de vida dos pacientes. O suporte educacional aborda essas questões emocionais, oferecendo estratégias para lidar com o estresse, a ansiedade e a vergonha associados à incontinência.
 Acompanhamento e suporte contínuo: O suporte educacional não se limita a um único encontro. O acompanhamento contínuo e o suporte personalizado são essenciais para garantir que os pacientes recebam o apoio necessário ao longo do processo de recuperação.
 Benefícios do suporte educacional
 Melhora o controle da incontinência urinária
 Acelera a recuperação da continência
 Reduz o impacto emocional da incontinência
 Aumenta a confiança e a autoestima
 Melhora a qualidade de vida
 Profissionais envolvidos no suporte educacional
 Médicos urologistas
 Enfermeiros especializados em incontinência urinária
 Fisioterapeutas pélvicos
 Psicólogos e terapeutas
 Importância da abordagem multidisciplinar
 Para otimizar a adaptação dos pacientes à incontinência urinária pós-prostatectomia, é fundamental que o suporte educacional seja oferecido por uma equipe multidisciplinar, que trabalhe de forma integrada e coordenada.</t>
  </si>
  <si>
    <t>A Teoria das Necessidades Humanas Básicas, proposta por Abraham Maslow, organiza as necessidades humanas em uma hierarquia, desde as mais básicas, como fisiologia e segurança, até as mais complexas, como amor, estima e autorrealização. A saúde sexual, nesse contexto, pode ser vista como um componente integrante de diversas dessas necessidades, influenciando o equilíbrio do indivíduo de diferentes maneiras:
 1. Necessidades fisiológicas:
 A sexualidade está intrinsecamente ligada à fisiologia humana, abrangendo desde o funcionamento do corpo até a reprodução. A satisfação das necessidades sexuais básicas contribui para o bem-estar físico e mental.
 A privação sexual pode gerar desconforto físico e emocional, afetando o humor, o sono e a disposição.
 2. Necessidades de amor e relacionamento:
 A sexualidade é uma forma de expressão de intimidade e conexão com outras pessoas. A vivência sexual saudável fortalece os laços afetivos, promovendo o sentimento de pertencimento e amor.
 A falta de relações íntimas satisfatórias pode gerar sentimentos de solidão, isolamento e baixa autoestima.
 3. Necessidades de estima:
 A sexualidade está relacionada à autoimagem e à autoestima. A vivência sexual positiva contribui para a construção de uma imagem corporal saudável e para o sentimento de autoconfiança.
 A insatisfação sexual ou a vivência de experiências negativas podem afetar a autoestima e gerar sentimentos de inadequação.
 4. Necessidades de autorrealização:
 A sexualidade pode ser vista como uma forma de expressão da identidade e da individualidade. A vivência sexual autêntica e prazerosa contribui para o processo de autoconhecimento e autorrealização.
 A repressão ou a negação da sexualidade podem impedir o desenvolvimento pleno do potencial humano.
 Em resumo:
 A saúde sexual é um aspecto fundamental do bem-estar humano, influenciando o equilíbrio físico, mental e emocional do indivíduo.
 A Teoria das Necessidades Humanas Básicas oferece um framework útil para compreender a importância da sexualidade em diferentes níveis da experiência humana.
 A satisfação das necessidades sexuais contribui para a saúde integral e para a busca da felicidade e do bem-estar.
 É importante ressaltar que a vivência da sexualidade é individual e multifacetada, variando de acordo com a cultura, os valores e as experiências de cada pessoa. A saúde sexual não se resume à prática sexual, mas abrange também o autoconhecimento, o respeito ao próprio corpo e aos limites do outro, e a capacidade de estabelecer relações íntimas saudáveis e satisfatórias.</t>
  </si>
  <si>
    <t>A Teoria das Necessidades Humanas Básicas, proposta por Abraham Maslow, organiza as necessidades humanas em uma hierarquia, desde as mais básicas, como fisiologia e segurança, até as mais complexas, como amor, estima e autorrealização. A saúde sexual, nesse contexto, pode ser vista como um componente integrante de diversas camadas dessa pirâmide:
 Necessidades Fisiológicas:
 A sexualidade está intrinsecamente ligada à nossa biologia. A busca por prazer, a reprodução e a saúde do sistema reprodutivo são necessidades fisiológicas básicas.
 Necessidades de Amor e Pertencimento:
 A intimidade sexual é uma forma de conexão profunda com outro indivíduo, satisfazendo a necessidade de amor, afeto e pertencimento. A vivência positiva da sexualidade pode fortalecer vínculos e promover a sensação de aceitação.
 Necessidades de Estima:
 A forma como nos sentimos em relação à nossa sexualidade impacta diretamente nossa autoestima e autoconfiança. A aceitação do próprio corpo, a satisfação com a vida sexual e a segurança em expressar a sexualidade contribuem para uma imagem positiva de si mesmo.
 Autorrealização:
 A sexualidade pode ser uma forma de expressão pessoal e autodescoberta. A busca pelo prazer, a experimentação e a vivência da sexualidade de forma autêntica podem contribuir para o desenvolvimento pessoal e a realização do potencial individual.
 Saúde Sexual e Equilíbrio:
 Quando a saúde sexual é negligenciada, podem surgir desequilíbrios em outras áreas da vida. A insatisfação sexual pode gerar frustração, ansiedade, baixa autoestima e problemas de relacionamento.
 Por outro lado, uma vida sexual saudável e satisfatória contribui para o bem-estar físico e mental, promovendo o equilíbrio emocional, a autoestima e a qualidade de vida.
 É importante ressaltar:
 A saúde sexual não se resume à ausência de doenças ou disfunções. Envolve também o bem-estar emocional, social e psicológico relacionado à sexualidade.
 A vivência da sexualidade é individual e subjetiva. Não existe um padrão único de normalidade ou satisfação.
 Quando a saúde sexual é prejudicada, toda a pirâmide das Necessidades Humana Básicas pode ser afetada, e sendo assim, existe um grande impacto no equilíbrio do indivíduo.
 Para informações mais detalhadas, você pode consultar:
 Organização Mundial da Saúde (OMS): Informações sobre saúde sexual e reprodutiva.
 Ministério da Saúde: Políticas e programas de saúde sexual no Brasil.
 Livros e artigos científicos sobre sexualidade humana e psicologia.</t>
  </si>
  <si>
    <t>A saúde sexual masculina é um aspecto complexo do bem-estar geral, influenciado por diversos fatores físicos, psicológicos e sociais. A disfunção sexual masculina, que engloba dificuldades como disfunção erétil, ejaculação precoce ou retardada e baixa libido, pode ter causas multifacetadas.
 Fatores físicos:
 Doenças cardiovasculares: Condições como hipertensão, aterosclerose e doenças cardíacas podem afetar o fluxo sanguíneo para o pênis, dificultando a ereção.
 Diabetes: O diabetes pode danificar nervos e vasos sanguíneos, prejudicando a função erétil e a ejaculação.
 Alterações hormonais: Níveis baixos de testosterona podem diminuir a libido e causar disfunção erétil.
 Doenças neurológicas: Esclerose múltipla, doença de Parkinson e lesões na medula espinhal podem interferir nos sinais nervosos necessários para a função sexual.
 Uso de medicamentos: Alguns medicamentos, como antidepressivos, anti-hipertensivos e medicamentos para próstata, podem causar efeitos colaterais sexuais.
 Tabagismo e alcoolismo: O tabagismo e o consumo excessivo de álcool podem prejudicar o fluxo sanguíneo e a função nervosa, afetando a saúde sexual.
 Obesidade: A obesidade está associada a alterações hormonais e problemas vasculares, que podem levar à disfunção sexual.
 Fatores psicológicos:
 Estresse e ansiedade: O estresse do dia a dia e a ansiedade de desempenho podem interferir na excitação e na função erétil.
 Depressão: A depressão pode diminuir a libido e causar dificuldades sexuais.
 Problemas de relacionamento: Conflitos e falta de comunicação no relacionamento podem afetar a intimidade e o desejo sexual.
 Baixa autoestima: A baixa autoestima e a insegurança em relação ao próprio corpo podem prejudicar a confiança e o desempenho sexual.
 Traumas sexuais: Experiências traumáticas no passado podem causar dificuldades sexuais no presente.
 Fatores sociais:
 Estigma e tabus: A vergonha e o medo de falar sobre problemas sexuais podem impedir a busca por ajuda profissional.
 Falta de informação: A falta de conhecimento sobre saúde sexual pode levar a comportamentos de risco e dificuldades sexuais.
 É importante ressaltar que a disfunção sexual masculina é uma condição tratável. Ao identificar os fatores que podem estar contribuindo para o problema, é possível buscar ajuda profissional e encontrar soluções para melhorar a saúde sexual e a qualidade de vida.</t>
  </si>
  <si>
    <t>A saúde sexual masculina é um aspecto complexo do bem-estar geral, influenciado por diversos fatores físicos, psicológicos e sociais. A disfunção sexual masculina, que engloba dificuldades de ereção, ejaculação precoce ou retardada, e baixo desejo sexual, pode ser desencadeada por uma variedade de causas.
 Fatores físicos:
 Doenças cardiovasculares: Aterosclerose, hipertensão e outras condições que afetam o fluxo sanguíneo podem prejudicar a capacidade de ereção.
 Diabetes: Os altos níveis de açúcar no sangue podem danificar nervos e vasos sanguíneos, afetando a função sexual.
 Obesidade: O excesso de peso pode levar a desequilíbrios hormonais e problemas circulatórios, contribuindo para a disfunção erétil.
 Alterações hormonais: Níveis baixos de testosterona podem diminuir o desejo sexual e causar dificuldades de ereção.
 Doenças neurológicas: Esclerose múltipla, doença de Parkinson e lesões na medula espinhal podem afetar a comunicação entre o cérebro e os órgãos sexuais.
 Uso de medicamentos: Alguns medicamentos, como antidepressivos, anti-hipertensivos e certos medicamentos para o coração, podem ter efeitos colaterais sexuais.
 Tabagismo e consumo excessivo de álcool: Esses hábitos podem prejudicar o fluxo sanguíneo e danificar os nervos, afetando a função sexual.
 Doenças da próstata: Infecções, hiperplasia prostática benigna e câncer de próstata podem causar disfunção erétil e outros problemas sexuais.
 Fatores psicológicos:
 Estresse e ansiedade: A preocupação com o desempenho sexual, problemas financeiros, profissionais ou familiares podem afetar negativamente a função sexual.
 Depressão: A tristeza, a falta de energia e a baixa autoestima podem diminuir o desejo sexual e causar dificuldades de ereção.
 Problemas de relacionamento: Conflitos, falta de comunicação e insatisfação no relacionamento podem afetar a intimidade e o desejo sexual.
 Baixa autoestima: A insegurança em relação à própria imagem corporal ou desempenho sexual pode causar ansiedade e disfunção erétil.
 Traumas sexuais: Experiências passadas de abuso ou violência sexual podem levar a dificuldades sexuais.
 Outros fatores:
 Idade: A disfunção erétil é mais comum em homens mais velhos, devido a mudanças hormonais e problemas de saúde relacionados à idade.
 Sedentarismo: A falta de atividade física pode contribuir para a obesidade, doenças cardiovasculares e outros problemas de saúde que afetam a função sexual.
 Uso de drogas ilícitas: Algumas drogas podem causar disfunção erétil e outros problemas sexuais.
 É importante ressaltar que a disfunção sexual masculina é uma condição tratável. Ao identificar a causa subjacente, um profissional de saúde pode recomendar o tratamento adequado, que pode incluir medicamentos, terapia sexual, mudanças no estilo de vida ou uma combinação dessas abordagens.
 Se você está enfrentando problemas de saúde sexual, procure um médico urologista.</t>
  </si>
  <si>
    <t>A anorgasmia é uma disfunção sexual caracterizada pela dificuldade persistente ou incapacidade de atingir o orgasmo, apesar de estímulos sexuais adequados e de uma excitação sexual normal. Ela pode ocorrer tanto em homens quanto em mulheres e pode ter várias causas, como fatores psicológicos, hormonais, emocionais ou médicos.
 As causas podem incluir:
 Psicológicas: Estresse, depressão, ansiedade, trauma sexual ou questões relacionadas à autoestima.
 Físicas: Doenças crônicas, uso de medicamentos (como antidepressivos ou anticoncepcionais), alterações hormonais, problemas de circulação ou lesões neurológicas.
 Relacionamento: Comunicação deficiente com o parceiro ou disfunção sexual no relacionamento também pode contribuir.
 A anorgasmia pode afetar a experiência do orgasmo de várias formas, levando à frustração, ansiedade e perda de prazer sexual. Isso pode criar um ciclo vicioso, onde a expectativa negativa e o estresse em torno da incapacidade de atingir o orgasmo pioram ainda mais a situação. Além disso, a pessoa pode sentir uma diminuição na satisfação geral com a atividade sexual, o que pode prejudicar a qualidade da relação e o bem-estar emocional.
 O tratamento da anorgasmia pode envolver terapia sexual, mudanças no estilo de vida, ajustes nos medicamentos ou tratamentos para condições subjacentes, sempre dependendo das causas individuais de cada pessoa.</t>
  </si>
  <si>
    <t>A anorgasmia é a incapacidade de atingir o orgasmo, mesmo após uma estimulação sexual adequada e suficiente. Pode ocorrer tanto em homens quanto em mulheres e pode ser classificada em várias formas, incluindo:
 Anorgasmia primária: Quando a pessoa nunca teve um orgasmo, mesmo em experiências sexuais anteriores.
 Anorgasmia secundária: Quando a pessoa já teve orgasmos anteriormente, mas passou a ser incapaz de atingi-los em experiências sexuais mais recentes.
 Anorgasmia situacional: Quando a incapacidade de alcançar o orgasmo ocorre apenas em determinadas situações, como com um parceiro específico ou em determinados tipos de atividade sexual.
 Anorgasmia global: Quando a pessoa não consegue atingir o orgasmo em qualquer situação ou com qualquer parceiro.
 Esse distúrbio pode afetar a experiência do orgasmo de várias maneiras. A falta de orgasmo pode levar a uma sensação de frustração, desconexão emocional com o parceiro, e até mesmo dificuldades relacionadas à autoestima e satisfação sexual. Em mulheres, a anorgasmia também pode estar associada a uma diminuição da lubrificação vaginal, o que pode tornar a experiência sexual mais dolorosa e desconfortável. Já em homens, pode haver uma sensação de falha ou inadequação, o que afeta a confiança sexual.
 A anorgasmia pode ser causada por fatores físicos, psicológicos ou ambos. Fatores como estresse, ansiedade, depressão, problemas de relacionamento, medicamentos (como antidepressivos e antipsicóticos), disfunções hormonais, e problemas de saúde como diabetes ou doenças cardíacas podem influenciar a capacidade de atingir o orgasmo.
 O tratamento para a anorgasmia geralmente envolve uma combinação de terapia sexual, aconselhamento psicológico, ajustes em medicamentos, mudanças no estilo de vida e, em alguns casos, intervenções médicas.</t>
  </si>
  <si>
    <t>O aplicativo IUProst foi desenvolvido com base em um livreto intitulado "Manual de orientações sobre incontinência urinária pós-prostatectomia radical". O livreto foi elaborado seguindo diretrizes descritas por Bastable (2010) e Mata (2013), e pode ser utilizado por indivíduos com baixo ou alto nível de escolaridade, por apresentar linguagem de fácil compreensão. As informações do livreto foram atualizadas de acordo com as diretrizes da International Continence Society. O aplicativo inclui vídeos com orientações para realização de exercícios, elaborados com base nas etapas de exercícios para o Treinamento da Musculatura do Assoalho Pélvico (TMAP), descritas no livreto. Os vídeos com os exercícios foram elaborados com um paciente que já havia realizado o tratamento. O aplicativo também inclui vídeos com depoimentos de pacientes que já realizaram o tratamento e de familiares, com o objetivo de motivar os usuários por meio da experiência de sucesso. Para avaliar a qualidade do aplicativo, foram utilizados dois formulários adaptados de estudos de Sperandio (2008) e Oliveira (2015).</t>
  </si>
  <si>
    <t>O aplicativo IUProst foi desenvolvido com base em um livreto intitulado "Manual de orientações sobre incontinência urinária pós-prostatectomia radical". Todas as informações contidas no aplicativo foram fundamentadas nas recomendações internacionais, como a ICS. O IUProst ainda conta com vídeos explicativos sobre a realização dos exercícios para fortalecimento da musculatura pélvica. Para conferir maior veracidade e semelhança com a realidade, os vídeos tiveram como ator um paciente de estudo anterior.</t>
  </si>
  <si>
    <t>Os critérios utilizados para avaliar a qualidade do produto IUProst, segundo a ISO/IEC 25010:2011, foram: adequação funcional, eficiência de desempenho, compatibilidade, usabilidade, confiabilidade e segurança.  
 A adequação funcional avalia se o aplicativo disponibiliza funções e recursos para atender às necessidades do usuário. A eficiência de desempenho avalia o desempenho do aplicativo em relação à quantidade de recursos utilizados. A compatibilidade avalia se o aplicativo é capaz de trocar informações com outros produtos ou sistemas. A usabilidade avalia se o aplicativo é fácil de usar e aprender. A confiabilidade avalia se o aplicativo executa suas funções de forma consistente. A segurança avalia se o aplicativo protege as informações do usuário.  
 Esses critérios foram avaliados por 16 especialistas, sendo 8 especialistas em incontinência urinária e 8 especialistas em desenvolvimento de software. O índice de concordância entre os especialistas foi de 80% para todas as características, exceto para a adequação funcional, que obteve 71% de concordância entre os especialistas em incontinência urinária.</t>
  </si>
  <si>
    <t>Os critérios utilizados para avaliar a qualidade do produto IUProst, segundo a ISO/IEC 25010:2011, foram: adequação funcional, eficiência de desempenho, compatibilidade, usabilidade, confiabilidade e segurança.  
 A adequação funcional avalia se o aplicativo disponibiliza funções e recursos para atender às necessidades do usuário. A eficiência de desempenho avalia o desempenho do aplicativo em relação à quantidade de recursos utilizados, como tempo de resposta e utilização da memória. A compatibilidade avalia a capacidade do aplicativo de interagir com outros sistemas. A usabilidade avalia se o aplicativo é fácil de usar e aprender. A confiabilidade avalia se o aplicativo executa suas funções de forma consistente e sem falhas. A segurança avalia se o aplicativo protege as informações do usuário.</t>
  </si>
  <si>
    <t>"E-health" (saúde eletrônica) é um termo amplo que se refere ao uso de tecnologias de informação e comunicação (TIC) para apoiar a saúde e áreas relacionadas. Isso engloba uma variedade de aplicações, desde registros eletrônicos de saúde e telemedicina até aplicativos móveis de saúde e plataformas online de informação.
 A definição inicial da Organização Mundial da Saúde (OMS) para e-health, estabelecida em 2005, é:
 "O uso seguro e com boa relação de custo-benefício das TIC para apoio aos campos relacionados à saúde, incluindo serviços, vigilância, literatura, educação, conhecimento e pesquisa." Em essência, a e-health visa melhorar a qualidade, a eficiência e o acesso aos serviços de saúde por meio da utilização de tecnologias digitais. Isso pode incluir:
 Fornecimento de informações de saúde a pacientes e profissionais de saúde.
 Facilitação da comunicação entre pacientes e provedores de saúde.
 Melhoria do diagnóstico, tratamento e monitoramento de doenças.
 Otimização da gestão de sistemas e serviços de saúde.
 Apoio à pesquisa e à educação em saúde.
 A e-health tem o potencial de transformar a forma como a saúde é entregue e experimentada, tornando-a mais acessível, personalizada e eficaz.</t>
  </si>
  <si>
    <t>"E-health", ou "saúde digital", refere-se ao uso de tecnologias de informação e comunicação (TICs) para melhorar e apoiar a saúde. Essa área abrange uma ampla gama de serviços e ferramentas, incluindo:
 Telemedicina: Consultas médicas remotas, diagnósticos e monitoramento de pacientes.
 Aplicativos de saúde: Ferramentas para monitorar a saúde pessoal, como aplicativos de rastreamento de exercícios e nutrição.
 Registros eletrônicos de saúde: Armazenamento e gerenciamento digital de informações médicas de pacientes.
 Informação e educação em saúde online: Sites e aplicativos que fornecem informações confiáveis sobre saúde e bem-estar.
 A definição inicial da Organização Mundial da Saúde (OMS), em 2005, descreve "e-health" como:
 "o uso custo-efetivo e seguro das tecnologias de informação e comunicação em apoio aos campos relacionados à saúde, incluindo serviços de saúde, vigilância da saúde, literatura sobre saúde, educação em saúde, conhecimento sobre saúde e pesquisa em saúde."
 A e-health tem o potencial de tornar os cuidados de saúde mais acessíveis, eficientes e personalizados. No entanto, também levanta questões importantes sobre privacidade, segurança e equidade no acesso à tecnologia.</t>
  </si>
  <si>
    <t>413 &gt; 126 (não rejeitamos a hipótese nula)</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</si>
  <si>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</si>
  <si>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Após a cirurgia de retirada da próstata (prostatectomia), muitos homens podem experimentar incontinência urinária temporária, que pode durar semanas ou meses. No entanto, em alguns casos, a incontinência pode persistir por mais tempo, mesmo por um ano ou mais. A recuperação depende de vários fatores, como a técnica cirúrgica utilizada, a idade do paciente, a saúde geral, e a presença de complicações.
 É importante que o paciente siga as orientações médicas e participe de programas de reabilitação do assoalho pélvico, como fisioterapia, para ajudar na recuperação da função urinária. O acompanhamento médico regular é essencial para avaliar a evolução e tratar a incontinência urinária adequadamente.</t>
  </si>
  <si>
    <t>Após a cirurgia de retirada da próstata (prostatectomia), a incontinência urinária pode durar de algumas semanas a vários meses. Em média, a maioria dos homens começa a notar melhorias dentro de 3 a 6 meses após a cirurgia. No entanto, em alguns casos, pode persistir por até um ano ou mais, dependendo de fatores como a técnica cirúrgica, a recuperação individual, a idade e o estado de saúde geral do paciente.
 A reabilitação com fisioterapia do assoalho pélvico pode ajudar a melhorar a recuperação. Em casos raros, a incontinência urinária pode se tornar crônica, mas isso é menos comum. O acompanhamento médico contínuo é fundamental para tratar e gerenciar a condição adequadamente.</t>
  </si>
  <si>
    <t>Os principais fatores de risco para a disfunção erétil incluem:
 Idade: O risco aumenta com a idade, embora não seja exclusivamente relacionado ao envelhecimento.
 Doenças crônicas: Diabetes, hipertensão, doenças cardíacas, e problemas renais podem afetar a circulação sanguínea e os nervos necessários para uma ereção.
 Distúrbios hormonais: Níveis baixos de testosterona ou desequilíbrios hormonais podem contribuir para a disfunção erétil.
 Obesidade: O excesso de peso está relacionado com a resistência à insulina, doenças cardiovasculares e outros problemas de saúde que podem levar à disfunção erétil.
 Sedentarismo: A falta de exercício pode resultar em problemas de circulação e saúde cardiovascular, aumentando o risco de disfunção erétil.
 Tabagismo: O uso de tabaco prejudica os vasos sanguíneos, o que pode diminuir o fluxo sanguíneo para o pênis.
 Álcool e uso de drogas: O consumo excessivo de álcool e o uso de substâncias recreativas podem afetar a função sexual.
 Estresse, ansiedade e depressão: Aspectos psicológicos são fatores importantes, pois podem interferir no desejo e na resposta sexual.
 Medicações: Certos medicamentos, como antidepressivos, antipsicóticos e medicamentos para hipertensão, podem ter como efeito colateral a disfunção erétil.
 Fatores genéticos: Algumas condições hereditárias podem predispor uma pessoa a ter dificuldades de ereção.
 Esses fatores podem se combinar de maneira complexa, e é importante buscar orientação médica para avaliação individualizada e tratamento adequado.</t>
  </si>
  <si>
    <t>A disfunção erétil pode ser causada por uma combinação de fatores físicos, psicológicos e comportamentais. Os principais fatores de risco incluem:
 Idade: O risco de disfunção erétil aumenta com a idade, embora possa afetar homens mais jovens também.
 Doenças crônicas: Condições como diabetes, hipertensão, doenças cardíacas e dislipidemia (colesterol elevado) estão fortemente associadas à disfunção erétil.
 Tabagismo: O tabaco pode prejudicar a circulação sanguínea, afetando a função erétil.
 Obesidade: O excesso de peso e a obesidade estão ligados a problemas hormonais e a um risco aumentado de doenças cardiovasculares, ambos fatores que podem contribuir para a disfunção erétil.
 Sedentarismo: A falta de atividade física pode levar ao sobrepeso, problemas de circulação e distúrbios hormonais.
 Consumo excessivo de álcool e drogas: O abuso de substâncias pode afetar a função sexual e aumentar o risco de disfunção erétil.
 Problemas psicológicos: Estresse, depressão, ansiedade e problemas de relacionamento podem causar ou piorar a disfunção erétil.
 Medicamentos: Alguns medicamentos, como antidepressivos, anti-hipertensivos e medicamentos para tratar doenças cardíacas, podem ter efeitos colaterais que afetam a função erétil.
 Lesões ou cirurgias: Lesões na região pélvica ou cirurgias que afetam os nervos, vasos sanguíneos ou órgãos reprodutores podem causar disfunção erétil.
 Níveis hormonais baixos: Baixos níveis de testosterona também podem contribuir para a disfunção erétil.
 Manter um estilo de vida saudável, com alimentação balanceada, exercícios regulares e controle de condições como diabetes e hipertensão, pode reduzir o risco de disfunção erétil.</t>
  </si>
  <si>
    <t>A prevenção da incontinência urinária masculina pode envolver diversas abordagens. Aqui estão algumas estratégias que podem ajudar:
 Exercícios de Kegel: São exercícios que ajudam a fortalecer os músculos do assoalho pélvico, essenciais para o controle da bexiga. Os homens podem realizar esses exercícios contraindo e relaxando os músculos que controlam a urina.
 Controle de peso: O excesso de peso pode aumentar a pressão sobre a bexiga e os músculos do assoalho pélvico, aumentando o risco de incontinência. Manter um peso saudável pode reduzir esse risco.
 Evitar retenção urinária: Urinar com frequência, sem esperar que a bexiga fique excessivamente cheia, pode ajudar a evitar sobrecarga na bexiga e nos músculos responsáveis pela micção.
 Hidratação adequada: Beber a quantidade certa de água ajuda a manter a função renal saudável. Porém, é importante evitar excessos, que podem sobrecarregar a bexiga.
 Evitar álcool e cafeína em excesso: Esses dois podem irritar a bexiga, aumentar a urgência urinária e até piorar a incontinência.
 Parar de fumar: O tabagismo está relacionado a problemas pulmonares que podem causar tosse crônica, o que pode aumentar a pressão sobre os músculos pélvicos e agravar a incontinência.
 Tratamento para condições subjacentes: Condições como diabetes, hipertensão e distúrbios neurológicos podem aumentar o risco de incontinência urinária. Tratar essas condições adequadamente pode ajudar a prevenir complicações.
 Consultar um médico regularmente: Acompanhamentos médicos, especialmente com um urologista, podem ajudar a identificar sinais precoces de problemas na bexiga ou na próstata, antes que evoluam para incontinência urinária.
 Essas práticas podem ajudar a prevenir ou retardar o desenvolvimento da incontinência urinária masculina. Se houver sinais de problemas, é importante buscar orientação médica.</t>
  </si>
  <si>
    <t>A incontinência urinária masculina pode ser prevenida com algumas práticas e cuidados. Aqui estão algumas estratégias para ajudar a prevenir esse problema:
 Exercícios de Kegel: Esses exercícios ajudam a fortalecer os músculos do assoalho pélvico, que são responsáveis pelo controle da bexiga. Praticar regularmente pode reduzir o risco de incontinência.
 Manter um peso saudável: O excesso de peso pode aumentar a pressão sobre a bexiga e os músculos pélvicos, contribuindo para a incontinência. Manter um peso saudável pode ajudar a reduzir essa pressão.
 Evitar constipação: O esforço excessivo para evacuar pode enfraquecer os músculos do assoalho pélvico. Manter uma alimentação rica em fibras e beber bastante água pode ajudar a prevenir a constipação.
 Evitar o consumo excessivo de líquidos antes de dormir: Beber muitos líquidos à noite pode aumentar a necessidade de urinar durante a noite (noctúria). Limitar a ingestão de líquidos antes de dormir pode ajudar a prevenir isso.
 Evitar cafeína e álcool: Ambos podem irritar a bexiga e aumentar a frequência urinária. Evitar ou reduzir o consumo pode ajudar a prevenir episódios de incontinência.
 Controlar doenças crônicas: Condições como diabetes e hipertensão podem afetar a função urinária. Controlar essas condições pode ajudar a prevenir a incontinência.
 Evitar o tabagismo: O fumo pode contribuir para a tosse crônica, que exerce pressão sobre a bexiga e pode enfraquecer os músculos pélvicos, aumentando o risco de incontinência.
 Consultar um médico regularmente: Manter um acompanhamento médico para detectar e tratar precocemente qualquer condição que possa levar à incontinência urinária.
 Essas medidas ajudam a manter a saúde da bexiga e dos músculos pélvicos, prevenindo ou reduzindo a incidência de incontinência urinária masculina. Se houver sintomas de incontinência, é importante procurar orientação médica para diagnóstico e tratamento adequados.</t>
  </si>
  <si>
    <t>Os três principais tipos de incontinência urinária masculina são:
 Incontinência urinária de esforço: ocorre quando há vazamento de urina devido a aumento da pressão abdominal, como ao tossir, espirrar, rir ou levantar objetos pesados.
 Incontinência urinária de urgência: caracteriza-se pela necessidade súbita e intensa de urinar, acompanhada de vazamento involuntário de urina. Isso pode ser causado por problemas no controle da bexiga.
 Incontinência urinária mista: é uma combinação dos tipos de incontinência de esforço e de urgência, onde o paciente experimenta ambos os sintomas.
 Esses tipos podem ter diferentes causas, como envelhecimento, cirurgias, doenças neurológicas ou problemas com o trato urinário inferior.</t>
  </si>
  <si>
    <t>Os três principais tipos de incontinência urinária masculina são:
 Incontinência urinária de esforço: É causada por um aumento na pressão intra-abdominal, como ao tossir, espirrar, rir ou levantar objetos pesados. Isso ocorre quando os músculos ao redor da bexiga ou o esfíncter urinário não conseguem controlar adequadamente a liberação da urina.
 Incontinência urinária de urgência: Refere-se à perda súbita de urina acompanhada de uma necessidade urgente de urinar, mesmo que a bexiga não esteja cheia. Isso pode ser causado por uma hiperatividade da bexiga ou outros distúrbios do trato urinário inferior.
 Incontinência urinária por transbordamento: Acontece quando a bexiga não consegue se esvaziar completamente, o que leva ao vazamento constante de pequenas quantidades de urina. Geralmente, é associada a problemas como obstrução da uretra ou disfunção neurológica.
 Esses tipos de incontinência podem ocorrer isoladamente ou em combinação, dependendo das condições de saúde do paciente.</t>
  </si>
  <si>
    <t>Após receberem alta hospitalar, a maioria dos pacientes submetidos à cirurgia necessita seguir um plano de cuidados pós-operatórios. Isso pode incluir:
 Repouso e Recuperação: Os pacientes geralmente precisam descansar para ajudar na recuperação do corpo e evitar esforços excessivos.
 Uso de Medicamentos: É comum que o médico prescreva analgésicos, antibióticos ou outros medicamentos para ajudar na recuperação e prevenir infecções.
 Cuidados com a Ferida Cirúrgica: Instruções sobre como cuidar da incisão cirúrgica, incluindo limpeza e troca de curativos, para evitar infecções.
 Monitoramento de Sinais Vitais: Pode ser necessário monitorar a temperatura, a pressão arterial e outros sinais vitais para garantir que o corpo esteja se recuperando corretamente.
 Atividade Física Limitada: O paciente pode ser orientado a evitar atividades físicas intensas por um período, para garantir a cicatrização adequada.
 Consultas de Acompanhamento: Marcação de consultas de acompanhamento com o médico para avaliar o progresso da recuperação e verificar possíveis complicações.
 Esses cuidados variam de acordo com o tipo de cirurgia realizada e as condições individuais de cada paciente.</t>
  </si>
  <si>
    <t>Ao receberem alta hospitalar, a grande maioria dos pacientes submetidos à cirurgia precisa seguir uma série de orientações para garantir uma recuperação adequada. Alguns dos cuidados mais comuns incluem:
 Descanso: Os pacientes devem descansar o suficiente, evitando esforços físicos que possam prejudicar a recuperação.
 Uso de medicamentos: É comum que os pacientes precisem tomar medicamentos prescritos, como analgésicos para controle da dor e antibióticos para prevenir infecções.
 Cuidados com os curativos: Manter os curativos nas feridas cirúrgicas limpos e secos, conforme orientação médica, para evitar infecções.
 Monitoramento de sinais de complicações: Observar sinais como febre, dor intensa ou inchaço excessivo na área da cirurgia, que podem indicar complicações, e procurar ajuda médica, se necessário.
 Atividades físicas limitadas: Evitar atividades físicas intensas e seguir as orientações sobre quando retomar as atividades diárias.
 Consulta de acompanhamento: Frequentemente, é necessário retornar ao médico para consultas de acompanhamento para avaliar a recuperação e fazer ajustes no tratamento, se necessário.
 Esses cuidados são essenciais para uma recuperação bem-sucedida e para evitar complicações pós-cirúrgicas.</t>
  </si>
  <si>
    <t>Para auxiliar no tratamento da incontinência urinária pós-prostatectomia, várias tecnologias foram desenvolvidas, com foco em melhorar a qualidade de vida dos pacientes. Algumas das mais relevantes incluem:
 Dispositivos de Estimulação Elétrica Neuromuscular: Estes dispositivos utilizam estimulação elétrica para fortalecer os músculos do assoalho pélvico e melhorar o controle da bexiga. Eles ajudam a reduzir a incontinência urinária, estimulando as fibras musculares que controlam o fluxo urinário.
 Esfincter Artificial de Bexiga (AUS): É um dispositivo implantável que pode ser colocado cirurgicamente para tratar a incontinência urinária grave. Ele simula o funcionamento do esfíncter urinário natural, permitindo que o paciente controle o fluxo urinário manualmente.
 Terapias de Biofeedback: Essa abordagem usa dispositivos eletrônicos para monitorar e fornecer feedback sobre a atividade muscular do assoalho pélvico. A terapia visa melhorar a força e o controle desses músculos, o que pode reduzir a incontinência urinária.
 Sistemas de Cateterismo Intermitente: Embora não seja uma solução para incontinência, o cateterismo intermitente pode ser uma forma de manejo para pacientes com perda de controle urinário significativa após a prostatectomia.
 Essas tecnologias podem ser utilizadas de forma isolada ou combinadas, dependendo da gravidade da incontinência e da resposta individual do paciente ao tratamento.</t>
  </si>
  <si>
    <t>Sim, segurar urina por muito tempo pode ser prejudicial à saúde. Quando a bexiga está cheia e a urina não é eliminada, a pressão sobre a bexiga e os órgãos próximos pode causar desconforto e até complicações a longo prazo, como infecções urinárias, aumento do risco de incontinência e, em casos mais graves, danos à bexiga. Além disso, segurar urina regularmente pode enfraquecer os músculos da bexiga, tornando mais difícil esvaziá-la completamente quando necessário.</t>
  </si>
  <si>
    <t>Antes de fortalecer os músculos pélvicos, é importante seguir alguns passos preparatórios:
 Avaliação Médica: Se você tiver problemas relacionados à bexiga, intestinos ou dor pélvica, é importante consultar um médico ou fisioterapeuta especializado em saúde pélvica. Eles podem avaliar se você tem algum distúrbio ou condição que precise de atenção antes de iniciar os exercícios.
 Entendimento da Anatomia Pélvica: Conhecer a localização dos músculos pélvicos, como o músculo pubococcígeo, pode ajudar a realizar os exercícios de forma correta. Às vezes, pode ser útil consultar um fisioterapeuta especializado para garantir que você está se concentrando na área certa.
 Relaxamento Muscular: Certifique-se de que os músculos pélvicos não estão tensos antes de começar os exercícios. A tensão excessiva pode dificultar a execução correta dos exercícios e aumentar o risco de lesões.
 Estabelecer Objetivos: Antes de iniciar os exercícios, é bom ter uma ideia clara de por que você está treinando esses músculos (por exemplo, melhorar o controle da bexiga, fortalecer o pós-parto, prevenir ou tratar a incontinência urinária, etc.).
 Com esses passos, você estará mais preparado para fortalecer os músculos pélvicos de forma eficaz e segura.</t>
  </si>
  <si>
    <t>Antes de fortalecer os músculos pélvicos, é importante considerar alguns fatores:
 Avaliação Médica: É fundamental fazer uma avaliação com um profissional de saúde, como um médico ou fisioterapeuta especializado em saúde pélvica, para identificar se há condições que possam afetar os músculos pélvicos, como incontinência urinária, prolapso de órgãos pélvicos ou outras disfunções.
 Entendimento da Anatomia: Conhecer a anatomia da região pélvica e como os músculos funcionam pode ser útil para realizar os exercícios corretamente. A fisioterapia pode ajudar a ensinar a identificação e o controle dos músculos.
 Postura Adequada: A postura correta é crucial para evitar tensões indevidas durante os exercícios. Por isso, é importante aprender a manter uma boa postura ao realizar os exercícios pélvicos.
 Consistência e Paciência: O fortalecimento dos músculos pélvicos pode exigir prática constante. Ter paciência e praticar regularmente é essencial para obter resultados eficazes.
 Após considerar esses pontos, você pode iniciar os exercícios de fortalecimento de forma segura e eficiente. Se sentir desconforto ou dor, é sempre recomendável interromper e procurar orientação profissional.</t>
  </si>
  <si>
    <t>O aplicativo desenvolvido para pacientes com incontinência urinária tem como função principal auxiliar no monitoramento e gerenciamento dessa condição. Ele pode oferecer várias funcionalidades, incluindo:
 Registro de sintomas: Permite que os pacientes registrem episódios de incontinência urinária, como frequência, intensidade e horário dos episódios, ajudando a identificar padrões.
 Alertas e lembretes: Envia lembretes para o paciente realizar exercícios para fortalecimento do assoalho pélvico, tomar medicamentos ou realizar consultas médicas.
 Monitoramento de hábitos: O aplicativo pode ajudar o paciente a acompanhar o consumo de líquidos, controle da alimentação e outros fatores que podem influenciar a condição.
 Educação e orientações: Oferece informações sobre a incontinência urinária, tratamentos possíveis, técnicas de exercícios, e conselhos sobre a melhor maneira de lidar com a condição.
 Análise e relatórios: Gera relatórios detalhados para os pacientes e seus médicos, facilitando o acompanhamento da evolução do quadro e ajustando o tratamento conforme necessário.
 Apoio psicológico: Alguns aplicativos também oferecem suporte psicológico ou acesso a grupos de apoio, ajudando os pacientes a lidarem com o impacto emocional dessa condição.
 Esses aplicativos têm como objetivo melhorar a qualidade de vida dos pacientes, oferecendo ferramentas para um melhor controle da incontinência urinária e promovendo a adesão ao tratamento.</t>
  </si>
  <si>
    <t>O aplicativo desenvolvido para pacientes com incontinência urinária tem como função principal ajudar no monitoramento e controle da condição. Ele pode incluir funcionalidades como:
 Registro de Sintomas: Permite que o paciente registre episódios de incontinência urinária, como frequência e intensidade, para acompanhar o progresso e ajudar no diagnóstico médico.
 Lembretes de Exercícios: Envia notificações para lembrar o paciente de realizar exercícios de fortalecimento do assoalho pélvico, que são fundamentais para o tratamento.
 Educação: Oferece informações sobre o que é a incontinência urinária, como preveni-la e tratá-la, além de sugerir mudanças no estilo de vida e dietas que podem ajudar a controlar a condição.
 Monitoramento de Medicamentos: Permite que o paciente registre o uso de medicamentos prescritos, além de alertar sobre a necessidade de tomar os remédios na hora certa.
 Consultas e Acompanhamento Médico: Facilita a comunicação com os profissionais de saúde, permitindo que o paciente envie registros de sintomas e receba feedback ou ajustes no tratamento.
 Relatórios para o Médico: Gera relatórios sobre o histórico dos sintomas e tratamentos, que podem ser compartilhados diretamente com o médico para um acompanhamento mais eficiente.
 Esses aplicativos buscam melhorar a qualidade de vida dos pacientes, promovendo o controle da incontinência urinária de maneira prática e acessível.</t>
  </si>
  <si>
    <t>As intervenções de enfermagem para a alta de pacientes submetidos à prostatectomia podem incluir uma abordagem abrangente para garantir a recuperação adequada e a prevenção de complicações. Algumas das principais intervenções validadas são:
 Orientações sobre cuidados pós-operatórios:
 Instruir o paciente sobre cuidados com a incisão cirúrgica e sinais de infecção (vermelhidão, secreção, dor excessiva).
 Orientar sobre a importância de manter a região genital limpa e seca.
 Controle da dor:
 Ensinar o paciente sobre o uso adequado de medicamentos analgésicos prescritos e quando procurar ajuda se a dor não for controlada.
 Monitoramento de sinais vitais:
 Garantir que o paciente compreenda a importância de monitorar a febre, a pressão arterial e a frequência cardíaca.
 Cuidados com a sonda urinária (se presente):
 Orientar sobre os cuidados com a sonda vesical, quando utilizada, incluindo a higienização e a observação de sinais de infecção urinária ou obstrução.
 Explicar o processo de retirada da sonda e o que esperar no retorno do controle da micção normal.
 Instruções sobre a dieta e hidratação:
 Orientar sobre a alimentação adequada, evitando alimentos irritantes para o trato urinário e aumentando a ingestão de líquidos para prevenir infecções urinárias.
 Prevenção de trombose venosa profunda (TVP):
 Incentivar a mobilização precoce e o uso de dispositivos de prevenção de trombose (meias de compressão, exercícios de panturrilha).
 Instruir o paciente sobre os sinais de TVP, como dor, inchaço e vermelhidão nas pernas.
 Exercícios para fortalecimento do assoalho pélvico:
 Ensinar exercícios de Kegel para ajudar a fortalecer os músculos do assoalho pélvico e melhorar o controle urinário após a prostatectomia.
 Acompanhamento médico:
 Garantir que o paciente tenha uma consulta de acompanhamento agendada para monitoramento de possíveis complicações, como incontinência urinária, disfunção erétil ou recidiva de câncer.
 Educação sobre disfunção sexual:
 Oferecer informações sobre as possíveis mudanças na função sexual após a prostatectomia e discutir opções de tratamento, como terapias de reabilitação sexual ou medicamentos, se necessário.
 Apoio emocional:
 Oferecer suporte psicológico e, quando necessário, encaminhamento para aconselhamento, dado que muitos pacientes podem enfrentar dificuldades emocionais relacionadas à mudança na qualidade de vida pós-cirurgia, incluindo questões sobre sexualidade e identidade.
 Essas intervenções devem ser personalizadas para cada paciente, levando em consideração suas condições clínicas e as instruções fornecidas pelo médico responsável pela alta.</t>
  </si>
  <si>
    <r>
      <rPr>
        <rFont val="Arial"/>
        <color rgb="FF1155CC"/>
        <u/>
      </rPr>
      <t>As intervenções de enfermagem para a alta de pacientes submetidos à prostatectomia envolvem garantir que o paciente esteja estável, bem orientado e capaz de cuidar de si mesmo após a cirurgia. As principais intervenções incluem:</t>
    </r>
    <r>
      <rPr>
        <rFont val="Arial"/>
      </rPr>
      <t xml:space="preserve">
 Avaliação clínica pós-cirúrgica:
 Monitorar sinais vitais, especialmente pressão arterial, frequência cardíaca e temperatura.
 Avaliar a cicatrização da incisão cirúrgica e sinais de infecção.
 Monitorar drenagem de líquidos, caso tenha sido utilizada, e verificar se há sinais de complicações, como sangramento.
 Gestão da dor:
 Orientar o paciente sobre o uso de analgésicos prescritos e técnicas de controle da dor.
 Ensinar a utilização de técnicas não farmacológicas para o alívio da dor, como respiração profunda ou relaxamento.
 Orientações sobre cuidados com a ferida:
 Ensinar como realizar os cuidados da ferida cirúrgica, incluindo a troca do curativo e a observação de sinais de infecção (vermelhidão, secreção ou aumento da dor).
 Prevenção de complicações:
 Orientar sobre os sinais e sintomas de infecção, trombose venosa profunda e complicações urinárias, como infecção do trato urinário.
 Reforçar a importância de evitar esforço físico excessivo nas primeiras semanas pós-cirurgia.
 Reintegração urinária:
 Orientar sobre a continência urinária e o uso de fraldas ou absorventes, se necessário.
 Explicar o processo de reabilitação urinária, que pode incluir exercícios de fortalecimento do assoalho pélvico.
 Orientações sobre a alimentação e hidratação:
 Incentivar uma alimentação balanceada para promover a recuperação.
 Orientar sobre a ingestão adequada de líquidos para evitar desidratação e ajudar na recuperação renal.
 Apoio emocional e psicológico:
 Oferecer suporte psicológico, pois a prostatectomia pode ter impacto emocional e psicológico significativo no paciente devido a questões relacionadas à sexualidade e identidade.
 Orientar sobre a importância do acompanhamento psicológico, se necessário.
 Orientação sobre o retorno às atividades diárias:
 Fornecer informações sobre quando o paciente pode retomar as atividades normais, como voltar ao trabalho, dirigir ou fazer exercícios leves.
 Instruir sobre a necessidade de seguir as orientações médicas para evitar complicações a longo prazo.
 Essas intervenções têm como objetivo assegurar uma recuperação tranquila e minimizar o risco de complicações após a alta.</t>
    </r>
  </si>
  <si>
    <t>Um dos benefícios relatados da acupuntura auricular para pacientes com incontinência urinária é a melhora no controle da bexiga. A prática pode ajudar a regular o funcionamento do sistema nervoso e a reduzir os episódios de incontinência, além de aliviar a pressão e os sintomas associados à condição. A acupuntura auricular pode estimular pontos específicos no ouvido, promovendo o equilíbrio do corpo e auxiliando na gestão da função urinária.</t>
  </si>
  <si>
    <t>A relação entre disfunção sexual masculina (DSM) e sintomas do trato urinário inferior (STUI) está frequentemente associada a condições como hiperplasia prostática benigna (HPB), que afeta a próstata. A HPB é uma das causas mais comuns de sintomas urinários no homem e pode estar ligada a problemas sexuais, como a disfunção erétil (DE).
 Os sintomas do trato urinário inferior, como dificuldade para urinar, jato urinário fraco, frequência urinária aumentada e sensação de esvaziamento incompleto da bexiga, podem ser indicativos de um aumento da próstata, que pode pressionar a uretra e a bexiga, interferindo no fluxo urinário. Essa pressão ou inflamação também pode impactar a função sexual, interferindo no controle da ereção ou no desejo sexual, como ocorre com a disfunção erétil.
 Além disso, a disfunção sexual e os sintomas urinários podem compartilhar fatores de risco em comum, como:
 Idade: O envelhecimento é um fator comum que pode levar tanto à disfunção sexual quanto aos sintomas do trato urinário inferior.
 Doenças vasculares: Condições como diabetes e hipertensão afetam tanto a circulação sanguínea, impactando a função erétil, quanto o funcionamento do trato urinário.
 Efeitos colaterais de medicamentos: Certos medicamentos usados para tratar os sintomas urinários (como os alfa-bloqueadores) podem ter impacto na função sexual.
 Em muitos casos, o tratamento de uma condição pode ajudar a melhorar a outra, o que torna importante considerar ambos os aspectos no diagnóstico e manejo de pacientes masculinos com sintomas urinários e disfunção sexual.</t>
  </si>
  <si>
    <t>A relação entre disfunção sexual masculina e sintomas do trato urinário inferior (STUI) está frequentemente associada a condições médicas que afetam o sistema urogenital masculino, como a hiperplasia prostática benigna (HPB), que é uma das causas mais comuns de sintomas urinários. Esses sintomas incluem necessidade frequente de urinar, jato urinário fraco, sensação de esvaziamento incompleto da bexiga, e aumento da urgência urinária.
 A disfunção sexual, especialmente a disfunção erétil (DE), pode estar relacionada a essas condições devido a fatores anatômicos e fisiológicos em comum, como o fluxo sanguíneo para a região pélvica, a função da próstata e a resposta neurológica que controla tanto a micção quanto a ereção. O aumento do volume da próstata pode comprimir a uretra e os vasos sanguíneos próximos, afetando tanto o fluxo urinário quanto o fluxo sanguíneo necessário para a ereção.
 Além disso, fatores psicossociais, como estresse e ansiedade relacionados a problemas urinários, também podem contribuir para a disfunção sexual. O tratamento de uma dessas condições pode, por vezes, melhorar os sintomas da outra, mas é importante que ambas sejam abordadas de forma integrada, especialmente em pacientes mais velhos ou com doenças crônicas.</t>
  </si>
  <si>
    <t>A disfunção sexual masculina pode ser tratada de várias formas, dependendo da causa subjacente. Os tratamentos mais comuns incluem:
 Medicamentos orais:
 Inibidores da fosfodiesterase tipo 5 (PDE5): Como sildenafil (Viagra), tadalafil (Cialis) e vardenafil (Levitra), esses medicamentos ajudam a melhorar o fluxo sanguíneo para o pênis, facilitando a ereção.
 Terapia de reposição hormonal:
 Para homens com níveis baixos de testosterona, a reposição hormonal pode ser eficaz. Pode ser administrada por injeções, géis ou adesivos.
 Terapias psicológicas:
 Se a disfunção sexual for causada por fatores emocionais ou psicológicos (como ansiedade, depressão ou estresse), a terapia cognitivo-comportamental (TCC) ou a terapia sexual podem ajudar.
 Injeções penianas:
 Medicamentos como alprostadil podem ser injetados diretamente no pênis para ajudar a induzir uma ereção.
 Dispositivos de vácuo:
 Um cilindro é colocado sobre o pênis e cria uma pressão negativa, o que aumenta o fluxo sanguíneo para a área e facilita a ereção.
 Cirurgia:
 Em casos graves, pode ser necessária cirurgia, como a implantação de próteses penianas ou a reconstrução de vasos sanguíneos no pênis.
 Tratamentos naturais e mudanças no estilo de vida:
 Reduzir o consumo de álcool, parar de fumar, fazer exercícios regularmente e manter uma dieta balanceada podem melhorar a função sexual.
 Suplementos alimentares:
 Alguns homens optam por suplementos naturais, embora sua eficácia não seja bem estabelecida. É importante consultar um médico antes de iniciar o uso desses produtos.
 É fundamental que o tratamento seja orientado por um médico, após uma avaliação completa, para identificar a causa da disfunção sexual e escolher a melhor abordagem.</t>
  </si>
  <si>
    <t>A disfunção sexual masculina pode ser tratada de várias maneiras, dependendo da causa subjacente. Aqui estão alguns tratamentos comuns:
 Mudanças no estilo de vida:
 Exercícios físicos regulares.
 Alimentação saudável.
 Redução do estresse e ansiedade.
 Abandono de hábitos como o consumo excessivo de álcool ou tabaco.
 Terapias psicológicas:
 Terapia cognitivo-comportamental para lidar com questões emocionais ou de ansiedade relacionadas à sexualidade.
 Terapia de casal para melhorar a comunicação e a intimidade.
 Medicamentos:
 Inibidores da PDE5 (como sildenafil, tadalafil, vardenafil), que aumentam o fluxo sanguíneo para o pênis.
 Hormônios (como a testosterona) em caso de deficiência hormonal.
 Medicamentos para disfunção erétil e suplementos.
 Dispositivos de assistência:
 Bombas de vácuo, que ajudam a criar ereções ao aumentar o fluxo sanguíneo para o pênis.
 Implantes penianos, para casos mais graves de disfunção erétil.
 Cirurgia:
 Em casos graves, pode ser necessária cirurgia para corrigir problemas anatômicos ou vasculares.
 Tratamentos hormonais:
 Para homens com níveis baixos de testosterona, a reposição hormonal pode ser uma opção.
 O tratamento ideal depende da causa específica da disfunção sexual, sendo importante consultar um médico para avaliação e orientação adequadas.</t>
  </si>
  <si>
    <t>A incontinência urinária feminina pode ser gerida por meio de várias estratégias de prevenção e tratamento. Aqui estão algumas das principais abordagens:
 1. Mudanças no estilo de vida
 Controle de peso: O excesso de peso pode aumentar a pressão na bexiga e enfraquecer os músculos do assoalho pélvico. A perda de peso pode ajudar a aliviar a pressão.
 Evitar a constipação: A constipação pode aumentar a pressão sobre a bexiga. Manter uma dieta rica em fibras pode ajudar a evitar esse problema.
 Moderação de líquidos: Embora seja importante manter-se hidratado, é essencial evitar o consumo excessivo de líquidos, especialmente antes de dormir, para reduzir a quantidade de urina durante a noite.
 2. Exercícios do assoalho pélvico (Kegel)
 Fortalecimento muscular: Os exercícios de Kegel ajudam a fortalecer os músculos do assoalho pélvico, o que pode melhorar o controle da bexiga. É uma das formas mais eficazes de tratar a incontinência urinária.
 3. Treinamento da bexiga
 Treinamento de micção: Isso envolve o treinamento para ir ao banheiro em intervalos programados, aumentando gradualmente o tempo entre as idas ao banheiro, ajudando a melhorar a capacidade de retenção da urina.
 4. Medicamentos
 Antimuscarínicos: Podem ser usados para tratar a incontinência urinária de urgência, ajudando a reduzir as contrações da bexiga.
 Estrogênio tópico: Para mulheres na pós-menopausa, o uso de cremes ou anéis vaginais de estrogênio pode melhorar a saúde do trato urinário e reduzir a incontinência.
 5. Dispositivos e aparelhos
 Pessários: Dispositivos inseridos na vagina para apoiar a bexiga e evitar vazamentos de urina. Pode ser útil em casos de incontinência urinária por esforço.
 Dispositivos de vibração: Para ajudar a fortalecer os músculos do assoalho pélvico e melhorar o controle da bexiga.
 6. Cirurgias
 Procedimentos minimamente invasivos: Como a aplicação de injeções de colágeno ou uso de bulking agents para fortalecer a área da uretra.
 Cirurgia de suspensão da bexiga: Para tratar casos graves de incontinência, em que os ligamentos que sustentam a bexiga precisam ser reposicionados ou reforçados.
 7. Terapias comportamentais
 Terapia cognitivo-comportamental: Pode ajudar a lidar com o estresse e a ansiedade relacionados à incontinência urinária, especialmente quando esta condição afeta a autoestima e a qualidade de vida.
 O tratamento depende do tipo e da gravidade da incontinência urinária, bem como das necessidades individuais de cada paciente. Consultar um médico é fundamental para determinar a abordagem mais adequada.</t>
  </si>
  <si>
    <t>As principais estratégias para prevenção e tratamento da incontinência urinária feminina envolvem uma combinação de mudanças no estilo de vida, terapias comportamentais, intervenções físicas e, em alguns casos, tratamentos médicos ou cirúrgicos. Aqui estão algumas das abordagens mais comuns:
 1. Exercícios do assoalho pélvico (Kegel)
 Objetivo: Fortalecer os músculos que controlam a urinação.
 Como funciona: Realizados regularmente, ajudam a melhorar o controle da bexiga e reduzir os episódios de incontinência.
 2. Mudanças no estilo de vida
 Controle de peso: O excesso de peso pode exercer pressão sobre a bexiga, contribuindo para a incontinência.
 Evitar alimentos irritantes: Alguns alimentos e bebidas, como cafeína, álcool e alimentos condimentados, podem irritar a bexiga.
 Hidratação adequada: Beber a quantidade certa de líquidos, sem excessos, para evitar a sobrecarga da bexiga.
 3. Terapias comportamentais
 Treinamento da bexiga: Consiste em programar horários para urinar, de forma gradual aumentando o intervalo entre as idas ao banheiro, para aumentar a capacidade da bexiga e o controle.
 Biofeedback: Usado para treinar os músculos do assoalho pélvico, o biofeedback fornece informações em tempo real sobre o funcionamento desses músculos.
 4. Medicamentos
 Antimuscarínicos: Medicamentos que ajudam a relaxar a bexiga e controlar a urgência urinária.
 Estrogênio: Em mulheres pós-menopáusicas, o uso de estrogênio pode melhorar a função do trato urinário inferior.
 5. Dispositivos e métodos de apoio
 Pessários: Dispositivos inseridos na vagina para apoiar a bexiga e ajudar no controle da incontinência.
 Absorventes ou fraldas descartáveis: Útil para gestão de episódios até o tratamento ser eficaz.
 6. Tratamentos cirúrgicos
 Suspensão da uretra (colposuspensão): Cirurgia para levantar e apoiar a uretra e a bexiga, ajudando a reduzir a incontinência.
 Inserção de sling: Um procedimento onde um pequeno dispositivo (slings) é colocado para dar suporte à uretra e prevenir vazamentos.
 Estimulação elétrica: Estímulo elétrico aplicado aos nervos que controlam a bexiga, ajudando a restaurar a função normal.
 7. Terapias alternativas
 Acupuntura: Algumas mulheres relatam melhora nos sintomas de incontinência urinária com o uso de acupuntura, embora os resultados variem.
 A escolha do tratamento depende da gravidade da incontinência, da saúde geral da paciente e de outros fatores individuais. É importante consultar um profissional de saúde, como um urologista ou ginecologista, para determinar a melhor abordagem.</t>
  </si>
  <si>
    <t>A eficácia da acupuntura auricular associada ao treinamento muscular pélvico para o controle da incontinência urinária pós-prostatectomia radical ainda está sendo estudada, mas alguns estudos preliminares sugerem que essa combinação pode ter benefícios. A acupuntura auricular é conhecida por promover a liberação de endorfinas, que podem ajudar no alívio da dor e na regulação de funções corporais, enquanto o treinamento muscular pélvico (também conhecido como exercícios de Kegel) é amplamente reconhecido como eficaz para melhorar o controle da bexiga e fortalecer os músculos do assoalho pélvico.
 Benefícios observados:
 Acupuntura auricular: Pode ajudar a reduzir a dor e melhorar o fluxo sanguíneo, o que pode ser útil na recuperação pós-cirúrgica.
 Treinamento muscular pélvico: Contribui para o fortalecimento dos músculos que controlam a bexiga, melhorando o controle urinário.
 Quando usadas em conjunto, essas abordagens podem atuar de maneira complementar, com a acupuntura ajudando a aliviar o desconforto e a tensão, enquanto o treinamento pélvico fortalece os músculos responsáveis pelo controle da urina. Alguns estudos indicam que a combinação pode ser mais eficaz do que apenas uma das abordagens isoladamente, mas é importante que um médico especialista, como um urologista ou fisioterapeuta, avalie cada caso individualmente para determinar o tratamento mais adequado.</t>
  </si>
  <si>
    <t>A acupuntura auricular associada ao treinamento muscular pélvico para o controle da incontinência urinária pós-prostatectomia radical tem sido estudada como uma abordagem terapêutica complementar. Embora a pesquisa nessa área ainda esteja em desenvolvimento, alguns estudos sugerem que a combinação dessas duas técnicas pode oferecer benefícios significativos para os pacientes.
 Acupuntura Auricular: A acupuntura auricular é uma prática baseada na estimulação de pontos específicos na orelha, que se acredita estarem relacionados a várias funções do corpo. Ela tem sido proposta como uma terapia adjuvante para o controle da incontinência urinária, com base em estudos que mostram que pode ajudar a reduzir a frequência e a gravidade dos episódios de incontinência, possivelmente através da modulação de mecanismos nervosos e do alívio de tensões musculares.
 Treinamento Muscular Pélvico: O treinamento muscular pélvico, comumente realizado através de exercícios de Kegel, visa fortalecer os músculos do assoalho pélvico, que desempenham um papel crucial no controle da urina. Estudos amplamente suportam a eficácia desse treinamento na recuperação da função urinária após uma prostatectomia radical, melhorando a continência urinária a longo prazo.
 Associação das Técnicas: A combinação dessas duas abordagens pode ser eficaz, pois a acupuntura pode ajudar a reduzir a dor e o desconforto, melhorar a função neuromuscular e promover o relaxamento, enquanto o treinamento muscular pélvico fortalece os músculos diretamente envolvidos no controle da urina. A sinergia entre essas duas terapias pode acelerar o processo de recuperação e melhorar os resultados a longo prazo.
 Em resumo, embora mais estudos sejam necessários para confirmar os benefícios dessa abordagem combinada, a acupuntura auricular associada ao treinamento muscular pélvico tem mostrado potencial como uma opção terapêutica eficaz para o controle da incontinência urinária pós-prostatectomia radical.</t>
  </si>
  <si>
    <t>​A Associação Europeia de Urologia (European Association of Urology - EAU) desenvolve diretrizes abrangentes para o manejo da incontinência urinária masculina, com atualizações periódicas baseadas em evidências científicas recentes. As diretrizes mais recentes, publicadas em 2022, fornecem orientações detalhadas sobre definição, fisiopatologia, diagnóstico e opções de tratamento para os diferentes tipos de incontinência urinária masculina.​
 PubMed
 Classificação da Incontinência Urinária Masculina:
 Incontinência Urinária de Esforço (IUE): Caracterizada pela perda involuntária de urina durante atividades que aumentam a pressão intra-abdominal, como tossir, espirrar ou levantar objetos pesados.​
 portaldaurologia.org.br
 +1
 Governo Federal
 +1
 Incontinência Urinária de Urgência (IUU): A perda urinária ocorre acompanhada de um desejo súbito e intenso de urinar, frequentemente associado à hiperatividade do músculo detrusor da bexiga.​
 Governo Federal
 +2
 portaldaurologia.org.br
 +2
 Governo Federal
 +2
 Incontinência Urinária Mista (IUM): Combina sintomas de IUE e IUU, exigindo uma abordagem terapêutica que aborde ambos os mecanismos.​
 Estudo Geral
 +2
 Governo Federal
 +2
 Governo Federal
 +2
 Abordagem Diagnóstica:
 História Clínica Completa: Avaliação detalhada dos sintomas, histórico médico e fatores de risco, como cirurgias prévias, especialmente prostatectomia.​
 Exame Físico: Inclui avaliação do assoalho pélvico e exame neurológico para identificar possíveis causas subjacentes.​
 portaldaurologia.org.br
 +1
 Governo Federal
 +1
 Exames Complementares: Análise de urina, exames de imagem e, quando indicado, estudo urodinâmico para avaliar a função do trato urinário inferior.​
 Governo Federal
 Opções de Tratamento:
 Tratamentos Conservadores:
 Modificações no Estilo de Vida: Aconselhamento sobre hábitos miccionais, ingestão adequada de líquidos e gestão de fatores contribuintes, como constipação.​
 Terapias Comportamentais: Treinamento do assoalho pélvico, técnicas de biofeedback e programas de reeducação vesical.​
 Uroweb
 +2
 portaldaurologia.org.br
 +2
 Governo Federal
 +2
 Tratamento Farmacológico: Uso de medicamentos antimuscarínicos para IUU e agentes que aumentam o tônus do esfíncter uretral para IUE.​
 Governo Federal
 +2
 Apurologia
 +2
 Estudo Geral
 +2
 Tratamentos Cirúrgicos:
 Para IUE: Procedimentos como agentes de volume uretral, slings masculinos e implante de esfíncter urinário artificial.​
 Estudo Geral
 Para IUU: Opções incluem injeções de toxina botulínica na parede da bexiga, estimulação do nervo sacral e, em casos selecionados, cistectomia com derivação urinária.​
 É fundamental que o tratamento seja individualizado, levando em consideração as preferências do paciente, comorbidades e a gravidade dos sintomas. Recomenda-se que os profissionais de saúde consultem as diretrizes completas da EAU para obter informações detalhadas e atualizadas.</t>
  </si>
  <si>
    <t>​A Associação Europeia de Urologia (EAU) publicou diretrizes abrangentes sobre a incontinência urinária masculina, atualizadas pela última vez em 2022. Essas diretrizes fornecem informações detalhadas sobre definição, fisiopatologia, diagnóstico e opções de tratamento para os diferentes tipos de incontinência urinária em homens. ​
 PubMed
 Principais aspectos abordados nas diretrizes:
 Classificação dos tipos de incontinência urinária masculina:
 Incontinência Urinária de Esforço (IUE): Perda involuntária de urina associada a atividades que aumentam a pressão intra-abdominal, como tossir, espirrar ou levantar objetos pesados.​
 Governo Federal
 +1
 Governo Federal
 +1
 Incontinência Urinária de Urgência (IUU): Perda involuntária de urina acompanhada de um forte desejo de urinar, devido à contração involuntária do músculo detrusor da bexiga.​
 Governo Federal
 +2
 Governo Federal
 +2
 PMC
 +2
 Incontinência Urinária Mista (IUM): Combinação de IUE e IUU.​
 Estudo Geral
 +2
 Governo Federal
 +2
 Governo Federal
 +2
 Diagnóstico:
 Inclui uma avaliação detalhada da história clínica, exame físico, diário miccional, exames laboratoriais e, quando necessário, estudos urodinâmicos para determinar a causa subjacente da incontinência.​
 Governo Federal
 +1
 amb.org.br
 +1
 Tratamento:
 Conservador: Terapias comportamentais, como treinamento dos músculos do assoalho pélvico, biofeedback e estimulação elétrica.​
 Governo Federal
 +2
 Governo Federal
 +2
 pt.wikipedia.org
 +2
 Farmacológico: Uso de medicamentos que modulam a função vesical e uretral.​
 Cirúrgico: Procedimentos como injeções de agentes de volume uretral, implantes de sling masculino e esfíncteres urinários artificiais, especialmente em casos refratários ou graves.​
 pt.wikipedia.org
 +2
 Estudo Geral
 +2
 pt.wikipedia.org
 +2
 Para informações mais detalhadas, recomenda-se consultar o artigo completo publicado no European Urology em 2022.</t>
  </si>
  <si>
    <t>A incontinência urinária após a prostatectomia radical pode durar semanas, meses ou até mais tempo, dependendo de diversos fatores, como a idade do paciente, a técnica cirúrgica utilizada, a função do esfíncter urinário e o tipo de câncer. Em muitos casos, a incontinência melhora com o tempo e com a reabilitação do assoalho pélvico.
 Estudos mostram que até 30% dos pacientes ainda podem experimentar algum grau de incontinência urinária após 1 ano da cirurgia. No entanto, em muitos casos, a condição tende a melhorar nos primeiros 6 a 12 meses após a operação, e a incontinência se torna menos frequente. Em alguns casos, tratamentos adicionais como fisioterapia ou, em situações mais graves, cirurgias podem ser necessárias para melhorar a função urinária.
 Cada caso é único, então é importante que o paciente siga as orientações do médico responsável para monitorar e tratar adequadamente a condição.</t>
  </si>
  <si>
    <t>A incontinência urinária após a prostatectomia radical é uma preocupação comum, mas a duração pode variar de pessoa para pessoa. Geralmente, a maioria dos pacientes apresenta algum grau de incontinência logo após a cirurgia, mas muitos começam a recuperar o controle da bexiga dentro de 6 meses a 1 ano.
 A persistência da incontinência pode ser influenciada por vários fatores, como:
 Idade do paciente: Pacientes mais jovens tendem a se recuperar mais rapidamente.
 Estado da função da bexiga antes da cirurgia: Aqueles com boa função prévia geralmente se recuperam mais rápido.
 Técnica cirúrgica utilizada: O tipo de cirurgia e a preservação dos nervos podem impactar a recuperação.
 Complicações durante ou após a cirurgia: Infecções ou outros problemas podem prolongar a incontinência.
 A incontinência urinária após a prostatectomia pode ser tratada com fisioterapia do assoalho pélvico, medicamentos ou, em casos mais graves, cirurgia corretiva. Muitos pacientes experimentam uma melhora significativa dentro de 12 meses, mas casos persistentes podem requerer intervenções adicionais.</t>
  </si>
  <si>
    <t>A recuperação do controle urinário após uma cirurgia pode variar dependendo do tipo de procedimento realizado e das condições individuais de cada paciente. No entanto, algumas estratégias comuns podem ajudar no processo de recuperação:
 Treinamento da bexiga: Envolve treinar a bexiga a reter a urina por períodos mais longos. Isso pode ser feito agendando horários específicos para urinar, aumentando gradualmente os intervalos entre as idas ao banheiro.
 Exercícios do assoalho pélvico (Kegel): Esses exercícios ajudam a fortalecer os músculos que controlam a bexiga e podem melhorar o controle urinário. Eles envolvem contrair e relaxar os músculos do assoalho pélvico de forma repetida.
 Uso de medicamentos: Em alguns casos, medicamentos podem ser prescritos para ajudar a controlar a bexiga hiperativa ou melhorar a função do esfíncter urinário.
 Hidratação adequada: Manter uma boa hidratação é importante, mas também é essencial não exagerar na ingestão de líquidos, especialmente se a cirurgia envolveu a bexiga ou a próstata, para evitar sobrecarga na bexiga.
 Treinamento de continência com dispositivos: Em alguns casos, dispositivos como biofeedback ou até mesmo eletroestimulação podem ser utilizados para ajudar no treinamento muscular e no controle urinário.
 Controle da dieta: Evitar alimentos ou bebidas que podem irritar a bexiga (como cafeína, álcool e alimentos picantes) pode ajudar a evitar a urgência urinária ou a incontinência.
 Fisioterapia pélvica: Consultar um fisioterapeuta especializado em saúde pélvica pode ser benéfico. A fisioterapia pélvica oferece orientação personalizada para a recuperação do controle urinário após a cirurgia.
 Monitoramento médico regular: Acompanhamento contínuo com o médico para ajustar o plano de tratamento, monitorar a recuperação e lidar com quaisquer complicações ou efeitos colaterais da cirurgia.
 Essas estratégias devem ser adaptadas com base no tipo de cirurgia e na orientação médica, para que a recuperação seja o mais eficaz possível.</t>
  </si>
  <si>
    <t>A recuperação do controle urinário após uma cirurgia, como a prostatectomia ou cirurgia ginecológica, pode ser desafiadora, mas várias estratégias podem ser eficazes para auxiliar nesse processo. Aqui estão algumas abordagens recomendadas:
 Exercícios de Kegel: Fortalecer os músculos do assoalho pélvico pode ajudar a melhorar o controle da bexiga. Esses exercícios envolvem contrair e relaxar os músculos responsáveis pela continência urinária, ajudando a restaurar o controle.
 Treinamento da bexiga: Isso envolve estabelecer horários regulares para tentar urinar, mesmo que a pessoa não sinta vontade. Com o tempo, isso pode ajudar a aumentar a capacidade da bexiga e melhorar o controle.
 Uso de medicamentos: Em alguns casos, o médico pode recomendar medicamentos para ajudar a controlar os sintomas de incontinência urinária, como anticolinérgicos ou beta-3 agonistas, que ajudam a reduzir a frequência urinária ou a urgência.
 Biofeedback: Esta técnica ajuda a pessoa a tomar consciência das contrações musculares e do processo urinário, promovendo uma melhor coordenação e controle do assoalho pélvico.
 Terapia física especializada: Um fisioterapeuta especializado em saúde pélvica pode oferecer orientações personalizadas sobre como melhorar o controle urinário.
 Adaptação de hábitos alimentares: Evitar irritantes da bexiga, como cafeína, álcool e alimentos condimentados, pode ajudar a reduzir a frequência urinária e a urgência.
 Estimulação elétrica neuromuscular: Em alguns casos, a estimulação elétrica dos músculos do assoalho pélvico pode ser usada para ajudar na recuperação da função muscular e no controle urinário.
 Acompanhamento psicológico: A incontinência urinária pode causar estresse emocional. Ter apoio psicológico pode ser útil para lidar com os aspectos emocionais da recuperação.
 Essas estratégias devem ser discutidas com o médico responsável, que pode recomendar o melhor plano de tratamento com base no tipo de cirurgia e nas necessidades específicas do paciente.</t>
  </si>
  <si>
    <t>O suporte educacional desempenha um papel crucial na adaptação dos pacientes à incontinência urinária pós-prostatectomia, pois pode ajudar a reduzir o estigma, melhorar o manejo da condição e aumentar a confiança do paciente em lidar com os sintomas. Algumas formas de como isso pode ser feito incluem:
 Informação sobre a condição: O suporte educacional pode fornecer informações claras sobre a incontinência urinária, explicando que ela é uma consequência comum da prostatectomia e que, em muitos casos, a função urinária pode melhorar com o tempo. Isso pode aliviar a ansiedade do paciente e dar uma perspectiva mais realista sobre a recuperação.
 Treinamento em exercícios de fortalecimento: Ensinar os pacientes sobre exercícios de fortalecimento do assoalho pélvico, como os exercícios de Kegel, pode ser fundamental para melhorar o controle da bexiga e reduzir os episódios de incontinência. O suporte educacional pode envolver demonstrações práticas e acompanhamento para garantir que os exercícios sejam feitos corretamente.
 Orientação sobre o uso de dispositivos e produtos de gestão: Os pacientes podem se beneficiar de informações sobre o uso de fraldas, protetores ou outros dispositivos para gerenciar a incontinência. O suporte educacional pode ajudar na escolha dos produtos mais adequados às necessidades individuais, além de ensinar como usá-los corretamente.
 Aconselhamento psicológico e emocional: A incontinência urinária pode afetar a qualidade de vida e a autoestima dos pacientes. O suporte educacional pode incluir apoio psicológico, proporcionando uma abordagem que ajude os pacientes a lidar com o impacto emocional da condição, promovendo estratégias de enfrentamento e autocompaixão.
 Acompanhamento contínuo: Oferecer um suporte contínuo, com consultas periódicas ou acesso a grupos de apoio, pode ajudar os pacientes a se sentirem mais seguros durante a recuperação. A educação continuada sobre as mudanças nas condições e progressos individuais é essencial para a adaptação de longo prazo.
 Combinando informações práticas com apoio emocional, o suporte educacional pode ser um fator determinante para a adaptação bem-sucedida à incontinência urinária pós-prostatectomia.</t>
  </si>
  <si>
    <t>O suporte educacional desempenha um papel crucial na adaptação dos pacientes à incontinência urinária pós-prostatectomia, ajudando-os a compreender melhor o que está acontecendo com o seu corpo e como lidar com as mudanças. Algumas formas de melhorar esse suporte incluem:
 Educação clara sobre a condição: Explicar aos pacientes o que é a incontinência urinária pós-prostatectomia, suas causas e como ela se relaciona com o processo de recuperação. Isso ajuda a reduzir a ansiedade e proporciona um entendimento realista das expectativas durante o período pós-cirúrgico.
 Treinamento sobre exercícios do assoalho pélvico: Ensinar técnicas de fortalecimento muscular, como os exercícios de Kegel, que podem melhorar o controle urinário e diminuir a incontinência. A prática regular pode ajudar a acelerar a recuperação e melhorar a qualidade de vida.
 Estratégias para gerenciar a incontinência: Oferecer orientação sobre o uso de dispositivos de incontinência, como fraldas ou absorventes, e sobre como escolher o produto mais adequado às suas necessidades. Além disso, sugerir formas de gerenciar os episódios de incontinência, como horários regulares para ir ao banheiro.
 Aconselhamento psicológico e apoio emocional: Reconhecer que a incontinência urinária pode afetar a autoestima e a qualidade de vida do paciente. Fornecer apoio psicológico, grupos de apoio ou consultas com um terapeuta especializado pode ajudar a lidar com esses desafios emocionais e sociais.
 Monitoramento e acompanhamento contínuo: Agendar consultas regulares para monitorar o progresso da recuperação, ajustar tratamentos e fornecer mais orientações educacionais conforme necessário. Isso pode incluir acompanhamento médico para avaliar a resposta ao tratamento e ajustar intervenções se necessário.
 Essas abordagens educacionais contribuem para que os pacientes se sintam mais informados, menos ansiosos e mais preparados para lidar com a incontinência urinária, promovendo uma recuperação mais tranquila e uma melhor adaptação à nova realidade.</t>
  </si>
  <si>
    <t>A Teoria das Necessidades Humanas Básicas, proposta por Manuel T. J. de Mello, aborda as necessidades fundamentais do ser humano, destacando aspectos essenciais para o bem-estar e o equilíbrio do indivíduo. De acordo com essa teoria, a saúde sexual ocupa um papel crucial no equilíbrio global da pessoa, pois está intimamente relacionada com várias outras necessidades, como o afeto, a autoestima e a realização pessoal.
 A saúde sexual, em um sentido mais amplo, não se limita apenas à função reprodutiva, mas também envolve a capacidade de estabelecer relações íntimas e afetivas satisfatórias. Quando a saúde sexual está em equilíbrio, o indivíduo se sente mais seguro, confiante e integrado socialmente, o que contribui para a satisfação das necessidades psicológicas e emocionais.
 De acordo com essa teoria, o equilíbrio do indivíduo depende da satisfação de necessidades básicas que se interconectam. A saúde sexual, portanto, deve ser tratada de forma integral, levando em conta tanto os aspectos físicos quanto psicológicos. Uma boa saúde sexual está diretamente relacionada à satisfação das necessidades de intimidade, carinho e respeito mútuo, o que favorece o equilíbrio emocional, a saúde mental e a autoestima.
 Em resumo, a Teoria das Necessidades Humanas Básicas sugere que a saúde sexual é uma parte essencial do bem-estar geral, sendo uma necessidade humana fundamental que precisa ser atendida para garantir o equilíbrio e a realização do indivíduo em sua totalidade.</t>
  </si>
  <si>
    <t>A Teoria das Necessidades Humanas Básicas, proposta por Wanda Horta, tem como foco o cuidado de enfermagem e a compreensão das necessidades humanas essenciais para a manutenção da saúde. Em relação à saúde sexual, essa teoria considera a sexualidade como uma das necessidades humanas fundamentais que contribuem para o bem-estar geral do indivíduo.
 A teoria destaca que a satisfação das necessidades básicas, incluindo a sexualidade, é crucial para o equilíbrio físico, emocional e psicológico. Quando a saúde sexual é negligenciada ou não atendida de maneira adequada, isso pode impactar negativamente o equilíbrio do indivíduo, causando estresse, ansiedade, sentimentos de inadequação e até problemas de relacionamento. Por outro lado, a vivência saudável da sexualidade contribui para a autoestima, o prazer e a harmonia, fundamentais para a saúde mental e emocional.
 Portanto, a Teoria das Necessidades Humanas Básicas enfatiza que a saúde sexual é uma parte essencial do cuidado integral do ser humano e está intimamente ligada ao equilíbrio geral do indivíduo, sendo necessária para o seu bem-estar físico e psicológico.</t>
  </si>
  <si>
    <t>A disfunção sexual masculina pode ser influenciada por diversos fatores, tanto físicos quanto psicológicos. Alguns dos principais fatores incluem:
 Problemas de saúde física:
 Doenças cardiovasculares: Problemas como hipertensão, diabetes e aterosclerose podem afetar o fluxo sanguíneo, essencial para a função erétil.
 Distúrbios hormonais: Níveis baixos de testosterona ou desequilíbrios hormonais podem afetar o desejo sexual e a função erétil.
 Obesidade: O excesso de peso pode afetar a circulação e os níveis hormonais, além de ser associado a doenças que influenciam a função sexual.
 Doenças neurológicas: Condições como esclerose múltipla ou lesões na medula espinhal podem interferir na comunicação entre o cérebro e os órgãos genitais.
 Uso de medicamentos: Certos medicamentos, como antidepressivos, ansiolíticos e medicamentos para hipertensão, podem ter efeitos colaterais que prejudicam a função sexual.
 Fatores psicológicos:
 Estresse e ansiedade: Preocupações com o desempenho sexual ou questões externas podem afetar a capacidade de ter ereções.
 Depressão: A depressão pode reduzir o desejo sexual e afetar a função erétil.
 Problemas de relacionamento: Dificuldades emocionais e de comunicação com o parceiro podem contribuir para a disfunção sexual.
 Fatores de estilo de vida:
 Consumo de álcool e drogas: O uso excessivo de substâncias pode afetar a função sexual, principalmente em relação à ereção.
 Falta de exercício físico: A falta de atividade física pode contribuir para problemas de circulação sanguínea e aumento do risco de doenças relacionadas à função sexual.
 Tabagismo: Fumar pode danificar os vasos sanguíneos e afetar a circulação, dificultando a obtenção e a manutenção da ereção.
 Fatores hormonais:
 Desequilíbrios hormonais: Além da testosterona, outros hormônios, como os hormônios tireoidianos, podem afetar a função sexual.
 Idade:
 O envelhecimento natural está associado a uma diminuição na função sexual, mas não é uma causa definitiva de disfunção sexual. No entanto, à medida que os homens envelhecem, a produção de testosterona diminui e há um maior risco de doenças que afetam a saúde sexual.
 Cada um desses fatores pode contribuir isoladamente ou em conjunto para a disfunção sexual masculina. Identificar a causa subjacente é crucial para o tratamento adequado.</t>
  </si>
  <si>
    <t>A disfunção sexual masculina pode ser influenciada por uma variedade de fatores, que podem ser tanto físicos quanto psicológicos. Alguns dos principais fatores incluem:
 Fatores físicos:
 Doenças crônicas: Condições como diabetes, hipertensão, doenças cardíacas, obesidade e doenças renais podem afetar a função sexual masculina.
 Distúrbios hormonais: A diminuição dos níveis de testosterona pode levar à disfunção erétil e à diminuição do desejo sexual.
 Problemas neurológicos: Lesões ou condições que afetam os nervos, como a esclerose múltipla ou danos na medula espinhal, podem prejudicar a função erétil.
 Uso de medicamentos: Certos medicamentos, como antidepressivos, medicamentos para pressão arterial e tranquilizantes, podem ter efeitos colaterais que prejudicam a função sexual.
 Problemas circulatórios: A dificuldade de fluxo sanguíneo para o pênis pode ser causada por aterosclerose ou outros problemas vasculares, levando à disfunção erétil.
 Fatores psicológicos:
 Estresse e ansiedade: Preocupações sobre o desempenho sexual, estresse no trabalho ou na vida pessoal podem afetar a função sexual.
 Depressão: A depressão está frequentemente associada à diminuição do desejo sexual e pode levar à disfunção erétil.
 Problemas de relacionamento: Conflitos de relacionamento ou falta de comunicação com o parceiro podem impactar negativamente a saúde sexual.
 Trauma psicológico ou abuso: Experiências traumáticas ou abuso sexual passado podem ter efeitos duradouros na função sexual.
 Fatores de estilo de vida:
 Uso de substâncias: O consumo excessivo de álcool, tabaco e drogas recreativas pode prejudicar a função sexual.
 Falta de atividade física: A inatividade física e o sedentarismo podem afetar a circulação sanguínea e os níveis hormonais, levando à disfunção sexual.
 Má alimentação: Uma dieta rica em gordura e pobre em nutrientes essenciais pode contribuir para problemas de saúde que afetam a função sexual.
 Fatores relacionados à idade:
 Com o envelhecimento, a função sexual masculina pode ser naturalmente afetada, com diminuição dos níveis de testosterona e alterações na resposta sexual.
 Esses fatores podem atuar sozinhos ou em combinação, e é importante que os homens que enfrentam dificuldades sexuais busquem avaliação médica para identificar as causas e buscar o tratamento adequado.</t>
  </si>
  <si>
    <t>A anorgasmia é uma condição caracterizada pela dificuldade ou incapacidade de alcançar o orgasmo, apesar de uma estimulação sexual adequada. Ela pode afetar tanto homens quanto mulheres e pode ocorrer de várias formas, incluindo a ausência total de orgasmo ou dificuldade em atingir o orgasmo, mesmo após repetidos esforços. Existem diferentes tipos de anorgasmia, como:
 Anorgasmia primária: quando a pessoa nunca experimentou um orgasmo, mesmo com estimulação sexual.
 Anorgasmia secundária: quando uma pessoa, que anteriormente experimentava orgasmos, perde essa capacidade após um período de funcionamento normal.
 Anorgasmia situacional: quando a pessoa tem orgasmos em certas circunstâncias ou com certos parceiros, mas não em outras situações.
 Ela pode ser causada por diversos fatores, como problemas psicológicos (ansiedade, depressão, traumas), questões físicas (doenças, medicamentos, alterações hormonais) ou fatores relacionais (falta de comunicação, problemas de intimidade).
 A anorgasmia afeta diretamente a experiência do orgasmo, pois impede ou dificulta o prazer sexual pleno. Isso pode levar a frustração, baixa autoestima, ansiedade e até mesmo prejuízos no relacionamento. O impacto pode variar de leve desconforto até sofrimento emocional significativo, dependendo da intensidade e da duração da condição.</t>
  </si>
  <si>
    <t>A anorgasmia é a incapacidade persistente ou recorrente de atingir o orgasmo, apesar de uma estimulação sexual adequada e uma experiência de excitação sexual. Ela pode ser de diferentes tipos:
 Primária: Quando uma pessoa nunca experimentou um orgasmo, mesmo com experiências sexuais completas.
 Secundária: Quando uma pessoa já teve orgasmos anteriormente, mas, em algum momento da vida, passou a não conseguir mais atingi-los.
 Situacional: Quando o orgasmo só não ocorre em determinadas situações ou com certos parceiros.
 Generalizada: Quando a incapacidade de atingir o orgasmo ocorre em todas as situações e com qualquer parceiro.
 A anorgasmia pode afetar a experiência do orgasmo ao impedir o pico de prazer associado à estimulação sexual. Ela pode gerar frustração, ansiedade e até problemas no relacionamento. Além disso, pode estar relacionada a fatores físicos (como problemas hormonais, doenças, uso de medicamentos) ou psicológicos (como estresse, depressão, traumas ou questões de autoimagem). O impacto emocional é significativo, pois o orgasmo é frequentemente visto como uma parte essencial da satisfação sexual.</t>
  </si>
  <si>
    <t>O aplicativo IUProst foi desenvolvido com base em um conteúdo científico robusto, especialmente voltado para o tratamento de incontinência urinária (IU) em homens após prostatectomia radical. A fundamentação científica envolveu:
 Programas Cognitivo-Comportamentais: O aplicativo foi estruturado com base em um programa comportamental para promover a adesão ao autocuidado, com ênfase na execução de exercícios para o fortalecimento da musculatura pélvica, uma recomendação das diretrizes da International Continence Societys de Avaliação**: O conteúdo do aplicativo incluiu instrumentos validados como o International Consultation on Incontinence Questionnaire-Short Form (ICIQ-SF), que avalia a qualidade de vida relacionada à IU, e a Escala de Incontinência Urinária Pós-Prostatectomia Radical (EIUPR), que quantifica a gravidade da IU pós-cirurgia .
 Desenvolviológico: A construção do aplicativo seguiu as diretrizes da ISO/IEC 25010:2011 para avaliar a qualidade do software, cobrindo aspectos como adequação funcional, eficiência de desempenho, usabilidade e segurança .
 Esses fundamentos garantlicativo não só seja uma ferramenta tecnológica inovadora, mas também um recurso de saúde baseado em evidências científicas.</t>
  </si>
  <si>
    <t>A avaliação do produto IUProst segundo a ISO/IEC 25010:2011 foi realizada com base nas características de qualidade do produto, que são organizadas em categorias internas, externas e em uso. As características e subcaracterísticas avaliadas incluem:
 Adequação funcional - Inclui completude funcional, correção funcional e adequação funcional.
 Eficiência de desempenho - Considerando o comportamento em relação ao tempo e a utilização de recursos.
 Compatibilidade - Avaliada com base na interoperabilidade e coexistência com outros sistemas.
 Usabilidade - Abrange o reconhecimento de adequação, apreensibilidade e operabilidade.
 Confiabilidade - Inclui maturidade, tolerância a falhas, recuperabilidade e disponibilidade.
 Segurança - Avalia a confidencialidade, integridade, autenticação e a proteção contra falhas.
 Essas características foram avaliadas por especialistas em desenvolvimento de software e especialistas em interfaces de usuário (IU), utilizando um modelo de questionário adaptado. As respostas foram analisadas conforme a fórmula ISO/IEC 14598-6 para atribuir uma pontuação para cada subcaracterística</t>
  </si>
  <si>
    <t>A avaliação da qualidade do aplicativo IUProst, de acordo com a norma ISO/IEC 25010:2011, foi realizada por especialistas em incontinência urinária e em desenvolvimento de software. Seis características de qualidade foram avaliadas:
 Adequação funcional: A capacidade do aplicativo de fornecer as funcionalidades necessárias.
 Eficiência de desempenho: A avaliação de como o aplicativo utiliza os recursos do dispositivo, incluindo tempo de resposta e consumo de recursos.
 Compatibilidade: A interoperabilidade do aplicativo com diferentes dispositivos e sistemas operacionais.
 Usabilidade: A facilidade de uso do aplicativo, levando em consideração a interface e a experiência do usuário.
 Confiabilidade: A estabilidade e a capacidade do aplicativo de funcionar sem falhas durante o uso.
 Segurança: A proteção dos dados do usuário e a segurança do aplicativo contra falhas ou invasões.
 Essas características foram avaliadas com um índice de concordância acima de 70%, com as pontuações variando de acordo com a especialidade dos avaliadores</t>
  </si>
  <si>
    <t>E-health, ou saúde eletrônica, é um termo que engloba o uso das tecnologias de informação e comunicação (TICs) para melhorar a prevenção, diagnóstico, tratamento e monitoramento da saúde, bem como para a gestão de informações em saúde.
 A definição inicial da Organização Mundial da Saúde (OMS) para e-health foi:
 "O uso da Internet e outras tecnologias de comunicação para fornecer cuidados médicos, educação em saúde e facilitar os processos administrativos."
 Essa definição destaca a integração das tecnologias de informação com os cuidados de saúde, visando melhorar a eficiência dos sistemas de saúde, promover o acesso a cuidados de saúde e melhorar os resultados dos pacientes. Com o tempo, o conceito de e-health foi expandido para incluir diversas inovações, como a telemedicina, registros médicos eletrônicos (EMRs), saúde móvel (m-health), entre outros.</t>
  </si>
  <si>
    <t>E-health (saúde eletrônica) refere-se ao uso de tecnologias da informação e comunicação (TIC) para melhorar a saúde e os cuidados com a saúde. Isso pode envolver uma variedade de ferramentas, incluindo registros médicos eletrônicos, telemedicina, sistemas de monitoramento remoto de saúde, aplicativos móveis de saúde e outras soluções digitais voltadas para a saúde.
 A definição inicial de e-health pela Organização Mundial da Saúde (OMS) foi apresentada em 2005, quando ela descreveu o termo como:
 "O uso da Internet e outras tecnologias da informação e comunicação para melhorar a saúde e os cuidados de saúde."
 A OMS destaca a importância de utilizar essas tecnologias para apoiar os cuidados de saúde em todas as suas formas, tanto para pacientes quanto para profissionais, oferecendo ferramentas para otimizar diagnósticos, tratamentos, acompanhamento e a gestão de dados de saúde.</t>
  </si>
  <si>
    <t>Consistência ChatGPT4o Mini</t>
  </si>
  <si>
    <t>Soma Rank - ChatGPT4o Mini</t>
  </si>
  <si>
    <t>Wilcoxon Rank - ChatGPT4o Mini</t>
  </si>
  <si>
    <t>421 &gt; 126 (não rejeitamos a hipótese nula)</t>
  </si>
  <si>
    <t>ChatGPT-4o Turbo (1ª resposta)</t>
  </si>
  <si>
    <t>A incontinência urinária após uma cirurgia de retirada da próstata, como a prostatectomia radical, é uma preocupação comum. A duração da incontinência pode variar bastante entre os pacientes. Alguns homens recuperam o controle da bexiga poucas semanas após a cirurgia, enquanto outros podem levar meses ou até mais tempo.
 Em geral, a maioria dos homens vê uma melhoria significativa dentro de 6 a 12 meses após a cirurgia. Fatores como a idade do paciente, a saúde geral, e a técnica cirúrgica usada podem influenciar o tempo de recuperação. Além disso, exercícios de fortalecimento do assoalho pélvico, conhecidos como exercícios de Kegel, podem ajudar a acelerar a recuperação da função urinária.
 É importante discutir com o médico urologista sobre o que esperar no caso específico e quais medidas podem ser tomadas para gerenciar e potencialmente reduzir a duração da incontinência.</t>
  </si>
  <si>
    <t>Os principais fatores de risco para a disfunção erétil incluem:
 Idade: O risco aumenta à medida que os homens envelhecem, especialmente após os 50 anos.
 Condições de saúde: Doenças como diabetes, hipertensão arterial, doenças cardiovasculares, e distúrbios neurológicos podem afetar a função erétil.
 Estilo de vida: O tabagismo, o consumo excessivo de álcool, a obesidade e a falta de atividade física são fatores significativos.
 Medicações: Alguns medicamentos, como antidepressivos, anti-hipertensivos e medicamentos para tratar a próstata, podem contribuir para a disfunção erétil.
 Problemas psicológicos: O estresse, a ansiedade e a depressão podem ter um impacto significativo na capacidade de um homem de manter uma ereção.
 Lesões ou cirurgias: Lesões na área pélvica ou tratamentos cirúrgicos, especialmente aqueles que afetam a região genital e a próstata, podem levar à disfunção erétil.
 É importante abordar esses fatores com um médico para entender melhor as causas específicas em cada caso e explorar as opções de tratamento adequadas.</t>
  </si>
  <si>
    <t>A prevenção da incontinência urinária masculina envolve uma combinação de práticas saudáveis e cuidados específicos, como:
 Exercícios de fortalecimento pélvico: Exercícios de Kegel, que fortalecem os músculos do assoalho pélvico, podem ser muito úteis. Eles ajudam a controlar a liberação da urina e aumentam a resistência da bexiga.
 Manter um peso saudável: O excesso de peso pode aumentar a pressão sobre a bexiga e os músculos circundantes, contribuindo para a incontinência.
 Evitar alimentos e bebidas irritantes: Alguns alimentos e bebidas, como cafeína, álcool e alimentos ácidos, podem irritar a bexiga e aumentar a urgência urinária.
 Parar de fumar: O tabagismo pode afetar negativamente a saúde da bexiga e aumentar o risco de incontinência.
 Praticar técnicas de esvaziamento completo da bexiga: Certificar-se de esvaziar completamente a bexiga ao urinar pode ajudar a prevenir a incontinência.
 Manter uma boa higiene e saúde do trato urinário: Isso inclui tratar qualquer infecção do trato urinário rapidamente para evitar danos aos músculos que controlam a micção.
 Gerenciamento de líquidos: Beber uma quantidade adequada de líquidos ao longo do dia ajuda a manter a função saudável da bexiga, mas evitar beber em excesso à noite pode diminuir a necessidade de urinar frequentemente durante a noite.
 Consultar regularmente um médico: Check-ups regulares podem ajudar a identificar e tratar precocemente condições que podem levar à incontinência.
 Se você está experienciando sintomas de incontinência, é importante consultar um médico para uma avaliação adequada e tratamento personalizado.</t>
  </si>
  <si>
    <t>Os três principais tipos de incontinência urinária masculina são:
 Incontinência de Esforço: Ocorre quando há vazamentos de urina durante atividades físicas que aumentam a pressão intra-abdominal, como tossir, espirrar, rir ou levantar peso. Isso geralmente se deve ao enfraquecimento dos músculos do assoalho pélvico ou danos nos esfíncteres que controlam a passagem da urina.
 Incontinência de Urgência: Também conhecida como incontinência por hiperatividade do detrusor, é caracterizada pela necessidade urgente e repentina de urinar, seguida pela perda involuntária de urina. Este tipo pode estar relacionado a condições neurológicas ou a problemas no próprio músculo da bexiga.
 Incontinência Mista: Combina características da incontinência de esforço e de urgência. O homem com esse tipo de incontinência tem episódios tanto de vazamentos ao fazer esforço físico quanto de urgência urinária que resulta em perda involuntária de urina.
 Tratar e gerenciar a incontinência urinária masculina depende da identificação correta do tipo e das causas subjacentes, que podem ser abordadas com exercícios de fortalecimento, medicação, mudanças comportamentais ou, em casos mais graves, procedimentos cirúrgicos.</t>
  </si>
  <si>
    <t>Após receberem alta hospitalar, os pacientes que foram submetidos à cirurgia geralmente precisam seguir uma série de recomendações para garantir uma recuperação adequada. Essas incluem:
 Repouso: Dependendo do tipo de cirurgia, pode ser necessário um período de repouso para permitir ao corpo se recuperar.
 Medicação: É comum prescrever medicamentos para dor, anti-inflamatórios ou antibióticos para prevenir infecções.
 Cuidados com a ferida: Manter a área da incisão limpa e seca é crucial. Os pacientes podem receber instruções específicas sobre como cuidar dos curativos.
 Seguir uma dieta apropriada: Dependendo da cirurgia, pode ser necessário ajustar a dieta para facilitar a digestão ou evitar irritação no local operado.
 Reabilitação e exercícios físicos: Exercícios leves ou fisioterapia podem ser recomendados para ajudar na recuperação da força e mobilidade, especialmente após cirurgias ortopédicas ou cardíacas.
 Consultas de acompanhamento: Visitas de acompanhamento com o médico são importantes para monitorar o progresso da recuperação e tratar quaisquer complicações.
 Essas orientações podem variar amplamente dependendo do tipo de cirurgia realizada e das condições individuais do paciente.</t>
  </si>
  <si>
    <t>Antes de fortalecer os músculos pélvicos, é importante seguir algumas etapas para garantir que você faça os exercícios corretamente e de maneira segura:
 Avaliação Médica: Consulte um profissional de saúde para verificar se há condições que possam ser afetadas por exercícios de fortalecimento pélvico, como prolapso, incontinência ou dor pélvica.
 Identificar os Músculos Corretos: Aprender a identificar os músculos do assoalho pélvico é crucial. Uma maneira de identificá-los é tentar interromper o fluxo de urina ao usar o banheiro. No entanto, isso deve ser feito apenas para identificação dos músculos, e não como um exercício regular.
 Técnica Correta: É essencial aprender a técnica correta. Isso pode incluir aprender a contrair os músculos sem apertar outros músculos, como os abdominais, glúteos ou coxas.
 Respiração: Manter uma respiração correta durante os exercícios é importante. Deve-se respirar normalmente enquanto contrai e relaxa os músculos pélvicos.
 Progressão Gradual: Comece com poucas repetições e aumente gradualmente tanto a quantidade quanto a intensidade à medida que os músculos se fortalecem.
 Consistência: A regularidade é chave. Os exercícios, como os exercícios de Kegel, devem ser feitos regularmente para melhores resultados.
 Orientação de um Especialista: Considerar a orientação de um fisioterapeuta especializado em saúde pélvica pode ser muito útil para garantir que os exercícios estão sendo realizados corretamente.
 Seguir essas diretrizes pode ajudar a maximizar os benefícios dos exercícios para os músculos pélvicos e evitar possíveis danos.</t>
  </si>
  <si>
    <t>O aplicativo desenvolvido para pacientes com incontinência urinária geralmente tem várias funções destinadas a ajudar na gestão e melhoria da qualidade de vida desses pacientes. Aqui estão algumas funções típicas que esses aplicativos podem incluir:
 Rastreamento de Sintomas: Permite aos usuários registrar episódios de incontinência, urgência urinária, frequência de idas ao banheiro, e volume de urina. Isso ajuda tanto o paciente quanto os profissionais de saúde a entenderem melhor os padrões e gatilhos da incontinência.
 Programas de Treinamento Vesical: Oferece programas personalizados para treinar a bexiga, como exercícios de fortalecimento dos músculos pélvicos (exercícios de Kegel) e técnicas de adiamento, que podem ajudar a aumentar o controle sobre a bexiga.
 Lembretes: Configura lembretes para ir ao banheiro em horários programados (treinamento da bexiga) ou para realizar exercícios pélvicos, auxiliando na aderência ao tratamento.
 Educação e Informações: Fornece informações educativas sobre incontinência urinária, incluindo causas, tipos, tratamentos disponíveis, e dicas de estilo de vida para ajudar a gerenciar os sintomas.
 Suporte Comunitário e Conectividade: Pode incluir fóruns ou grupos de suporte onde os usuários podem compartilhar experiências e dicas, reduzindo o estigma e promovendo o apoio mútuo.
 Feedback e Análise de Progresso: Alguns aplicativos podem oferecer feedback baseado nos dados inseridos pelos usuários, mostrando o progresso ao longo do tempo e ajustando as recomendações de tratamento conforme necessário.
 Esses aplicativos podem ser uma ferramenta valiosa para o auto-gerenciamento da incontinência, proporcionando maior autonomia e controle para os pacientes sobre sua condição.</t>
  </si>
  <si>
    <t>A alta de pacientes que passaram por uma prostatectomia exige cuidados específicos para garantir uma recuperação segura e eficaz. Aqui estão algumas intervenções de enfermagem validadas para esse processo:
 Educação do Paciente e da Família: Instruir o paciente e seus familiares sobre cuidados pós-operatórios, como a gestão da dor, técnicas para evitar infecções, manejo de drenos ou cateteres, e sinais de complicações que devem ser reportados imediatamente à equipe médica.
 Manejo da Dor: Monitoramento e administração de analgésicos conforme prescrição médica para controle da dor, o que é crucial para promover o conforto e facilitar a mobilização precoce.
 Cuidados com a Ferida Operatória: Inspecionar regularmente a incisão para sinais de infecção ou deiscência e orientar o paciente sobre como cuidar da ferida em casa.
 Manejo do Cateter Urinário: Educar o paciente sobre o cuidado com o cateter urinário, se aplicável, incluindo técnicas de higiene para prevenir infecções do trato urinário.
 Promoção da Mobilidade: Encorajar atividades leves e caminhadas frequentes para prevenir complicações como trombose venosa profunda.
 Monitoramento de Sinais Vitais e Funções Corporais: Acompanhamento contínuo de sinais vitais, estado de hidratação e função intestinal e urinária para identificar precocemente quaisquer desvios dos padrões esperados.
 Suporte Nutricional: Orientar sobre uma dieta adequada para promover a cicatrização de feridas e manter uma boa nutrição.
 Reabilitação do Assoalho Pélvico: Instruir sobre exercícios de fortalecimento do assoalho pélvico para ajudar na recuperação da função urinária e reduzir o risco de incontinência.
 Estas intervenções são fundamentais para garantir uma alta segura e ajudar na recuperação do paciente após a prostatectomia.</t>
  </si>
  <si>
    <t>A relação entre disfunção sexual masculina e sintomas do trato urinário inferior é significativa e bem documentada. Esses dois grupos de sintomas muitas vezes coexistem e podem afetar a qualidade de vida dos homens de várias maneiras. Aqui estão alguns pontos que conectam essas duas condições:
 Causas Comuns: Ambas as condições podem ser influenciadas por fatores similares como idade avançada, condições de saúde subjacentes como diabetes, doenças cardiovasculares, e obesidade, além de fatores de estilo de vida como o tabagismo e o consumo excessivo de álcool.
 Impacto da Hiperplasia Prostática Benigna (HPB): A HPB é uma das causas mais comuns de sintomas do trato urinário inferior em homens, que incluem aumento da frequência urinária, urgência, hesitação e fluxo urinário fraco. A HPB também pode afetar a função sexual, levando a problemas como disfunção erétil e ejaculação dolorosa ou diminuída.
 Fatores Psicológicos: O estresse e a ansiedade relacionados à presença de sintomas urinários podem também contribuir para a disfunção sexual. Além disso, a preocupação com o desempenho sexual pode exacerbar os sintomas do trato urinário.
 Medicações: Alguns medicamentos usados para tratar sintomas do trato urinário inferior, como os bloqueadores alfa, podem ter efeitos colaterais que incluem impactos na função sexual. Por outro lado, alguns tratamentos para disfunção erétil podem melhorar os sintomas do trato urinário.
 Interação entre as condições: Estudos sugerem que a melhora de um dos problemas pode levar a melhorias no outro. Por exemplo, tratamentos eficazes para disfunção erétil podem reduzir a ansiedade e melhorar a qualidade de vida, o que pode aliviar os sintomas urinários.
 É importante que os homens que experienciam esses sintomas consultem um profissional de saúde para uma avaliação apropriada e discussão sobre as opções de tratamento, já que o manejo adequado pode melhorar significativamente ambos os aspectos da saúde.</t>
  </si>
  <si>
    <t>Os tratamentos para a disfunção sexual masculina podem variar bastante dependendo da causa subjacente, da gravidade dos sintomas e das preferências pessoais do indivíduo. Aqui estão algumas opções comuns de tratamento:
 Medicamentos Orais: Inibidores da fosfodiesterase tipo 5, como Viagra (sildenafil), Cialis (tadalafil) e Levitra (vardenafil), são frequentemente prescritos para melhorar a função erétil ao aumentar o fluxo sanguíneo para o pênis.
 Terapia Hormonal: Se a disfunção sexual é causada por níveis baixos de testosterona, a terapia de reposição hormonal pode ser recomendada.
 Dispositivos de Ereção a Vácuo: Estes dispositivos envolvem o uso de um tubo plástico colocado sobre o pênis, no qual uma bomba (manual ou elétrica) cria um vácuo que estimula o fluxo sanguíneo, ajudando a alcançar uma ereção.
 Terapia Psicológica: Para casos onde há um componente psicológico significativo, como ansiedade de desempenho ou depressão, a terapia com um psicólogo ou outro profissional de saúde mental pode ser benéfica.
 Injeções Penianas: Medicamentos como alprostadil podem ser injetados diretamente no pênis para provocar uma ereção.
 Implantes Penianos: Em casos mais graves, podem ser considerados implantes penianos cirúrgicos, que podem ser dispositivos infláveis ou semirrígidos.
 Mudanças no Estilo de Vida: Melhorar a dieta, exercitar-se regularmente, parar de fumar e reduzir o consumo de álcool podem ajudar a melhorar a função erétil.
 Conselhos e Terapia de Casal: Quando a disfunção sexual afeta o relacionamento, a terapia de casal pode ajudar a abordar questões de comunicação e a melhorar a vida sexual.
 É importante consultar um médico para um diagnóstico adequado e para discutir a melhor opção de tratamento para casos individuais</t>
  </si>
  <si>
    <t>A incontinência urinária feminina é uma condição comum que pode afetar mulheres de todas as idades, mas é mais frequente com o avançar da idade. Aqui estão algumas das principais estratégias para prevenção e tratamento dessa condição:
 Exercícios de fortalecimento pélvico: Exercícios de Kegel, que fortalecem os músculos do assoalho pélvico, são fundamentais para prevenir e tratar a incontinência. Esses exercícios ajudam a suportar a uretra e a bexiga.
 Controle de peso: Manter um peso saudável pode reduzir a pressão sobre a bexiga e os músculos do assoalho pélvico, diminuindo os episódios de incontinência.
 Modificação da dieta: Reduzir a ingestão de alimentos e bebidas que podem irritar a bexiga, como cafeína, álcool e alimentos muito ácidos, pode ajudar a controlar os sintomas.
 Terapia comportamental: Técnicas como treinamento vesical podem ajudar a aumentar a quantidade de tempo entre a necessidade de urinar e a capacidade de controlar a bexiga.
 Medicamentos: Alguns medicamentos podem ser prescritos para ajudar a relaxar a bexiga e prevenir contrações involuntárias.
 Dispositivos de suporte: Em alguns casos, dispositivos como pessários podem ser utilizados para suportar os órgãos pélvicos e prevenir a perda de urina.
 Cirurgia: Em casos mais graves que não respondem a outras terapias, procedimentos cirúrgicos podem ser considerados para melhorar o suporte ao assoalho pélvico ou corrigir problemas anatômicos.
 Gerenciamento de fluidos: Ajustar a quantidade de líquido consumido pode ajudar a controlar a urgência urinária.
 É importante consultar um profissional de saúde para um diagnóstico adequado e discussão das melhores opções de tratamento com base nas necessidades individuais e na gravidade dos sintomas.</t>
  </si>
  <si>
    <t>A acupuntura auricular associada ao treinamento muscular pélvico pode ser uma abordagem complementar eficaz para o controle da incontinência urinária após prostatectomia radical. Estudos indicam que a acupuntura pode ajudar a reduzir a dor e melhorar a qualidade de vida, enquanto o treinamento muscular pélvico é amplamente recomendado para fortalecer os músculos do assoalho pélvico, o que é crucial para recuperar o controle urinário após esse tipo de cirurgia.
 O treinamento muscular pélvico, por si só, é uma das principais recomendações para a reabilitação pós-prostatectomia, visando melhorar o controle do esfíncter e a função urinária. A acupuntura auricular, que é uma técnica que estimula pontos específicos na orelha, poderia teoricamente contribuir para o alívio sintomático, embora o mecanismo exato e a eficácia precisem de mais investigações e evidências clínicas robustas.
 Um estudo controlado e randomizado seria ideal para avaliar a eficácia dessa combinação, comparando-a com outros tratamentos padrões ou placebo, para fornecer dados mais concretos sobre seus benefícios e limitações. A cooperação entre urologistas, fisioterapeutas e acupunturistas pode ser benéfica na criação de um plano de tratamento mais holístico e personalizado para os pacientes.</t>
  </si>
  <si>
    <t>As diretrizes da Associação Europeia de Urologia sobre incontinência urinária masculina são abrangentes e baseadas em evidências para orientar o diagnóstico e tratamento. Aqui está um resumo dos pontos principais:
 Classificação: A incontinência urinária masculina (UI) é classificada principalmente em incontinência urinária de esforço (IUE), incontinência urinária de urgência (IUU) e incontinência urinária mista (IUM). Cada tipo possui causas específicas e estratégias de manejo.
 Ferramentas Diagnósticas: Recomenda-se o uso de diários de micção, testes de absorvente e medições do volume residual pós-micção para avaliar a gravidade e o impacto da UI. Testes urodinâmicos são aconselhados, especialmente quando tratamentos invasivos estão sendo considerados.
 Imagem: Ultrassom (US) e ressonância magnética (MRI) são sugeridos para melhor compreender as anormalidades anatômicas e funcionais que contribuem para a UI.
 Tratamento Conservador: Intervenções no estilo de vida, como gerenciamento da ingestão de líquidos, redução da obesidade e cessação do tabagismo são enfatizadas. Além disso, tratar quaisquer comorbidades pode ajudar a gerenciar a UI.
 Evidência e Recomendações: As diretrizes são baseadas em uma revisão abrangente de evidências de alto nível e fornecem recomendações específicas para várias situações e condições relacionadas à UI.
 Estas diretrizes são estruturadas para orientar urologistas e outros profissionais de saúde na tomada de decisões informadas para otimizar o cuidado dos pacientes que sofrem de incontinência urinária​</t>
  </si>
  <si>
    <t>A incontinência urinária após uma prostatectomia radical é uma questão comum e pode variar significativamente de pessoa para pessoa. Geralmente, a maioria dos homens observa uma melhoria significativa nos primeiros 6 a 12 meses após a cirurgia. Durante esse período, o músculo esfincteriano e os tecidos ao redor da uretra estão se curando e se adaptando.
 No entanto, é importante notar que, enquanto muitos homens recuperam o controle urinário completo ou quase completo dentro de um ano, alguns podem continuar a ter algum grau de incontinência após esse período. Em casos menos comuns, a incontinência pode persistir de forma mais prolongada e exigir tratamentos adicionais, como fisioterapia para o assoalho pélvico, medicamentos ou até mesmo procedimentos cirúrgicos adicionais para ajudar a melhorar o controle urinário. Se você ou alguém que você conhece está enfrentando incontinência urinária após uma prostatectomia radical, é aconselhável discutir as opções de tratamento com um médico ou especialista em urologia.</t>
  </si>
  <si>
    <t>A recuperação do controle urinário após a cirurgia, especialmente após procedimentos como a prostatectomia, pode ser um desafio, mas existem várias estratégias que podem ajudar:
 Exercícios de Kegel: Estes exercícios fortalecem os músculos do assoalho pélvico, que são cruciais para controlar a urina. É importante aprender a técnica correta com um profissional de saúde para garantir que os músculos certos estão sendo trabalhados.
 Treinamento da bexiga: Isso envolve estabelecer horários regulares para ir ao banheiro e gradualmente aumentar os intervalos entre as idas ao banheiro para treinar a bexiga a reter urina por períodos mais longos.
 Controle de fluidos: Moderar a ingestão de líquidos, especialmente antes de dormir ou antes de sair, pode ajudar a gerenciar a urgência e a frequência urinária. No entanto, é importante manter uma hidratação adequada.
 Evitar irritantes da bexiga: Alimentos e bebidas como café, álcool, alimentos ácidos e picantes podem irritar a bexiga e exacerbam a incontinência.
 Fisioterapia especializada: Um fisioterapeuta especializado em saúde pélvica pode oferecer técnicas e exercícios específicos para ajudar a melhorar o controle da bexiga.
 Uso de medicamentos: Em alguns casos, medicamentos podem ser prescritos para ajudar a relaxar a bexiga ou melhorar o controle urinário.
 Produtos auxiliares: Utilizar absorventes ou dispositivos de coleta de urina pode ajudar a gerenciar a incontinência durante a recuperação.
 A recuperação varia de pessoa para pessoa, portanto, é fundamental discutir com um profissional de saúde para desenvolver um plano personalizado que atenda às necessidades individuais após a cirurgia.</t>
  </si>
  <si>
    <t>O suporte educacional é fundamental para melhorar a adaptação dos pacientes à incontinência urinária após uma prostatectomia. Aqui estão algumas maneiras pelas quais ele pode ajudar:
 Informação Clínica: Educando os pacientes sobre o que esperar após a cirurgia, incluindo possíveis efeitos colaterais como a incontinência urinária. Isso pode incluir discussões sobre a anatomia envolvida, por que a incontinência pode ocorrer e quais são as estratégias para gerenciá-la.
 Técnicas de Gestão: Instruir pacientes sobre técnicas e ferramentas para gerenciar a incontinência, como o uso de absorventes urinários, técnicas de higiene e cuidados da pele para prevenir irritações e infecções.
 Exercícios de Fortalecimento: Ensinar e encorajar a prática de exercícios de fortalecimento do assoalho pélvico, como os exercícios de Kegel, que podem ajudar a melhorar o controle da bexiga.
 Aconselhamento Psicológico: Oferecer suporte psicológico para lidar com o impacto emocional da incontinência. Isso pode envolver terapia individual ou em grupo, ajudando os pacientes a lidar com a ansiedade, depressão ou baixa autoestima associadas à condição.
 Grupos de Suporte: Encorajar a participação em grupos de suporte onde pacientes podem compartilhar experiências e dicas práticas com outros que enfrentam desafios semelhantes.
 Follow-Up Regular: Proporcionar acompanhamento regular com profissionais de saúde para monitorar o progresso, ajustar tratamentos e responder a quaisquer novas preocupações que possam surgir.
 Adaptações no Estilo de Vida: Aconselhar sobre mudanças no estilo de vida que podem ajudar a gerenciar a incontinência, como limitar a ingestão de líquidos antes de dormir, evitar alimentos e bebidas que irritam a bexiga, e manter um peso saudável.
 Ao fornecer educação abrangente e suporte contínuo, os pacientes podem sentir-se mais capacitados para gerenciar a incontinência urinária pós-prostatectomia, melhorando significativamente sua qualidade de vida.</t>
  </si>
  <si>
    <t>A Teoria das Necessidades Humanas Básicas, formulada por Abraham Maslow, é um modelo psicológico que propõe uma hierarquia de necessidades humanas, organizadas em níveis que vão das mais básicas às mais complexas. Segundo Maslow, a saúde sexual se encaixa principalmente no nível das necessidades de amor e de pertencimento, que abrangem tanto as relações afetivas quanto as relações sexuais.
 Essas necessidades são vitais para o equilíbrio e a saúde mental do indivíduo, pois o amor e o pertencimento são essenciais para desenvolver e manter conexões emocionais e íntimas com outras pessoas. Uma vida sexual saudável e satisfatória contribui significativamente para a satisfação dessas necessidades, pois promove intimidade, conexão e um senso de aceitação mútua.
 Além disso, atender a essas necessidades sexuais e afetivas ajuda no alcance dos níveis superiores da hierarquia de Maslow, como a estima e a auto-realização. Sentir-se amado e conectado pode aumentar a autoestima e a confiança, promovendo um bem-estar geral e uma maior realização pessoal.
 Portanto, a saúde sexual é vista não apenas como uma questão de bem-estar físico, mas também como um componente crucial para o equilíbrio emocional e psicológico, influenciando diretamente a capacidade do indivíduo de atingir seu potencial pleno e a auto-realização.</t>
  </si>
  <si>
    <t>A saúde sexual masculina pode ser influenciada por vários fatores, que frequentemente interagem de maneiras complexas. Alguns dos principais fatores que podem levar à disfunção sexual masculina incluem:
 Fatores Psicológicos: O estresse, ansiedade e depressão são notórios por afetarem a libido e a performance sexual. Problemas psicológicos podem inibir a resposta sexual ou causar disfunção erétil.
 Fatores Físicos: Condições médicas como diabetes, hipertensão, doenças cardíacas, obesidade, e hipotireoidismo podem afetar a circulação sanguínea e a função nervosa, levando à disfunção erétil.
 Estilo de Vida: O consumo excessivo de álcool, o tabagismo e o uso de drogas ilícitas podem deteriorar a saúde sexual. Além disso, a falta de atividade física e uma dieta pobre também podem contribuir para problemas sexuais.
 Medicamentos: Alguns medicamentos, como antidepressivos, anti-hipertensivos e medicamentos para tratar a próstata, podem ter efeitos colaterais que incluem disfunção erétil ou diminuição da libido.
 Fatores Hormonais: Níveis desequilibrados de hormônios, como testosterona baixa, podem significativamente impactar a função sexual e o desejo.
 Relacionamentos e Intimidade: Problemas de relacionamento, como comunicação deficiente, conflitos e falta de conexão emocional, podem afetar o desejo sexual e a satisfação.
 Idade: Com o envelhecimento, alterações nas respostas eréteis são comuns e podem ser agravadas por outros fatores de saúde.
 Entender a interação entre esses fatores pode ajudar na identificação das causas subjacentes da disfunção sexual e no direcionamento do tratamento mais adequado. A consulta com um profissional de saúde é essencial para diagnóstico e tratamento adequados.</t>
  </si>
  <si>
    <t>A anorgasmia é caracterizada pela dificuldade recorrente ou persistente em alcançar o orgasmo após uma fase de excitação sexual normal. Essa condição pode ser experimentada tanto por homens quanto por mulheres e pode variar em gravidade. Existem diferentes tipos de anorgasmia, incluindo:
 Anorgasmia primária: Quando a pessoa nunca alcançou um orgasmo sob nenhuma circunstância.
 Anorgasmia secundária: Quando a pessoa já alcançou orgasmos no passado, mas agora tem dificuldade em fazê-lo.
 Anorgasmia situacional: Quando a pessoa consegue alcançar o orgasmo em algumas situações ou tipos de estimulação, mas não em outras.
 Anorgasmia generalizada: Quando a pessoa não consegue alcançar o orgasmo sob qualquer circunstância.
 As causas da anorgasmia podem ser múltiplas e incluem fatores psicológicos (como ansiedade, depressão, problemas de relacionamento), fatores físicos (como doenças, medicamentos, alterações hormonais), e fatores combinados. O tratamento geralmente envolve terapia sexual, educação sexual, terapia de casal, ou até mesmo mudanças nos medicamentos, se estes forem a causa.
 A anorgasmia afeta a experiência do orgasmo ao impedir que o indivíduo alcance o pico de prazer sexual, o que pode levar a sentimentos de frustração, ansiedade e problemas nos relacionamentos íntimos. A experiência sexual pode se tornar menos satisfatória, tanto emocionalmente quanto fisicamente, influenciando a qualidade de vida geral do indivíduo.</t>
  </si>
  <si>
    <t>O aplicativo IUProst foi desenvolvido com base em fundamentos científicos sólidos, principalmente a partir das recomendações da International Continence Society para o tratamento da incontinência urinária, que inclui terapias comportamentais focadas em mudanças no estilo de vida e treinamento muscular do assoalho pélvico. O desenvolvimento do aplicativo passou por várias etapas que envolveram atualizações de conteúdo de um livreto existente, planejamento, modelagem, construção e avaliação da qualidade do produto conforme as normas ISO/IEC 25010.
 O aplicativo incorpora exercícios para fortalecimento da musculatura pélvica e oferece educação aos usuários sobre o processo de tratamento da incontinência urinária após prostatectomia radical. Além disso, o aplicativo foi avaliado por especialistas em incontinência urinária e desenvolvimento de software, garantindo que suas funcionalidades e informações estejam alinhadas com as necessidades e expectativas tanto dos usuários quanto dos profissionais de saúde</t>
  </si>
  <si>
    <t>Para avaliar a qualidade do aplicativo IUProst segundo a norma ISO/IEC 25010:2011, foram consideradas seis características principais por um grupo de dezesseis especialistas, divididos entre especialistas em incontinência urinária e especialistas em desenvolvimento de software. As características avaliadas foram:
 Adequação funcional - Avalia se o aplicativo atende às necessidades especificadas, incluindo a completude, correção e pertinência das funções para controlar a incontinência urinária.
 Eficiência de desempenho - Relaciona-se com o desempenho relativo ao montante de recursos utilizados sob condições declaradas.
 Compatibilidade - Verifica a capacidade do produto de coexistir com outros produtos, sem problemas de compartilhamento de recursos.
 Usabilidade - Inclui a capacidade de ser entendido, aprendido, operado e atraente ao usuário sob condições específicas.
 Confiabilidade - Mede a capacidade de manter um nível de desempenho sob condições especificadas e durante um período definido.
 Segurança - Avalia a capacidade de proteção de informações e dados, garantindo que somente pessoas autorizadas tenham acesso.
 Todas as características foram avaliadas positivamente com índice de concordância acima de 80%, exceto a característica de adequação funcional pelos especialistas em incontinência urinária, que apresentou concordância de 71%</t>
  </si>
  <si>
    <t>E-health, ou saúde eletrônica, é um termo que abrange o uso de tecnologias da informação e comunicação (TIC) na saúde. Abrange uma gama diversificada de serviços ou sistemas que estão no cruzamento da tecnologia e da saúde, incluindo telemedicina, registros de saúde eletrônicos, m-health (saúde móvel), big data de saúde, diagnósticos assistidos por IA e muito mais.
 A definição inicial de e-health pela Organização Mundial da Saúde (OMS) foi delineada no início dos anos 2000. A OMS define e-health como "o uso seguro e eficaz das tecnologias da informação e comunicação para apoiar a saúde e os campos relacionados à saúde, incluindo serviços de saúde, vigilância de saúde, literatura em saúde, e educação em saúde, tanto a distância como a nível local e global". Essa definição destaca o papel das TICs não apenas em melhorar o acesso aos serviços de saúde, mas também na gestão e educação em saúde, ampliando o escopo e a eficácia da assistência médica.</t>
  </si>
  <si>
    <t>433 &gt; 126 (não rejeitamos a hipótese nula)</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</si>
  <si>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</si>
  <si>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431 &gt; 126 (não rejeitamos a hipótese nula)</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</si>
  <si>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</si>
  <si>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398 &gt; 126 (não rejeitamos a hipótese nula)</t>
  </si>
  <si>
    <t>1 mas não falou o nome do app</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</si>
  <si>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</si>
  <si>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424 &gt; 126 (não rejeitamos a hipótese nula)</t>
  </si>
  <si>
    <t>1 mas não cita nome IUProst</t>
  </si>
  <si>
    <t>-</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</si>
  <si>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</si>
  <si>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1 mas não citou TMAP, talvez esteja uma resposta incompleta</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</si>
  <si>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</si>
  <si>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427 &gt; 126 (não rejeitamos a hipótese nula)</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</si>
  <si>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</si>
  <si>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0 - Acredito que essa resposta seria para a pergunta abaixo (8).</t>
  </si>
  <si>
    <r>
      <rPr>
        <rFont val="Arial"/>
        <color rgb="FF1155CC"/>
        <u/>
      </rPr>
      <t>Várias intervenções de enfermagem foram validadas para a alta de pacientes submetidos à prostatectomia, focadas em garantir uma recuperação segura e eficaz em domicílio. As principais áreas de intervenção incluem:</t>
    </r>
    <r>
      <rPr>
        <rFont val="Arial"/>
        <color rgb="FF1155CC"/>
        <u/>
      </rPr>
      <t xml:space="preserve">
 1. Cuidados com a sonda vesical:
 Orientações sobre o ma</t>
    </r>
    <r>
      <rPr>
        <rFont val="Arial"/>
      </rPr>
      <t>nejo da sonda: Instruções detalhadas sobre como cuidar da sonda, esvaziar a bolsa coletora e higienizar o local de inserção.
 Reconhecimento de sinais de complicações: Identificar sinais de infecção, obstrução ou outros problemas relacionados à sonda.
 Cronograma de remoção da sonda: Informar sobre o tempo estimado de permanência da sonda e o agendamento da remoção.
 2. Controle da dor:
 Administração de analgésicos: Orientar sobre o uso correto de medicamentos para controle da dor em casa.
 Técnicas não farmacológicas: Ensinar técnicas de relaxamento e outras estratégias para alívio da dor.
 3. Prevenção de infecções:
 Higiene pessoal: Reforçar a importância da higiene das mãos e da área genital para prevenir infecções.
 Sinais de alerta: Instruir sobre os sinais de infecção, como febre, vermelhidão ou secreção no local da cirurgia.
 4. Reabilitação do assoalho pélvico:
 Exercícios de Kegel: Ensinar e incentivar a prática regular de exercícios para fortalecer os músculos do assoalho pélvico, auxiliando no controle urinário.
 Gerenciamento da incontinência urinária: Estratégias para lidar com a incontinência, incluindo o uso de absorventes e outras medidas.
 5. Retorno às atividades diárias:
 Progressão gradual: Orientar sobre a retomada gradual das atividades normais, evitando esforços excessivos.
 Cuidados com a dieta: Recomendações sobre uma dieta equilibrada e rica em fibras para prevenir constipação.
 6. Acompanhamento e suporte:
 Agendamento de consultas de acompanhamento: Informar sobre as consultas de acompanhamento com o urologista e outros profissionais de saúde.
 Informações de contato: Fornecer contatos de emergência e informações sobre onde buscar ajuda em caso de dúvidas ou complicações.
 Informações adicionais:
 A necessidade de um acompanhamento psicológico também é de extrema importância para pacientes submetidos a prostatectomia, pois esses pacientes tem uma tendencia maior a depressão, devido as alterações de vida ocasionadas pela cirurgia.
 Cada paciente é único, e as intervenções de enfermagem devem ser individualizadas de acordo com as necessidades e condições de cada um.
 Você pode encontrar informações mais detalhadas nas seguintes fontes:
 Atividades de enfermagem ao paciente prostatectomizado: https://www.e-publicacoes.uerj.br/enfermagemuerj/article/download/4218/14243/64351
 Cuidados de enfermagem ao paciente em pós-operatório de prostatectomia: revisão integrativa - Revistas.ufg.br..: https://revistas.ufg.br/fen/article/download/14980/13442/95489</t>
    </r>
  </si>
  <si>
    <t>419 &gt; 126 (não rejeitamos a hipótese nula)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</si>
</sst>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sz val="11.0"/>
      <color rgb="FF000000"/>
      <name val="Arial"/>
    </font>
    <font>
      <b/>
      <color rgb="FF000000"/>
      <name val="Arial"/>
    </font>
    <font>
      <color rgb="FF000000"/>
      <name val="Arial"/>
    </font>
    <font>
      <u/>
      <color rgb="FF0000FF"/>
      <name val="Arial"/>
    </font>
  </fonts>
  <fills count="9">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3" fontId="1" numFmtId="0" xfId="0" applyAlignment="1" applyFill="1" applyFont="1">
      <alignment horizontal="center" readingOrder="0" shrinkToFit="0" vertical="top" wrapText="1"/>
    </xf>
    <xf borderId="0" fillId="4" fontId="1" numFmtId="0" xfId="0" applyAlignment="1" applyFill="1" applyFont="1">
      <alignment horizontal="center" readingOrder="0" shrinkToFit="0" vertical="top" wrapText="1"/>
    </xf>
    <xf borderId="0" fillId="5" fontId="1" numFmtId="0" xfId="0" applyAlignment="1" applyFill="1" applyFont="1">
      <alignment horizontal="center" readingOrder="0" shrinkToFit="0" vertical="top" wrapText="1"/>
    </xf>
    <xf borderId="0" fillId="4" fontId="2" numFmtId="0" xfId="0" applyAlignment="1" applyFont="1">
      <alignment horizontal="center"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3" fontId="3" numFmtId="0" xfId="0" applyAlignment="1" applyFont="1">
      <alignment readingOrder="0" shrinkToFit="0" vertical="top" wrapText="1"/>
    </xf>
    <xf borderId="0" fillId="4" fontId="3" numFmtId="0" xfId="0" applyAlignment="1" applyFont="1">
      <alignment readingOrder="0" shrinkToFit="0" vertical="top" wrapText="1"/>
    </xf>
    <xf borderId="0" fillId="5" fontId="3" numFmtId="0" xfId="0" applyAlignment="1" applyFont="1">
      <alignment readingOrder="0" shrinkToFit="0" vertical="top" wrapText="1"/>
    </xf>
    <xf borderId="0" fillId="0" fontId="3" numFmtId="0" xfId="0" applyAlignment="1" applyFont="1">
      <alignment readingOrder="0" vertical="top"/>
    </xf>
    <xf borderId="0" fillId="4" fontId="4" numFmtId="0" xfId="0" applyAlignment="1" applyFont="1">
      <alignment horizontal="right" shrinkToFit="0" vertical="top" wrapText="1"/>
    </xf>
    <xf borderId="0" fillId="3" fontId="3" numFmtId="0" xfId="0" applyAlignment="1" applyFont="1">
      <alignment shrinkToFit="0" vertical="top" wrapText="1"/>
    </xf>
    <xf borderId="0" fillId="4" fontId="3" numFmtId="0" xfId="0" applyAlignment="1" applyFont="1">
      <alignment shrinkToFit="0" vertical="top" wrapText="1"/>
    </xf>
    <xf borderId="0" fillId="5" fontId="3" numFmtId="0" xfId="0" applyAlignment="1" applyFont="1">
      <alignment shrinkToFit="0" vertical="top" wrapText="1"/>
    </xf>
    <xf borderId="0" fillId="4" fontId="4" numFmtId="0" xfId="0" applyAlignment="1" applyFont="1">
      <alignment horizontal="right" shrinkToFit="0" vertical="top" wrapText="1"/>
    </xf>
    <xf borderId="0" fillId="0" fontId="5" numFmtId="0" xfId="0" applyAlignment="1" applyFont="1">
      <alignment readingOrder="0" shrinkToFit="0" vertical="top" wrapText="1"/>
    </xf>
    <xf borderId="0" fillId="0" fontId="3" numFmtId="0" xfId="0" applyAlignment="1" applyFont="1">
      <alignment readingOrder="0"/>
    </xf>
    <xf borderId="0" fillId="4" fontId="4" numFmtId="0" xfId="0" applyAlignment="1" applyFont="1">
      <alignment vertical="top"/>
    </xf>
    <xf borderId="0" fillId="0" fontId="3" numFmtId="0" xfId="0" applyAlignment="1" applyFont="1">
      <alignment shrinkToFit="0" vertical="center" wrapText="1"/>
    </xf>
    <xf borderId="0" fillId="3" fontId="3" numFmtId="0" xfId="0" applyAlignment="1" applyFont="1">
      <alignment shrinkToFit="0" vertical="center" wrapText="1"/>
    </xf>
    <xf borderId="0" fillId="4" fontId="3" numFmtId="0" xfId="0" applyAlignment="1" applyFont="1">
      <alignment shrinkToFit="0" vertical="center" wrapText="1"/>
    </xf>
    <xf borderId="0" fillId="5" fontId="3" numFmtId="0" xfId="0" applyAlignment="1" applyFont="1">
      <alignment shrinkToFit="0" vertical="center" wrapText="1"/>
    </xf>
    <xf borderId="0" fillId="4" fontId="4" numFmtId="0" xfId="0" applyFont="1"/>
    <xf borderId="0" fillId="4" fontId="4" numFmtId="0" xfId="0" applyAlignment="1" applyFont="1">
      <alignment vertical="bottom"/>
    </xf>
    <xf borderId="0" fillId="0" fontId="3" numFmtId="0" xfId="0" applyAlignment="1" applyFont="1">
      <alignment shrinkToFit="0" wrapText="1"/>
    </xf>
    <xf borderId="0" fillId="3" fontId="3" numFmtId="0" xfId="0" applyAlignment="1" applyFont="1">
      <alignment shrinkToFit="0" wrapText="1"/>
    </xf>
    <xf borderId="0" fillId="4" fontId="3" numFmtId="0" xfId="0" applyAlignment="1" applyFont="1">
      <alignment shrinkToFit="0" wrapText="1"/>
    </xf>
    <xf borderId="0" fillId="5" fontId="3" numFmtId="0" xfId="0" applyAlignment="1" applyFont="1">
      <alignment shrinkToFit="0" wrapText="1"/>
    </xf>
    <xf borderId="0" fillId="0" fontId="3" numFmtId="0" xfId="0" applyAlignment="1" applyFont="1">
      <alignment readingOrder="0" shrinkToFit="0" wrapText="1"/>
    </xf>
    <xf borderId="0" fillId="0" fontId="6" numFmtId="0" xfId="0" applyAlignment="1" applyFont="1">
      <alignment readingOrder="0" shrinkToFit="0" wrapText="1"/>
    </xf>
    <xf borderId="0" fillId="6" fontId="1" numFmtId="0" xfId="0" applyAlignment="1" applyFill="1" applyFont="1">
      <alignment horizontal="center" readingOrder="0" vertical="top"/>
    </xf>
    <xf borderId="0" fillId="6" fontId="7" numFmtId="0" xfId="0" applyAlignment="1" applyFont="1">
      <alignment horizontal="center" readingOrder="0" shrinkToFit="0" vertical="top" wrapText="1"/>
    </xf>
    <xf borderId="1" fillId="6" fontId="7" numFmtId="0" xfId="0" applyAlignment="1" applyBorder="1" applyFont="1">
      <alignment horizontal="center" readingOrder="0" shrinkToFit="0" vertical="top" wrapText="1"/>
    </xf>
    <xf borderId="0" fillId="6" fontId="2" numFmtId="0" xfId="0" applyAlignment="1" applyFont="1">
      <alignment horizontal="center" shrinkToFit="0" vertical="top" wrapText="1"/>
    </xf>
    <xf borderId="1" fillId="6" fontId="7" numFmtId="0" xfId="0" applyAlignment="1" applyBorder="1" applyFont="1">
      <alignment horizontal="center" readingOrder="0" vertical="top"/>
    </xf>
    <xf borderId="0" fillId="6" fontId="2" numFmtId="0" xfId="0" applyAlignment="1" applyFont="1">
      <alignment horizontal="center" shrinkToFit="0" vertical="top" wrapText="1"/>
    </xf>
    <xf borderId="0" fillId="6" fontId="2" numFmtId="0" xfId="0" applyAlignment="1" applyFont="1">
      <alignment horizontal="center" readingOrder="0" shrinkToFit="0" vertical="top" wrapText="1"/>
    </xf>
    <xf borderId="1" fillId="0" fontId="8" numFmtId="0" xfId="0" applyAlignment="1" applyBorder="1" applyFont="1">
      <alignment readingOrder="0" shrinkToFit="0" vertical="top" wrapText="1"/>
    </xf>
    <xf borderId="1" fillId="7" fontId="8" numFmtId="0" xfId="0" applyAlignment="1" applyBorder="1" applyFill="1" applyFont="1">
      <alignment horizontal="right" readingOrder="0" vertical="top"/>
    </xf>
    <xf borderId="0" fillId="3" fontId="4" numFmtId="0" xfId="0" applyAlignment="1" applyFont="1">
      <alignment horizontal="right" shrinkToFit="0" vertical="top" wrapText="1"/>
    </xf>
    <xf borderId="1" fillId="7" fontId="8" numFmtId="0" xfId="0" applyAlignment="1" applyBorder="1" applyFont="1">
      <alignment horizontal="right" readingOrder="0" shrinkToFit="0" vertical="top" wrapText="0"/>
    </xf>
    <xf borderId="0" fillId="3" fontId="4" numFmtId="0" xfId="0" applyAlignment="1" applyFont="1">
      <alignment horizontal="right" readingOrder="0" shrinkToFit="0" vertical="top" wrapText="1"/>
    </xf>
    <xf borderId="0" fillId="4" fontId="4" numFmtId="0" xfId="0" applyAlignment="1" applyFont="1">
      <alignment horizontal="right" readingOrder="0" shrinkToFit="0" vertical="top" wrapText="1"/>
    </xf>
    <xf borderId="0" fillId="0" fontId="8" numFmtId="0" xfId="0" applyAlignment="1" applyFont="1">
      <alignment shrinkToFit="0" vertical="top" wrapText="1"/>
    </xf>
    <xf borderId="0" fillId="8" fontId="8" numFmtId="0" xfId="0" applyAlignment="1" applyFill="1" applyFont="1">
      <alignment shrinkToFit="0" vertical="top" wrapText="1"/>
    </xf>
    <xf borderId="0" fillId="3" fontId="4" numFmtId="0" xfId="0" applyAlignment="1" applyFont="1">
      <alignment vertical="top"/>
    </xf>
    <xf borderId="0" fillId="8" fontId="8" numFmtId="0" xfId="0" applyAlignment="1" applyFont="1">
      <alignment shrinkToFit="0" vertical="top" wrapText="0"/>
    </xf>
    <xf borderId="0" fillId="0" fontId="4" numFmtId="0" xfId="0" applyAlignment="1" applyFont="1">
      <alignment vertical="top"/>
    </xf>
    <xf borderId="0" fillId="0" fontId="8" numFmtId="0" xfId="0" applyAlignment="1" applyFont="1">
      <alignment readingOrder="0" shrinkToFit="0" vertical="top" wrapText="1"/>
    </xf>
    <xf borderId="0" fillId="0" fontId="8" numFmtId="0" xfId="0" applyAlignment="1" applyFont="1">
      <alignment shrinkToFit="0" vertical="bottom" wrapText="1"/>
    </xf>
    <xf borderId="0" fillId="8" fontId="8" numFmtId="0" xfId="0" applyAlignment="1" applyFont="1">
      <alignment shrinkToFit="0" vertical="bottom" wrapText="1"/>
    </xf>
    <xf borderId="0" fillId="3" fontId="4" numFmtId="0" xfId="0" applyFont="1"/>
    <xf borderId="0" fillId="8" fontId="8" numFmtId="0" xfId="0" applyAlignment="1" applyFont="1">
      <alignment shrinkToFit="0" vertical="bottom" wrapText="0"/>
    </xf>
    <xf borderId="0" fillId="3" fontId="4" numFmtId="0" xfId="0" applyAlignment="1" applyFont="1">
      <alignment vertical="bottom"/>
    </xf>
    <xf borderId="0" fillId="0" fontId="9" numFmtId="0" xfId="0" applyAlignment="1" applyFont="1">
      <alignment readingOrder="0" shrinkToFit="0" vertical="top" wrapText="1"/>
    </xf>
    <xf borderId="1" fillId="7" fontId="4" numFmtId="0" xfId="0" applyAlignment="1" applyBorder="1" applyFont="1">
      <alignment horizontal="center" shrinkToFit="0" vertical="top" wrapText="1"/>
    </xf>
    <xf borderId="1" fillId="7" fontId="4" numFmtId="0" xfId="0" applyAlignment="1" applyBorder="1" applyFont="1">
      <alignment horizontal="center" vertical="top"/>
    </xf>
    <xf borderId="1" fillId="7" fontId="8" numFmtId="0" xfId="0" applyAlignment="1" applyBorder="1" applyFont="1">
      <alignment horizontal="right" readingOrder="0" shrinkToFit="0" vertical="top" wrapText="1"/>
    </xf>
    <xf borderId="1" fillId="7" fontId="8" numFmtId="0" xfId="0" applyAlignment="1" applyBorder="1" applyFont="1">
      <alignment shrinkToFit="0" vertical="top" wrapText="1"/>
    </xf>
    <xf borderId="1" fillId="7" fontId="8" numFmtId="0" xfId="0" applyAlignment="1" applyBorder="1" applyFont="1">
      <alignment shrinkToFit="0" vertical="top" wrapText="0"/>
    </xf>
    <xf borderId="0" fillId="0" fontId="8" numFmtId="0" xfId="0" applyAlignment="1" applyFont="1">
      <alignment readingOrder="0" vertical="top"/>
    </xf>
    <xf borderId="1" fillId="8" fontId="8" numFmtId="0" xfId="0" applyAlignment="1" applyBorder="1" applyFont="1">
      <alignment readingOrder="0" shrinkToFit="0" vertical="top" wrapText="1"/>
    </xf>
    <xf borderId="1" fillId="7" fontId="4" numFmtId="0" xfId="0" applyAlignment="1" applyBorder="1" applyFont="1">
      <alignment horizontal="right" shrinkToFit="0" vertical="top" wrapText="1"/>
    </xf>
    <xf borderId="1" fillId="7" fontId="4" numFmtId="0" xfId="0" applyAlignment="1" applyBorder="1" applyFont="1">
      <alignment horizontal="right" vertical="top"/>
    </xf>
    <xf borderId="1" fillId="7" fontId="8" numFmtId="0" xfId="0" applyAlignment="1" applyBorder="1" applyFont="1">
      <alignment shrinkToFit="0" vertical="top" wrapText="0"/>
    </xf>
    <xf borderId="1" fillId="7" fontId="8" numFmtId="0" xfId="0" applyAlignment="1" applyBorder="1" applyFont="1">
      <alignment readingOrder="0" vertical="top"/>
    </xf>
    <xf borderId="1" fillId="7" fontId="4" numFmtId="0" xfId="0" applyAlignment="1" applyBorder="1" applyFont="1">
      <alignment shrinkToFit="0" vertical="top" wrapText="1"/>
    </xf>
    <xf borderId="1" fillId="7" fontId="4"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revistas.ufg.br/fen/article/download/14980/13442/95489"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18.88"/>
    <col customWidth="1" min="3" max="3" width="15.5"/>
    <col customWidth="1" min="4" max="4" width="8.38"/>
    <col customWidth="1" min="5" max="5" width="8.5"/>
    <col customWidth="1" min="6" max="6" width="16.13"/>
    <col customWidth="1" min="7" max="7" width="8.63"/>
    <col customWidth="1" min="8" max="8" width="10.88"/>
    <col customWidth="1" min="9" max="9" width="11.75"/>
    <col customWidth="1" min="10" max="10" width="14.63"/>
    <col customWidth="1" min="11" max="11" width="13.75"/>
    <col customWidth="1" min="12" max="12" width="21.75"/>
    <col customWidth="1" min="13" max="14" width="24.0"/>
    <col customWidth="1" min="15" max="15" width="10.88"/>
    <col customWidth="1" min="16" max="16" width="14.13"/>
    <col customWidth="1" min="17" max="17" width="19.13"/>
    <col customWidth="1" min="18" max="18" width="10.88"/>
    <col customWidth="1" min="19" max="19" width="14.13"/>
    <col customWidth="1" min="20" max="20" width="13.88"/>
    <col customWidth="1" min="21" max="21" width="22.0"/>
    <col customWidth="1" min="22" max="22" width="20.13"/>
    <col customWidth="1" min="23" max="24" width="24.0"/>
    <col customWidth="1" min="25" max="25" width="36.25"/>
    <col customWidth="1" min="26" max="26" width="10.88"/>
    <col customWidth="1" min="27" max="27" width="16.25"/>
    <col customWidth="1" min="28" max="28" width="37.75"/>
    <col customWidth="1" min="29" max="29" width="10.88"/>
    <col customWidth="1" min="30" max="30" width="14.13"/>
    <col customWidth="1" min="31" max="31" width="13.88"/>
    <col customWidth="1" min="32" max="35" width="24.0"/>
    <col customWidth="1" min="36" max="36" width="61.25"/>
    <col customWidth="1" min="37" max="37" width="10.88"/>
    <col customWidth="1" min="38" max="38" width="14.13"/>
    <col customWidth="1" min="39" max="39" width="56.0"/>
    <col customWidth="1" min="40" max="40" width="10.88"/>
    <col customWidth="1" min="41" max="41" width="14.13"/>
    <col customWidth="1" min="42" max="42" width="13.88"/>
    <col customWidth="1" min="43" max="46" width="24.0"/>
  </cols>
  <sheetData>
    <row r="1">
      <c r="A1" s="1" t="s">
        <v>0</v>
      </c>
      <c r="B1" s="1" t="s">
        <v>1</v>
      </c>
      <c r="C1" s="1" t="s">
        <v>2</v>
      </c>
      <c r="D1" s="2" t="s">
        <v>3</v>
      </c>
      <c r="E1" s="2" t="s">
        <v>4</v>
      </c>
      <c r="F1" s="1" t="s">
        <v>5</v>
      </c>
      <c r="G1" s="3" t="s">
        <v>3</v>
      </c>
      <c r="H1" s="3" t="s">
        <v>4</v>
      </c>
      <c r="I1" s="3" t="s">
        <v>6</v>
      </c>
      <c r="J1" s="3" t="s">
        <v>7</v>
      </c>
      <c r="K1" s="3" t="s">
        <v>8</v>
      </c>
      <c r="L1" s="3" t="s">
        <v>9</v>
      </c>
      <c r="M1" s="3" t="s">
        <v>10</v>
      </c>
      <c r="N1" s="1" t="s">
        <v>11</v>
      </c>
      <c r="O1" s="4" t="s">
        <v>3</v>
      </c>
      <c r="P1" s="2" t="s">
        <v>12</v>
      </c>
      <c r="Q1" s="1" t="s">
        <v>13</v>
      </c>
      <c r="R1" s="4" t="s">
        <v>3</v>
      </c>
      <c r="S1" s="3" t="s">
        <v>14</v>
      </c>
      <c r="T1" s="4" t="s">
        <v>15</v>
      </c>
      <c r="U1" s="3" t="s">
        <v>7</v>
      </c>
      <c r="V1" s="3" t="s">
        <v>8</v>
      </c>
      <c r="W1" s="3" t="s">
        <v>9</v>
      </c>
      <c r="X1" s="3" t="s">
        <v>10</v>
      </c>
      <c r="Y1" s="1" t="s">
        <v>16</v>
      </c>
      <c r="Z1" s="4" t="s">
        <v>3</v>
      </c>
      <c r="AA1" s="3" t="s">
        <v>4</v>
      </c>
      <c r="AB1" s="1" t="s">
        <v>17</v>
      </c>
      <c r="AC1" s="4" t="s">
        <v>3</v>
      </c>
      <c r="AD1" s="5" t="s">
        <v>4</v>
      </c>
      <c r="AE1" s="4" t="s">
        <v>15</v>
      </c>
      <c r="AF1" s="5" t="s">
        <v>7</v>
      </c>
      <c r="AG1" s="5" t="s">
        <v>8</v>
      </c>
      <c r="AH1" s="5" t="s">
        <v>9</v>
      </c>
      <c r="AI1" s="5" t="s">
        <v>10</v>
      </c>
      <c r="AJ1" s="1" t="s">
        <v>18</v>
      </c>
      <c r="AK1" s="4" t="s">
        <v>3</v>
      </c>
      <c r="AL1" s="3" t="s">
        <v>4</v>
      </c>
      <c r="AM1" s="1" t="s">
        <v>19</v>
      </c>
      <c r="AN1" s="4" t="s">
        <v>3</v>
      </c>
      <c r="AO1" s="5" t="s">
        <v>4</v>
      </c>
      <c r="AP1" s="4" t="s">
        <v>15</v>
      </c>
      <c r="AQ1" s="5" t="s">
        <v>7</v>
      </c>
      <c r="AR1" s="5" t="s">
        <v>8</v>
      </c>
      <c r="AS1" s="5" t="s">
        <v>9</v>
      </c>
      <c r="AT1" s="5" t="s">
        <v>10</v>
      </c>
      <c r="AU1" s="6"/>
      <c r="AV1" s="6"/>
      <c r="AW1" s="6"/>
      <c r="AX1" s="6"/>
      <c r="AY1" s="6"/>
      <c r="AZ1" s="6"/>
      <c r="BA1" s="6"/>
    </row>
    <row r="2" ht="117.0" customHeight="1">
      <c r="A2" s="7">
        <v>1.0</v>
      </c>
      <c r="B2" s="7" t="s">
        <v>20</v>
      </c>
      <c r="C2" s="7" t="s">
        <v>21</v>
      </c>
      <c r="D2" s="8">
        <v>1.0</v>
      </c>
      <c r="E2" s="8">
        <f>IFERROR(__xludf.DUMMYFUNCTION("IF(C2="""","""",COUNTA(SPLIT(C2,"" "")))"),31.0)</f>
        <v>31</v>
      </c>
      <c r="F2" s="7" t="s">
        <v>22</v>
      </c>
      <c r="G2" s="9">
        <v>1.0</v>
      </c>
      <c r="H2" s="9">
        <f>IFERROR(__xludf.DUMMYFUNCTION("IF(F2="""","""",COUNTA(SPLIT(F2,"" "")))"),34.0)</f>
        <v>34</v>
      </c>
      <c r="I2" s="9">
        <f t="shared" ref="I2:I30" si="1">compararRespostas(C2, F2)</f>
        <v>0.7106598985</v>
      </c>
      <c r="J2" s="9">
        <f t="shared" ref="J2:J30" si="2">(E2+H2)/2</f>
        <v>32.5</v>
      </c>
      <c r="K2" s="9">
        <f t="shared" ref="K2:K30" si="3">(H2-E2)</f>
        <v>3</v>
      </c>
      <c r="L2" s="9">
        <f t="shared" ref="L2:L30" si="4">RANK(K2, K$2:K$30, 1)</f>
        <v>12</v>
      </c>
      <c r="M2" s="9">
        <f t="shared" ref="M2:M30" si="5">IF(K2 &gt; 0, L2, -L2)</f>
        <v>12</v>
      </c>
      <c r="N2" s="7" t="s">
        <v>23</v>
      </c>
      <c r="O2" s="10">
        <v>1.0</v>
      </c>
      <c r="P2" s="8">
        <f>IFERROR(__xludf.DUMMYFUNCTION("IF(N2="""","""",COUNTA(SPLIT(N2,"" "")))"),34.0)</f>
        <v>34</v>
      </c>
      <c r="Q2" s="7" t="s">
        <v>24</v>
      </c>
      <c r="R2" s="10">
        <v>1.0</v>
      </c>
      <c r="S2" s="9">
        <f>IFERROR(__xludf.DUMMYFUNCTION("IF(Q2="""","""",COUNTA(SPLIT(Q2,"" "")))"),71.0)</f>
        <v>71</v>
      </c>
      <c r="T2" s="10">
        <f t="shared" ref="T2:T30" si="6">compararRespostas(N2, Q2)</f>
        <v>0.4068181818</v>
      </c>
      <c r="U2" s="9">
        <f t="shared" ref="U2:U30" si="7">(P2+S2)/2</f>
        <v>52.5</v>
      </c>
      <c r="V2" s="9">
        <f t="shared" ref="V2:V30" si="8">(S2-P2)</f>
        <v>37</v>
      </c>
      <c r="W2" s="9">
        <f t="shared" ref="W2:W30" si="9">RANK(V2, V$2:V$30, 1)</f>
        <v>23</v>
      </c>
      <c r="X2" s="9">
        <f t="shared" ref="X2:X30" si="10">IF(V2 &gt; 0, W2, -W2)</f>
        <v>23</v>
      </c>
      <c r="Y2" s="7" t="s">
        <v>25</v>
      </c>
      <c r="Z2" s="10">
        <v>1.0</v>
      </c>
      <c r="AA2" s="9">
        <f>IFERROR(__xludf.DUMMYFUNCTION("IF(Y2="""","""",COUNTA(SPLIT(Y2,"" "")))"),199.0)</f>
        <v>199</v>
      </c>
      <c r="AB2" s="11" t="s">
        <v>26</v>
      </c>
      <c r="AC2" s="10">
        <v>1.0</v>
      </c>
      <c r="AD2" s="12">
        <f>IFERROR(__xludf.DUMMYFUNCTION("IF(AB2="""","""",COUNTA(SPLIT(AB2,"" "")))"),159.0)</f>
        <v>159</v>
      </c>
      <c r="AE2" s="10">
        <f t="shared" ref="AE2:AE30" si="11">compararRespostas(Y2, AB2)</f>
        <v>0.4106060606</v>
      </c>
      <c r="AF2" s="12">
        <f t="shared" ref="AF2:AF30" si="12">(AA2+AD2)/2</f>
        <v>179</v>
      </c>
      <c r="AG2" s="12">
        <f t="shared" ref="AG2:AG30" si="13">(AD2-AA2)</f>
        <v>-40</v>
      </c>
      <c r="AH2" s="12">
        <f t="shared" ref="AH2:AH30" si="14">RANK(AG2, AG$2:AG$30, 1)</f>
        <v>8</v>
      </c>
      <c r="AI2" s="12">
        <f t="shared" ref="AI2:AI30" si="15">IF(AG2 &gt; 0, AH2, -AH2)</f>
        <v>-8</v>
      </c>
      <c r="AJ2" s="7" t="s">
        <v>27</v>
      </c>
      <c r="AK2" s="10">
        <v>1.0</v>
      </c>
      <c r="AL2" s="9">
        <f>IFERROR(__xludf.DUMMYFUNCTION("IF(AJ2="""","""",COUNTA(SPLIT(AJ2,"" "")))"),31.0)</f>
        <v>31</v>
      </c>
      <c r="AM2" s="7" t="s">
        <v>28</v>
      </c>
      <c r="AN2" s="10">
        <v>1.0</v>
      </c>
      <c r="AO2" s="12">
        <f>IFERROR(__xludf.DUMMYFUNCTION("IF(AM2="""","""",COUNTA(SPLIT(AM2,"" "")))"),32.0)</f>
        <v>32</v>
      </c>
      <c r="AP2" s="10">
        <f t="shared" ref="AP2:AP30" si="16">compararRespostas(AJ2, AM2)</f>
        <v>0.7701149425</v>
      </c>
      <c r="AQ2" s="12">
        <f t="shared" ref="AQ2:AQ30" si="17">(AL2+AO2)/2</f>
        <v>31.5</v>
      </c>
      <c r="AR2" s="12">
        <f t="shared" ref="AR2:AR30" si="18">(AO2-AL2)</f>
        <v>1</v>
      </c>
      <c r="AS2" s="12">
        <f t="shared" ref="AS2:AS30" si="19">RANK(AR2, AR$2:AR$30, 1)</f>
        <v>15</v>
      </c>
      <c r="AT2" s="12">
        <f t="shared" ref="AT2:AT30" si="20">IF(AR2 &gt; 0, AS2, -AS2)</f>
        <v>15</v>
      </c>
      <c r="AU2" s="6"/>
      <c r="AV2" s="6"/>
      <c r="AW2" s="6"/>
      <c r="AX2" s="6"/>
      <c r="AY2" s="6"/>
      <c r="AZ2" s="6"/>
      <c r="BA2" s="6"/>
    </row>
    <row r="3" ht="114.0" customHeight="1">
      <c r="A3" s="7">
        <v>2.0</v>
      </c>
      <c r="B3" s="7" t="s">
        <v>29</v>
      </c>
      <c r="C3" s="7" t="s">
        <v>30</v>
      </c>
      <c r="D3" s="8">
        <v>1.0</v>
      </c>
      <c r="E3" s="8">
        <f>IFERROR(__xludf.DUMMYFUNCTION("IF(C3="""","""",COUNTA(SPLIT(C3,"" "")))"),136.0)</f>
        <v>136</v>
      </c>
      <c r="F3" s="7" t="s">
        <v>31</v>
      </c>
      <c r="G3" s="9">
        <v>1.0</v>
      </c>
      <c r="H3" s="9">
        <f>IFERROR(__xludf.DUMMYFUNCTION("IF(F3="""","""",COUNTA(SPLIT(F3,"" "")))"),149.0)</f>
        <v>149</v>
      </c>
      <c r="I3" s="9">
        <f t="shared" si="1"/>
        <v>0.4538461538</v>
      </c>
      <c r="J3" s="9">
        <f t="shared" si="2"/>
        <v>142.5</v>
      </c>
      <c r="K3" s="9">
        <f t="shared" si="3"/>
        <v>13</v>
      </c>
      <c r="L3" s="9">
        <f t="shared" si="4"/>
        <v>16</v>
      </c>
      <c r="M3" s="9">
        <f t="shared" si="5"/>
        <v>16</v>
      </c>
      <c r="N3" s="7" t="s">
        <v>32</v>
      </c>
      <c r="O3" s="10">
        <v>1.0</v>
      </c>
      <c r="P3" s="8">
        <f>IFERROR(__xludf.DUMMYFUNCTION("IF(N3="""","""",COUNTA(SPLIT(N3,"" "")))"),153.0)</f>
        <v>153</v>
      </c>
      <c r="Q3" s="7" t="s">
        <v>33</v>
      </c>
      <c r="R3" s="10">
        <v>1.0</v>
      </c>
      <c r="S3" s="9">
        <f>IFERROR(__xludf.DUMMYFUNCTION("IF(Q3="""","""",COUNTA(SPLIT(Q3,"" "")))"),137.0)</f>
        <v>137</v>
      </c>
      <c r="T3" s="10">
        <f t="shared" si="6"/>
        <v>0.3682692308</v>
      </c>
      <c r="U3" s="9">
        <f t="shared" si="7"/>
        <v>145</v>
      </c>
      <c r="V3" s="9">
        <f t="shared" si="8"/>
        <v>-16</v>
      </c>
      <c r="W3" s="9">
        <f t="shared" si="9"/>
        <v>15</v>
      </c>
      <c r="X3" s="9">
        <f t="shared" si="10"/>
        <v>-15</v>
      </c>
      <c r="Y3" s="7" t="s">
        <v>34</v>
      </c>
      <c r="Z3" s="10">
        <v>0.0</v>
      </c>
      <c r="AA3" s="9">
        <f>IFERROR(__xludf.DUMMYFUNCTION("IF(Y3="""","""",COUNTA(SPLIT(Y3,"" "")))"),203.0)</f>
        <v>203</v>
      </c>
      <c r="AB3" s="7" t="s">
        <v>35</v>
      </c>
      <c r="AC3" s="10">
        <v>1.0</v>
      </c>
      <c r="AD3" s="12">
        <f>IFERROR(__xludf.DUMMYFUNCTION("IF(AB3="""","""",COUNTA(SPLIT(AB3,"" "")))"),313.0)</f>
        <v>313</v>
      </c>
      <c r="AE3" s="10">
        <f t="shared" si="11"/>
        <v>0.3785407725</v>
      </c>
      <c r="AF3" s="12">
        <f t="shared" si="12"/>
        <v>258</v>
      </c>
      <c r="AG3" s="12">
        <f t="shared" si="13"/>
        <v>110</v>
      </c>
      <c r="AH3" s="12">
        <f t="shared" si="14"/>
        <v>29</v>
      </c>
      <c r="AI3" s="12">
        <f t="shared" si="15"/>
        <v>29</v>
      </c>
      <c r="AJ3" s="7" t="s">
        <v>36</v>
      </c>
      <c r="AK3" s="10">
        <v>1.0</v>
      </c>
      <c r="AL3" s="9">
        <f>IFERROR(__xludf.DUMMYFUNCTION("IF(AJ3="""","""",COUNTA(SPLIT(AJ3,"" "")))"),104.0)</f>
        <v>104</v>
      </c>
      <c r="AM3" s="7" t="s">
        <v>37</v>
      </c>
      <c r="AN3" s="10">
        <v>1.0</v>
      </c>
      <c r="AO3" s="12">
        <f>IFERROR(__xludf.DUMMYFUNCTION("IF(AM3="""","""",COUNTA(SPLIT(AM3,"" "")))"),111.0)</f>
        <v>111</v>
      </c>
      <c r="AP3" s="10">
        <f t="shared" si="16"/>
        <v>0.3929078014</v>
      </c>
      <c r="AQ3" s="12">
        <f t="shared" si="17"/>
        <v>107.5</v>
      </c>
      <c r="AR3" s="12">
        <f t="shared" si="18"/>
        <v>7</v>
      </c>
      <c r="AS3" s="12">
        <f t="shared" si="19"/>
        <v>21</v>
      </c>
      <c r="AT3" s="12">
        <f t="shared" si="20"/>
        <v>21</v>
      </c>
      <c r="AU3" s="6"/>
      <c r="AV3" s="6"/>
      <c r="AW3" s="6"/>
      <c r="AX3" s="6"/>
      <c r="AY3" s="6"/>
      <c r="AZ3" s="6"/>
      <c r="BA3" s="6"/>
    </row>
    <row r="4" ht="183.75" customHeight="1">
      <c r="A4" s="7">
        <v>3.0</v>
      </c>
      <c r="B4" s="7" t="s">
        <v>38</v>
      </c>
      <c r="C4" s="7" t="s">
        <v>39</v>
      </c>
      <c r="D4" s="13"/>
      <c r="E4" s="8">
        <f>IFERROR(__xludf.DUMMYFUNCTION("IF(C4="""","""",COUNTA(SPLIT(C4,"" "")))"),294.0)</f>
        <v>294</v>
      </c>
      <c r="F4" s="7" t="s">
        <v>40</v>
      </c>
      <c r="G4" s="14"/>
      <c r="H4" s="9">
        <f>IFERROR(__xludf.DUMMYFUNCTION("IF(F4="""","""",COUNTA(SPLIT(F4,"" "")))"),377.0)</f>
        <v>377</v>
      </c>
      <c r="I4" s="9">
        <f t="shared" si="1"/>
        <v>0.4476357268</v>
      </c>
      <c r="J4" s="9">
        <f t="shared" si="2"/>
        <v>335.5</v>
      </c>
      <c r="K4" s="9">
        <f t="shared" si="3"/>
        <v>83</v>
      </c>
      <c r="L4" s="9">
        <f t="shared" si="4"/>
        <v>24</v>
      </c>
      <c r="M4" s="9">
        <f t="shared" si="5"/>
        <v>24</v>
      </c>
      <c r="N4" s="7" t="s">
        <v>41</v>
      </c>
      <c r="O4" s="15"/>
      <c r="P4" s="8">
        <f>IFERROR(__xludf.DUMMYFUNCTION("IF(N4="""","""",COUNTA(SPLIT(N4,"" "")))"),183.0)</f>
        <v>183</v>
      </c>
      <c r="Q4" s="7" t="s">
        <v>42</v>
      </c>
      <c r="R4" s="15"/>
      <c r="S4" s="9">
        <f>IFERROR(__xludf.DUMMYFUNCTION("IF(Q4="""","""",COUNTA(SPLIT(Q4,"" "")))"),147.0)</f>
        <v>147</v>
      </c>
      <c r="T4" s="10">
        <f t="shared" si="6"/>
        <v>0.5804145818</v>
      </c>
      <c r="U4" s="9">
        <f t="shared" si="7"/>
        <v>165</v>
      </c>
      <c r="V4" s="9">
        <f t="shared" si="8"/>
        <v>-36</v>
      </c>
      <c r="W4" s="9">
        <f t="shared" si="9"/>
        <v>8</v>
      </c>
      <c r="X4" s="9">
        <f t="shared" si="10"/>
        <v>-8</v>
      </c>
      <c r="Y4" s="7" t="s">
        <v>43</v>
      </c>
      <c r="Z4" s="15"/>
      <c r="AA4" s="9">
        <f>IFERROR(__xludf.DUMMYFUNCTION("IF(Y4="""","""",COUNTA(SPLIT(Y4,"" "")))"),465.0)</f>
        <v>465</v>
      </c>
      <c r="AB4" s="7" t="s">
        <v>44</v>
      </c>
      <c r="AC4" s="15"/>
      <c r="AD4" s="16">
        <f>IFERROR(__xludf.DUMMYFUNCTION("IF(AB4="""","""",COUNTA(SPLIT(AB4,"" "")))"),373.0)</f>
        <v>373</v>
      </c>
      <c r="AE4" s="10">
        <f t="shared" si="11"/>
        <v>0.3694189602</v>
      </c>
      <c r="AF4" s="12">
        <f t="shared" si="12"/>
        <v>419</v>
      </c>
      <c r="AG4" s="12">
        <f t="shared" si="13"/>
        <v>-92</v>
      </c>
      <c r="AH4" s="12">
        <f t="shared" si="14"/>
        <v>2</v>
      </c>
      <c r="AI4" s="12">
        <f t="shared" si="15"/>
        <v>-2</v>
      </c>
      <c r="AJ4" s="7" t="s">
        <v>45</v>
      </c>
      <c r="AK4" s="15"/>
      <c r="AL4" s="9">
        <f>IFERROR(__xludf.DUMMYFUNCTION("IF(AJ4="""","""",COUNTA(SPLIT(AJ4,"" "")))"),204.0)</f>
        <v>204</v>
      </c>
      <c r="AM4" s="7" t="s">
        <v>46</v>
      </c>
      <c r="AN4" s="15"/>
      <c r="AO4" s="16">
        <f>IFERROR(__xludf.DUMMYFUNCTION("IF(AM4="""","""",COUNTA(SPLIT(AM4,"" "")))"),224.0)</f>
        <v>224</v>
      </c>
      <c r="AP4" s="10">
        <f t="shared" si="16"/>
        <v>0.3345302214</v>
      </c>
      <c r="AQ4" s="12">
        <f t="shared" si="17"/>
        <v>214</v>
      </c>
      <c r="AR4" s="12">
        <f t="shared" si="18"/>
        <v>20</v>
      </c>
      <c r="AS4" s="12">
        <f t="shared" si="19"/>
        <v>27</v>
      </c>
      <c r="AT4" s="12">
        <f t="shared" si="20"/>
        <v>27</v>
      </c>
      <c r="AU4" s="6"/>
      <c r="AV4" s="6"/>
      <c r="AW4" s="6"/>
      <c r="AX4" s="6"/>
      <c r="AY4" s="6"/>
      <c r="AZ4" s="6"/>
      <c r="BA4" s="6"/>
    </row>
    <row r="5" ht="112.5" customHeight="1">
      <c r="A5" s="7">
        <v>4.0</v>
      </c>
      <c r="B5" s="7" t="s">
        <v>47</v>
      </c>
      <c r="C5" s="7" t="s">
        <v>48</v>
      </c>
      <c r="D5" s="13"/>
      <c r="E5" s="8">
        <f>IFERROR(__xludf.DUMMYFUNCTION("IF(C5="""","""",COUNTA(SPLIT(C5,"" "")))"),252.0)</f>
        <v>252</v>
      </c>
      <c r="F5" s="7" t="s">
        <v>49</v>
      </c>
      <c r="G5" s="14"/>
      <c r="H5" s="9">
        <f>IFERROR(__xludf.DUMMYFUNCTION("IF(F5="""","""",COUNTA(SPLIT(F5,"" "")))"),256.0)</f>
        <v>256</v>
      </c>
      <c r="I5" s="9">
        <f t="shared" si="1"/>
        <v>0.3235133661</v>
      </c>
      <c r="J5" s="9">
        <f t="shared" si="2"/>
        <v>254</v>
      </c>
      <c r="K5" s="9">
        <f t="shared" si="3"/>
        <v>4</v>
      </c>
      <c r="L5" s="9">
        <f t="shared" si="4"/>
        <v>13</v>
      </c>
      <c r="M5" s="9">
        <f t="shared" si="5"/>
        <v>13</v>
      </c>
      <c r="N5" s="7" t="s">
        <v>50</v>
      </c>
      <c r="O5" s="15"/>
      <c r="P5" s="8">
        <f>IFERROR(__xludf.DUMMYFUNCTION("IF(N5="""","""",COUNTA(SPLIT(N5,"" "")))"),309.0)</f>
        <v>309</v>
      </c>
      <c r="Q5" s="7" t="s">
        <v>51</v>
      </c>
      <c r="R5" s="15"/>
      <c r="S5" s="9">
        <f>IFERROR(__xludf.DUMMYFUNCTION("IF(Q5="""","""",COUNTA(SPLIT(Q5,"" "")))"),228.0)</f>
        <v>228</v>
      </c>
      <c r="T5" s="10">
        <f t="shared" si="6"/>
        <v>0.4323325635</v>
      </c>
      <c r="U5" s="9">
        <f t="shared" si="7"/>
        <v>268.5</v>
      </c>
      <c r="V5" s="9">
        <f t="shared" si="8"/>
        <v>-81</v>
      </c>
      <c r="W5" s="9">
        <f t="shared" si="9"/>
        <v>2</v>
      </c>
      <c r="X5" s="9">
        <f t="shared" si="10"/>
        <v>-2</v>
      </c>
      <c r="Y5" s="7" t="s">
        <v>52</v>
      </c>
      <c r="Z5" s="15"/>
      <c r="AA5" s="9">
        <f>IFERROR(__xludf.DUMMYFUNCTION("IF(Y5="""","""",COUNTA(SPLIT(Y5,"" "")))"),262.0)</f>
        <v>262</v>
      </c>
      <c r="AB5" s="7" t="s">
        <v>53</v>
      </c>
      <c r="AC5" s="15"/>
      <c r="AD5" s="16">
        <f>IFERROR(__xludf.DUMMYFUNCTION("IF(AB5="""","""",COUNTA(SPLIT(AB5,"" "")))"),259.0)</f>
        <v>259</v>
      </c>
      <c r="AE5" s="10">
        <f t="shared" si="11"/>
        <v>0.3033953998</v>
      </c>
      <c r="AF5" s="12">
        <f t="shared" si="12"/>
        <v>260.5</v>
      </c>
      <c r="AG5" s="12">
        <f t="shared" si="13"/>
        <v>-3</v>
      </c>
      <c r="AH5" s="12">
        <f t="shared" si="14"/>
        <v>17</v>
      </c>
      <c r="AI5" s="12">
        <f t="shared" si="15"/>
        <v>-17</v>
      </c>
      <c r="AJ5" s="7" t="s">
        <v>54</v>
      </c>
      <c r="AK5" s="15"/>
      <c r="AL5" s="9">
        <f>IFERROR(__xludf.DUMMYFUNCTION("IF(AJ5="""","""",COUNTA(SPLIT(AJ5,"" "")))"),258.0)</f>
        <v>258</v>
      </c>
      <c r="AM5" s="7" t="s">
        <v>55</v>
      </c>
      <c r="AN5" s="15"/>
      <c r="AO5" s="16">
        <f>IFERROR(__xludf.DUMMYFUNCTION("IF(AM5="""","""",COUNTA(SPLIT(AM5,"" "")))"),275.0)</f>
        <v>275</v>
      </c>
      <c r="AP5" s="10">
        <f t="shared" si="16"/>
        <v>0.4006227296</v>
      </c>
      <c r="AQ5" s="12">
        <f t="shared" si="17"/>
        <v>266.5</v>
      </c>
      <c r="AR5" s="12">
        <f t="shared" si="18"/>
        <v>17</v>
      </c>
      <c r="AS5" s="12">
        <f t="shared" si="19"/>
        <v>25</v>
      </c>
      <c r="AT5" s="12">
        <f t="shared" si="20"/>
        <v>25</v>
      </c>
      <c r="AU5" s="6"/>
      <c r="AV5" s="6"/>
      <c r="AW5" s="6"/>
      <c r="AX5" s="6"/>
      <c r="AY5" s="6"/>
      <c r="AZ5" s="6"/>
      <c r="BA5" s="6"/>
    </row>
    <row r="6" ht="153.75" customHeight="1">
      <c r="A6" s="7">
        <v>5.0</v>
      </c>
      <c r="B6" s="7" t="s">
        <v>56</v>
      </c>
      <c r="C6" s="7" t="s">
        <v>57</v>
      </c>
      <c r="D6" s="13"/>
      <c r="E6" s="8">
        <f>IFERROR(__xludf.DUMMYFUNCTION("IF(C6="""","""",COUNTA(SPLIT(C6,"" "")))"),134.0)</f>
        <v>134</v>
      </c>
      <c r="F6" s="7" t="s">
        <v>58</v>
      </c>
      <c r="G6" s="14"/>
      <c r="H6" s="9">
        <f>IFERROR(__xludf.DUMMYFUNCTION("IF(F6="""","""",COUNTA(SPLIT(F6,"" "")))"),67.0)</f>
        <v>67</v>
      </c>
      <c r="I6" s="9">
        <f t="shared" si="1"/>
        <v>0.3798256538</v>
      </c>
      <c r="J6" s="9">
        <f t="shared" si="2"/>
        <v>100.5</v>
      </c>
      <c r="K6" s="9">
        <f t="shared" si="3"/>
        <v>-67</v>
      </c>
      <c r="L6" s="9">
        <f t="shared" si="4"/>
        <v>2</v>
      </c>
      <c r="M6" s="9">
        <f t="shared" si="5"/>
        <v>-2</v>
      </c>
      <c r="N6" s="7" t="s">
        <v>59</v>
      </c>
      <c r="O6" s="15"/>
      <c r="P6" s="8">
        <f>IFERROR(__xludf.DUMMYFUNCTION("IF(N6="""","""",COUNTA(SPLIT(N6,"" "")))"),82.0)</f>
        <v>82</v>
      </c>
      <c r="Q6" s="7" t="s">
        <v>60</v>
      </c>
      <c r="R6" s="15"/>
      <c r="S6" s="9">
        <f>IFERROR(__xludf.DUMMYFUNCTION("IF(Q6="""","""",COUNTA(SPLIT(Q6,"" "")))"),63.0)</f>
        <v>63</v>
      </c>
      <c r="T6" s="10">
        <f t="shared" si="6"/>
        <v>0.5655913978</v>
      </c>
      <c r="U6" s="9">
        <f t="shared" si="7"/>
        <v>72.5</v>
      </c>
      <c r="V6" s="9">
        <f t="shared" si="8"/>
        <v>-19</v>
      </c>
      <c r="W6" s="9">
        <f t="shared" si="9"/>
        <v>14</v>
      </c>
      <c r="X6" s="9">
        <f t="shared" si="10"/>
        <v>-14</v>
      </c>
      <c r="Y6" s="7" t="s">
        <v>61</v>
      </c>
      <c r="Z6" s="15"/>
      <c r="AA6" s="9">
        <f>IFERROR(__xludf.DUMMYFUNCTION("IF(Y6="""","""",COUNTA(SPLIT(Y6,"" "")))"),171.0)</f>
        <v>171</v>
      </c>
      <c r="AB6" s="7" t="s">
        <v>62</v>
      </c>
      <c r="AC6" s="15"/>
      <c r="AD6" s="16">
        <f>IFERROR(__xludf.DUMMYFUNCTION("IF(AB6="""","""",COUNTA(SPLIT(AB6,"" "")))"),172.0)</f>
        <v>172</v>
      </c>
      <c r="AE6" s="10">
        <f t="shared" si="11"/>
        <v>0.3658104517</v>
      </c>
      <c r="AF6" s="12">
        <f t="shared" si="12"/>
        <v>171.5</v>
      </c>
      <c r="AG6" s="12">
        <f t="shared" si="13"/>
        <v>1</v>
      </c>
      <c r="AH6" s="12">
        <f t="shared" si="14"/>
        <v>18</v>
      </c>
      <c r="AI6" s="12">
        <f t="shared" si="15"/>
        <v>18</v>
      </c>
      <c r="AJ6" s="7" t="s">
        <v>63</v>
      </c>
      <c r="AK6" s="15"/>
      <c r="AL6" s="9">
        <f>IFERROR(__xludf.DUMMYFUNCTION("IF(AJ6="""","""",COUNTA(SPLIT(AJ6,"" "")))"),46.0)</f>
        <v>46</v>
      </c>
      <c r="AM6" s="7" t="s">
        <v>64</v>
      </c>
      <c r="AN6" s="15"/>
      <c r="AO6" s="16">
        <f>IFERROR(__xludf.DUMMYFUNCTION("IF(AM6="""","""",COUNTA(SPLIT(AM6,"" "")))"),64.0)</f>
        <v>64</v>
      </c>
      <c r="AP6" s="10">
        <f t="shared" si="16"/>
        <v>0.4789473684</v>
      </c>
      <c r="AQ6" s="12">
        <f t="shared" si="17"/>
        <v>55</v>
      </c>
      <c r="AR6" s="12">
        <f t="shared" si="18"/>
        <v>18</v>
      </c>
      <c r="AS6" s="12">
        <f t="shared" si="19"/>
        <v>26</v>
      </c>
      <c r="AT6" s="12">
        <f t="shared" si="20"/>
        <v>26</v>
      </c>
      <c r="AU6" s="6"/>
      <c r="AV6" s="6"/>
      <c r="AW6" s="6"/>
      <c r="AX6" s="6"/>
      <c r="AY6" s="6"/>
      <c r="AZ6" s="6"/>
      <c r="BA6" s="6"/>
    </row>
    <row r="7" ht="131.25" customHeight="1">
      <c r="A7" s="7">
        <v>6.0</v>
      </c>
      <c r="B7" s="7" t="s">
        <v>65</v>
      </c>
      <c r="C7" s="7" t="s">
        <v>66</v>
      </c>
      <c r="D7" s="13"/>
      <c r="E7" s="8">
        <f>IFERROR(__xludf.DUMMYFUNCTION("IF(C7="""","""",COUNTA(SPLIT(C7,"" "")))"),150.0)</f>
        <v>150</v>
      </c>
      <c r="F7" s="7" t="s">
        <v>67</v>
      </c>
      <c r="G7" s="14"/>
      <c r="H7" s="9">
        <f>IFERROR(__xludf.DUMMYFUNCTION("IF(F7="""","""",COUNTA(SPLIT(F7,"" "")))"),313.0)</f>
        <v>313</v>
      </c>
      <c r="I7" s="9">
        <f t="shared" si="1"/>
        <v>0.3489082969</v>
      </c>
      <c r="J7" s="9">
        <f t="shared" si="2"/>
        <v>231.5</v>
      </c>
      <c r="K7" s="9">
        <f t="shared" si="3"/>
        <v>163</v>
      </c>
      <c r="L7" s="9">
        <f t="shared" si="4"/>
        <v>28</v>
      </c>
      <c r="M7" s="9">
        <f t="shared" si="5"/>
        <v>28</v>
      </c>
      <c r="N7" s="7" t="s">
        <v>68</v>
      </c>
      <c r="O7" s="15"/>
      <c r="P7" s="8">
        <f>IFERROR(__xludf.DUMMYFUNCTION("IF(N7="""","""",COUNTA(SPLIT(N7,"" "")))"),156.0)</f>
        <v>156</v>
      </c>
      <c r="Q7" s="7" t="s">
        <v>69</v>
      </c>
      <c r="R7" s="15"/>
      <c r="S7" s="9">
        <f>IFERROR(__xludf.DUMMYFUNCTION("IF(Q7="""","""",COUNTA(SPLIT(Q7,"" "")))"),165.0)</f>
        <v>165</v>
      </c>
      <c r="T7" s="10">
        <f t="shared" si="6"/>
        <v>0.4428807947</v>
      </c>
      <c r="U7" s="9">
        <f t="shared" si="7"/>
        <v>160.5</v>
      </c>
      <c r="V7" s="9">
        <f t="shared" si="8"/>
        <v>9</v>
      </c>
      <c r="W7" s="9">
        <f t="shared" si="9"/>
        <v>20</v>
      </c>
      <c r="X7" s="9">
        <f t="shared" si="10"/>
        <v>20</v>
      </c>
      <c r="Y7" s="7" t="s">
        <v>70</v>
      </c>
      <c r="Z7" s="15"/>
      <c r="AA7" s="9">
        <f>IFERROR(__xludf.DUMMYFUNCTION("IF(Y7="""","""",COUNTA(SPLIT(Y7,"" "")))"),118.0)</f>
        <v>118</v>
      </c>
      <c r="AB7" s="7" t="s">
        <v>71</v>
      </c>
      <c r="AC7" s="15"/>
      <c r="AD7" s="16">
        <f>IFERROR(__xludf.DUMMYFUNCTION("IF(AB7="""","""",COUNTA(SPLIT(AB7,"" "")))"),174.0)</f>
        <v>174</v>
      </c>
      <c r="AE7" s="10">
        <f t="shared" si="11"/>
        <v>0.486935867</v>
      </c>
      <c r="AF7" s="12">
        <f t="shared" si="12"/>
        <v>146</v>
      </c>
      <c r="AG7" s="12">
        <f t="shared" si="13"/>
        <v>56</v>
      </c>
      <c r="AH7" s="12">
        <f t="shared" si="14"/>
        <v>24</v>
      </c>
      <c r="AI7" s="12">
        <f t="shared" si="15"/>
        <v>24</v>
      </c>
      <c r="AJ7" s="7" t="s">
        <v>72</v>
      </c>
      <c r="AK7" s="15"/>
      <c r="AL7" s="9">
        <f>IFERROR(__xludf.DUMMYFUNCTION("IF(AJ7="""","""",COUNTA(SPLIT(AJ7,"" "")))"),98.0)</f>
        <v>98</v>
      </c>
      <c r="AM7" s="7" t="s">
        <v>73</v>
      </c>
      <c r="AN7" s="15"/>
      <c r="AO7" s="16">
        <f>IFERROR(__xludf.DUMMYFUNCTION("IF(AM7="""","""",COUNTA(SPLIT(AM7,"" "")))"),140.0)</f>
        <v>140</v>
      </c>
      <c r="AP7" s="10">
        <f t="shared" si="16"/>
        <v>0.4146586345</v>
      </c>
      <c r="AQ7" s="12">
        <f t="shared" si="17"/>
        <v>119</v>
      </c>
      <c r="AR7" s="12">
        <f t="shared" si="18"/>
        <v>42</v>
      </c>
      <c r="AS7" s="12">
        <f t="shared" si="19"/>
        <v>28</v>
      </c>
      <c r="AT7" s="12">
        <f t="shared" si="20"/>
        <v>28</v>
      </c>
      <c r="AU7" s="6"/>
      <c r="AV7" s="6"/>
      <c r="AW7" s="6"/>
      <c r="AX7" s="6"/>
      <c r="AY7" s="6"/>
      <c r="AZ7" s="6"/>
      <c r="BA7" s="6"/>
    </row>
    <row r="8" ht="154.5" customHeight="1">
      <c r="A8" s="7">
        <v>7.0</v>
      </c>
      <c r="B8" s="7" t="s">
        <v>74</v>
      </c>
      <c r="C8" s="7" t="s">
        <v>75</v>
      </c>
      <c r="D8" s="13"/>
      <c r="E8" s="8">
        <f>IFERROR(__xludf.DUMMYFUNCTION("IF(C8="""","""",COUNTA(SPLIT(C8,"" "")))"),124.0)</f>
        <v>124</v>
      </c>
      <c r="F8" s="7" t="s">
        <v>76</v>
      </c>
      <c r="G8" s="14"/>
      <c r="H8" s="9">
        <f>IFERROR(__xludf.DUMMYFUNCTION("IF(F8="""","""",COUNTA(SPLIT(F8,"" "")))"),384.0)</f>
        <v>384</v>
      </c>
      <c r="I8" s="9">
        <f t="shared" si="1"/>
        <v>0.1992882562</v>
      </c>
      <c r="J8" s="9">
        <f t="shared" si="2"/>
        <v>254</v>
      </c>
      <c r="K8" s="9">
        <f t="shared" si="3"/>
        <v>260</v>
      </c>
      <c r="L8" s="9">
        <f t="shared" si="4"/>
        <v>29</v>
      </c>
      <c r="M8" s="9">
        <f t="shared" si="5"/>
        <v>29</v>
      </c>
      <c r="N8" s="7" t="s">
        <v>77</v>
      </c>
      <c r="O8" s="15"/>
      <c r="P8" s="8">
        <f>IFERROR(__xludf.DUMMYFUNCTION("IF(N8="""","""",COUNTA(SPLIT(N8,"" "")))"),93.0)</f>
        <v>93</v>
      </c>
      <c r="Q8" s="7" t="s">
        <v>78</v>
      </c>
      <c r="R8" s="15"/>
      <c r="S8" s="9">
        <f>IFERROR(__xludf.DUMMYFUNCTION("IF(Q8="""","""",COUNTA(SPLIT(Q8,"" "")))"),79.0)</f>
        <v>79</v>
      </c>
      <c r="T8" s="10">
        <f t="shared" si="6"/>
        <v>0.5376</v>
      </c>
      <c r="U8" s="9">
        <f t="shared" si="7"/>
        <v>86</v>
      </c>
      <c r="V8" s="9">
        <f t="shared" si="8"/>
        <v>-14</v>
      </c>
      <c r="W8" s="9">
        <f t="shared" si="9"/>
        <v>16</v>
      </c>
      <c r="X8" s="9">
        <f t="shared" si="10"/>
        <v>-16</v>
      </c>
      <c r="Y8" s="7" t="s">
        <v>79</v>
      </c>
      <c r="Z8" s="15"/>
      <c r="AA8" s="9">
        <f>IFERROR(__xludf.DUMMYFUNCTION("IF(Y8="""","""",COUNTA(SPLIT(Y8,"" "")))"),199.0)</f>
        <v>199</v>
      </c>
      <c r="AB8" s="7" t="s">
        <v>80</v>
      </c>
      <c r="AC8" s="15"/>
      <c r="AD8" s="16">
        <f>IFERROR(__xludf.DUMMYFUNCTION("IF(AB8="""","""",COUNTA(SPLIT(AB8,"" "")))"),209.0)</f>
        <v>209</v>
      </c>
      <c r="AE8" s="10">
        <f t="shared" si="11"/>
        <v>0.2413793103</v>
      </c>
      <c r="AF8" s="12">
        <f t="shared" si="12"/>
        <v>204</v>
      </c>
      <c r="AG8" s="12">
        <f t="shared" si="13"/>
        <v>10</v>
      </c>
      <c r="AH8" s="12">
        <f t="shared" si="14"/>
        <v>19</v>
      </c>
      <c r="AI8" s="12">
        <f t="shared" si="15"/>
        <v>19</v>
      </c>
      <c r="AJ8" s="7" t="s">
        <v>81</v>
      </c>
      <c r="AK8" s="15"/>
      <c r="AL8" s="9">
        <f>IFERROR(__xludf.DUMMYFUNCTION("IF(AJ8="""","""",COUNTA(SPLIT(AJ8,"" "")))"),69.0)</f>
        <v>69</v>
      </c>
      <c r="AM8" s="7" t="s">
        <v>82</v>
      </c>
      <c r="AN8" s="15"/>
      <c r="AO8" s="16">
        <f>IFERROR(__xludf.DUMMYFUNCTION("IF(AM8="""","""",COUNTA(SPLIT(AM8,"" "")))"),84.0)</f>
        <v>84</v>
      </c>
      <c r="AP8" s="10">
        <f t="shared" si="16"/>
        <v>0.3414239482</v>
      </c>
      <c r="AQ8" s="12">
        <f t="shared" si="17"/>
        <v>76.5</v>
      </c>
      <c r="AR8" s="12">
        <f t="shared" si="18"/>
        <v>15</v>
      </c>
      <c r="AS8" s="12">
        <f t="shared" si="19"/>
        <v>24</v>
      </c>
      <c r="AT8" s="12">
        <f t="shared" si="20"/>
        <v>24</v>
      </c>
      <c r="AU8" s="6"/>
      <c r="AV8" s="6"/>
      <c r="AW8" s="6"/>
      <c r="AX8" s="6"/>
      <c r="AY8" s="6"/>
      <c r="AZ8" s="6"/>
      <c r="BA8" s="6"/>
    </row>
    <row r="9" ht="128.25" customHeight="1">
      <c r="A9" s="7">
        <v>8.0</v>
      </c>
      <c r="B9" s="7" t="s">
        <v>83</v>
      </c>
      <c r="C9" s="7" t="s">
        <v>84</v>
      </c>
      <c r="D9" s="13"/>
      <c r="E9" s="8">
        <f>IFERROR(__xludf.DUMMYFUNCTION("IF(C9="""","""",COUNTA(SPLIT(C9,"" "")))"),140.0)</f>
        <v>140</v>
      </c>
      <c r="F9" s="7" t="s">
        <v>85</v>
      </c>
      <c r="G9" s="14"/>
      <c r="H9" s="9">
        <f>IFERROR(__xludf.DUMMYFUNCTION("IF(F9="""","""",COUNTA(SPLIT(F9,"" "")))"),167.0)</f>
        <v>167</v>
      </c>
      <c r="I9" s="9">
        <f t="shared" si="1"/>
        <v>0.3853354134</v>
      </c>
      <c r="J9" s="9">
        <f t="shared" si="2"/>
        <v>153.5</v>
      </c>
      <c r="K9" s="9">
        <f t="shared" si="3"/>
        <v>27</v>
      </c>
      <c r="L9" s="9">
        <f t="shared" si="4"/>
        <v>20</v>
      </c>
      <c r="M9" s="9">
        <f t="shared" si="5"/>
        <v>20</v>
      </c>
      <c r="N9" s="7" t="s">
        <v>86</v>
      </c>
      <c r="O9" s="15"/>
      <c r="P9" s="8">
        <f>IFERROR(__xludf.DUMMYFUNCTION("IF(N9="""","""",COUNTA(SPLIT(N9,"" "")))"),187.0)</f>
        <v>187</v>
      </c>
      <c r="Q9" s="7" t="s">
        <v>87</v>
      </c>
      <c r="R9" s="15"/>
      <c r="S9" s="9">
        <f>IFERROR(__xludf.DUMMYFUNCTION("IF(Q9="""","""",COUNTA(SPLIT(Q9,"" "")))"),161.0)</f>
        <v>161</v>
      </c>
      <c r="T9" s="10">
        <f t="shared" si="6"/>
        <v>0.3595100865</v>
      </c>
      <c r="U9" s="9">
        <f t="shared" si="7"/>
        <v>174</v>
      </c>
      <c r="V9" s="9">
        <f t="shared" si="8"/>
        <v>-26</v>
      </c>
      <c r="W9" s="9">
        <f t="shared" si="9"/>
        <v>10</v>
      </c>
      <c r="X9" s="9">
        <f t="shared" si="10"/>
        <v>-10</v>
      </c>
      <c r="Y9" s="7" t="s">
        <v>88</v>
      </c>
      <c r="Z9" s="15"/>
      <c r="AA9" s="9">
        <f>IFERROR(__xludf.DUMMYFUNCTION("IF(Y9="""","""",COUNTA(SPLIT(Y9,"" "")))"),295.0)</f>
        <v>295</v>
      </c>
      <c r="AB9" s="7" t="s">
        <v>89</v>
      </c>
      <c r="AC9" s="15"/>
      <c r="AD9" s="16">
        <f>IFERROR(__xludf.DUMMYFUNCTION("IF(AB9="""","""",COUNTA(SPLIT(AB9,"" "")))"),260.0)</f>
        <v>260</v>
      </c>
      <c r="AE9" s="10">
        <f t="shared" si="11"/>
        <v>0.3242630385</v>
      </c>
      <c r="AF9" s="12">
        <f t="shared" si="12"/>
        <v>277.5</v>
      </c>
      <c r="AG9" s="12">
        <f t="shared" si="13"/>
        <v>-35</v>
      </c>
      <c r="AH9" s="12">
        <f t="shared" si="14"/>
        <v>10</v>
      </c>
      <c r="AI9" s="12">
        <f t="shared" si="15"/>
        <v>-10</v>
      </c>
      <c r="AJ9" s="7" t="s">
        <v>90</v>
      </c>
      <c r="AK9" s="15"/>
      <c r="AL9" s="9">
        <f>IFERROR(__xludf.DUMMYFUNCTION("IF(AJ9="""","""",COUNTA(SPLIT(AJ9,"" "")))"),160.0)</f>
        <v>160</v>
      </c>
      <c r="AM9" s="7" t="s">
        <v>91</v>
      </c>
      <c r="AN9" s="15"/>
      <c r="AO9" s="16">
        <f>IFERROR(__xludf.DUMMYFUNCTION("IF(AM9="""","""",COUNTA(SPLIT(AM9,"" "")))"),161.0)</f>
        <v>161</v>
      </c>
      <c r="AP9" s="10">
        <f t="shared" si="16"/>
        <v>0.402733119</v>
      </c>
      <c r="AQ9" s="12">
        <f t="shared" si="17"/>
        <v>160.5</v>
      </c>
      <c r="AR9" s="12">
        <f t="shared" si="18"/>
        <v>1</v>
      </c>
      <c r="AS9" s="12">
        <f t="shared" si="19"/>
        <v>15</v>
      </c>
      <c r="AT9" s="12">
        <f t="shared" si="20"/>
        <v>15</v>
      </c>
      <c r="AU9" s="6"/>
      <c r="AV9" s="6"/>
      <c r="AW9" s="6"/>
      <c r="AX9" s="6"/>
      <c r="AY9" s="6"/>
      <c r="AZ9" s="6"/>
      <c r="BA9" s="6"/>
    </row>
    <row r="10" ht="130.5" customHeight="1">
      <c r="A10" s="7">
        <v>9.0</v>
      </c>
      <c r="B10" s="7" t="s">
        <v>92</v>
      </c>
      <c r="C10" s="7" t="s">
        <v>93</v>
      </c>
      <c r="D10" s="13"/>
      <c r="E10" s="8">
        <f>IFERROR(__xludf.DUMMYFUNCTION("IF(C10="""","""",COUNTA(SPLIT(C10,"" "")))"),301.0)</f>
        <v>301</v>
      </c>
      <c r="F10" s="7" t="s">
        <v>94</v>
      </c>
      <c r="G10" s="14"/>
      <c r="H10" s="9">
        <f>IFERROR(__xludf.DUMMYFUNCTION("IF(F10="""","""",COUNTA(SPLIT(F10,"" "")))"),206.0)</f>
        <v>206</v>
      </c>
      <c r="I10" s="9">
        <f t="shared" si="1"/>
        <v>0.3414932681</v>
      </c>
      <c r="J10" s="9">
        <f t="shared" si="2"/>
        <v>253.5</v>
      </c>
      <c r="K10" s="9">
        <f t="shared" si="3"/>
        <v>-95</v>
      </c>
      <c r="L10" s="9">
        <f t="shared" si="4"/>
        <v>1</v>
      </c>
      <c r="M10" s="9">
        <f t="shared" si="5"/>
        <v>-1</v>
      </c>
      <c r="N10" s="7" t="s">
        <v>95</v>
      </c>
      <c r="O10" s="15"/>
      <c r="P10" s="8">
        <f>IFERROR(__xludf.DUMMYFUNCTION("IF(N10="""","""",COUNTA(SPLIT(N10,"" "")))"),148.0)</f>
        <v>148</v>
      </c>
      <c r="Q10" s="7" t="s">
        <v>96</v>
      </c>
      <c r="R10" s="15"/>
      <c r="S10" s="9">
        <f>IFERROR(__xludf.DUMMYFUNCTION("IF(Q10="""","""",COUNTA(SPLIT(Q10,"" "")))"),99.0)</f>
        <v>99</v>
      </c>
      <c r="T10" s="10">
        <f t="shared" si="6"/>
        <v>0.2997061704</v>
      </c>
      <c r="U10" s="9">
        <f t="shared" si="7"/>
        <v>123.5</v>
      </c>
      <c r="V10" s="9">
        <f t="shared" si="8"/>
        <v>-49</v>
      </c>
      <c r="W10" s="9">
        <f t="shared" si="9"/>
        <v>5</v>
      </c>
      <c r="X10" s="9">
        <f t="shared" si="10"/>
        <v>-5</v>
      </c>
      <c r="Y10" s="7" t="s">
        <v>97</v>
      </c>
      <c r="Z10" s="15"/>
      <c r="AA10" s="9">
        <f>IFERROR(__xludf.DUMMYFUNCTION("IF(Y10="""","""",COUNTA(SPLIT(Y10,"" "")))"),200.0)</f>
        <v>200</v>
      </c>
      <c r="AB10" s="7" t="s">
        <v>98</v>
      </c>
      <c r="AC10" s="15"/>
      <c r="AD10" s="16">
        <f>IFERROR(__xludf.DUMMYFUNCTION("IF(AB10="""","""",COUNTA(SPLIT(AB10,"" "")))"),236.0)</f>
        <v>236</v>
      </c>
      <c r="AE10" s="10">
        <f t="shared" si="11"/>
        <v>0.3631016043</v>
      </c>
      <c r="AF10" s="12">
        <f t="shared" si="12"/>
        <v>218</v>
      </c>
      <c r="AG10" s="12">
        <f t="shared" si="13"/>
        <v>36</v>
      </c>
      <c r="AH10" s="12">
        <f t="shared" si="14"/>
        <v>21</v>
      </c>
      <c r="AI10" s="12">
        <f t="shared" si="15"/>
        <v>21</v>
      </c>
      <c r="AJ10" s="7" t="s">
        <v>99</v>
      </c>
      <c r="AK10" s="15"/>
      <c r="AL10" s="9">
        <f>IFERROR(__xludf.DUMMYFUNCTION("IF(AJ10="""","""",COUNTA(SPLIT(AJ10,"" "")))"),190.0)</f>
        <v>190</v>
      </c>
      <c r="AM10" s="7" t="s">
        <v>100</v>
      </c>
      <c r="AN10" s="15"/>
      <c r="AO10" s="16">
        <f>IFERROR(__xludf.DUMMYFUNCTION("IF(AM10="""","""",COUNTA(SPLIT(AM10,"" "")))"),90.0)</f>
        <v>90</v>
      </c>
      <c r="AP10" s="10">
        <f t="shared" si="16"/>
        <v>0.2905263158</v>
      </c>
      <c r="AQ10" s="12">
        <f t="shared" si="17"/>
        <v>140</v>
      </c>
      <c r="AR10" s="12">
        <f t="shared" si="18"/>
        <v>-100</v>
      </c>
      <c r="AS10" s="12">
        <f t="shared" si="19"/>
        <v>2</v>
      </c>
      <c r="AT10" s="12">
        <f t="shared" si="20"/>
        <v>-2</v>
      </c>
      <c r="AU10" s="6"/>
      <c r="AV10" s="6"/>
      <c r="AW10" s="6"/>
      <c r="AX10" s="6"/>
      <c r="AY10" s="6"/>
      <c r="AZ10" s="6"/>
      <c r="BA10" s="6"/>
    </row>
    <row r="11" ht="214.5" customHeight="1">
      <c r="A11" s="7">
        <v>10.0</v>
      </c>
      <c r="B11" s="7" t="s">
        <v>101</v>
      </c>
      <c r="C11" s="7" t="s">
        <v>102</v>
      </c>
      <c r="D11" s="13"/>
      <c r="E11" s="8">
        <f>IFERROR(__xludf.DUMMYFUNCTION("IF(C11="""","""",COUNTA(SPLIT(C11,"" "")))"),62.0)</f>
        <v>62</v>
      </c>
      <c r="F11" s="7" t="s">
        <v>103</v>
      </c>
      <c r="G11" s="14"/>
      <c r="H11" s="9">
        <f>IFERROR(__xludf.DUMMYFUNCTION("IF(F11="""","""",COUNTA(SPLIT(F11,"" "")))"),120.0)</f>
        <v>120</v>
      </c>
      <c r="I11" s="9">
        <f t="shared" si="1"/>
        <v>0.5164585698</v>
      </c>
      <c r="J11" s="9">
        <f t="shared" si="2"/>
        <v>91</v>
      </c>
      <c r="K11" s="9">
        <f t="shared" si="3"/>
        <v>58</v>
      </c>
      <c r="L11" s="9">
        <f t="shared" si="4"/>
        <v>23</v>
      </c>
      <c r="M11" s="9">
        <f t="shared" si="5"/>
        <v>23</v>
      </c>
      <c r="N11" s="7" t="s">
        <v>104</v>
      </c>
      <c r="O11" s="15"/>
      <c r="P11" s="8">
        <f>IFERROR(__xludf.DUMMYFUNCTION("IF(N11="""","""",COUNTA(SPLIT(N11,"" "")))"),74.0)</f>
        <v>74</v>
      </c>
      <c r="Q11" s="7" t="s">
        <v>105</v>
      </c>
      <c r="R11" s="15"/>
      <c r="S11" s="9">
        <f>IFERROR(__xludf.DUMMYFUNCTION("IF(Q11="""","""",COUNTA(SPLIT(Q11,"" "")))"),76.0)</f>
        <v>76</v>
      </c>
      <c r="T11" s="10">
        <f t="shared" si="6"/>
        <v>0.553030303</v>
      </c>
      <c r="U11" s="9">
        <f t="shared" si="7"/>
        <v>75</v>
      </c>
      <c r="V11" s="9">
        <f t="shared" si="8"/>
        <v>2</v>
      </c>
      <c r="W11" s="9">
        <f t="shared" si="9"/>
        <v>17</v>
      </c>
      <c r="X11" s="9">
        <f t="shared" si="10"/>
        <v>17</v>
      </c>
      <c r="Y11" s="7" t="s">
        <v>106</v>
      </c>
      <c r="Z11" s="15"/>
      <c r="AA11" s="9">
        <f>IFERROR(__xludf.DUMMYFUNCTION("IF(Y11="""","""",COUNTA(SPLIT(Y11,"" "")))"),167.0)</f>
        <v>167</v>
      </c>
      <c r="AB11" s="7" t="s">
        <v>107</v>
      </c>
      <c r="AC11" s="15"/>
      <c r="AD11" s="16">
        <f>IFERROR(__xludf.DUMMYFUNCTION("IF(AB11="""","""",COUNTA(SPLIT(AB11,"" "")))"),195.0)</f>
        <v>195</v>
      </c>
      <c r="AE11" s="10">
        <f t="shared" si="11"/>
        <v>0.3384955752</v>
      </c>
      <c r="AF11" s="12">
        <f t="shared" si="12"/>
        <v>181</v>
      </c>
      <c r="AG11" s="12">
        <f t="shared" si="13"/>
        <v>28</v>
      </c>
      <c r="AH11" s="12">
        <f t="shared" si="14"/>
        <v>20</v>
      </c>
      <c r="AI11" s="12">
        <f t="shared" si="15"/>
        <v>20</v>
      </c>
      <c r="AJ11" s="7" t="s">
        <v>108</v>
      </c>
      <c r="AK11" s="15"/>
      <c r="AL11" s="9">
        <f>IFERROR(__xludf.DUMMYFUNCTION("IF(AJ11="""","""",COUNTA(SPLIT(AJ11,"" "")))"),87.0)</f>
        <v>87</v>
      </c>
      <c r="AM11" s="7" t="s">
        <v>109</v>
      </c>
      <c r="AN11" s="15"/>
      <c r="AO11" s="16">
        <f>IFERROR(__xludf.DUMMYFUNCTION("IF(AM11="""","""",COUNTA(SPLIT(AM11,"" "")))"),73.0)</f>
        <v>73</v>
      </c>
      <c r="AP11" s="10">
        <f t="shared" si="16"/>
        <v>0.4627831715</v>
      </c>
      <c r="AQ11" s="12">
        <f t="shared" si="17"/>
        <v>80</v>
      </c>
      <c r="AR11" s="12">
        <f t="shared" si="18"/>
        <v>-14</v>
      </c>
      <c r="AS11" s="12">
        <f t="shared" si="19"/>
        <v>12</v>
      </c>
      <c r="AT11" s="12">
        <f t="shared" si="20"/>
        <v>-12</v>
      </c>
      <c r="AU11" s="6"/>
      <c r="AV11" s="6"/>
      <c r="AW11" s="6"/>
      <c r="AX11" s="6"/>
      <c r="AY11" s="6"/>
      <c r="AZ11" s="6"/>
      <c r="BA11" s="6"/>
    </row>
    <row r="12" ht="182.25" customHeight="1">
      <c r="A12" s="7">
        <v>11.0</v>
      </c>
      <c r="B12" s="7" t="s">
        <v>110</v>
      </c>
      <c r="C12" s="7" t="s">
        <v>111</v>
      </c>
      <c r="D12" s="13"/>
      <c r="E12" s="8">
        <f>IFERROR(__xludf.DUMMYFUNCTION("IF(C12="""","""",COUNTA(SPLIT(C12,"" "")))"),158.0)</f>
        <v>158</v>
      </c>
      <c r="F12" s="7" t="s">
        <v>112</v>
      </c>
      <c r="G12" s="14"/>
      <c r="H12" s="9">
        <f>IFERROR(__xludf.DUMMYFUNCTION("IF(F12="""","""",COUNTA(SPLIT(F12,"" "")))"),98.0)</f>
        <v>98</v>
      </c>
      <c r="I12" s="9">
        <f t="shared" si="1"/>
        <v>0.4212121212</v>
      </c>
      <c r="J12" s="9">
        <f t="shared" si="2"/>
        <v>128</v>
      </c>
      <c r="K12" s="9">
        <f t="shared" si="3"/>
        <v>-60</v>
      </c>
      <c r="L12" s="9">
        <f t="shared" si="4"/>
        <v>4</v>
      </c>
      <c r="M12" s="9">
        <f t="shared" si="5"/>
        <v>-4</v>
      </c>
      <c r="N12" s="7" t="s">
        <v>113</v>
      </c>
      <c r="O12" s="15"/>
      <c r="P12" s="8">
        <f>IFERROR(__xludf.DUMMYFUNCTION("IF(N12="""","""",COUNTA(SPLIT(N12,"" "")))"),60.0)</f>
        <v>60</v>
      </c>
      <c r="Q12" s="7" t="s">
        <v>114</v>
      </c>
      <c r="R12" s="15"/>
      <c r="S12" s="9">
        <f>IFERROR(__xludf.DUMMYFUNCTION("IF(Q12="""","""",COUNTA(SPLIT(Q12,"" "")))"),86.0)</f>
        <v>86</v>
      </c>
      <c r="T12" s="10">
        <f t="shared" si="6"/>
        <v>0.4584980237</v>
      </c>
      <c r="U12" s="9">
        <f t="shared" si="7"/>
        <v>73</v>
      </c>
      <c r="V12" s="9">
        <f t="shared" si="8"/>
        <v>26</v>
      </c>
      <c r="W12" s="9">
        <f t="shared" si="9"/>
        <v>22</v>
      </c>
      <c r="X12" s="9">
        <f t="shared" si="10"/>
        <v>22</v>
      </c>
      <c r="Y12" s="7" t="s">
        <v>115</v>
      </c>
      <c r="Z12" s="15"/>
      <c r="AA12" s="9">
        <f>IFERROR(__xludf.DUMMYFUNCTION("IF(Y12="""","""",COUNTA(SPLIT(Y12,"" "")))"),164.0)</f>
        <v>164</v>
      </c>
      <c r="AB12" s="7" t="s">
        <v>116</v>
      </c>
      <c r="AC12" s="15"/>
      <c r="AD12" s="16">
        <f>IFERROR(__xludf.DUMMYFUNCTION("IF(AB12="""","""",COUNTA(SPLIT(AB12,"" "")))"),254.0)</f>
        <v>254</v>
      </c>
      <c r="AE12" s="10">
        <f t="shared" si="11"/>
        <v>0.3937761819</v>
      </c>
      <c r="AF12" s="12">
        <f t="shared" si="12"/>
        <v>209</v>
      </c>
      <c r="AG12" s="12">
        <f t="shared" si="13"/>
        <v>90</v>
      </c>
      <c r="AH12" s="12">
        <f t="shared" si="14"/>
        <v>28</v>
      </c>
      <c r="AI12" s="12">
        <f t="shared" si="15"/>
        <v>28</v>
      </c>
      <c r="AJ12" s="7" t="s">
        <v>117</v>
      </c>
      <c r="AK12" s="15"/>
      <c r="AL12" s="9">
        <f>IFERROR(__xludf.DUMMYFUNCTION("IF(AJ12="""","""",COUNTA(SPLIT(AJ12,"" "")))"),74.0)</f>
        <v>74</v>
      </c>
      <c r="AM12" s="7" t="s">
        <v>118</v>
      </c>
      <c r="AN12" s="15"/>
      <c r="AO12" s="16">
        <f>IFERROR(__xludf.DUMMYFUNCTION("IF(AM12="""","""",COUNTA(SPLIT(AM12,"" "")))"),88.0)</f>
        <v>88</v>
      </c>
      <c r="AP12" s="10">
        <f t="shared" si="16"/>
        <v>0.4081632653</v>
      </c>
      <c r="AQ12" s="12">
        <f t="shared" si="17"/>
        <v>81</v>
      </c>
      <c r="AR12" s="12">
        <f t="shared" si="18"/>
        <v>14</v>
      </c>
      <c r="AS12" s="12">
        <f t="shared" si="19"/>
        <v>23</v>
      </c>
      <c r="AT12" s="12">
        <f t="shared" si="20"/>
        <v>23</v>
      </c>
      <c r="AU12" s="6"/>
      <c r="AV12" s="6"/>
      <c r="AW12" s="6"/>
      <c r="AX12" s="6"/>
      <c r="AY12" s="6"/>
      <c r="AZ12" s="6"/>
      <c r="BA12" s="6"/>
    </row>
    <row r="13" ht="180.0" customHeight="1">
      <c r="A13" s="7">
        <v>13.0</v>
      </c>
      <c r="B13" s="7" t="s">
        <v>119</v>
      </c>
      <c r="C13" s="7" t="s">
        <v>120</v>
      </c>
      <c r="D13" s="13"/>
      <c r="E13" s="8">
        <f>IFERROR(__xludf.DUMMYFUNCTION("IF(C13="""","""",COUNTA(SPLIT(C13,"" "")))"),214.0)</f>
        <v>214</v>
      </c>
      <c r="F13" s="7" t="s">
        <v>121</v>
      </c>
      <c r="G13" s="14"/>
      <c r="H13" s="9">
        <f>IFERROR(__xludf.DUMMYFUNCTION("IF(F13="""","""",COUNTA(SPLIT(F13,"" "")))"),176.0)</f>
        <v>176</v>
      </c>
      <c r="I13" s="9">
        <f t="shared" si="1"/>
        <v>0.368938401</v>
      </c>
      <c r="J13" s="9">
        <f t="shared" si="2"/>
        <v>195</v>
      </c>
      <c r="K13" s="9">
        <f t="shared" si="3"/>
        <v>-38</v>
      </c>
      <c r="L13" s="9">
        <f t="shared" si="4"/>
        <v>5</v>
      </c>
      <c r="M13" s="9">
        <f t="shared" si="5"/>
        <v>-5</v>
      </c>
      <c r="N13" s="7" t="s">
        <v>122</v>
      </c>
      <c r="O13" s="15"/>
      <c r="P13" s="8">
        <f>IFERROR(__xludf.DUMMYFUNCTION("IF(N13="""","""",COUNTA(SPLIT(N13,"" "")))"),246.0)</f>
        <v>246</v>
      </c>
      <c r="Q13" s="7" t="s">
        <v>123</v>
      </c>
      <c r="R13" s="15"/>
      <c r="S13" s="9">
        <f>IFERROR(__xludf.DUMMYFUNCTION("IF(Q13="""","""",COUNTA(SPLIT(Q13,"" "")))"),221.0)</f>
        <v>221</v>
      </c>
      <c r="T13" s="10">
        <f t="shared" si="6"/>
        <v>0.3149466192</v>
      </c>
      <c r="U13" s="9">
        <f t="shared" si="7"/>
        <v>233.5</v>
      </c>
      <c r="V13" s="9">
        <f t="shared" si="8"/>
        <v>-25</v>
      </c>
      <c r="W13" s="9">
        <f t="shared" si="9"/>
        <v>12</v>
      </c>
      <c r="X13" s="9">
        <f t="shared" si="10"/>
        <v>-12</v>
      </c>
      <c r="Y13" s="7" t="s">
        <v>124</v>
      </c>
      <c r="Z13" s="15"/>
      <c r="AA13" s="9">
        <f>IFERROR(__xludf.DUMMYFUNCTION("IF(Y13="""","""",COUNTA(SPLIT(Y13,"" "")))"),266.0)</f>
        <v>266</v>
      </c>
      <c r="AB13" s="7" t="s">
        <v>125</v>
      </c>
      <c r="AC13" s="15"/>
      <c r="AD13" s="16">
        <f>IFERROR(__xludf.DUMMYFUNCTION("IF(AB13="""","""",COUNTA(SPLIT(AB13,"" "")))"),240.0)</f>
        <v>240</v>
      </c>
      <c r="AE13" s="10">
        <f t="shared" si="11"/>
        <v>0.3397027601</v>
      </c>
      <c r="AF13" s="12">
        <f t="shared" si="12"/>
        <v>253</v>
      </c>
      <c r="AG13" s="12">
        <f t="shared" si="13"/>
        <v>-26</v>
      </c>
      <c r="AH13" s="12">
        <f t="shared" si="14"/>
        <v>11</v>
      </c>
      <c r="AI13" s="12">
        <f t="shared" si="15"/>
        <v>-11</v>
      </c>
      <c r="AJ13" s="7" t="s">
        <v>126</v>
      </c>
      <c r="AK13" s="15"/>
      <c r="AL13" s="9">
        <f>IFERROR(__xludf.DUMMYFUNCTION("IF(AJ13="""","""",COUNTA(SPLIT(AJ13,"" "")))"),179.0)</f>
        <v>179</v>
      </c>
      <c r="AM13" s="7" t="s">
        <v>127</v>
      </c>
      <c r="AN13" s="15"/>
      <c r="AO13" s="16">
        <f>IFERROR(__xludf.DUMMYFUNCTION("IF(AM13="""","""",COUNTA(SPLIT(AM13,"" "")))"),164.0)</f>
        <v>164</v>
      </c>
      <c r="AP13" s="10">
        <f t="shared" si="16"/>
        <v>0.3464947623</v>
      </c>
      <c r="AQ13" s="12">
        <f t="shared" si="17"/>
        <v>171.5</v>
      </c>
      <c r="AR13" s="12">
        <f t="shared" si="18"/>
        <v>-15</v>
      </c>
      <c r="AS13" s="12">
        <f t="shared" si="19"/>
        <v>11</v>
      </c>
      <c r="AT13" s="12">
        <f t="shared" si="20"/>
        <v>-11</v>
      </c>
      <c r="AU13" s="6"/>
      <c r="AV13" s="6"/>
      <c r="AW13" s="6"/>
      <c r="AX13" s="6"/>
      <c r="AY13" s="6"/>
      <c r="AZ13" s="6"/>
      <c r="BA13" s="6"/>
    </row>
    <row r="14" ht="214.5" customHeight="1">
      <c r="A14" s="7">
        <v>14.0</v>
      </c>
      <c r="B14" s="7" t="s">
        <v>128</v>
      </c>
      <c r="C14" s="7" t="s">
        <v>129</v>
      </c>
      <c r="D14" s="13"/>
      <c r="E14" s="8">
        <f>IFERROR(__xludf.DUMMYFUNCTION("IF(C14="""","""",COUNTA(SPLIT(C14,"" "")))"),131.0)</f>
        <v>131</v>
      </c>
      <c r="F14" s="7" t="s">
        <v>130</v>
      </c>
      <c r="G14" s="14"/>
      <c r="H14" s="9">
        <f>IFERROR(__xludf.DUMMYFUNCTION("IF(F14="""","""",COUNTA(SPLIT(F14,"" "")))"),220.0)</f>
        <v>220</v>
      </c>
      <c r="I14" s="9">
        <f t="shared" si="1"/>
        <v>0.3730425056</v>
      </c>
      <c r="J14" s="9">
        <f t="shared" si="2"/>
        <v>175.5</v>
      </c>
      <c r="K14" s="9">
        <f t="shared" si="3"/>
        <v>89</v>
      </c>
      <c r="L14" s="9">
        <f t="shared" si="4"/>
        <v>26</v>
      </c>
      <c r="M14" s="9">
        <f t="shared" si="5"/>
        <v>26</v>
      </c>
      <c r="N14" s="7" t="s">
        <v>131</v>
      </c>
      <c r="O14" s="15"/>
      <c r="P14" s="8">
        <f>IFERROR(__xludf.DUMMYFUNCTION("IF(N14="""","""",COUNTA(SPLIT(N14,"" "")))"),229.0)</f>
        <v>229</v>
      </c>
      <c r="Q14" s="7" t="s">
        <v>132</v>
      </c>
      <c r="R14" s="15"/>
      <c r="S14" s="9">
        <f>IFERROR(__xludf.DUMMYFUNCTION("IF(Q14="""","""",COUNTA(SPLIT(Q14,"" "")))"),233.0)</f>
        <v>233</v>
      </c>
      <c r="T14" s="10">
        <f t="shared" si="6"/>
        <v>0.3857225101</v>
      </c>
      <c r="U14" s="9">
        <f t="shared" si="7"/>
        <v>231</v>
      </c>
      <c r="V14" s="9">
        <f t="shared" si="8"/>
        <v>4</v>
      </c>
      <c r="W14" s="9">
        <f t="shared" si="9"/>
        <v>18</v>
      </c>
      <c r="X14" s="9">
        <f t="shared" si="10"/>
        <v>18</v>
      </c>
      <c r="Y14" s="7" t="s">
        <v>133</v>
      </c>
      <c r="Z14" s="15"/>
      <c r="AA14" s="9">
        <f>IFERROR(__xludf.DUMMYFUNCTION("IF(Y14="""","""",COUNTA(SPLIT(Y14,"" "")))"),119.0)</f>
        <v>119</v>
      </c>
      <c r="AB14" s="7" t="s">
        <v>134</v>
      </c>
      <c r="AC14" s="15"/>
      <c r="AD14" s="16">
        <f>IFERROR(__xludf.DUMMYFUNCTION("IF(AB14="""","""",COUNTA(SPLIT(AB14,"" "")))"),60.0)</f>
        <v>60</v>
      </c>
      <c r="AE14" s="10">
        <f t="shared" si="11"/>
        <v>0.3105590062</v>
      </c>
      <c r="AF14" s="12">
        <f t="shared" si="12"/>
        <v>89.5</v>
      </c>
      <c r="AG14" s="12">
        <f t="shared" si="13"/>
        <v>-59</v>
      </c>
      <c r="AH14" s="12">
        <f t="shared" si="14"/>
        <v>5</v>
      </c>
      <c r="AI14" s="12">
        <f t="shared" si="15"/>
        <v>-5</v>
      </c>
      <c r="AJ14" s="7" t="s">
        <v>135</v>
      </c>
      <c r="AK14" s="15"/>
      <c r="AL14" s="9">
        <f>IFERROR(__xludf.DUMMYFUNCTION("IF(AJ14="""","""",COUNTA(SPLIT(AJ14,"" "")))"),190.0)</f>
        <v>190</v>
      </c>
      <c r="AM14" s="7" t="s">
        <v>136</v>
      </c>
      <c r="AN14" s="15"/>
      <c r="AO14" s="16">
        <f>IFERROR(__xludf.DUMMYFUNCTION("IF(AM14="""","""",COUNTA(SPLIT(AM14,"" "")))"),196.0)</f>
        <v>196</v>
      </c>
      <c r="AP14" s="10">
        <f t="shared" si="16"/>
        <v>0.4642857143</v>
      </c>
      <c r="AQ14" s="12">
        <f t="shared" si="17"/>
        <v>193</v>
      </c>
      <c r="AR14" s="12">
        <f t="shared" si="18"/>
        <v>6</v>
      </c>
      <c r="AS14" s="12">
        <f t="shared" si="19"/>
        <v>20</v>
      </c>
      <c r="AT14" s="12">
        <f t="shared" si="20"/>
        <v>20</v>
      </c>
      <c r="AU14" s="6"/>
      <c r="AV14" s="6"/>
      <c r="AW14" s="6"/>
      <c r="AX14" s="6"/>
      <c r="AY14" s="6"/>
      <c r="AZ14" s="6"/>
      <c r="BA14" s="6"/>
    </row>
    <row r="15" ht="268.5" customHeight="1">
      <c r="A15" s="7">
        <v>15.0</v>
      </c>
      <c r="B15" s="7" t="s">
        <v>137</v>
      </c>
      <c r="C15" s="7" t="s">
        <v>138</v>
      </c>
      <c r="D15" s="13"/>
      <c r="E15" s="8">
        <f>IFERROR(__xludf.DUMMYFUNCTION("IF(C15="""","""",COUNTA(SPLIT(C15,"" "")))"),129.0)</f>
        <v>129</v>
      </c>
      <c r="F15" s="7" t="s">
        <v>139</v>
      </c>
      <c r="G15" s="14"/>
      <c r="H15" s="9">
        <f>IFERROR(__xludf.DUMMYFUNCTION("IF(F15="""","""",COUNTA(SPLIT(F15,"" "")))"),257.0)</f>
        <v>257</v>
      </c>
      <c r="I15" s="9">
        <f t="shared" si="1"/>
        <v>0.3207816969</v>
      </c>
      <c r="J15" s="9">
        <f t="shared" si="2"/>
        <v>193</v>
      </c>
      <c r="K15" s="9">
        <f t="shared" si="3"/>
        <v>128</v>
      </c>
      <c r="L15" s="9">
        <f t="shared" si="4"/>
        <v>27</v>
      </c>
      <c r="M15" s="9">
        <f t="shared" si="5"/>
        <v>27</v>
      </c>
      <c r="N15" s="7" t="s">
        <v>140</v>
      </c>
      <c r="O15" s="15"/>
      <c r="P15" s="8">
        <f>IFERROR(__xludf.DUMMYFUNCTION("IF(N15="""","""",COUNTA(SPLIT(N15,"" "")))"),197.0)</f>
        <v>197</v>
      </c>
      <c r="Q15" s="7" t="s">
        <v>141</v>
      </c>
      <c r="R15" s="15"/>
      <c r="S15" s="9">
        <f>IFERROR(__xludf.DUMMYFUNCTION("IF(Q15="""","""",COUNTA(SPLIT(Q15,"" "")))"),246.0)</f>
        <v>246</v>
      </c>
      <c r="T15" s="10">
        <f t="shared" si="6"/>
        <v>0.3085106383</v>
      </c>
      <c r="U15" s="9">
        <f t="shared" si="7"/>
        <v>221.5</v>
      </c>
      <c r="V15" s="9">
        <f t="shared" si="8"/>
        <v>49</v>
      </c>
      <c r="W15" s="9">
        <f t="shared" si="9"/>
        <v>25</v>
      </c>
      <c r="X15" s="9">
        <f t="shared" si="10"/>
        <v>25</v>
      </c>
      <c r="Y15" s="7" t="s">
        <v>142</v>
      </c>
      <c r="Z15" s="15"/>
      <c r="AA15" s="9">
        <f>IFERROR(__xludf.DUMMYFUNCTION("IF(Y15="""","""",COUNTA(SPLIT(Y15,"" "")))"),447.0)</f>
        <v>447</v>
      </c>
      <c r="AB15" s="17" t="s">
        <v>143</v>
      </c>
      <c r="AC15" s="15"/>
      <c r="AD15" s="16">
        <f>IFERROR(__xludf.DUMMYFUNCTION("IF(AB15="""","""",COUNTA(SPLIT(AB15,"" "")))"),349.0)</f>
        <v>349</v>
      </c>
      <c r="AE15" s="10">
        <f t="shared" si="11"/>
        <v>0.3832074375</v>
      </c>
      <c r="AF15" s="12">
        <f t="shared" si="12"/>
        <v>398</v>
      </c>
      <c r="AG15" s="12">
        <f t="shared" si="13"/>
        <v>-98</v>
      </c>
      <c r="AH15" s="12">
        <f t="shared" si="14"/>
        <v>1</v>
      </c>
      <c r="AI15" s="12">
        <f t="shared" si="15"/>
        <v>-1</v>
      </c>
      <c r="AJ15" s="7" t="s">
        <v>144</v>
      </c>
      <c r="AK15" s="15"/>
      <c r="AL15" s="9">
        <f>IFERROR(__xludf.DUMMYFUNCTION("IF(AJ15="""","""",COUNTA(SPLIT(AJ15,"" "")))"),343.0)</f>
        <v>343</v>
      </c>
      <c r="AM15" s="7" t="s">
        <v>145</v>
      </c>
      <c r="AN15" s="15"/>
      <c r="AO15" s="16">
        <f>IFERROR(__xludf.DUMMYFUNCTION("IF(AM15="""","""",COUNTA(SPLIT(AM15,"" "")))"),307.0)</f>
        <v>307</v>
      </c>
      <c r="AP15" s="10">
        <f t="shared" si="16"/>
        <v>0.3207186544</v>
      </c>
      <c r="AQ15" s="12">
        <f t="shared" si="17"/>
        <v>325</v>
      </c>
      <c r="AR15" s="12">
        <f t="shared" si="18"/>
        <v>-36</v>
      </c>
      <c r="AS15" s="12">
        <f t="shared" si="19"/>
        <v>7</v>
      </c>
      <c r="AT15" s="12">
        <f t="shared" si="20"/>
        <v>-7</v>
      </c>
      <c r="AU15" s="6"/>
      <c r="AV15" s="6"/>
      <c r="AW15" s="6"/>
      <c r="AX15" s="6"/>
      <c r="AY15" s="6"/>
      <c r="AZ15" s="6"/>
      <c r="BA15" s="6"/>
    </row>
    <row r="16" ht="162.75" customHeight="1">
      <c r="A16" s="7">
        <v>16.0</v>
      </c>
      <c r="B16" s="7" t="s">
        <v>146</v>
      </c>
      <c r="C16" s="7" t="s">
        <v>147</v>
      </c>
      <c r="D16" s="13"/>
      <c r="E16" s="8">
        <f>IFERROR(__xludf.DUMMYFUNCTION("IF(C16="""","""",COUNTA(SPLIT(C16,"" "")))"),57.0)</f>
        <v>57</v>
      </c>
      <c r="F16" s="7" t="s">
        <v>148</v>
      </c>
      <c r="G16" s="14"/>
      <c r="H16" s="9">
        <f>IFERROR(__xludf.DUMMYFUNCTION("IF(F16="""","""",COUNTA(SPLIT(F16,"" "")))"),79.0)</f>
        <v>79</v>
      </c>
      <c r="I16" s="9">
        <f t="shared" si="1"/>
        <v>0.6365313653</v>
      </c>
      <c r="J16" s="9">
        <f t="shared" si="2"/>
        <v>68</v>
      </c>
      <c r="K16" s="9">
        <f t="shared" si="3"/>
        <v>22</v>
      </c>
      <c r="L16" s="9">
        <f t="shared" si="4"/>
        <v>18</v>
      </c>
      <c r="M16" s="9">
        <f t="shared" si="5"/>
        <v>18</v>
      </c>
      <c r="N16" s="7" t="s">
        <v>149</v>
      </c>
      <c r="O16" s="15"/>
      <c r="P16" s="8">
        <f>IFERROR(__xludf.DUMMYFUNCTION("IF(N16="""","""",COUNTA(SPLIT(N16,"" "")))"),64.0)</f>
        <v>64</v>
      </c>
      <c r="Q16" s="7" t="s">
        <v>150</v>
      </c>
      <c r="R16" s="15"/>
      <c r="S16" s="9">
        <f>IFERROR(__xludf.DUMMYFUNCTION("IF(Q16="""","""",COUNTA(SPLIT(Q16,"" "")))"),103.0)</f>
        <v>103</v>
      </c>
      <c r="T16" s="10">
        <f t="shared" si="6"/>
        <v>0.3290960452</v>
      </c>
      <c r="U16" s="9">
        <f t="shared" si="7"/>
        <v>83.5</v>
      </c>
      <c r="V16" s="9">
        <f t="shared" si="8"/>
        <v>39</v>
      </c>
      <c r="W16" s="9">
        <f t="shared" si="9"/>
        <v>24</v>
      </c>
      <c r="X16" s="9">
        <f t="shared" si="10"/>
        <v>24</v>
      </c>
      <c r="Y16" s="7" t="s">
        <v>151</v>
      </c>
      <c r="Z16" s="15"/>
      <c r="AA16" s="9">
        <f>IFERROR(__xludf.DUMMYFUNCTION("IF(Y16="""","""",COUNTA(SPLIT(Y16,"" "")))"),78.0)</f>
        <v>78</v>
      </c>
      <c r="AB16" s="7" t="s">
        <v>152</v>
      </c>
      <c r="AC16" s="15"/>
      <c r="AD16" s="16">
        <f>IFERROR(__xludf.DUMMYFUNCTION("IF(AB16="""","""",COUNTA(SPLIT(AB16,"" "")))"),135.0)</f>
        <v>135</v>
      </c>
      <c r="AE16" s="10">
        <f t="shared" si="11"/>
        <v>0.422832981</v>
      </c>
      <c r="AF16" s="12">
        <f t="shared" si="12"/>
        <v>106.5</v>
      </c>
      <c r="AG16" s="12">
        <f t="shared" si="13"/>
        <v>57</v>
      </c>
      <c r="AH16" s="12">
        <f t="shared" si="14"/>
        <v>25</v>
      </c>
      <c r="AI16" s="12">
        <f t="shared" si="15"/>
        <v>25</v>
      </c>
      <c r="AJ16" s="7" t="s">
        <v>153</v>
      </c>
      <c r="AK16" s="15"/>
      <c r="AL16" s="9">
        <f>IFERROR(__xludf.DUMMYFUNCTION("IF(AJ16="""","""",COUNTA(SPLIT(AJ16,"" "")))"),69.0)</f>
        <v>69</v>
      </c>
      <c r="AM16" s="7" t="s">
        <v>154</v>
      </c>
      <c r="AN16" s="15"/>
      <c r="AO16" s="16">
        <f>IFERROR(__xludf.DUMMYFUNCTION("IF(AM16="""","""",COUNTA(SPLIT(AM16,"" "")))"),73.0)</f>
        <v>73</v>
      </c>
      <c r="AP16" s="10">
        <f t="shared" si="16"/>
        <v>0.4504132231</v>
      </c>
      <c r="AQ16" s="12">
        <f t="shared" si="17"/>
        <v>71</v>
      </c>
      <c r="AR16" s="12">
        <f t="shared" si="18"/>
        <v>4</v>
      </c>
      <c r="AS16" s="12">
        <f t="shared" si="19"/>
        <v>18</v>
      </c>
      <c r="AT16" s="12">
        <f t="shared" si="20"/>
        <v>18</v>
      </c>
      <c r="AU16" s="6"/>
      <c r="AV16" s="6"/>
      <c r="AW16" s="6"/>
      <c r="AX16" s="6"/>
      <c r="AY16" s="6"/>
      <c r="AZ16" s="6"/>
      <c r="BA16" s="6"/>
    </row>
    <row r="17" ht="162.0" customHeight="1">
      <c r="A17" s="7">
        <v>17.0</v>
      </c>
      <c r="B17" s="7" t="s">
        <v>155</v>
      </c>
      <c r="C17" s="7" t="s">
        <v>156</v>
      </c>
      <c r="D17" s="13"/>
      <c r="E17" s="8">
        <f>IFERROR(__xludf.DUMMYFUNCTION("IF(C17="""","""",COUNTA(SPLIT(C17,"" "")))"),259.0)</f>
        <v>259</v>
      </c>
      <c r="F17" s="7" t="s">
        <v>157</v>
      </c>
      <c r="G17" s="14"/>
      <c r="H17" s="9">
        <f>IFERROR(__xludf.DUMMYFUNCTION("IF(F17="""","""",COUNTA(SPLIT(F17,"" "")))"),308.0)</f>
        <v>308</v>
      </c>
      <c r="I17" s="9">
        <f t="shared" si="1"/>
        <v>0.3172179813</v>
      </c>
      <c r="J17" s="9">
        <f t="shared" si="2"/>
        <v>283.5</v>
      </c>
      <c r="K17" s="9">
        <f t="shared" si="3"/>
        <v>49</v>
      </c>
      <c r="L17" s="9">
        <f t="shared" si="4"/>
        <v>22</v>
      </c>
      <c r="M17" s="9">
        <f t="shared" si="5"/>
        <v>22</v>
      </c>
      <c r="N17" s="7" t="s">
        <v>158</v>
      </c>
      <c r="O17" s="15"/>
      <c r="P17" s="8">
        <f>IFERROR(__xludf.DUMMYFUNCTION("IF(N17="""","""",COUNTA(SPLIT(N17,"" "")))"),186.0)</f>
        <v>186</v>
      </c>
      <c r="Q17" s="7" t="s">
        <v>159</v>
      </c>
      <c r="R17" s="15"/>
      <c r="S17" s="9">
        <f>IFERROR(__xludf.DUMMYFUNCTION("IF(Q17="""","""",COUNTA(SPLIT(Q17,"" "")))"),289.0)</f>
        <v>289</v>
      </c>
      <c r="T17" s="10">
        <f t="shared" si="6"/>
        <v>0.3728294178</v>
      </c>
      <c r="U17" s="9">
        <f t="shared" si="7"/>
        <v>237.5</v>
      </c>
      <c r="V17" s="9">
        <f t="shared" si="8"/>
        <v>103</v>
      </c>
      <c r="W17" s="9">
        <f t="shared" si="9"/>
        <v>28</v>
      </c>
      <c r="X17" s="9">
        <f t="shared" si="10"/>
        <v>28</v>
      </c>
      <c r="Y17" s="7" t="s">
        <v>160</v>
      </c>
      <c r="Z17" s="15"/>
      <c r="AA17" s="9">
        <f>IFERROR(__xludf.DUMMYFUNCTION("IF(Y17="""","""",COUNTA(SPLIT(Y17,"" "")))"),363.0)</f>
        <v>363</v>
      </c>
      <c r="AB17" s="7" t="s">
        <v>161</v>
      </c>
      <c r="AC17" s="15"/>
      <c r="AD17" s="16">
        <f>IFERROR(__xludf.DUMMYFUNCTION("IF(AB17="""","""",COUNTA(SPLIT(AB17,"" "")))"),348.0)</f>
        <v>348</v>
      </c>
      <c r="AE17" s="10">
        <f t="shared" si="11"/>
        <v>0.3084450888</v>
      </c>
      <c r="AF17" s="12">
        <f t="shared" si="12"/>
        <v>355.5</v>
      </c>
      <c r="AG17" s="12">
        <f t="shared" si="13"/>
        <v>-15</v>
      </c>
      <c r="AH17" s="12">
        <f t="shared" si="14"/>
        <v>12</v>
      </c>
      <c r="AI17" s="12">
        <f t="shared" si="15"/>
        <v>-12</v>
      </c>
      <c r="AJ17" s="7" t="s">
        <v>162</v>
      </c>
      <c r="AK17" s="15"/>
      <c r="AL17" s="9">
        <f>IFERROR(__xludf.DUMMYFUNCTION("IF(AJ17="""","""",COUNTA(SPLIT(AJ17,"" "")))"),231.0)</f>
        <v>231</v>
      </c>
      <c r="AM17" s="7" t="s">
        <v>163</v>
      </c>
      <c r="AN17" s="15"/>
      <c r="AO17" s="16">
        <f>IFERROR(__xludf.DUMMYFUNCTION("IF(AM17="""","""",COUNTA(SPLIT(AM17,"" "")))"),186.0)</f>
        <v>186</v>
      </c>
      <c r="AP17" s="10">
        <f t="shared" si="16"/>
        <v>0.3893129771</v>
      </c>
      <c r="AQ17" s="12">
        <f t="shared" si="17"/>
        <v>208.5</v>
      </c>
      <c r="AR17" s="12">
        <f t="shared" si="18"/>
        <v>-45</v>
      </c>
      <c r="AS17" s="12">
        <f t="shared" si="19"/>
        <v>6</v>
      </c>
      <c r="AT17" s="12">
        <f t="shared" si="20"/>
        <v>-6</v>
      </c>
      <c r="AU17" s="6"/>
      <c r="AV17" s="6"/>
      <c r="AW17" s="6"/>
      <c r="AX17" s="6"/>
      <c r="AY17" s="6"/>
      <c r="AZ17" s="6"/>
      <c r="BA17" s="6"/>
    </row>
    <row r="18" ht="130.5" customHeight="1">
      <c r="A18" s="7">
        <v>18.0</v>
      </c>
      <c r="B18" s="7" t="s">
        <v>164</v>
      </c>
      <c r="C18" s="7" t="s">
        <v>165</v>
      </c>
      <c r="D18" s="13"/>
      <c r="E18" s="8">
        <f>IFERROR(__xludf.DUMMYFUNCTION("IF(C18="""","""",COUNTA(SPLIT(C18,"" "")))"),235.0)</f>
        <v>235</v>
      </c>
      <c r="F18" s="7" t="s">
        <v>166</v>
      </c>
      <c r="G18" s="14"/>
      <c r="H18" s="9">
        <f>IFERROR(__xludf.DUMMYFUNCTION("IF(F18="""","""",COUNTA(SPLIT(F18,"" "")))"),231.0)</f>
        <v>231</v>
      </c>
      <c r="I18" s="9">
        <f t="shared" si="1"/>
        <v>0.4399117971</v>
      </c>
      <c r="J18" s="9">
        <f t="shared" si="2"/>
        <v>233</v>
      </c>
      <c r="K18" s="9">
        <f t="shared" si="3"/>
        <v>-4</v>
      </c>
      <c r="L18" s="9">
        <f t="shared" si="4"/>
        <v>10</v>
      </c>
      <c r="M18" s="9">
        <f t="shared" si="5"/>
        <v>-10</v>
      </c>
      <c r="N18" s="7" t="s">
        <v>167</v>
      </c>
      <c r="O18" s="15"/>
      <c r="P18" s="8">
        <f>IFERROR(__xludf.DUMMYFUNCTION("IF(N18="""","""",COUNTA(SPLIT(N18,"" "")))"),246.0)</f>
        <v>246</v>
      </c>
      <c r="Q18" s="7" t="s">
        <v>168</v>
      </c>
      <c r="R18" s="15"/>
      <c r="S18" s="9">
        <f>IFERROR(__xludf.DUMMYFUNCTION("IF(Q18="""","""",COUNTA(SPLIT(Q18,"" "")))"),251.0)</f>
        <v>251</v>
      </c>
      <c r="T18" s="10">
        <f t="shared" si="6"/>
        <v>0.4539772727</v>
      </c>
      <c r="U18" s="9">
        <f t="shared" si="7"/>
        <v>248.5</v>
      </c>
      <c r="V18" s="9">
        <f t="shared" si="8"/>
        <v>5</v>
      </c>
      <c r="W18" s="9">
        <f t="shared" si="9"/>
        <v>19</v>
      </c>
      <c r="X18" s="9">
        <f t="shared" si="10"/>
        <v>19</v>
      </c>
      <c r="Y18" s="7" t="s">
        <v>169</v>
      </c>
      <c r="Z18" s="15"/>
      <c r="AA18" s="9">
        <f>IFERROR(__xludf.DUMMYFUNCTION("IF(Y18="""","""",COUNTA(SPLIT(Y18,"" "")))"),327.0)</f>
        <v>327</v>
      </c>
      <c r="AB18" s="7" t="s">
        <v>170</v>
      </c>
      <c r="AC18" s="15"/>
      <c r="AD18" s="16">
        <f>IFERROR(__xludf.DUMMYFUNCTION("IF(AB18="""","""",COUNTA(SPLIT(AB18,"" "")))"),381.0)</f>
        <v>381</v>
      </c>
      <c r="AE18" s="10">
        <f t="shared" si="11"/>
        <v>0.4695301028</v>
      </c>
      <c r="AF18" s="12">
        <f t="shared" si="12"/>
        <v>354</v>
      </c>
      <c r="AG18" s="12">
        <f t="shared" si="13"/>
        <v>54</v>
      </c>
      <c r="AH18" s="12">
        <f t="shared" si="14"/>
        <v>22</v>
      </c>
      <c r="AI18" s="12">
        <f t="shared" si="15"/>
        <v>22</v>
      </c>
      <c r="AJ18" s="7" t="s">
        <v>171</v>
      </c>
      <c r="AK18" s="15"/>
      <c r="AL18" s="9">
        <f>IFERROR(__xludf.DUMMYFUNCTION("IF(AJ18="""","""",COUNTA(SPLIT(AJ18,"" "")))"),234.0)</f>
        <v>234</v>
      </c>
      <c r="AM18" s="7" t="s">
        <v>172</v>
      </c>
      <c r="AN18" s="15"/>
      <c r="AO18" s="16">
        <f>IFERROR(__xludf.DUMMYFUNCTION("IF(AM18="""","""",COUNTA(SPLIT(AM18,"" "")))"),159.0)</f>
        <v>159</v>
      </c>
      <c r="AP18" s="10">
        <f t="shared" si="16"/>
        <v>0.3282798834</v>
      </c>
      <c r="AQ18" s="12">
        <f t="shared" si="17"/>
        <v>196.5</v>
      </c>
      <c r="AR18" s="12">
        <f t="shared" si="18"/>
        <v>-75</v>
      </c>
      <c r="AS18" s="12">
        <f t="shared" si="19"/>
        <v>3</v>
      </c>
      <c r="AT18" s="12">
        <f t="shared" si="20"/>
        <v>-3</v>
      </c>
      <c r="AU18" s="6"/>
      <c r="AV18" s="6"/>
      <c r="AW18" s="6"/>
      <c r="AX18" s="6"/>
      <c r="AY18" s="6"/>
      <c r="AZ18" s="6"/>
      <c r="BA18" s="6"/>
    </row>
    <row r="19" ht="189.75" customHeight="1">
      <c r="A19" s="7">
        <v>19.0</v>
      </c>
      <c r="B19" s="7" t="s">
        <v>173</v>
      </c>
      <c r="C19" s="7" t="s">
        <v>174</v>
      </c>
      <c r="D19" s="13"/>
      <c r="E19" s="8">
        <f>IFERROR(__xludf.DUMMYFUNCTION("IF(C19="""","""",COUNTA(SPLIT(C19,"" "")))"),360.0)</f>
        <v>360</v>
      </c>
      <c r="F19" s="7" t="s">
        <v>175</v>
      </c>
      <c r="G19" s="14"/>
      <c r="H19" s="9">
        <f>IFERROR(__xludf.DUMMYFUNCTION("IF(F19="""","""",COUNTA(SPLIT(F19,"" "")))"),360.0)</f>
        <v>360</v>
      </c>
      <c r="I19" s="9">
        <f t="shared" si="1"/>
        <v>0.3430602319</v>
      </c>
      <c r="J19" s="9">
        <f t="shared" si="2"/>
        <v>360</v>
      </c>
      <c r="K19" s="9">
        <f t="shared" si="3"/>
        <v>0</v>
      </c>
      <c r="L19" s="9">
        <f t="shared" si="4"/>
        <v>11</v>
      </c>
      <c r="M19" s="9">
        <f t="shared" si="5"/>
        <v>-11</v>
      </c>
      <c r="N19" s="7" t="s">
        <v>176</v>
      </c>
      <c r="O19" s="15"/>
      <c r="P19" s="8">
        <f>IFERROR(__xludf.DUMMYFUNCTION("IF(N19="""","""",COUNTA(SPLIT(N19,"" "")))"),292.0)</f>
        <v>292</v>
      </c>
      <c r="Q19" s="7" t="s">
        <v>177</v>
      </c>
      <c r="R19" s="15"/>
      <c r="S19" s="9">
        <f>IFERROR(__xludf.DUMMYFUNCTION("IF(Q19="""","""",COUNTA(SPLIT(Q19,"" "")))"),249.0)</f>
        <v>249</v>
      </c>
      <c r="T19" s="10">
        <f t="shared" si="6"/>
        <v>0.3265786993</v>
      </c>
      <c r="U19" s="9">
        <f t="shared" si="7"/>
        <v>270.5</v>
      </c>
      <c r="V19" s="9">
        <f t="shared" si="8"/>
        <v>-43</v>
      </c>
      <c r="W19" s="9">
        <f t="shared" si="9"/>
        <v>7</v>
      </c>
      <c r="X19" s="9">
        <f t="shared" si="10"/>
        <v>-7</v>
      </c>
      <c r="Y19" s="7" t="s">
        <v>178</v>
      </c>
      <c r="Z19" s="15"/>
      <c r="AA19" s="9">
        <f>IFERROR(__xludf.DUMMYFUNCTION("IF(Y19="""","""",COUNTA(SPLIT(Y19,"" "")))"),342.0)</f>
        <v>342</v>
      </c>
      <c r="AB19" s="7" t="s">
        <v>179</v>
      </c>
      <c r="AC19" s="15"/>
      <c r="AD19" s="16">
        <f>IFERROR(__xludf.DUMMYFUNCTION("IF(AB19="""","""",COUNTA(SPLIT(AB19,"" "")))"),330.0)</f>
        <v>330</v>
      </c>
      <c r="AE19" s="10">
        <f t="shared" si="11"/>
        <v>0.376690533</v>
      </c>
      <c r="AF19" s="12">
        <f t="shared" si="12"/>
        <v>336</v>
      </c>
      <c r="AG19" s="12">
        <f t="shared" si="13"/>
        <v>-12</v>
      </c>
      <c r="AH19" s="12">
        <f t="shared" si="14"/>
        <v>15</v>
      </c>
      <c r="AI19" s="12">
        <f t="shared" si="15"/>
        <v>-15</v>
      </c>
      <c r="AJ19" s="7" t="s">
        <v>180</v>
      </c>
      <c r="AK19" s="15"/>
      <c r="AL19" s="9">
        <f>IFERROR(__xludf.DUMMYFUNCTION("IF(AJ19="""","""",COUNTA(SPLIT(AJ19,"" "")))"),366.0)</f>
        <v>366</v>
      </c>
      <c r="AM19" s="7" t="s">
        <v>181</v>
      </c>
      <c r="AN19" s="15"/>
      <c r="AO19" s="16">
        <f>IFERROR(__xludf.DUMMYFUNCTION("IF(AM19="""","""",COUNTA(SPLIT(AM19,"" "")))"),339.0)</f>
        <v>339</v>
      </c>
      <c r="AP19" s="10">
        <f t="shared" si="16"/>
        <v>0.2929133858</v>
      </c>
      <c r="AQ19" s="12">
        <f t="shared" si="17"/>
        <v>352.5</v>
      </c>
      <c r="AR19" s="12">
        <f t="shared" si="18"/>
        <v>-27</v>
      </c>
      <c r="AS19" s="12">
        <f t="shared" si="19"/>
        <v>9</v>
      </c>
      <c r="AT19" s="12">
        <f t="shared" si="20"/>
        <v>-9</v>
      </c>
      <c r="AU19" s="6"/>
      <c r="AV19" s="6"/>
      <c r="AW19" s="6"/>
      <c r="AX19" s="6"/>
      <c r="AY19" s="6"/>
      <c r="AZ19" s="6"/>
      <c r="BA19" s="6"/>
    </row>
    <row r="20" ht="131.25" customHeight="1">
      <c r="A20" s="7">
        <v>20.0</v>
      </c>
      <c r="B20" s="7" t="s">
        <v>182</v>
      </c>
      <c r="C20" s="7" t="s">
        <v>183</v>
      </c>
      <c r="D20" s="13"/>
      <c r="E20" s="8">
        <f>IFERROR(__xludf.DUMMYFUNCTION("IF(C20="""","""",COUNTA(SPLIT(C20,"" "")))"),159.0)</f>
        <v>159</v>
      </c>
      <c r="F20" s="7" t="s">
        <v>184</v>
      </c>
      <c r="G20" s="14"/>
      <c r="H20" s="9">
        <f>IFERROR(__xludf.DUMMYFUNCTION("IF(F20="""","""",COUNTA(SPLIT(F20,"" "")))"),173.0)</f>
        <v>173</v>
      </c>
      <c r="I20" s="9">
        <f t="shared" si="1"/>
        <v>0.7135061392</v>
      </c>
      <c r="J20" s="9">
        <f t="shared" si="2"/>
        <v>166</v>
      </c>
      <c r="K20" s="9">
        <f t="shared" si="3"/>
        <v>14</v>
      </c>
      <c r="L20" s="9">
        <f t="shared" si="4"/>
        <v>17</v>
      </c>
      <c r="M20" s="9">
        <f t="shared" si="5"/>
        <v>17</v>
      </c>
      <c r="N20" s="7" t="s">
        <v>185</v>
      </c>
      <c r="O20" s="15"/>
      <c r="P20" s="8">
        <f>IFERROR(__xludf.DUMMYFUNCTION("IF(N20="""","""",COUNTA(SPLIT(N20,"" "")))"),232.0)</f>
        <v>232</v>
      </c>
      <c r="Q20" s="7" t="s">
        <v>186</v>
      </c>
      <c r="R20" s="15"/>
      <c r="S20" s="9">
        <f>IFERROR(__xludf.DUMMYFUNCTION("IF(Q20="""","""",COUNTA(SPLIT(Q20,"" "")))"),182.0)</f>
        <v>182</v>
      </c>
      <c r="T20" s="10">
        <f t="shared" si="6"/>
        <v>0.3397706699</v>
      </c>
      <c r="U20" s="9">
        <f t="shared" si="7"/>
        <v>207</v>
      </c>
      <c r="V20" s="9">
        <f t="shared" si="8"/>
        <v>-50</v>
      </c>
      <c r="W20" s="9">
        <f t="shared" si="9"/>
        <v>4</v>
      </c>
      <c r="X20" s="9">
        <f t="shared" si="10"/>
        <v>-4</v>
      </c>
      <c r="Y20" s="7" t="s">
        <v>187</v>
      </c>
      <c r="Z20" s="15"/>
      <c r="AA20" s="9">
        <f>IFERROR(__xludf.DUMMYFUNCTION("IF(Y20="""","""",COUNTA(SPLIT(Y20,"" "")))"),314.0)</f>
        <v>314</v>
      </c>
      <c r="AB20" s="7" t="s">
        <v>188</v>
      </c>
      <c r="AC20" s="15"/>
      <c r="AD20" s="16">
        <f>IFERROR(__xludf.DUMMYFUNCTION("IF(AB20="""","""",COUNTA(SPLIT(AB20,"" "")))"),276.0)</f>
        <v>276</v>
      </c>
      <c r="AE20" s="10">
        <f t="shared" si="11"/>
        <v>0.4700711595</v>
      </c>
      <c r="AF20" s="12">
        <f t="shared" si="12"/>
        <v>295</v>
      </c>
      <c r="AG20" s="12">
        <f t="shared" si="13"/>
        <v>-38</v>
      </c>
      <c r="AH20" s="12">
        <f t="shared" si="14"/>
        <v>9</v>
      </c>
      <c r="AI20" s="12">
        <f t="shared" si="15"/>
        <v>-9</v>
      </c>
      <c r="AJ20" s="7" t="s">
        <v>189</v>
      </c>
      <c r="AK20" s="15"/>
      <c r="AL20" s="9">
        <f>IFERROR(__xludf.DUMMYFUNCTION("IF(AJ20="""","""",COUNTA(SPLIT(AJ20,"" "")))"),195.0)</f>
        <v>195</v>
      </c>
      <c r="AM20" s="7" t="s">
        <v>190</v>
      </c>
      <c r="AN20" s="15"/>
      <c r="AO20" s="16">
        <f>IFERROR(__xludf.DUMMYFUNCTION("IF(AM20="""","""",COUNTA(SPLIT(AM20,"" "")))"),273.0)</f>
        <v>273</v>
      </c>
      <c r="AP20" s="10">
        <f t="shared" si="16"/>
        <v>0.3687943262</v>
      </c>
      <c r="AQ20" s="12">
        <f t="shared" si="17"/>
        <v>234</v>
      </c>
      <c r="AR20" s="12">
        <f t="shared" si="18"/>
        <v>78</v>
      </c>
      <c r="AS20" s="12">
        <f t="shared" si="19"/>
        <v>29</v>
      </c>
      <c r="AT20" s="12">
        <f t="shared" si="20"/>
        <v>29</v>
      </c>
      <c r="AU20" s="6"/>
      <c r="AV20" s="6"/>
      <c r="AW20" s="6"/>
      <c r="AX20" s="6"/>
      <c r="AY20" s="6"/>
      <c r="AZ20" s="6"/>
      <c r="BA20" s="6"/>
    </row>
    <row r="21" ht="147.0" customHeight="1">
      <c r="A21" s="7">
        <v>21.0</v>
      </c>
      <c r="B21" s="7" t="s">
        <v>191</v>
      </c>
      <c r="C21" s="7" t="s">
        <v>192</v>
      </c>
      <c r="D21" s="13"/>
      <c r="E21" s="8">
        <f>IFERROR(__xludf.DUMMYFUNCTION("IF(C21="""","""",COUNTA(SPLIT(C21,"" "")))"),327.0)</f>
        <v>327</v>
      </c>
      <c r="F21" s="7" t="s">
        <v>193</v>
      </c>
      <c r="G21" s="14"/>
      <c r="H21" s="9">
        <f>IFERROR(__xludf.DUMMYFUNCTION("IF(F21="""","""",COUNTA(SPLIT(F21,"" "")))"),265.0)</f>
        <v>265</v>
      </c>
      <c r="I21" s="9">
        <f t="shared" si="1"/>
        <v>0.4681149264</v>
      </c>
      <c r="J21" s="9">
        <f t="shared" si="2"/>
        <v>296</v>
      </c>
      <c r="K21" s="9">
        <f t="shared" si="3"/>
        <v>-62</v>
      </c>
      <c r="L21" s="9">
        <f t="shared" si="4"/>
        <v>3</v>
      </c>
      <c r="M21" s="9">
        <f t="shared" si="5"/>
        <v>-3</v>
      </c>
      <c r="N21" s="7" t="s">
        <v>194</v>
      </c>
      <c r="O21" s="15"/>
      <c r="P21" s="8">
        <f>IFERROR(__xludf.DUMMYFUNCTION("IF(N21="""","""",COUNTA(SPLIT(N21,"" "")))"),77.0)</f>
        <v>77</v>
      </c>
      <c r="Q21" s="7" t="s">
        <v>195</v>
      </c>
      <c r="R21" s="15"/>
      <c r="S21" s="9">
        <f>IFERROR(__xludf.DUMMYFUNCTION("IF(Q21="""","""",COUNTA(SPLIT(Q21,"" "")))"),207.0)</f>
        <v>207</v>
      </c>
      <c r="T21" s="10">
        <f t="shared" si="6"/>
        <v>0.2565747274</v>
      </c>
      <c r="U21" s="9">
        <f t="shared" si="7"/>
        <v>142</v>
      </c>
      <c r="V21" s="9">
        <f t="shared" si="8"/>
        <v>130</v>
      </c>
      <c r="W21" s="9">
        <f t="shared" si="9"/>
        <v>29</v>
      </c>
      <c r="X21" s="9">
        <f t="shared" si="10"/>
        <v>29</v>
      </c>
      <c r="Y21" s="7" t="s">
        <v>196</v>
      </c>
      <c r="Z21" s="15"/>
      <c r="AA21" s="9">
        <f>IFERROR(__xludf.DUMMYFUNCTION("IF(Y21="""","""",COUNTA(SPLIT(Y21,"" "")))"),240.0)</f>
        <v>240</v>
      </c>
      <c r="AB21" s="7" t="s">
        <v>197</v>
      </c>
      <c r="AC21" s="15"/>
      <c r="AD21" s="16">
        <f>IFERROR(__xludf.DUMMYFUNCTION("IF(AB21="""","""",COUNTA(SPLIT(AB21,"" "")))"),294.0)</f>
        <v>294</v>
      </c>
      <c r="AE21" s="10">
        <f t="shared" si="11"/>
        <v>0.2879377432</v>
      </c>
      <c r="AF21" s="12">
        <f t="shared" si="12"/>
        <v>267</v>
      </c>
      <c r="AG21" s="12">
        <f t="shared" si="13"/>
        <v>54</v>
      </c>
      <c r="AH21" s="12">
        <f t="shared" si="14"/>
        <v>22</v>
      </c>
      <c r="AI21" s="12">
        <f t="shared" si="15"/>
        <v>22</v>
      </c>
      <c r="AJ21" s="7" t="s">
        <v>198</v>
      </c>
      <c r="AK21" s="15"/>
      <c r="AL21" s="9">
        <f>IFERROR(__xludf.DUMMYFUNCTION("IF(AJ21="""","""",COUNTA(SPLIT(AJ21,"" "")))"),320.0)</f>
        <v>320</v>
      </c>
      <c r="AM21" s="7" t="s">
        <v>199</v>
      </c>
      <c r="AN21" s="15"/>
      <c r="AO21" s="16">
        <f>IFERROR(__xludf.DUMMYFUNCTION("IF(AM21="""","""",COUNTA(SPLIT(AM21,"" "")))"),202.0)</f>
        <v>202</v>
      </c>
      <c r="AP21" s="10">
        <f t="shared" si="16"/>
        <v>0.4479166667</v>
      </c>
      <c r="AQ21" s="12">
        <f t="shared" si="17"/>
        <v>261</v>
      </c>
      <c r="AR21" s="12">
        <f t="shared" si="18"/>
        <v>-118</v>
      </c>
      <c r="AS21" s="12">
        <f t="shared" si="19"/>
        <v>1</v>
      </c>
      <c r="AT21" s="12">
        <f t="shared" si="20"/>
        <v>-1</v>
      </c>
      <c r="AU21" s="6"/>
      <c r="AV21" s="6"/>
      <c r="AW21" s="6"/>
      <c r="AX21" s="6"/>
      <c r="AY21" s="6"/>
      <c r="AZ21" s="6"/>
      <c r="BA21" s="6"/>
    </row>
    <row r="22" ht="172.5" customHeight="1">
      <c r="A22" s="7">
        <v>22.0</v>
      </c>
      <c r="B22" s="7" t="s">
        <v>200</v>
      </c>
      <c r="C22" s="7" t="s">
        <v>201</v>
      </c>
      <c r="D22" s="13"/>
      <c r="E22" s="8">
        <f>IFERROR(__xludf.DUMMYFUNCTION("IF(C22="""","""",COUNTA(SPLIT(C22,"" "")))"),165.0)</f>
        <v>165</v>
      </c>
      <c r="F22" s="7" t="s">
        <v>202</v>
      </c>
      <c r="G22" s="14"/>
      <c r="H22" s="9">
        <f>IFERROR(__xludf.DUMMYFUNCTION("IF(F22="""","""",COUNTA(SPLIT(F22,"" "")))"),146.0)</f>
        <v>146</v>
      </c>
      <c r="I22" s="9">
        <f t="shared" si="1"/>
        <v>0.4019908116</v>
      </c>
      <c r="J22" s="9">
        <f t="shared" si="2"/>
        <v>155.5</v>
      </c>
      <c r="K22" s="9">
        <f t="shared" si="3"/>
        <v>-19</v>
      </c>
      <c r="L22" s="9">
        <f t="shared" si="4"/>
        <v>8</v>
      </c>
      <c r="M22" s="9">
        <f t="shared" si="5"/>
        <v>-8</v>
      </c>
      <c r="N22" s="7" t="s">
        <v>203</v>
      </c>
      <c r="O22" s="15"/>
      <c r="P22" s="8">
        <f>IFERROR(__xludf.DUMMYFUNCTION("IF(N22="""","""",COUNTA(SPLIT(N22,"" "")))"),98.0)</f>
        <v>98</v>
      </c>
      <c r="Q22" s="7" t="s">
        <v>204</v>
      </c>
      <c r="R22" s="15"/>
      <c r="S22" s="9">
        <f>IFERROR(__xludf.DUMMYFUNCTION("IF(Q22="""","""",COUNTA(SPLIT(Q22,"" "")))"),153.0)</f>
        <v>153</v>
      </c>
      <c r="T22" s="10">
        <f t="shared" si="6"/>
        <v>0.3567251462</v>
      </c>
      <c r="U22" s="9">
        <f t="shared" si="7"/>
        <v>125.5</v>
      </c>
      <c r="V22" s="9">
        <f t="shared" si="8"/>
        <v>55</v>
      </c>
      <c r="W22" s="9">
        <f t="shared" si="9"/>
        <v>27</v>
      </c>
      <c r="X22" s="9">
        <f t="shared" si="10"/>
        <v>27</v>
      </c>
      <c r="Y22" s="7" t="s">
        <v>205</v>
      </c>
      <c r="Z22" s="15"/>
      <c r="AA22" s="9">
        <f>IFERROR(__xludf.DUMMYFUNCTION("IF(Y22="""","""",COUNTA(SPLIT(Y22,"" "")))"),288.0)</f>
        <v>288</v>
      </c>
      <c r="AB22" s="7" t="s">
        <v>206</v>
      </c>
      <c r="AC22" s="15"/>
      <c r="AD22" s="16">
        <f>IFERROR(__xludf.DUMMYFUNCTION("IF(AB22="""","""",COUNTA(SPLIT(AB22,"" "")))"),210.0)</f>
        <v>210</v>
      </c>
      <c r="AE22" s="10">
        <f t="shared" si="11"/>
        <v>0.3702651515</v>
      </c>
      <c r="AF22" s="12">
        <f t="shared" si="12"/>
        <v>249</v>
      </c>
      <c r="AG22" s="12">
        <f t="shared" si="13"/>
        <v>-78</v>
      </c>
      <c r="AH22" s="12">
        <f t="shared" si="14"/>
        <v>4</v>
      </c>
      <c r="AI22" s="12">
        <f t="shared" si="15"/>
        <v>-4</v>
      </c>
      <c r="AJ22" s="7" t="s">
        <v>207</v>
      </c>
      <c r="AK22" s="15"/>
      <c r="AL22" s="9">
        <f>IFERROR(__xludf.DUMMYFUNCTION("IF(AJ22="""","""",COUNTA(SPLIT(AJ22,"" "")))"),142.0)</f>
        <v>142</v>
      </c>
      <c r="AM22" s="7" t="s">
        <v>208</v>
      </c>
      <c r="AN22" s="15"/>
      <c r="AO22" s="16">
        <f>IFERROR(__xludf.DUMMYFUNCTION("IF(AM22="""","""",COUNTA(SPLIT(AM22,"" "")))"),154.0)</f>
        <v>154</v>
      </c>
      <c r="AP22" s="10">
        <f t="shared" si="16"/>
        <v>0.3170955882</v>
      </c>
      <c r="AQ22" s="12">
        <f t="shared" si="17"/>
        <v>148</v>
      </c>
      <c r="AR22" s="12">
        <f t="shared" si="18"/>
        <v>12</v>
      </c>
      <c r="AS22" s="12">
        <f t="shared" si="19"/>
        <v>22</v>
      </c>
      <c r="AT22" s="12">
        <f t="shared" si="20"/>
        <v>22</v>
      </c>
      <c r="AU22" s="6"/>
      <c r="AV22" s="6"/>
      <c r="AW22" s="6"/>
      <c r="AX22" s="6"/>
      <c r="AY22" s="6"/>
      <c r="AZ22" s="6"/>
      <c r="BA22" s="6"/>
    </row>
    <row r="23" ht="132.0" customHeight="1">
      <c r="A23" s="7">
        <v>23.0</v>
      </c>
      <c r="B23" s="7" t="s">
        <v>209</v>
      </c>
      <c r="C23" s="7" t="s">
        <v>210</v>
      </c>
      <c r="D23" s="13"/>
      <c r="E23" s="8">
        <f>IFERROR(__xludf.DUMMYFUNCTION("IF(C23="""","""",COUNTA(SPLIT(C23,"" "")))"),284.0)</f>
        <v>284</v>
      </c>
      <c r="F23" s="7" t="s">
        <v>211</v>
      </c>
      <c r="G23" s="14"/>
      <c r="H23" s="9">
        <f>IFERROR(__xludf.DUMMYFUNCTION("IF(F23="""","""",COUNTA(SPLIT(F23,"" "")))"),254.0)</f>
        <v>254</v>
      </c>
      <c r="I23" s="9">
        <f t="shared" si="1"/>
        <v>0.4084693427</v>
      </c>
      <c r="J23" s="9">
        <f t="shared" si="2"/>
        <v>269</v>
      </c>
      <c r="K23" s="9">
        <f t="shared" si="3"/>
        <v>-30</v>
      </c>
      <c r="L23" s="9">
        <f t="shared" si="4"/>
        <v>6</v>
      </c>
      <c r="M23" s="9">
        <f t="shared" si="5"/>
        <v>-6</v>
      </c>
      <c r="N23" s="7" t="s">
        <v>212</v>
      </c>
      <c r="O23" s="15"/>
      <c r="P23" s="8">
        <f>IFERROR(__xludf.DUMMYFUNCTION("IF(N23="""","""",COUNTA(SPLIT(N23,"" "")))"),226.0)</f>
        <v>226</v>
      </c>
      <c r="Q23" s="7" t="s">
        <v>213</v>
      </c>
      <c r="R23" s="15"/>
      <c r="S23" s="9">
        <f>IFERROR(__xludf.DUMMYFUNCTION("IF(Q23="""","""",COUNTA(SPLIT(Q23,"" "")))"),235.0)</f>
        <v>235</v>
      </c>
      <c r="T23" s="10">
        <f t="shared" si="6"/>
        <v>0.3243243243</v>
      </c>
      <c r="U23" s="9">
        <f t="shared" si="7"/>
        <v>230.5</v>
      </c>
      <c r="V23" s="9">
        <f t="shared" si="8"/>
        <v>9</v>
      </c>
      <c r="W23" s="9">
        <f t="shared" si="9"/>
        <v>20</v>
      </c>
      <c r="X23" s="9">
        <f t="shared" si="10"/>
        <v>20</v>
      </c>
      <c r="Y23" s="7" t="s">
        <v>214</v>
      </c>
      <c r="Z23" s="15"/>
      <c r="AA23" s="9">
        <f>IFERROR(__xludf.DUMMYFUNCTION("IF(Y23="""","""",COUNTA(SPLIT(Y23,"" "")))"),398.0)</f>
        <v>398</v>
      </c>
      <c r="AB23" s="7" t="s">
        <v>215</v>
      </c>
      <c r="AC23" s="15"/>
      <c r="AD23" s="16">
        <f>IFERROR(__xludf.DUMMYFUNCTION("IF(AB23="""","""",COUNTA(SPLIT(AB23,"" "")))"),339.0)</f>
        <v>339</v>
      </c>
      <c r="AE23" s="10">
        <f t="shared" si="11"/>
        <v>0.361789908</v>
      </c>
      <c r="AF23" s="12">
        <f t="shared" si="12"/>
        <v>368.5</v>
      </c>
      <c r="AG23" s="12">
        <f t="shared" si="13"/>
        <v>-59</v>
      </c>
      <c r="AH23" s="12">
        <f t="shared" si="14"/>
        <v>5</v>
      </c>
      <c r="AI23" s="12">
        <f t="shared" si="15"/>
        <v>-5</v>
      </c>
      <c r="AJ23" s="7" t="s">
        <v>216</v>
      </c>
      <c r="AK23" s="15"/>
      <c r="AL23" s="9">
        <f>IFERROR(__xludf.DUMMYFUNCTION("IF(AJ23="""","""",COUNTA(SPLIT(AJ23,"" "")))"),283.0)</f>
        <v>283</v>
      </c>
      <c r="AM23" s="7" t="s">
        <v>217</v>
      </c>
      <c r="AN23" s="15"/>
      <c r="AO23" s="16">
        <f>IFERROR(__xludf.DUMMYFUNCTION("IF(AM23="""","""",COUNTA(SPLIT(AM23,"" "")))"),274.0)</f>
        <v>274</v>
      </c>
      <c r="AP23" s="10">
        <f t="shared" si="16"/>
        <v>0.3253731343</v>
      </c>
      <c r="AQ23" s="12">
        <f t="shared" si="17"/>
        <v>278.5</v>
      </c>
      <c r="AR23" s="12">
        <f t="shared" si="18"/>
        <v>-9</v>
      </c>
      <c r="AS23" s="12">
        <f t="shared" si="19"/>
        <v>13</v>
      </c>
      <c r="AT23" s="12">
        <f t="shared" si="20"/>
        <v>-13</v>
      </c>
      <c r="AU23" s="6"/>
      <c r="AV23" s="6"/>
      <c r="AW23" s="6"/>
      <c r="AX23" s="6"/>
      <c r="AY23" s="6"/>
      <c r="AZ23" s="6"/>
      <c r="BA23" s="6"/>
    </row>
    <row r="24" ht="120.75" customHeight="1">
      <c r="A24" s="18">
        <v>24.0</v>
      </c>
      <c r="B24" s="7" t="s">
        <v>218</v>
      </c>
      <c r="C24" s="7" t="s">
        <v>219</v>
      </c>
      <c r="D24" s="13"/>
      <c r="E24" s="8">
        <f>IFERROR(__xludf.DUMMYFUNCTION("IF(C24="""","""",COUNTA(SPLIT(C24,"" "")))"),254.0)</f>
        <v>254</v>
      </c>
      <c r="F24" s="7" t="s">
        <v>220</v>
      </c>
      <c r="G24" s="14"/>
      <c r="H24" s="9">
        <f>IFERROR(__xludf.DUMMYFUNCTION("IF(F24="""","""",COUNTA(SPLIT(F24,"" "")))"),234.0)</f>
        <v>234</v>
      </c>
      <c r="I24" s="9">
        <f t="shared" si="1"/>
        <v>0.3444333996</v>
      </c>
      <c r="J24" s="9">
        <f t="shared" si="2"/>
        <v>244</v>
      </c>
      <c r="K24" s="9">
        <f t="shared" si="3"/>
        <v>-20</v>
      </c>
      <c r="L24" s="9">
        <f t="shared" si="4"/>
        <v>7</v>
      </c>
      <c r="M24" s="9">
        <f t="shared" si="5"/>
        <v>-7</v>
      </c>
      <c r="N24" s="7" t="s">
        <v>221</v>
      </c>
      <c r="O24" s="15"/>
      <c r="P24" s="8">
        <f>IFERROR(__xludf.DUMMYFUNCTION("IF(N24="""","""",COUNTA(SPLIT(N24,"" "")))"),299.0)</f>
        <v>299</v>
      </c>
      <c r="Q24" s="7" t="s">
        <v>222</v>
      </c>
      <c r="R24" s="15"/>
      <c r="S24" s="9">
        <f>IFERROR(__xludf.DUMMYFUNCTION("IF(Q24="""","""",COUNTA(SPLIT(Q24,"" "")))"),269.0)</f>
        <v>269</v>
      </c>
      <c r="T24" s="10">
        <f t="shared" si="6"/>
        <v>0.3627863488</v>
      </c>
      <c r="U24" s="9">
        <f t="shared" si="7"/>
        <v>284</v>
      </c>
      <c r="V24" s="9">
        <f t="shared" si="8"/>
        <v>-30</v>
      </c>
      <c r="W24" s="9">
        <f t="shared" si="9"/>
        <v>9</v>
      </c>
      <c r="X24" s="9">
        <f t="shared" si="10"/>
        <v>-9</v>
      </c>
      <c r="Y24" s="7" t="s">
        <v>223</v>
      </c>
      <c r="Z24" s="15"/>
      <c r="AA24" s="9">
        <f>IFERROR(__xludf.DUMMYFUNCTION("IF(Y24="""","""",COUNTA(SPLIT(Y24,"" "")))"),341.0)</f>
        <v>341</v>
      </c>
      <c r="AB24" s="7" t="s">
        <v>224</v>
      </c>
      <c r="AC24" s="15"/>
      <c r="AD24" s="16">
        <f>IFERROR(__xludf.DUMMYFUNCTION("IF(AB24="""","""",COUNTA(SPLIT(AB24,"" "")))"),331.0)</f>
        <v>331</v>
      </c>
      <c r="AE24" s="10">
        <f t="shared" si="11"/>
        <v>0.3520249221</v>
      </c>
      <c r="AF24" s="12">
        <f t="shared" si="12"/>
        <v>336</v>
      </c>
      <c r="AG24" s="12">
        <f t="shared" si="13"/>
        <v>-10</v>
      </c>
      <c r="AH24" s="12">
        <f t="shared" si="14"/>
        <v>16</v>
      </c>
      <c r="AI24" s="12">
        <f t="shared" si="15"/>
        <v>-16</v>
      </c>
      <c r="AJ24" s="7" t="s">
        <v>225</v>
      </c>
      <c r="AK24" s="15"/>
      <c r="AL24" s="9">
        <f>IFERROR(__xludf.DUMMYFUNCTION("IF(AJ24="""","""",COUNTA(SPLIT(AJ24,"" "")))"),310.0)</f>
        <v>310</v>
      </c>
      <c r="AM24" s="7" t="s">
        <v>226</v>
      </c>
      <c r="AN24" s="15"/>
      <c r="AO24" s="16">
        <f>IFERROR(__xludf.DUMMYFUNCTION("IF(AM24="""","""",COUNTA(SPLIT(AM24,"" "")))"),281.0)</f>
        <v>281</v>
      </c>
      <c r="AP24" s="10">
        <f t="shared" si="16"/>
        <v>0.3800453515</v>
      </c>
      <c r="AQ24" s="12">
        <f t="shared" si="17"/>
        <v>295.5</v>
      </c>
      <c r="AR24" s="12">
        <f t="shared" si="18"/>
        <v>-29</v>
      </c>
      <c r="AS24" s="12">
        <f t="shared" si="19"/>
        <v>8</v>
      </c>
      <c r="AT24" s="12">
        <f t="shared" si="20"/>
        <v>-8</v>
      </c>
      <c r="AU24" s="6"/>
      <c r="AV24" s="6"/>
      <c r="AW24" s="6"/>
      <c r="AX24" s="6"/>
      <c r="AY24" s="6"/>
      <c r="AZ24" s="6"/>
      <c r="BA24" s="6"/>
    </row>
    <row r="25" ht="120.75" customHeight="1">
      <c r="A25" s="18">
        <v>25.0</v>
      </c>
      <c r="B25" s="7" t="s">
        <v>227</v>
      </c>
      <c r="C25" s="7" t="s">
        <v>228</v>
      </c>
      <c r="D25" s="13"/>
      <c r="E25" s="8">
        <f>IFERROR(__xludf.DUMMYFUNCTION("IF(C25="""","""",COUNTA(SPLIT(C25,"" "")))"),251.0)</f>
        <v>251</v>
      </c>
      <c r="F25" s="7" t="s">
        <v>229</v>
      </c>
      <c r="G25" s="14"/>
      <c r="H25" s="9">
        <f>IFERROR(__xludf.DUMMYFUNCTION("IF(F25="""","""",COUNTA(SPLIT(F25,"" "")))"),273.0)</f>
        <v>273</v>
      </c>
      <c r="I25" s="9">
        <f t="shared" si="1"/>
        <v>0.382655561</v>
      </c>
      <c r="J25" s="9">
        <f t="shared" si="2"/>
        <v>262</v>
      </c>
      <c r="K25" s="9">
        <f t="shared" si="3"/>
        <v>22</v>
      </c>
      <c r="L25" s="9">
        <f t="shared" si="4"/>
        <v>18</v>
      </c>
      <c r="M25" s="9">
        <f t="shared" si="5"/>
        <v>18</v>
      </c>
      <c r="N25" s="7" t="s">
        <v>230</v>
      </c>
      <c r="O25" s="15"/>
      <c r="P25" s="8">
        <f>IFERROR(__xludf.DUMMYFUNCTION("IF(N25="""","""",COUNTA(SPLIT(N25,"" "")))"),243.0)</f>
        <v>243</v>
      </c>
      <c r="Q25" s="7" t="s">
        <v>231</v>
      </c>
      <c r="R25" s="15"/>
      <c r="S25" s="9">
        <f>IFERROR(__xludf.DUMMYFUNCTION("IF(Q25="""","""",COUNTA(SPLIT(Q25,"" "")))"),196.0)</f>
        <v>196</v>
      </c>
      <c r="T25" s="10">
        <f t="shared" si="6"/>
        <v>0.3527679623</v>
      </c>
      <c r="U25" s="9">
        <f t="shared" si="7"/>
        <v>219.5</v>
      </c>
      <c r="V25" s="9">
        <f t="shared" si="8"/>
        <v>-47</v>
      </c>
      <c r="W25" s="9">
        <f t="shared" si="9"/>
        <v>6</v>
      </c>
      <c r="X25" s="9">
        <f t="shared" si="10"/>
        <v>-6</v>
      </c>
      <c r="Y25" s="7" t="s">
        <v>232</v>
      </c>
      <c r="Z25" s="15"/>
      <c r="AA25" s="9">
        <f>IFERROR(__xludf.DUMMYFUNCTION("IF(Y25="""","""",COUNTA(SPLIT(Y25,"" "")))"),361.0)</f>
        <v>361</v>
      </c>
      <c r="AB25" s="7" t="s">
        <v>233</v>
      </c>
      <c r="AC25" s="15"/>
      <c r="AD25" s="16">
        <f>IFERROR(__xludf.DUMMYFUNCTION("IF(AB25="""","""",COUNTA(SPLIT(AB25,"" "")))"),346.0)</f>
        <v>346</v>
      </c>
      <c r="AE25" s="10">
        <f t="shared" si="11"/>
        <v>0.373531715</v>
      </c>
      <c r="AF25" s="12">
        <f t="shared" si="12"/>
        <v>353.5</v>
      </c>
      <c r="AG25" s="12">
        <f t="shared" si="13"/>
        <v>-15</v>
      </c>
      <c r="AH25" s="12">
        <f t="shared" si="14"/>
        <v>12</v>
      </c>
      <c r="AI25" s="12">
        <f t="shared" si="15"/>
        <v>-12</v>
      </c>
      <c r="AJ25" s="7" t="s">
        <v>234</v>
      </c>
      <c r="AK25" s="15"/>
      <c r="AL25" s="9">
        <f>IFERROR(__xludf.DUMMYFUNCTION("IF(AJ25="""","""",COUNTA(SPLIT(AJ25,"" "")))"),224.0)</f>
        <v>224</v>
      </c>
      <c r="AM25" s="7" t="s">
        <v>235</v>
      </c>
      <c r="AN25" s="15"/>
      <c r="AO25" s="16">
        <f>IFERROR(__xludf.DUMMYFUNCTION("IF(AM25="""","""",COUNTA(SPLIT(AM25,"" "")))"),167.0)</f>
        <v>167</v>
      </c>
      <c r="AP25" s="10">
        <f t="shared" si="16"/>
        <v>0.3748317631</v>
      </c>
      <c r="AQ25" s="12">
        <f t="shared" si="17"/>
        <v>195.5</v>
      </c>
      <c r="AR25" s="12">
        <f t="shared" si="18"/>
        <v>-57</v>
      </c>
      <c r="AS25" s="12">
        <f t="shared" si="19"/>
        <v>5</v>
      </c>
      <c r="AT25" s="12">
        <f t="shared" si="20"/>
        <v>-5</v>
      </c>
      <c r="AU25" s="6"/>
      <c r="AV25" s="6"/>
      <c r="AW25" s="6"/>
      <c r="AX25" s="6"/>
      <c r="AY25" s="6"/>
      <c r="AZ25" s="6"/>
      <c r="BA25" s="6"/>
    </row>
    <row r="26" ht="129.0" customHeight="1">
      <c r="A26" s="18">
        <v>26.0</v>
      </c>
      <c r="B26" s="7" t="s">
        <v>236</v>
      </c>
      <c r="C26" s="7" t="s">
        <v>237</v>
      </c>
      <c r="D26" s="13"/>
      <c r="E26" s="8">
        <f>IFERROR(__xludf.DUMMYFUNCTION("IF(C26="""","""",COUNTA(SPLIT(C26,"" "")))"),347.0)</f>
        <v>347</v>
      </c>
      <c r="F26" s="7" t="s">
        <v>238</v>
      </c>
      <c r="G26" s="14"/>
      <c r="H26" s="9">
        <f>IFERROR(__xludf.DUMMYFUNCTION("IF(F26="""","""",COUNTA(SPLIT(F26,"" "")))"),388.0)</f>
        <v>388</v>
      </c>
      <c r="I26" s="9">
        <f t="shared" si="1"/>
        <v>0.3684034736</v>
      </c>
      <c r="J26" s="9">
        <f t="shared" si="2"/>
        <v>367.5</v>
      </c>
      <c r="K26" s="9">
        <f t="shared" si="3"/>
        <v>41</v>
      </c>
      <c r="L26" s="9">
        <f t="shared" si="4"/>
        <v>21</v>
      </c>
      <c r="M26" s="9">
        <f t="shared" si="5"/>
        <v>21</v>
      </c>
      <c r="N26" s="7" t="s">
        <v>239</v>
      </c>
      <c r="O26" s="15"/>
      <c r="P26" s="8">
        <f>IFERROR(__xludf.DUMMYFUNCTION("IF(N26="""","""",COUNTA(SPLIT(N26,"" "")))"),258.0)</f>
        <v>258</v>
      </c>
      <c r="Q26" s="7" t="s">
        <v>240</v>
      </c>
      <c r="R26" s="15"/>
      <c r="S26" s="9">
        <f>IFERROR(__xludf.DUMMYFUNCTION("IF(Q26="""","""",COUNTA(SPLIT(Q26,"" "")))"),232.0)</f>
        <v>232</v>
      </c>
      <c r="T26" s="10">
        <f t="shared" si="6"/>
        <v>0.3252885624</v>
      </c>
      <c r="U26" s="9">
        <f t="shared" si="7"/>
        <v>245</v>
      </c>
      <c r="V26" s="9">
        <f t="shared" si="8"/>
        <v>-26</v>
      </c>
      <c r="W26" s="9">
        <f t="shared" si="9"/>
        <v>10</v>
      </c>
      <c r="X26" s="9">
        <f t="shared" si="10"/>
        <v>-10</v>
      </c>
      <c r="Y26" s="7" t="s">
        <v>241</v>
      </c>
      <c r="Z26" s="15"/>
      <c r="AA26" s="9">
        <f>IFERROR(__xludf.DUMMYFUNCTION("IF(Y26="""","""",COUNTA(SPLIT(Y26,"" "")))"),322.0)</f>
        <v>322</v>
      </c>
      <c r="AB26" s="7" t="s">
        <v>242</v>
      </c>
      <c r="AC26" s="15"/>
      <c r="AD26" s="16">
        <f>IFERROR(__xludf.DUMMYFUNCTION("IF(AB26="""","""",COUNTA(SPLIT(AB26,"" "")))"),387.0)</f>
        <v>387</v>
      </c>
      <c r="AE26" s="10">
        <f t="shared" si="11"/>
        <v>0.5463059313</v>
      </c>
      <c r="AF26" s="12">
        <f t="shared" si="12"/>
        <v>354.5</v>
      </c>
      <c r="AG26" s="12">
        <f t="shared" si="13"/>
        <v>65</v>
      </c>
      <c r="AH26" s="12">
        <f t="shared" si="14"/>
        <v>27</v>
      </c>
      <c r="AI26" s="12">
        <f t="shared" si="15"/>
        <v>27</v>
      </c>
      <c r="AJ26" s="7" t="s">
        <v>243</v>
      </c>
      <c r="AK26" s="15"/>
      <c r="AL26" s="9">
        <f>IFERROR(__xludf.DUMMYFUNCTION("IF(AJ26="""","""",COUNTA(SPLIT(AJ26,"" "")))"),316.0)</f>
        <v>316</v>
      </c>
      <c r="AM26" s="7" t="s">
        <v>244</v>
      </c>
      <c r="AN26" s="15"/>
      <c r="AO26" s="16">
        <f>IFERROR(__xludf.DUMMYFUNCTION("IF(AM26="""","""",COUNTA(SPLIT(AM26,"" "")))"),312.0)</f>
        <v>312</v>
      </c>
      <c r="AP26" s="10">
        <f t="shared" si="16"/>
        <v>0.3762975779</v>
      </c>
      <c r="AQ26" s="12">
        <f t="shared" si="17"/>
        <v>314</v>
      </c>
      <c r="AR26" s="12">
        <f t="shared" si="18"/>
        <v>-4</v>
      </c>
      <c r="AS26" s="12">
        <f t="shared" si="19"/>
        <v>14</v>
      </c>
      <c r="AT26" s="12">
        <f t="shared" si="20"/>
        <v>-14</v>
      </c>
      <c r="AU26" s="6"/>
      <c r="AV26" s="6"/>
      <c r="AW26" s="6"/>
      <c r="AX26" s="6"/>
      <c r="AY26" s="6"/>
      <c r="AZ26" s="6"/>
      <c r="BA26" s="6"/>
    </row>
    <row r="27" ht="105.75" customHeight="1">
      <c r="A27" s="18">
        <v>27.0</v>
      </c>
      <c r="B27" s="7" t="s">
        <v>245</v>
      </c>
      <c r="C27" s="7" t="s">
        <v>246</v>
      </c>
      <c r="D27" s="13"/>
      <c r="E27" s="8">
        <f>IFERROR(__xludf.DUMMYFUNCTION("IF(C27="""","""",COUNTA(SPLIT(C27,"" "")))"),193.0)</f>
        <v>193</v>
      </c>
      <c r="F27" s="7" t="s">
        <v>247</v>
      </c>
      <c r="G27" s="14"/>
      <c r="H27" s="9">
        <f>IFERROR(__xludf.DUMMYFUNCTION("IF(F27="""","""",COUNTA(SPLIT(F27,"" "")))"),181.0)</f>
        <v>181</v>
      </c>
      <c r="I27" s="9">
        <f t="shared" si="1"/>
        <v>0.3665749656</v>
      </c>
      <c r="J27" s="9">
        <f t="shared" si="2"/>
        <v>187</v>
      </c>
      <c r="K27" s="9">
        <f t="shared" si="3"/>
        <v>-12</v>
      </c>
      <c r="L27" s="9">
        <f t="shared" si="4"/>
        <v>9</v>
      </c>
      <c r="M27" s="9">
        <f t="shared" si="5"/>
        <v>-9</v>
      </c>
      <c r="N27" s="7" t="s">
        <v>248</v>
      </c>
      <c r="O27" s="15"/>
      <c r="P27" s="8">
        <f>IFERROR(__xludf.DUMMYFUNCTION("IF(N27="""","""",COUNTA(SPLIT(N27,"" "")))"),249.0)</f>
        <v>249</v>
      </c>
      <c r="Q27" s="7" t="s">
        <v>249</v>
      </c>
      <c r="R27" s="15"/>
      <c r="S27" s="9">
        <f>IFERROR(__xludf.DUMMYFUNCTION("IF(Q27="""","""",COUNTA(SPLIT(Q27,"" "")))"),198.0)</f>
        <v>198</v>
      </c>
      <c r="T27" s="10">
        <f t="shared" si="6"/>
        <v>0.4203612479</v>
      </c>
      <c r="U27" s="9">
        <f t="shared" si="7"/>
        <v>223.5</v>
      </c>
      <c r="V27" s="9">
        <f t="shared" si="8"/>
        <v>-51</v>
      </c>
      <c r="W27" s="9">
        <f t="shared" si="9"/>
        <v>3</v>
      </c>
      <c r="X27" s="9">
        <f t="shared" si="10"/>
        <v>-3</v>
      </c>
      <c r="Y27" s="7" t="s">
        <v>250</v>
      </c>
      <c r="Z27" s="15"/>
      <c r="AA27" s="9">
        <f>IFERROR(__xludf.DUMMYFUNCTION("IF(Y27="""","""",COUNTA(SPLIT(Y27,"" "")))"),191.0)</f>
        <v>191</v>
      </c>
      <c r="AB27" s="7" t="s">
        <v>251</v>
      </c>
      <c r="AC27" s="15"/>
      <c r="AD27" s="16">
        <f>IFERROR(__xludf.DUMMYFUNCTION("IF(AB27="""","""",COUNTA(SPLIT(AB27,"" "")))"),254.0)</f>
        <v>254</v>
      </c>
      <c r="AE27" s="10">
        <f t="shared" si="11"/>
        <v>0.3019390582</v>
      </c>
      <c r="AF27" s="12">
        <f t="shared" si="12"/>
        <v>222.5</v>
      </c>
      <c r="AG27" s="12">
        <f t="shared" si="13"/>
        <v>63</v>
      </c>
      <c r="AH27" s="12">
        <f t="shared" si="14"/>
        <v>26</v>
      </c>
      <c r="AI27" s="12">
        <f t="shared" si="15"/>
        <v>26</v>
      </c>
      <c r="AJ27" s="7" t="s">
        <v>252</v>
      </c>
      <c r="AK27" s="15"/>
      <c r="AL27" s="9">
        <f>IFERROR(__xludf.DUMMYFUNCTION("IF(AJ27="""","""",COUNTA(SPLIT(AJ27,"" "")))"),177.0)</f>
        <v>177</v>
      </c>
      <c r="AM27" s="7" t="s">
        <v>253</v>
      </c>
      <c r="AN27" s="15"/>
      <c r="AO27" s="16">
        <f>IFERROR(__xludf.DUMMYFUNCTION("IF(AM27="""","""",COUNTA(SPLIT(AM27,"" "")))"),160.0)</f>
        <v>160</v>
      </c>
      <c r="AP27" s="10">
        <f t="shared" si="16"/>
        <v>0.3484162896</v>
      </c>
      <c r="AQ27" s="12">
        <f t="shared" si="17"/>
        <v>168.5</v>
      </c>
      <c r="AR27" s="12">
        <f t="shared" si="18"/>
        <v>-17</v>
      </c>
      <c r="AS27" s="12">
        <f t="shared" si="19"/>
        <v>10</v>
      </c>
      <c r="AT27" s="12">
        <f t="shared" si="20"/>
        <v>-10</v>
      </c>
      <c r="AU27" s="6"/>
      <c r="AV27" s="6"/>
      <c r="AW27" s="6"/>
      <c r="AX27" s="6"/>
      <c r="AY27" s="6"/>
      <c r="AZ27" s="6"/>
      <c r="BA27" s="6"/>
    </row>
    <row r="28" ht="88.5" customHeight="1">
      <c r="A28" s="18">
        <v>28.0</v>
      </c>
      <c r="B28" s="7" t="s">
        <v>254</v>
      </c>
      <c r="C28" s="7" t="s">
        <v>255</v>
      </c>
      <c r="D28" s="13"/>
      <c r="E28" s="8">
        <f>IFERROR(__xludf.DUMMYFUNCTION("IF(C28="""","""",COUNTA(SPLIT(C28,"" "")))"),253.0)</f>
        <v>253</v>
      </c>
      <c r="F28" s="7" t="s">
        <v>256</v>
      </c>
      <c r="G28" s="14"/>
      <c r="H28" s="9">
        <f>IFERROR(__xludf.DUMMYFUNCTION("IF(F28="""","""",COUNTA(SPLIT(F28,"" "")))"),257.0)</f>
        <v>257</v>
      </c>
      <c r="I28" s="9">
        <f t="shared" si="1"/>
        <v>0.2566457226</v>
      </c>
      <c r="J28" s="9">
        <f t="shared" si="2"/>
        <v>255</v>
      </c>
      <c r="K28" s="9">
        <f t="shared" si="3"/>
        <v>4</v>
      </c>
      <c r="L28" s="9">
        <f t="shared" si="4"/>
        <v>13</v>
      </c>
      <c r="M28" s="9">
        <f t="shared" si="5"/>
        <v>13</v>
      </c>
      <c r="N28" s="7" t="s">
        <v>257</v>
      </c>
      <c r="O28" s="15"/>
      <c r="P28" s="8">
        <f>IFERROR(__xludf.DUMMYFUNCTION("IF(N28="""","""",COUNTA(SPLIT(N28,"" "")))"),224.0)</f>
        <v>224</v>
      </c>
      <c r="Q28" s="7" t="s">
        <v>258</v>
      </c>
      <c r="R28" s="15"/>
      <c r="S28" s="9">
        <f>IFERROR(__xludf.DUMMYFUNCTION("IF(Q28="""","""",COUNTA(SPLIT(Q28,"" "")))"),134.0)</f>
        <v>134</v>
      </c>
      <c r="T28" s="10">
        <f t="shared" si="6"/>
        <v>0.3149202733</v>
      </c>
      <c r="U28" s="9">
        <f t="shared" si="7"/>
        <v>179</v>
      </c>
      <c r="V28" s="9">
        <f t="shared" si="8"/>
        <v>-90</v>
      </c>
      <c r="W28" s="9">
        <f t="shared" si="9"/>
        <v>1</v>
      </c>
      <c r="X28" s="9">
        <f t="shared" si="10"/>
        <v>-1</v>
      </c>
      <c r="Y28" s="7" t="s">
        <v>259</v>
      </c>
      <c r="Z28" s="15"/>
      <c r="AA28" s="9">
        <f>IFERROR(__xludf.DUMMYFUNCTION("IF(Y28="""","""",COUNTA(SPLIT(Y28,"" "")))"),160.0)</f>
        <v>160</v>
      </c>
      <c r="AB28" s="7" t="s">
        <v>260</v>
      </c>
      <c r="AC28" s="15"/>
      <c r="AD28" s="16">
        <f>IFERROR(__xludf.DUMMYFUNCTION("IF(AB28="""","""",COUNTA(SPLIT(AB28,"" "")))"),69.0)</f>
        <v>69</v>
      </c>
      <c r="AE28" s="10">
        <f t="shared" si="11"/>
        <v>0.3605812897</v>
      </c>
      <c r="AF28" s="12">
        <f t="shared" si="12"/>
        <v>114.5</v>
      </c>
      <c r="AG28" s="12">
        <f t="shared" si="13"/>
        <v>-91</v>
      </c>
      <c r="AH28" s="12">
        <f t="shared" si="14"/>
        <v>3</v>
      </c>
      <c r="AI28" s="12">
        <f t="shared" si="15"/>
        <v>-3</v>
      </c>
      <c r="AJ28" s="7" t="s">
        <v>261</v>
      </c>
      <c r="AK28" s="15"/>
      <c r="AL28" s="9">
        <f>IFERROR(__xludf.DUMMYFUNCTION("IF(AJ28="""","""",COUNTA(SPLIT(AJ28,"" "")))"),158.0)</f>
        <v>158</v>
      </c>
      <c r="AM28" s="7" t="s">
        <v>262</v>
      </c>
      <c r="AN28" s="15"/>
      <c r="AO28" s="16">
        <f>IFERROR(__xludf.DUMMYFUNCTION("IF(AM28="""","""",COUNTA(SPLIT(AM28,"" "")))"),99.0)</f>
        <v>99</v>
      </c>
      <c r="AP28" s="10">
        <f t="shared" si="16"/>
        <v>0.3643031785</v>
      </c>
      <c r="AQ28" s="12">
        <f t="shared" si="17"/>
        <v>128.5</v>
      </c>
      <c r="AR28" s="12">
        <f t="shared" si="18"/>
        <v>-59</v>
      </c>
      <c r="AS28" s="12">
        <f t="shared" si="19"/>
        <v>4</v>
      </c>
      <c r="AT28" s="12">
        <f t="shared" si="20"/>
        <v>-4</v>
      </c>
      <c r="AU28" s="6"/>
      <c r="AV28" s="6"/>
      <c r="AW28" s="6"/>
      <c r="AX28" s="6"/>
      <c r="AY28" s="6"/>
      <c r="AZ28" s="6"/>
      <c r="BA28" s="6"/>
    </row>
    <row r="29" ht="170.25" customHeight="1">
      <c r="A29" s="18">
        <v>29.0</v>
      </c>
      <c r="B29" s="7" t="s">
        <v>263</v>
      </c>
      <c r="C29" s="7" t="s">
        <v>264</v>
      </c>
      <c r="D29" s="13"/>
      <c r="E29" s="8">
        <f>IFERROR(__xludf.DUMMYFUNCTION("IF(C29="""","""",COUNTA(SPLIT(C29,"" "")))"),259.0)</f>
        <v>259</v>
      </c>
      <c r="F29" s="7" t="s">
        <v>265</v>
      </c>
      <c r="G29" s="14"/>
      <c r="H29" s="9">
        <f>IFERROR(__xludf.DUMMYFUNCTION("IF(F29="""","""",COUNTA(SPLIT(F29,"" "")))"),271.0)</f>
        <v>271</v>
      </c>
      <c r="I29" s="9">
        <f t="shared" si="1"/>
        <v>0.4647181628</v>
      </c>
      <c r="J29" s="9">
        <f t="shared" si="2"/>
        <v>265</v>
      </c>
      <c r="K29" s="9">
        <f t="shared" si="3"/>
        <v>12</v>
      </c>
      <c r="L29" s="9">
        <f t="shared" si="4"/>
        <v>15</v>
      </c>
      <c r="M29" s="9">
        <f t="shared" si="5"/>
        <v>15</v>
      </c>
      <c r="N29" s="7" t="s">
        <v>266</v>
      </c>
      <c r="O29" s="15"/>
      <c r="P29" s="8">
        <f>IFERROR(__xludf.DUMMYFUNCTION("IF(N29="""","""",COUNTA(SPLIT(N29,"" "")))"),197.0)</f>
        <v>197</v>
      </c>
      <c r="Q29" s="7" t="s">
        <v>267</v>
      </c>
      <c r="R29" s="15"/>
      <c r="S29" s="9">
        <f>IFERROR(__xludf.DUMMYFUNCTION("IF(Q29="""","""",COUNTA(SPLIT(Q29,"" "")))"),174.0)</f>
        <v>174</v>
      </c>
      <c r="T29" s="10">
        <f t="shared" si="6"/>
        <v>0.3930481283</v>
      </c>
      <c r="U29" s="9">
        <f t="shared" si="7"/>
        <v>185.5</v>
      </c>
      <c r="V29" s="9">
        <f t="shared" si="8"/>
        <v>-23</v>
      </c>
      <c r="W29" s="9">
        <f t="shared" si="9"/>
        <v>13</v>
      </c>
      <c r="X29" s="9">
        <f t="shared" si="10"/>
        <v>-13</v>
      </c>
      <c r="Y29" s="7" t="s">
        <v>268</v>
      </c>
      <c r="Z29" s="15"/>
      <c r="AA29" s="9">
        <f>IFERROR(__xludf.DUMMYFUNCTION("IF(Y29="""","""",COUNTA(SPLIT(Y29,"" "")))"),161.0)</f>
        <v>161</v>
      </c>
      <c r="AB29" s="7" t="s">
        <v>269</v>
      </c>
      <c r="AC29" s="15"/>
      <c r="AD29" s="16">
        <f>IFERROR(__xludf.DUMMYFUNCTION("IF(AB29="""","""",COUNTA(SPLIT(AB29,"" "")))"),117.0)</f>
        <v>117</v>
      </c>
      <c r="AE29" s="10">
        <f t="shared" si="11"/>
        <v>0.5938325991</v>
      </c>
      <c r="AF29" s="12">
        <f t="shared" si="12"/>
        <v>139</v>
      </c>
      <c r="AG29" s="12">
        <f t="shared" si="13"/>
        <v>-44</v>
      </c>
      <c r="AH29" s="12">
        <f t="shared" si="14"/>
        <v>7</v>
      </c>
      <c r="AI29" s="12">
        <f t="shared" si="15"/>
        <v>-7</v>
      </c>
      <c r="AJ29" s="7" t="s">
        <v>270</v>
      </c>
      <c r="AK29" s="15"/>
      <c r="AL29" s="9">
        <f>IFERROR(__xludf.DUMMYFUNCTION("IF(AJ29="""","""",COUNTA(SPLIT(AJ29,"" "")))"),138.0)</f>
        <v>138</v>
      </c>
      <c r="AM29" s="7" t="s">
        <v>271</v>
      </c>
      <c r="AN29" s="15"/>
      <c r="AO29" s="16">
        <f>IFERROR(__xludf.DUMMYFUNCTION("IF(AM29="""","""",COUNTA(SPLIT(AM29,"" "")))"),140.0)</f>
        <v>140</v>
      </c>
      <c r="AP29" s="10">
        <f t="shared" si="16"/>
        <v>0.3285586392</v>
      </c>
      <c r="AQ29" s="12">
        <f t="shared" si="17"/>
        <v>139</v>
      </c>
      <c r="AR29" s="12">
        <f t="shared" si="18"/>
        <v>2</v>
      </c>
      <c r="AS29" s="12">
        <f t="shared" si="19"/>
        <v>17</v>
      </c>
      <c r="AT29" s="12">
        <f t="shared" si="20"/>
        <v>17</v>
      </c>
      <c r="AU29" s="6"/>
      <c r="AV29" s="6"/>
      <c r="AW29" s="6"/>
      <c r="AX29" s="6"/>
      <c r="AY29" s="6"/>
      <c r="AZ29" s="6"/>
      <c r="BA29" s="6"/>
    </row>
    <row r="30" ht="147.0" customHeight="1">
      <c r="A30" s="18">
        <v>30.0</v>
      </c>
      <c r="B30" s="7" t="s">
        <v>272</v>
      </c>
      <c r="C30" s="7" t="s">
        <v>273</v>
      </c>
      <c r="D30" s="13"/>
      <c r="E30" s="8">
        <f>IFERROR(__xludf.DUMMYFUNCTION("IF(C30="""","""",COUNTA(SPLIT(C30,"" "")))"),105.0)</f>
        <v>105</v>
      </c>
      <c r="F30" s="7" t="s">
        <v>274</v>
      </c>
      <c r="G30" s="14"/>
      <c r="H30" s="9">
        <f>IFERROR(__xludf.DUMMYFUNCTION("IF(F30="""","""",COUNTA(SPLIT(F30,"" "")))"),193.0)</f>
        <v>193</v>
      </c>
      <c r="I30" s="9">
        <f t="shared" si="1"/>
        <v>0.4049469965</v>
      </c>
      <c r="J30" s="9">
        <f t="shared" si="2"/>
        <v>149</v>
      </c>
      <c r="K30" s="9">
        <f t="shared" si="3"/>
        <v>88</v>
      </c>
      <c r="L30" s="9">
        <f t="shared" si="4"/>
        <v>25</v>
      </c>
      <c r="M30" s="9">
        <f t="shared" si="5"/>
        <v>25</v>
      </c>
      <c r="N30" s="7" t="s">
        <v>275</v>
      </c>
      <c r="O30" s="15"/>
      <c r="P30" s="8">
        <f>IFERROR(__xludf.DUMMYFUNCTION("IF(N30="""","""",COUNTA(SPLIT(N30,"" "")))"),107.0)</f>
        <v>107</v>
      </c>
      <c r="Q30" s="7" t="s">
        <v>276</v>
      </c>
      <c r="R30" s="15"/>
      <c r="S30" s="9">
        <f>IFERROR(__xludf.DUMMYFUNCTION("IF(Q30="""","""",COUNTA(SPLIT(Q30,"" "")))"),157.0)</f>
        <v>157</v>
      </c>
      <c r="T30" s="10">
        <f t="shared" si="6"/>
        <v>0.4713242961</v>
      </c>
      <c r="U30" s="9">
        <f t="shared" si="7"/>
        <v>132</v>
      </c>
      <c r="V30" s="9">
        <f t="shared" si="8"/>
        <v>50</v>
      </c>
      <c r="W30" s="9">
        <f t="shared" si="9"/>
        <v>26</v>
      </c>
      <c r="X30" s="9">
        <f t="shared" si="10"/>
        <v>26</v>
      </c>
      <c r="Y30" s="7" t="s">
        <v>277</v>
      </c>
      <c r="Z30" s="15"/>
      <c r="AA30" s="9">
        <f>IFERROR(__xludf.DUMMYFUNCTION("IF(Y30="""","""",COUNTA(SPLIT(Y30,"" "")))"),176.0)</f>
        <v>176</v>
      </c>
      <c r="AB30" s="7" t="s">
        <v>278</v>
      </c>
      <c r="AC30" s="15"/>
      <c r="AD30" s="16">
        <f>IFERROR(__xludf.DUMMYFUNCTION("IF(AB30="""","""",COUNTA(SPLIT(AB30,"" "")))"),163.0)</f>
        <v>163</v>
      </c>
      <c r="AE30" s="10">
        <f t="shared" si="11"/>
        <v>0.2770885029</v>
      </c>
      <c r="AF30" s="12">
        <f t="shared" si="12"/>
        <v>169.5</v>
      </c>
      <c r="AG30" s="12">
        <f t="shared" si="13"/>
        <v>-13</v>
      </c>
      <c r="AH30" s="12">
        <f t="shared" si="14"/>
        <v>14</v>
      </c>
      <c r="AI30" s="12">
        <f t="shared" si="15"/>
        <v>-14</v>
      </c>
      <c r="AJ30" s="7" t="s">
        <v>279</v>
      </c>
      <c r="AK30" s="15"/>
      <c r="AL30" s="9">
        <f>IFERROR(__xludf.DUMMYFUNCTION("IF(AJ30="""","""",COUNTA(SPLIT(AJ30,"" "")))"),127.0)</f>
        <v>127</v>
      </c>
      <c r="AM30" s="7" t="s">
        <v>280</v>
      </c>
      <c r="AN30" s="15"/>
      <c r="AO30" s="16">
        <f>IFERROR(__xludf.DUMMYFUNCTION("IF(AM30="""","""",COUNTA(SPLIT(AM30,"" "")))"),131.0)</f>
        <v>131</v>
      </c>
      <c r="AP30" s="10">
        <f t="shared" si="16"/>
        <v>0.3258426966</v>
      </c>
      <c r="AQ30" s="12">
        <f t="shared" si="17"/>
        <v>129</v>
      </c>
      <c r="AR30" s="12">
        <f t="shared" si="18"/>
        <v>4</v>
      </c>
      <c r="AS30" s="12">
        <f t="shared" si="19"/>
        <v>18</v>
      </c>
      <c r="AT30" s="12">
        <f t="shared" si="20"/>
        <v>18</v>
      </c>
      <c r="AU30" s="6"/>
      <c r="AV30" s="6"/>
      <c r="AW30" s="6"/>
      <c r="AX30" s="6"/>
      <c r="AY30" s="6"/>
      <c r="AZ30" s="6"/>
      <c r="BA30" s="6"/>
    </row>
    <row r="31">
      <c r="B31" s="6"/>
      <c r="C31" s="6"/>
      <c r="D31" s="13"/>
      <c r="E31" s="13"/>
      <c r="F31" s="6"/>
      <c r="G31" s="14"/>
      <c r="H31" s="14"/>
      <c r="I31" s="14"/>
      <c r="J31" s="14"/>
      <c r="K31" s="14"/>
      <c r="L31" s="14"/>
      <c r="M31" s="14"/>
      <c r="N31" s="6"/>
      <c r="O31" s="15"/>
      <c r="P31" s="13"/>
      <c r="Q31" s="6"/>
      <c r="R31" s="15"/>
      <c r="S31" s="14"/>
      <c r="T31" s="15"/>
      <c r="U31" s="14"/>
      <c r="V31" s="14"/>
      <c r="W31" s="14"/>
      <c r="X31" s="14"/>
      <c r="Y31" s="6"/>
      <c r="Z31" s="15"/>
      <c r="AA31" s="14"/>
      <c r="AB31" s="6"/>
      <c r="AC31" s="15"/>
      <c r="AD31" s="19"/>
      <c r="AE31" s="15"/>
      <c r="AF31" s="19"/>
      <c r="AG31" s="19"/>
      <c r="AH31" s="19"/>
      <c r="AI31" s="19"/>
      <c r="AJ31" s="6"/>
      <c r="AK31" s="15"/>
      <c r="AL31" s="14"/>
      <c r="AM31" s="6"/>
      <c r="AN31" s="15"/>
      <c r="AO31" s="19"/>
      <c r="AP31" s="15"/>
      <c r="AQ31" s="19"/>
      <c r="AR31" s="19"/>
      <c r="AS31" s="19"/>
      <c r="AT31" s="19"/>
      <c r="AU31" s="6"/>
      <c r="AV31" s="6"/>
      <c r="AW31" s="6"/>
      <c r="AX31" s="6"/>
      <c r="AY31" s="6"/>
      <c r="AZ31" s="6"/>
      <c r="BA31" s="6"/>
    </row>
    <row r="32">
      <c r="B32" s="7"/>
      <c r="C32" s="6"/>
      <c r="D32" s="13"/>
      <c r="E32" s="13"/>
      <c r="F32" s="6"/>
      <c r="G32" s="14"/>
      <c r="H32" s="14"/>
      <c r="I32" s="14"/>
      <c r="J32" s="14"/>
      <c r="K32" s="14"/>
      <c r="L32" s="14"/>
      <c r="M32" s="14"/>
      <c r="N32" s="6"/>
      <c r="O32" s="15"/>
      <c r="P32" s="13"/>
      <c r="Q32" s="6"/>
      <c r="R32" s="15"/>
      <c r="S32" s="14"/>
      <c r="T32" s="15"/>
      <c r="U32" s="14"/>
      <c r="V32" s="14"/>
      <c r="W32" s="14"/>
      <c r="X32" s="14"/>
      <c r="Y32" s="6"/>
      <c r="Z32" s="15"/>
      <c r="AA32" s="14"/>
      <c r="AB32" s="6"/>
      <c r="AC32" s="15"/>
      <c r="AD32" s="19"/>
      <c r="AE32" s="15"/>
      <c r="AF32" s="19"/>
      <c r="AG32" s="19"/>
      <c r="AH32" s="19"/>
      <c r="AI32" s="19"/>
      <c r="AJ32" s="6"/>
      <c r="AK32" s="15"/>
      <c r="AL32" s="14"/>
      <c r="AM32" s="6"/>
      <c r="AN32" s="15"/>
      <c r="AO32" s="19"/>
      <c r="AP32" s="15"/>
      <c r="AQ32" s="19"/>
      <c r="AR32" s="19"/>
      <c r="AS32" s="19"/>
      <c r="AT32" s="19"/>
      <c r="AU32" s="6"/>
      <c r="AV32" s="6"/>
      <c r="AW32" s="6"/>
      <c r="AX32" s="6"/>
      <c r="AY32" s="6"/>
      <c r="AZ32" s="6"/>
      <c r="BA32" s="6"/>
    </row>
    <row r="33">
      <c r="B33" s="7" t="s">
        <v>281</v>
      </c>
      <c r="C33" s="7">
        <f>SUM(I2:I30)</f>
        <v>11.90812021</v>
      </c>
      <c r="D33" s="6"/>
      <c r="E33" s="6"/>
      <c r="F33" s="6"/>
      <c r="G33" s="14"/>
      <c r="H33" s="14"/>
      <c r="I33" s="14"/>
      <c r="J33" s="14"/>
      <c r="K33" s="14"/>
      <c r="L33" s="14"/>
      <c r="M33" s="14"/>
      <c r="N33" s="6"/>
      <c r="O33" s="15"/>
      <c r="P33" s="6"/>
      <c r="Q33" s="6"/>
      <c r="R33" s="15"/>
      <c r="S33" s="14"/>
      <c r="T33" s="15"/>
      <c r="U33" s="14"/>
      <c r="V33" s="14"/>
      <c r="W33" s="14"/>
      <c r="X33" s="14"/>
      <c r="Y33" s="6"/>
      <c r="Z33" s="15"/>
      <c r="AA33" s="14"/>
      <c r="AB33" s="6"/>
      <c r="AC33" s="15"/>
      <c r="AD33" s="19"/>
      <c r="AE33" s="15"/>
      <c r="AF33" s="19"/>
      <c r="AG33" s="19"/>
      <c r="AH33" s="19"/>
      <c r="AI33" s="19"/>
      <c r="AJ33" s="6"/>
      <c r="AK33" s="15"/>
      <c r="AL33" s="14"/>
      <c r="AM33" s="6"/>
      <c r="AN33" s="15"/>
      <c r="AO33" s="19"/>
      <c r="AP33" s="15"/>
      <c r="AQ33" s="19"/>
      <c r="AR33" s="19"/>
      <c r="AS33" s="19"/>
      <c r="AT33" s="19"/>
      <c r="AU33" s="6"/>
      <c r="AV33" s="6"/>
      <c r="AW33" s="6"/>
      <c r="AX33" s="6"/>
      <c r="AY33" s="6"/>
      <c r="AZ33" s="6"/>
      <c r="BA33" s="6"/>
    </row>
    <row r="34">
      <c r="B34" s="7" t="s">
        <v>282</v>
      </c>
      <c r="C34" s="7">
        <f>SUM(T2:T30)</f>
        <v>11.41420422</v>
      </c>
      <c r="D34" s="6"/>
      <c r="E34" s="6"/>
      <c r="F34" s="6"/>
      <c r="G34" s="14"/>
      <c r="H34" s="14"/>
      <c r="I34" s="14"/>
      <c r="J34" s="14"/>
      <c r="K34" s="14"/>
      <c r="L34" s="14"/>
      <c r="M34" s="14"/>
      <c r="N34" s="6"/>
      <c r="O34" s="15"/>
      <c r="P34" s="6"/>
      <c r="Q34" s="6"/>
      <c r="R34" s="15"/>
      <c r="S34" s="14"/>
      <c r="T34" s="15"/>
      <c r="U34" s="14"/>
      <c r="V34" s="14"/>
      <c r="W34" s="14"/>
      <c r="X34" s="14"/>
      <c r="Y34" s="6"/>
      <c r="Z34" s="15"/>
      <c r="AA34" s="14"/>
      <c r="AB34" s="6"/>
      <c r="AC34" s="15"/>
      <c r="AD34" s="19"/>
      <c r="AE34" s="15"/>
      <c r="AF34" s="19"/>
      <c r="AG34" s="19"/>
      <c r="AH34" s="19"/>
      <c r="AI34" s="19"/>
      <c r="AJ34" s="6"/>
      <c r="AK34" s="15"/>
      <c r="AL34" s="14"/>
      <c r="AM34" s="6"/>
      <c r="AN34" s="15"/>
      <c r="AO34" s="19"/>
      <c r="AP34" s="15"/>
      <c r="AQ34" s="19"/>
      <c r="AR34" s="19"/>
      <c r="AS34" s="19"/>
      <c r="AT34" s="19"/>
      <c r="AU34" s="6"/>
      <c r="AV34" s="6"/>
      <c r="AW34" s="6"/>
      <c r="AX34" s="6"/>
      <c r="AY34" s="6"/>
      <c r="AZ34" s="6"/>
      <c r="BA34" s="6"/>
    </row>
    <row r="35">
      <c r="B35" s="7" t="s">
        <v>283</v>
      </c>
      <c r="C35" s="7">
        <f>SUM(AE2:AE30)</f>
        <v>10.88205911</v>
      </c>
      <c r="D35" s="6"/>
      <c r="E35" s="6"/>
      <c r="F35" s="6"/>
      <c r="G35" s="14"/>
      <c r="H35" s="14"/>
      <c r="I35" s="14"/>
      <c r="J35" s="14"/>
      <c r="K35" s="14"/>
      <c r="L35" s="14"/>
      <c r="M35" s="14"/>
      <c r="N35" s="6"/>
      <c r="O35" s="15"/>
      <c r="P35" s="6"/>
      <c r="Q35" s="6"/>
      <c r="R35" s="15"/>
      <c r="S35" s="14"/>
      <c r="T35" s="15"/>
      <c r="U35" s="14"/>
      <c r="V35" s="14"/>
      <c r="W35" s="14"/>
      <c r="X35" s="14"/>
      <c r="Y35" s="6"/>
      <c r="Z35" s="15"/>
      <c r="AA35" s="14"/>
      <c r="AB35" s="6"/>
      <c r="AC35" s="15"/>
      <c r="AD35" s="19"/>
      <c r="AE35" s="15"/>
      <c r="AF35" s="19"/>
      <c r="AG35" s="19"/>
      <c r="AH35" s="19"/>
      <c r="AI35" s="19"/>
      <c r="AJ35" s="6"/>
      <c r="AK35" s="15"/>
      <c r="AL35" s="14"/>
      <c r="AM35" s="6"/>
      <c r="AN35" s="15"/>
      <c r="AO35" s="19"/>
      <c r="AP35" s="15"/>
      <c r="AQ35" s="19"/>
      <c r="AR35" s="19"/>
      <c r="AS35" s="19"/>
      <c r="AT35" s="19"/>
      <c r="AU35" s="6"/>
      <c r="AV35" s="6"/>
      <c r="AW35" s="6"/>
      <c r="AX35" s="6"/>
      <c r="AY35" s="6"/>
      <c r="AZ35" s="6"/>
      <c r="BA35" s="6"/>
    </row>
    <row r="36">
      <c r="B36" s="7" t="s">
        <v>284</v>
      </c>
      <c r="C36" s="7">
        <f>SUM(AP2:AP30)</f>
        <v>11.24730533</v>
      </c>
      <c r="D36" s="6"/>
      <c r="E36" s="6"/>
      <c r="F36" s="6"/>
      <c r="G36" s="14"/>
      <c r="H36" s="14"/>
      <c r="I36" s="14"/>
      <c r="J36" s="14"/>
      <c r="K36" s="14"/>
      <c r="L36" s="14"/>
      <c r="M36" s="14"/>
      <c r="N36" s="6"/>
      <c r="O36" s="15"/>
      <c r="P36" s="6"/>
      <c r="Q36" s="6"/>
      <c r="R36" s="15"/>
      <c r="S36" s="14"/>
      <c r="T36" s="15"/>
      <c r="U36" s="14"/>
      <c r="V36" s="14"/>
      <c r="W36" s="14"/>
      <c r="X36" s="14"/>
      <c r="Y36" s="6"/>
      <c r="Z36" s="15"/>
      <c r="AA36" s="14"/>
      <c r="AB36" s="6"/>
      <c r="AC36" s="15"/>
      <c r="AD36" s="19"/>
      <c r="AE36" s="15"/>
      <c r="AF36" s="19"/>
      <c r="AG36" s="19"/>
      <c r="AH36" s="19"/>
      <c r="AI36" s="19"/>
      <c r="AJ36" s="6"/>
      <c r="AK36" s="15"/>
      <c r="AL36" s="14"/>
      <c r="AM36" s="6"/>
      <c r="AN36" s="15"/>
      <c r="AO36" s="19"/>
      <c r="AP36" s="15"/>
      <c r="AQ36" s="19"/>
      <c r="AR36" s="19"/>
      <c r="AS36" s="19"/>
      <c r="AT36" s="19"/>
      <c r="AU36" s="6"/>
      <c r="AV36" s="6"/>
      <c r="AW36" s="6"/>
      <c r="AX36" s="6"/>
      <c r="AY36" s="6"/>
      <c r="AZ36" s="6"/>
      <c r="BA36" s="6"/>
    </row>
    <row r="37">
      <c r="B37" s="7"/>
      <c r="C37" s="7"/>
      <c r="D37" s="6"/>
      <c r="E37" s="6"/>
      <c r="F37" s="6"/>
      <c r="G37" s="14"/>
      <c r="H37" s="14"/>
      <c r="I37" s="14"/>
      <c r="J37" s="14"/>
      <c r="K37" s="14"/>
      <c r="L37" s="14"/>
      <c r="M37" s="14"/>
      <c r="N37" s="6"/>
      <c r="O37" s="15"/>
      <c r="P37" s="6"/>
      <c r="Q37" s="6"/>
      <c r="R37" s="15"/>
      <c r="S37" s="14"/>
      <c r="T37" s="15"/>
      <c r="U37" s="14"/>
      <c r="V37" s="14"/>
      <c r="W37" s="14"/>
      <c r="X37" s="14"/>
      <c r="Y37" s="6"/>
      <c r="Z37" s="15"/>
      <c r="AA37" s="14"/>
      <c r="AB37" s="6"/>
      <c r="AC37" s="15"/>
      <c r="AD37" s="19"/>
      <c r="AE37" s="15"/>
      <c r="AF37" s="19"/>
      <c r="AG37" s="19"/>
      <c r="AH37" s="19"/>
      <c r="AI37" s="19"/>
      <c r="AJ37" s="6"/>
      <c r="AK37" s="15"/>
      <c r="AL37" s="14"/>
      <c r="AM37" s="6"/>
      <c r="AN37" s="15"/>
      <c r="AO37" s="19"/>
      <c r="AP37" s="15"/>
      <c r="AQ37" s="19"/>
      <c r="AR37" s="19"/>
      <c r="AS37" s="19"/>
      <c r="AT37" s="19"/>
      <c r="AU37" s="6"/>
      <c r="AV37" s="6"/>
      <c r="AW37" s="6"/>
      <c r="AX37" s="6"/>
      <c r="AY37" s="6"/>
      <c r="AZ37" s="6"/>
      <c r="BA37" s="6"/>
    </row>
    <row r="38">
      <c r="B38" s="7" t="s">
        <v>285</v>
      </c>
      <c r="C38" s="7">
        <f>SUMIF(M2:M30,"&gt;0")</f>
        <v>367</v>
      </c>
      <c r="D38" s="6"/>
      <c r="E38" s="6"/>
      <c r="F38" s="6"/>
      <c r="G38" s="14"/>
      <c r="H38" s="14"/>
      <c r="I38" s="14"/>
      <c r="J38" s="14"/>
      <c r="K38" s="14"/>
      <c r="L38" s="14"/>
      <c r="M38" s="14"/>
      <c r="N38" s="6"/>
      <c r="O38" s="15"/>
      <c r="P38" s="6"/>
      <c r="Q38" s="6"/>
      <c r="R38" s="15"/>
      <c r="S38" s="14"/>
      <c r="T38" s="15"/>
      <c r="U38" s="14"/>
      <c r="V38" s="14"/>
      <c r="W38" s="14"/>
      <c r="X38" s="14"/>
      <c r="Y38" s="6"/>
      <c r="Z38" s="15"/>
      <c r="AA38" s="14"/>
      <c r="AB38" s="6"/>
      <c r="AC38" s="15"/>
      <c r="AD38" s="19"/>
      <c r="AE38" s="15"/>
      <c r="AF38" s="19"/>
      <c r="AG38" s="19"/>
      <c r="AH38" s="19"/>
      <c r="AI38" s="19"/>
      <c r="AJ38" s="6"/>
      <c r="AK38" s="15"/>
      <c r="AL38" s="14"/>
      <c r="AM38" s="6"/>
      <c r="AN38" s="15"/>
      <c r="AO38" s="19"/>
      <c r="AP38" s="15"/>
      <c r="AQ38" s="19"/>
      <c r="AR38" s="19"/>
      <c r="AS38" s="19"/>
      <c r="AT38" s="19"/>
      <c r="AU38" s="6"/>
      <c r="AV38" s="6"/>
      <c r="AW38" s="6"/>
      <c r="AX38" s="6"/>
      <c r="AY38" s="6"/>
      <c r="AZ38" s="6"/>
      <c r="BA38" s="6"/>
    </row>
    <row r="39">
      <c r="B39" s="7" t="s">
        <v>286</v>
      </c>
      <c r="C39" s="7">
        <f>SUMIF(M2:M31,"&lt;0")
</f>
        <v>-66</v>
      </c>
      <c r="D39" s="6"/>
      <c r="E39" s="6"/>
      <c r="F39" s="6"/>
      <c r="G39" s="14"/>
      <c r="H39" s="14"/>
      <c r="I39" s="14"/>
      <c r="J39" s="14"/>
      <c r="K39" s="14"/>
      <c r="L39" s="14"/>
      <c r="M39" s="14"/>
      <c r="N39" s="6"/>
      <c r="O39" s="15"/>
      <c r="P39" s="6"/>
      <c r="Q39" s="6"/>
      <c r="R39" s="15"/>
      <c r="S39" s="14"/>
      <c r="T39" s="15"/>
      <c r="U39" s="14"/>
      <c r="V39" s="14"/>
      <c r="W39" s="14"/>
      <c r="X39" s="14"/>
      <c r="Y39" s="6"/>
      <c r="Z39" s="15"/>
      <c r="AA39" s="14"/>
      <c r="AB39" s="6"/>
      <c r="AC39" s="15"/>
      <c r="AD39" s="19"/>
      <c r="AE39" s="15"/>
      <c r="AF39" s="19"/>
      <c r="AG39" s="19"/>
      <c r="AH39" s="19"/>
      <c r="AI39" s="19"/>
      <c r="AJ39" s="6"/>
      <c r="AK39" s="15"/>
      <c r="AL39" s="14"/>
      <c r="AM39" s="6"/>
      <c r="AN39" s="15"/>
      <c r="AO39" s="19"/>
      <c r="AP39" s="15"/>
      <c r="AQ39" s="19"/>
      <c r="AR39" s="19"/>
      <c r="AS39" s="19"/>
      <c r="AT39" s="19"/>
      <c r="AU39" s="6"/>
      <c r="AV39" s="6"/>
      <c r="AW39" s="6"/>
      <c r="AX39" s="6"/>
      <c r="AY39" s="6"/>
      <c r="AZ39" s="6"/>
      <c r="BA39" s="6"/>
    </row>
    <row r="40">
      <c r="B40" s="7" t="s">
        <v>287</v>
      </c>
      <c r="C40" s="7" t="s">
        <v>288</v>
      </c>
      <c r="D40" s="6"/>
      <c r="E40" s="6"/>
      <c r="F40" s="6"/>
      <c r="G40" s="14"/>
      <c r="H40" s="14"/>
      <c r="I40" s="14"/>
      <c r="J40" s="14"/>
      <c r="K40" s="14"/>
      <c r="L40" s="14"/>
      <c r="M40" s="14"/>
      <c r="N40" s="6"/>
      <c r="O40" s="15"/>
      <c r="P40" s="6"/>
      <c r="Q40" s="6"/>
      <c r="R40" s="15"/>
      <c r="S40" s="14"/>
      <c r="T40" s="15"/>
      <c r="U40" s="14"/>
      <c r="V40" s="14"/>
      <c r="W40" s="14"/>
      <c r="X40" s="14"/>
      <c r="Y40" s="6"/>
      <c r="Z40" s="15"/>
      <c r="AA40" s="14"/>
      <c r="AB40" s="6"/>
      <c r="AC40" s="15"/>
      <c r="AD40" s="19"/>
      <c r="AE40" s="15"/>
      <c r="AF40" s="19"/>
      <c r="AG40" s="19"/>
      <c r="AH40" s="19"/>
      <c r="AI40" s="19"/>
      <c r="AJ40" s="6"/>
      <c r="AK40" s="15"/>
      <c r="AL40" s="14"/>
      <c r="AM40" s="6"/>
      <c r="AN40" s="15"/>
      <c r="AO40" s="19"/>
      <c r="AP40" s="15"/>
      <c r="AQ40" s="19"/>
      <c r="AR40" s="19"/>
      <c r="AS40" s="19"/>
      <c r="AT40" s="19"/>
      <c r="AU40" s="6"/>
      <c r="AV40" s="6"/>
      <c r="AW40" s="6"/>
      <c r="AX40" s="6"/>
      <c r="AY40" s="6"/>
      <c r="AZ40" s="6"/>
      <c r="BA40" s="6"/>
    </row>
    <row r="41">
      <c r="B41" s="7"/>
      <c r="C41" s="7"/>
      <c r="D41" s="6"/>
      <c r="E41" s="6"/>
      <c r="F41" s="6"/>
      <c r="G41" s="14"/>
      <c r="H41" s="14"/>
      <c r="I41" s="14"/>
      <c r="J41" s="14"/>
      <c r="K41" s="14"/>
      <c r="L41" s="14"/>
      <c r="M41" s="14"/>
      <c r="N41" s="6"/>
      <c r="O41" s="15"/>
      <c r="P41" s="6"/>
      <c r="Q41" s="6"/>
      <c r="R41" s="15"/>
      <c r="S41" s="14"/>
      <c r="T41" s="15"/>
      <c r="U41" s="14"/>
      <c r="V41" s="14"/>
      <c r="W41" s="14"/>
      <c r="X41" s="14"/>
      <c r="Y41" s="6"/>
      <c r="Z41" s="15"/>
      <c r="AA41" s="14"/>
      <c r="AB41" s="6"/>
      <c r="AC41" s="15"/>
      <c r="AD41" s="19"/>
      <c r="AE41" s="15"/>
      <c r="AF41" s="19"/>
      <c r="AG41" s="19"/>
      <c r="AH41" s="19"/>
      <c r="AI41" s="19"/>
      <c r="AJ41" s="6"/>
      <c r="AK41" s="15"/>
      <c r="AL41" s="14"/>
      <c r="AM41" s="6"/>
      <c r="AN41" s="15"/>
      <c r="AO41" s="19"/>
      <c r="AP41" s="15"/>
      <c r="AQ41" s="19"/>
      <c r="AR41" s="19"/>
      <c r="AS41" s="19"/>
      <c r="AT41" s="19"/>
      <c r="AU41" s="6"/>
      <c r="AV41" s="6"/>
      <c r="AW41" s="6"/>
      <c r="AX41" s="6"/>
      <c r="AY41" s="6"/>
      <c r="AZ41" s="6"/>
      <c r="BA41" s="6"/>
    </row>
    <row r="42">
      <c r="B42" s="7"/>
      <c r="C42" s="7"/>
      <c r="D42" s="6"/>
      <c r="E42" s="6"/>
      <c r="F42" s="6"/>
      <c r="G42" s="14"/>
      <c r="H42" s="14"/>
      <c r="I42" s="14"/>
      <c r="J42" s="14"/>
      <c r="K42" s="14"/>
      <c r="L42" s="14"/>
      <c r="M42" s="14"/>
      <c r="N42" s="6"/>
      <c r="O42" s="15"/>
      <c r="P42" s="6"/>
      <c r="Q42" s="6"/>
      <c r="R42" s="15"/>
      <c r="S42" s="14"/>
      <c r="T42" s="15"/>
      <c r="U42" s="14"/>
      <c r="V42" s="14"/>
      <c r="W42" s="14"/>
      <c r="X42" s="14"/>
      <c r="Y42" s="6"/>
      <c r="Z42" s="15"/>
      <c r="AA42" s="14"/>
      <c r="AB42" s="6"/>
      <c r="AC42" s="15"/>
      <c r="AD42" s="19"/>
      <c r="AE42" s="15"/>
      <c r="AF42" s="19"/>
      <c r="AG42" s="19"/>
      <c r="AH42" s="19"/>
      <c r="AI42" s="19"/>
      <c r="AJ42" s="6"/>
      <c r="AK42" s="15"/>
      <c r="AL42" s="14"/>
      <c r="AM42" s="6"/>
      <c r="AN42" s="15"/>
      <c r="AO42" s="19"/>
      <c r="AP42" s="15"/>
      <c r="AQ42" s="19"/>
      <c r="AR42" s="19"/>
      <c r="AS42" s="19"/>
      <c r="AT42" s="19"/>
      <c r="AU42" s="6"/>
      <c r="AV42" s="6"/>
      <c r="AW42" s="6"/>
      <c r="AX42" s="6"/>
      <c r="AY42" s="6"/>
      <c r="AZ42" s="6"/>
      <c r="BA42" s="6"/>
    </row>
    <row r="43">
      <c r="B43" s="7" t="s">
        <v>281</v>
      </c>
      <c r="C43" s="7">
        <f>SUM(I12:I40)</f>
        <v>7.801155602</v>
      </c>
      <c r="D43" s="6"/>
      <c r="E43" s="6"/>
      <c r="F43" s="6"/>
      <c r="G43" s="14"/>
      <c r="H43" s="14"/>
      <c r="I43" s="14"/>
      <c r="J43" s="14"/>
      <c r="K43" s="14"/>
      <c r="L43" s="14"/>
      <c r="M43" s="14"/>
      <c r="N43" s="6"/>
      <c r="O43" s="15"/>
      <c r="P43" s="6"/>
      <c r="Q43" s="6"/>
      <c r="R43" s="15"/>
      <c r="S43" s="14"/>
      <c r="T43" s="15"/>
      <c r="U43" s="14"/>
      <c r="V43" s="14"/>
      <c r="W43" s="14"/>
      <c r="X43" s="14"/>
      <c r="Y43" s="6"/>
      <c r="Z43" s="15"/>
      <c r="AA43" s="14"/>
      <c r="AB43" s="6"/>
      <c r="AC43" s="15"/>
      <c r="AD43" s="19"/>
      <c r="AE43" s="15"/>
      <c r="AF43" s="19"/>
      <c r="AG43" s="19"/>
      <c r="AH43" s="19"/>
      <c r="AI43" s="19"/>
      <c r="AJ43" s="6"/>
      <c r="AK43" s="15"/>
      <c r="AL43" s="14"/>
      <c r="AM43" s="6"/>
      <c r="AN43" s="15"/>
      <c r="AO43" s="19"/>
      <c r="AP43" s="15"/>
      <c r="AQ43" s="19"/>
      <c r="AR43" s="19"/>
      <c r="AS43" s="19"/>
      <c r="AT43" s="19"/>
      <c r="AU43" s="6"/>
      <c r="AV43" s="6"/>
      <c r="AW43" s="6"/>
      <c r="AX43" s="6"/>
      <c r="AY43" s="6"/>
      <c r="AZ43" s="6"/>
      <c r="BA43" s="6"/>
    </row>
    <row r="44">
      <c r="B44" s="7" t="s">
        <v>282</v>
      </c>
      <c r="C44" s="7">
        <f>SUM(T12:T40)</f>
        <v>6.868050913</v>
      </c>
      <c r="D44" s="13"/>
      <c r="E44" s="13"/>
      <c r="F44" s="6"/>
      <c r="G44" s="14"/>
      <c r="H44" s="14"/>
      <c r="I44" s="14"/>
      <c r="J44" s="14"/>
      <c r="K44" s="14"/>
      <c r="L44" s="14"/>
      <c r="M44" s="14"/>
      <c r="N44" s="6"/>
      <c r="O44" s="15"/>
      <c r="P44" s="13"/>
      <c r="Q44" s="6"/>
      <c r="R44" s="15"/>
      <c r="S44" s="14"/>
      <c r="T44" s="15"/>
      <c r="U44" s="14"/>
      <c r="V44" s="14"/>
      <c r="W44" s="14"/>
      <c r="X44" s="14"/>
      <c r="Y44" s="6"/>
      <c r="Z44" s="15"/>
      <c r="AA44" s="14"/>
      <c r="AB44" s="6"/>
      <c r="AC44" s="15"/>
      <c r="AD44" s="19"/>
      <c r="AE44" s="15"/>
      <c r="AF44" s="19"/>
      <c r="AG44" s="19"/>
      <c r="AH44" s="19"/>
      <c r="AI44" s="19"/>
      <c r="AJ44" s="6"/>
      <c r="AK44" s="15"/>
      <c r="AL44" s="14"/>
      <c r="AM44" s="6"/>
      <c r="AN44" s="15"/>
      <c r="AO44" s="19"/>
      <c r="AP44" s="15"/>
      <c r="AQ44" s="19"/>
      <c r="AR44" s="19"/>
      <c r="AS44" s="19"/>
      <c r="AT44" s="19"/>
      <c r="AU44" s="6"/>
      <c r="AV44" s="6"/>
      <c r="AW44" s="6"/>
      <c r="AX44" s="6"/>
      <c r="AY44" s="6"/>
      <c r="AZ44" s="6"/>
      <c r="BA44" s="6"/>
    </row>
    <row r="45">
      <c r="B45" s="7" t="s">
        <v>283</v>
      </c>
      <c r="C45" s="7">
        <f>SUM(AE12:AE40)</f>
        <v>7.300112072</v>
      </c>
      <c r="D45" s="13"/>
      <c r="E45" s="13"/>
      <c r="F45" s="6"/>
      <c r="G45" s="14"/>
      <c r="H45" s="14"/>
      <c r="I45" s="14"/>
      <c r="J45" s="14"/>
      <c r="K45" s="14"/>
      <c r="L45" s="14"/>
      <c r="M45" s="14"/>
      <c r="N45" s="6"/>
      <c r="O45" s="15"/>
      <c r="P45" s="13"/>
      <c r="Q45" s="6"/>
      <c r="R45" s="15"/>
      <c r="S45" s="14"/>
      <c r="T45" s="15"/>
      <c r="U45" s="14"/>
      <c r="V45" s="14"/>
      <c r="W45" s="14"/>
      <c r="X45" s="14"/>
      <c r="Y45" s="6"/>
      <c r="Z45" s="15"/>
      <c r="AA45" s="14"/>
      <c r="AB45" s="6"/>
      <c r="AC45" s="15"/>
      <c r="AD45" s="19"/>
      <c r="AE45" s="15"/>
      <c r="AF45" s="19"/>
      <c r="AG45" s="19"/>
      <c r="AH45" s="19"/>
      <c r="AI45" s="19"/>
      <c r="AJ45" s="6"/>
      <c r="AK45" s="15"/>
      <c r="AL45" s="14"/>
      <c r="AM45" s="6"/>
      <c r="AN45" s="15"/>
      <c r="AO45" s="19"/>
      <c r="AP45" s="15"/>
      <c r="AQ45" s="19"/>
      <c r="AR45" s="19"/>
      <c r="AS45" s="19"/>
      <c r="AT45" s="19"/>
      <c r="AU45" s="6"/>
      <c r="AV45" s="6"/>
      <c r="AW45" s="6"/>
      <c r="AX45" s="6"/>
      <c r="AY45" s="6"/>
      <c r="AZ45" s="6"/>
      <c r="BA45" s="6"/>
    </row>
    <row r="46">
      <c r="B46" s="7" t="s">
        <v>284</v>
      </c>
      <c r="C46" s="7">
        <f>SUM(AP12:AP40)</f>
        <v>6.958057078</v>
      </c>
      <c r="D46" s="13"/>
      <c r="E46" s="13"/>
      <c r="F46" s="6"/>
      <c r="G46" s="14"/>
      <c r="H46" s="14"/>
      <c r="I46" s="14"/>
      <c r="J46" s="14"/>
      <c r="K46" s="14"/>
      <c r="L46" s="14"/>
      <c r="M46" s="14"/>
      <c r="N46" s="6"/>
      <c r="O46" s="15"/>
      <c r="P46" s="13"/>
      <c r="Q46" s="6"/>
      <c r="R46" s="15"/>
      <c r="S46" s="14"/>
      <c r="T46" s="15"/>
      <c r="U46" s="14"/>
      <c r="V46" s="14"/>
      <c r="W46" s="14"/>
      <c r="X46" s="14"/>
      <c r="Y46" s="6"/>
      <c r="Z46" s="15"/>
      <c r="AA46" s="14"/>
      <c r="AB46" s="6"/>
      <c r="AC46" s="15"/>
      <c r="AD46" s="19"/>
      <c r="AE46" s="15"/>
      <c r="AF46" s="19"/>
      <c r="AG46" s="19"/>
      <c r="AH46" s="19"/>
      <c r="AI46" s="19"/>
      <c r="AJ46" s="6"/>
      <c r="AK46" s="15"/>
      <c r="AL46" s="14"/>
      <c r="AM46" s="6"/>
      <c r="AN46" s="15"/>
      <c r="AO46" s="19"/>
      <c r="AP46" s="15"/>
      <c r="AQ46" s="19"/>
      <c r="AR46" s="19"/>
      <c r="AS46" s="19"/>
      <c r="AT46" s="19"/>
      <c r="AU46" s="6"/>
      <c r="AV46" s="6"/>
      <c r="AW46" s="6"/>
      <c r="AX46" s="6"/>
      <c r="AY46" s="6"/>
      <c r="AZ46" s="6"/>
      <c r="BA46" s="6"/>
    </row>
    <row r="47">
      <c r="B47" s="7"/>
      <c r="C47" s="7"/>
      <c r="D47" s="13"/>
      <c r="E47" s="13"/>
      <c r="F47" s="6"/>
      <c r="G47" s="14"/>
      <c r="H47" s="14"/>
      <c r="I47" s="14"/>
      <c r="J47" s="14"/>
      <c r="K47" s="14"/>
      <c r="L47" s="14"/>
      <c r="M47" s="14"/>
      <c r="N47" s="6"/>
      <c r="O47" s="15"/>
      <c r="P47" s="13"/>
      <c r="Q47" s="6"/>
      <c r="R47" s="15"/>
      <c r="S47" s="14"/>
      <c r="T47" s="15"/>
      <c r="U47" s="14"/>
      <c r="V47" s="14"/>
      <c r="W47" s="14"/>
      <c r="X47" s="14"/>
      <c r="Y47" s="6"/>
      <c r="Z47" s="15"/>
      <c r="AA47" s="14"/>
      <c r="AB47" s="6"/>
      <c r="AC47" s="15"/>
      <c r="AD47" s="19"/>
      <c r="AE47" s="15"/>
      <c r="AF47" s="19"/>
      <c r="AG47" s="19"/>
      <c r="AH47" s="19"/>
      <c r="AI47" s="19"/>
      <c r="AJ47" s="6"/>
      <c r="AK47" s="15"/>
      <c r="AL47" s="14"/>
      <c r="AM47" s="6"/>
      <c r="AN47" s="15"/>
      <c r="AO47" s="19"/>
      <c r="AP47" s="15"/>
      <c r="AQ47" s="19"/>
      <c r="AR47" s="19"/>
      <c r="AS47" s="19"/>
      <c r="AT47" s="19"/>
      <c r="AU47" s="6"/>
      <c r="AV47" s="6"/>
      <c r="AW47" s="6"/>
      <c r="AX47" s="6"/>
      <c r="AY47" s="6"/>
      <c r="AZ47" s="6"/>
      <c r="BA47" s="6"/>
    </row>
    <row r="48">
      <c r="B48" s="7" t="s">
        <v>285</v>
      </c>
      <c r="C48" s="7">
        <f>SUMIF(M12:M40,"&gt;0")</f>
        <v>202</v>
      </c>
      <c r="D48" s="13"/>
      <c r="E48" s="13"/>
      <c r="F48" s="6"/>
      <c r="G48" s="14"/>
      <c r="H48" s="14"/>
      <c r="I48" s="14"/>
      <c r="J48" s="14"/>
      <c r="K48" s="14"/>
      <c r="L48" s="14"/>
      <c r="M48" s="14"/>
      <c r="N48" s="6"/>
      <c r="O48" s="15"/>
      <c r="P48" s="13"/>
      <c r="Q48" s="6"/>
      <c r="R48" s="15"/>
      <c r="S48" s="14"/>
      <c r="T48" s="15"/>
      <c r="U48" s="14"/>
      <c r="V48" s="14"/>
      <c r="W48" s="14"/>
      <c r="X48" s="14"/>
      <c r="Y48" s="6"/>
      <c r="Z48" s="15"/>
      <c r="AA48" s="14"/>
      <c r="AB48" s="6"/>
      <c r="AC48" s="15"/>
      <c r="AD48" s="19"/>
      <c r="AE48" s="15"/>
      <c r="AF48" s="19"/>
      <c r="AG48" s="19"/>
      <c r="AH48" s="19"/>
      <c r="AI48" s="19"/>
      <c r="AJ48" s="6"/>
      <c r="AK48" s="15"/>
      <c r="AL48" s="14"/>
      <c r="AM48" s="6"/>
      <c r="AN48" s="15"/>
      <c r="AO48" s="19"/>
      <c r="AP48" s="15"/>
      <c r="AQ48" s="19"/>
      <c r="AR48" s="19"/>
      <c r="AS48" s="19"/>
      <c r="AT48" s="19"/>
      <c r="AU48" s="6"/>
      <c r="AV48" s="6"/>
      <c r="AW48" s="6"/>
      <c r="AX48" s="6"/>
      <c r="AY48" s="6"/>
      <c r="AZ48" s="6"/>
      <c r="BA48" s="6"/>
    </row>
    <row r="49">
      <c r="B49" s="7" t="s">
        <v>286</v>
      </c>
      <c r="C49" s="7">
        <f>SUMIF(M12:M41,"&lt;0")
</f>
        <v>-63</v>
      </c>
      <c r="D49" s="13"/>
      <c r="E49" s="13"/>
      <c r="F49" s="6"/>
      <c r="G49" s="14"/>
      <c r="H49" s="14"/>
      <c r="I49" s="14"/>
      <c r="J49" s="14"/>
      <c r="K49" s="14"/>
      <c r="L49" s="14"/>
      <c r="M49" s="14"/>
      <c r="N49" s="6"/>
      <c r="O49" s="15"/>
      <c r="P49" s="13"/>
      <c r="Q49" s="6"/>
      <c r="R49" s="15"/>
      <c r="S49" s="14"/>
      <c r="T49" s="15"/>
      <c r="U49" s="14"/>
      <c r="V49" s="14"/>
      <c r="W49" s="14"/>
      <c r="X49" s="14"/>
      <c r="Y49" s="6"/>
      <c r="Z49" s="15"/>
      <c r="AA49" s="14"/>
      <c r="AB49" s="6"/>
      <c r="AC49" s="15"/>
      <c r="AD49" s="19"/>
      <c r="AE49" s="15"/>
      <c r="AF49" s="19"/>
      <c r="AG49" s="19"/>
      <c r="AH49" s="19"/>
      <c r="AI49" s="19"/>
      <c r="AJ49" s="6"/>
      <c r="AK49" s="15"/>
      <c r="AL49" s="14"/>
      <c r="AM49" s="6"/>
      <c r="AN49" s="15"/>
      <c r="AO49" s="19"/>
      <c r="AP49" s="15"/>
      <c r="AQ49" s="19"/>
      <c r="AR49" s="19"/>
      <c r="AS49" s="19"/>
      <c r="AT49" s="19"/>
      <c r="AU49" s="6"/>
      <c r="AV49" s="6"/>
      <c r="AW49" s="6"/>
      <c r="AX49" s="6"/>
      <c r="AY49" s="6"/>
      <c r="AZ49" s="6"/>
      <c r="BA49" s="6"/>
    </row>
    <row r="50">
      <c r="B50" s="7" t="s">
        <v>287</v>
      </c>
      <c r="C50" s="7" t="s">
        <v>289</v>
      </c>
      <c r="D50" s="13"/>
      <c r="E50" s="13"/>
      <c r="F50" s="6"/>
      <c r="G50" s="14"/>
      <c r="H50" s="14"/>
      <c r="I50" s="14"/>
      <c r="J50" s="14"/>
      <c r="K50" s="14"/>
      <c r="L50" s="14"/>
      <c r="M50" s="14"/>
      <c r="N50" s="6"/>
      <c r="O50" s="15"/>
      <c r="P50" s="13"/>
      <c r="Q50" s="6"/>
      <c r="R50" s="15"/>
      <c r="S50" s="14"/>
      <c r="T50" s="15"/>
      <c r="U50" s="14"/>
      <c r="V50" s="14"/>
      <c r="W50" s="14"/>
      <c r="X50" s="14"/>
      <c r="Y50" s="6"/>
      <c r="Z50" s="15"/>
      <c r="AA50" s="14"/>
      <c r="AB50" s="6"/>
      <c r="AC50" s="15"/>
      <c r="AD50" s="19"/>
      <c r="AE50" s="15"/>
      <c r="AF50" s="19"/>
      <c r="AG50" s="19"/>
      <c r="AH50" s="19"/>
      <c r="AI50" s="19"/>
      <c r="AJ50" s="6"/>
      <c r="AK50" s="15"/>
      <c r="AL50" s="14"/>
      <c r="AM50" s="6"/>
      <c r="AN50" s="15"/>
      <c r="AO50" s="19"/>
      <c r="AP50" s="15"/>
      <c r="AQ50" s="19"/>
      <c r="AR50" s="19"/>
      <c r="AS50" s="19"/>
      <c r="AT50" s="19"/>
      <c r="AU50" s="6"/>
      <c r="AV50" s="6"/>
      <c r="AW50" s="6"/>
      <c r="AX50" s="6"/>
      <c r="AY50" s="6"/>
      <c r="AZ50" s="6"/>
      <c r="BA50" s="6"/>
    </row>
    <row r="51">
      <c r="B51" s="6"/>
      <c r="C51" s="6"/>
      <c r="D51" s="13"/>
      <c r="E51" s="13"/>
      <c r="F51" s="6"/>
      <c r="G51" s="14"/>
      <c r="H51" s="14"/>
      <c r="I51" s="14"/>
      <c r="J51" s="14"/>
      <c r="K51" s="14"/>
      <c r="L51" s="14"/>
      <c r="M51" s="14"/>
      <c r="N51" s="6"/>
      <c r="O51" s="15"/>
      <c r="P51" s="13"/>
      <c r="Q51" s="6"/>
      <c r="R51" s="15"/>
      <c r="S51" s="14"/>
      <c r="T51" s="15"/>
      <c r="U51" s="14"/>
      <c r="V51" s="14"/>
      <c r="W51" s="14"/>
      <c r="X51" s="14"/>
      <c r="Y51" s="6"/>
      <c r="Z51" s="15"/>
      <c r="AA51" s="14"/>
      <c r="AB51" s="6"/>
      <c r="AC51" s="15"/>
      <c r="AD51" s="19"/>
      <c r="AE51" s="15"/>
      <c r="AF51" s="19"/>
      <c r="AG51" s="19"/>
      <c r="AH51" s="19"/>
      <c r="AI51" s="19"/>
      <c r="AJ51" s="6"/>
      <c r="AK51" s="15"/>
      <c r="AL51" s="14"/>
      <c r="AM51" s="6"/>
      <c r="AN51" s="15"/>
      <c r="AO51" s="19"/>
      <c r="AP51" s="15"/>
      <c r="AQ51" s="19"/>
      <c r="AR51" s="19"/>
      <c r="AS51" s="19"/>
      <c r="AT51" s="19"/>
      <c r="AU51" s="6"/>
      <c r="AV51" s="6"/>
      <c r="AW51" s="6"/>
      <c r="AX51" s="6"/>
      <c r="AY51" s="6"/>
      <c r="AZ51" s="6"/>
      <c r="BA51" s="6"/>
    </row>
    <row r="52">
      <c r="B52" s="6"/>
      <c r="C52" s="6"/>
      <c r="D52" s="13"/>
      <c r="E52" s="13"/>
      <c r="F52" s="6"/>
      <c r="G52" s="14"/>
      <c r="H52" s="14"/>
      <c r="I52" s="14"/>
      <c r="J52" s="14"/>
      <c r="K52" s="14"/>
      <c r="L52" s="14"/>
      <c r="M52" s="14"/>
      <c r="N52" s="6"/>
      <c r="O52" s="15"/>
      <c r="P52" s="13"/>
      <c r="Q52" s="6"/>
      <c r="R52" s="15"/>
      <c r="S52" s="14"/>
      <c r="T52" s="15"/>
      <c r="U52" s="14"/>
      <c r="V52" s="14"/>
      <c r="W52" s="14"/>
      <c r="X52" s="14"/>
      <c r="Y52" s="6"/>
      <c r="Z52" s="15"/>
      <c r="AA52" s="14"/>
      <c r="AB52" s="6"/>
      <c r="AC52" s="15"/>
      <c r="AD52" s="19"/>
      <c r="AE52" s="15"/>
      <c r="AF52" s="19"/>
      <c r="AG52" s="19"/>
      <c r="AH52" s="19"/>
      <c r="AI52" s="19"/>
      <c r="AJ52" s="6"/>
      <c r="AK52" s="15"/>
      <c r="AL52" s="14"/>
      <c r="AM52" s="6"/>
      <c r="AN52" s="15"/>
      <c r="AO52" s="19"/>
      <c r="AP52" s="15"/>
      <c r="AQ52" s="19"/>
      <c r="AR52" s="19"/>
      <c r="AS52" s="19"/>
      <c r="AT52" s="19"/>
      <c r="AU52" s="6"/>
      <c r="AV52" s="6"/>
      <c r="AW52" s="6"/>
      <c r="AX52" s="6"/>
      <c r="AY52" s="6"/>
      <c r="AZ52" s="6"/>
      <c r="BA52" s="6"/>
    </row>
    <row r="53">
      <c r="B53" s="6"/>
      <c r="C53" s="6"/>
      <c r="D53" s="13"/>
      <c r="E53" s="13"/>
      <c r="F53" s="6"/>
      <c r="G53" s="14"/>
      <c r="H53" s="14"/>
      <c r="I53" s="14"/>
      <c r="J53" s="14"/>
      <c r="K53" s="14"/>
      <c r="L53" s="14"/>
      <c r="M53" s="14"/>
      <c r="N53" s="6"/>
      <c r="O53" s="15"/>
      <c r="P53" s="13"/>
      <c r="Q53" s="6"/>
      <c r="R53" s="15"/>
      <c r="S53" s="14"/>
      <c r="T53" s="15"/>
      <c r="U53" s="14"/>
      <c r="V53" s="14"/>
      <c r="W53" s="14"/>
      <c r="X53" s="14"/>
      <c r="Y53" s="6"/>
      <c r="Z53" s="15"/>
      <c r="AA53" s="14"/>
      <c r="AB53" s="6"/>
      <c r="AC53" s="15"/>
      <c r="AD53" s="19"/>
      <c r="AE53" s="15"/>
      <c r="AF53" s="19"/>
      <c r="AG53" s="19"/>
      <c r="AH53" s="19"/>
      <c r="AI53" s="19"/>
      <c r="AJ53" s="6"/>
      <c r="AK53" s="15"/>
      <c r="AL53" s="14"/>
      <c r="AM53" s="6"/>
      <c r="AN53" s="15"/>
      <c r="AO53" s="19"/>
      <c r="AP53" s="15"/>
      <c r="AQ53" s="19"/>
      <c r="AR53" s="19"/>
      <c r="AS53" s="19"/>
      <c r="AT53" s="19"/>
      <c r="AU53" s="6"/>
      <c r="AV53" s="6"/>
      <c r="AW53" s="6"/>
      <c r="AX53" s="6"/>
      <c r="AY53" s="6"/>
      <c r="AZ53" s="6"/>
      <c r="BA53" s="6"/>
    </row>
    <row r="54">
      <c r="B54" s="6"/>
      <c r="C54" s="6"/>
      <c r="D54" s="13"/>
      <c r="E54" s="13"/>
      <c r="F54" s="6"/>
      <c r="G54" s="14"/>
      <c r="H54" s="14"/>
      <c r="I54" s="14"/>
      <c r="J54" s="14"/>
      <c r="K54" s="14"/>
      <c r="L54" s="14"/>
      <c r="M54" s="14"/>
      <c r="N54" s="6"/>
      <c r="O54" s="15"/>
      <c r="P54" s="13"/>
      <c r="Q54" s="6"/>
      <c r="R54" s="15"/>
      <c r="S54" s="14"/>
      <c r="T54" s="15"/>
      <c r="U54" s="14"/>
      <c r="V54" s="14"/>
      <c r="W54" s="14"/>
      <c r="X54" s="14"/>
      <c r="Y54" s="6"/>
      <c r="Z54" s="15"/>
      <c r="AA54" s="14"/>
      <c r="AB54" s="6"/>
      <c r="AC54" s="15"/>
      <c r="AD54" s="19"/>
      <c r="AE54" s="15"/>
      <c r="AF54" s="19"/>
      <c r="AG54" s="19"/>
      <c r="AH54" s="19"/>
      <c r="AI54" s="19"/>
      <c r="AJ54" s="6"/>
      <c r="AK54" s="15"/>
      <c r="AL54" s="14"/>
      <c r="AM54" s="6"/>
      <c r="AN54" s="15"/>
      <c r="AO54" s="19"/>
      <c r="AP54" s="15"/>
      <c r="AQ54" s="19"/>
      <c r="AR54" s="19"/>
      <c r="AS54" s="19"/>
      <c r="AT54" s="19"/>
      <c r="AU54" s="6"/>
      <c r="AV54" s="6"/>
      <c r="AW54" s="6"/>
      <c r="AX54" s="6"/>
      <c r="AY54" s="6"/>
      <c r="AZ54" s="6"/>
      <c r="BA54" s="6"/>
    </row>
    <row r="55">
      <c r="B55" s="6"/>
      <c r="C55" s="6"/>
      <c r="D55" s="13"/>
      <c r="E55" s="13"/>
      <c r="F55" s="6"/>
      <c r="G55" s="14"/>
      <c r="H55" s="14"/>
      <c r="I55" s="14"/>
      <c r="J55" s="14"/>
      <c r="K55" s="14"/>
      <c r="L55" s="14"/>
      <c r="M55" s="14"/>
      <c r="N55" s="6"/>
      <c r="O55" s="15"/>
      <c r="P55" s="13"/>
      <c r="Q55" s="6"/>
      <c r="R55" s="15"/>
      <c r="S55" s="14"/>
      <c r="T55" s="15"/>
      <c r="U55" s="14"/>
      <c r="V55" s="14"/>
      <c r="W55" s="14"/>
      <c r="X55" s="14"/>
      <c r="Y55" s="6"/>
      <c r="Z55" s="15"/>
      <c r="AA55" s="14"/>
      <c r="AB55" s="6"/>
      <c r="AC55" s="15"/>
      <c r="AD55" s="19"/>
      <c r="AE55" s="15"/>
      <c r="AF55" s="19"/>
      <c r="AG55" s="19"/>
      <c r="AH55" s="19"/>
      <c r="AI55" s="19"/>
      <c r="AJ55" s="6"/>
      <c r="AK55" s="15"/>
      <c r="AL55" s="14"/>
      <c r="AM55" s="6"/>
      <c r="AN55" s="15"/>
      <c r="AO55" s="19"/>
      <c r="AP55" s="15"/>
      <c r="AQ55" s="19"/>
      <c r="AR55" s="19"/>
      <c r="AS55" s="19"/>
      <c r="AT55" s="19"/>
      <c r="AU55" s="6"/>
      <c r="AV55" s="6"/>
      <c r="AW55" s="6"/>
      <c r="AX55" s="6"/>
      <c r="AY55" s="6"/>
      <c r="AZ55" s="6"/>
      <c r="BA55" s="6"/>
    </row>
    <row r="56">
      <c r="B56" s="6"/>
      <c r="C56" s="6"/>
      <c r="D56" s="13"/>
      <c r="E56" s="13"/>
      <c r="F56" s="6"/>
      <c r="G56" s="14"/>
      <c r="H56" s="14"/>
      <c r="I56" s="14"/>
      <c r="J56" s="14"/>
      <c r="K56" s="14"/>
      <c r="L56" s="14"/>
      <c r="M56" s="14"/>
      <c r="N56" s="6"/>
      <c r="O56" s="15"/>
      <c r="P56" s="13"/>
      <c r="Q56" s="6"/>
      <c r="R56" s="15"/>
      <c r="S56" s="14"/>
      <c r="T56" s="15"/>
      <c r="U56" s="14"/>
      <c r="V56" s="14"/>
      <c r="W56" s="14"/>
      <c r="X56" s="14"/>
      <c r="Y56" s="6"/>
      <c r="Z56" s="15"/>
      <c r="AA56" s="14"/>
      <c r="AB56" s="6"/>
      <c r="AC56" s="15"/>
      <c r="AD56" s="19"/>
      <c r="AE56" s="15"/>
      <c r="AF56" s="19"/>
      <c r="AG56" s="19"/>
      <c r="AH56" s="19"/>
      <c r="AI56" s="19"/>
      <c r="AJ56" s="6"/>
      <c r="AK56" s="15"/>
      <c r="AL56" s="14"/>
      <c r="AM56" s="6"/>
      <c r="AN56" s="15"/>
      <c r="AO56" s="19"/>
      <c r="AP56" s="15"/>
      <c r="AQ56" s="19"/>
      <c r="AR56" s="19"/>
      <c r="AS56" s="19"/>
      <c r="AT56" s="19"/>
      <c r="AU56" s="6"/>
      <c r="AV56" s="6"/>
      <c r="AW56" s="6"/>
      <c r="AX56" s="6"/>
      <c r="AY56" s="6"/>
      <c r="AZ56" s="6"/>
      <c r="BA56" s="6"/>
    </row>
    <row r="57">
      <c r="B57" s="6"/>
      <c r="C57" s="6"/>
      <c r="D57" s="13"/>
      <c r="E57" s="13"/>
      <c r="F57" s="6"/>
      <c r="G57" s="14"/>
      <c r="H57" s="14"/>
      <c r="I57" s="14"/>
      <c r="J57" s="14"/>
      <c r="K57" s="14"/>
      <c r="L57" s="14"/>
      <c r="M57" s="14"/>
      <c r="N57" s="6"/>
      <c r="O57" s="15"/>
      <c r="P57" s="13"/>
      <c r="Q57" s="6"/>
      <c r="R57" s="15"/>
      <c r="S57" s="14"/>
      <c r="T57" s="15"/>
      <c r="U57" s="14"/>
      <c r="V57" s="14"/>
      <c r="W57" s="14"/>
      <c r="X57" s="14"/>
      <c r="Y57" s="6"/>
      <c r="Z57" s="15"/>
      <c r="AA57" s="14"/>
      <c r="AB57" s="6"/>
      <c r="AC57" s="15"/>
      <c r="AD57" s="19"/>
      <c r="AE57" s="15"/>
      <c r="AF57" s="19"/>
      <c r="AG57" s="19"/>
      <c r="AH57" s="19"/>
      <c r="AI57" s="19"/>
      <c r="AJ57" s="6"/>
      <c r="AK57" s="15"/>
      <c r="AL57" s="14"/>
      <c r="AM57" s="6"/>
      <c r="AN57" s="15"/>
      <c r="AO57" s="19"/>
      <c r="AP57" s="15"/>
      <c r="AQ57" s="19"/>
      <c r="AR57" s="19"/>
      <c r="AS57" s="19"/>
      <c r="AT57" s="19"/>
      <c r="AU57" s="6"/>
      <c r="AV57" s="6"/>
      <c r="AW57" s="6"/>
      <c r="AX57" s="6"/>
      <c r="AY57" s="6"/>
      <c r="AZ57" s="6"/>
      <c r="BA57" s="6"/>
    </row>
    <row r="58">
      <c r="B58" s="6"/>
      <c r="C58" s="6"/>
      <c r="D58" s="13"/>
      <c r="E58" s="13"/>
      <c r="F58" s="6"/>
      <c r="G58" s="14"/>
      <c r="H58" s="14"/>
      <c r="I58" s="14"/>
      <c r="J58" s="14"/>
      <c r="K58" s="14"/>
      <c r="L58" s="14"/>
      <c r="M58" s="14"/>
      <c r="N58" s="6"/>
      <c r="O58" s="15"/>
      <c r="P58" s="13"/>
      <c r="Q58" s="6"/>
      <c r="R58" s="15"/>
      <c r="S58" s="14"/>
      <c r="T58" s="15"/>
      <c r="U58" s="14"/>
      <c r="V58" s="14"/>
      <c r="W58" s="14"/>
      <c r="X58" s="14"/>
      <c r="Y58" s="6"/>
      <c r="Z58" s="15"/>
      <c r="AA58" s="14"/>
      <c r="AB58" s="6"/>
      <c r="AC58" s="15"/>
      <c r="AD58" s="19"/>
      <c r="AE58" s="15"/>
      <c r="AF58" s="19"/>
      <c r="AG58" s="19"/>
      <c r="AH58" s="19"/>
      <c r="AI58" s="19"/>
      <c r="AJ58" s="6"/>
      <c r="AK58" s="15"/>
      <c r="AL58" s="14"/>
      <c r="AM58" s="6"/>
      <c r="AN58" s="15"/>
      <c r="AO58" s="19"/>
      <c r="AP58" s="15"/>
      <c r="AQ58" s="19"/>
      <c r="AR58" s="19"/>
      <c r="AS58" s="19"/>
      <c r="AT58" s="19"/>
      <c r="AU58" s="6"/>
      <c r="AV58" s="6"/>
      <c r="AW58" s="6"/>
      <c r="AX58" s="6"/>
      <c r="AY58" s="6"/>
      <c r="AZ58" s="6"/>
      <c r="BA58" s="6"/>
    </row>
    <row r="59">
      <c r="B59" s="6"/>
      <c r="C59" s="6"/>
      <c r="D59" s="13"/>
      <c r="E59" s="13"/>
      <c r="F59" s="6"/>
      <c r="G59" s="14"/>
      <c r="H59" s="14"/>
      <c r="I59" s="14"/>
      <c r="J59" s="14"/>
      <c r="K59" s="14"/>
      <c r="L59" s="14"/>
      <c r="M59" s="14"/>
      <c r="N59" s="6"/>
      <c r="O59" s="15"/>
      <c r="P59" s="13"/>
      <c r="Q59" s="6"/>
      <c r="R59" s="15"/>
      <c r="S59" s="14"/>
      <c r="T59" s="15"/>
      <c r="U59" s="14"/>
      <c r="V59" s="14"/>
      <c r="W59" s="14"/>
      <c r="X59" s="14"/>
      <c r="Y59" s="6"/>
      <c r="Z59" s="15"/>
      <c r="AA59" s="14"/>
      <c r="AB59" s="6"/>
      <c r="AC59" s="15"/>
      <c r="AD59" s="19"/>
      <c r="AE59" s="15"/>
      <c r="AF59" s="19"/>
      <c r="AG59" s="19"/>
      <c r="AH59" s="19"/>
      <c r="AI59" s="19"/>
      <c r="AJ59" s="6"/>
      <c r="AK59" s="15"/>
      <c r="AL59" s="14"/>
      <c r="AM59" s="6"/>
      <c r="AN59" s="15"/>
      <c r="AO59" s="19"/>
      <c r="AP59" s="15"/>
      <c r="AQ59" s="19"/>
      <c r="AR59" s="19"/>
      <c r="AS59" s="19"/>
      <c r="AT59" s="19"/>
      <c r="AU59" s="6"/>
      <c r="AV59" s="6"/>
      <c r="AW59" s="6"/>
      <c r="AX59" s="6"/>
      <c r="AY59" s="6"/>
      <c r="AZ59" s="6"/>
      <c r="BA59" s="6"/>
    </row>
    <row r="60">
      <c r="B60" s="6"/>
      <c r="C60" s="6"/>
      <c r="D60" s="13"/>
      <c r="E60" s="13"/>
      <c r="F60" s="6"/>
      <c r="G60" s="14"/>
      <c r="H60" s="14"/>
      <c r="I60" s="14"/>
      <c r="J60" s="14"/>
      <c r="K60" s="14"/>
      <c r="L60" s="14"/>
      <c r="M60" s="14"/>
      <c r="N60" s="6"/>
      <c r="O60" s="15"/>
      <c r="P60" s="13"/>
      <c r="Q60" s="6"/>
      <c r="R60" s="15"/>
      <c r="S60" s="14"/>
      <c r="T60" s="15"/>
      <c r="U60" s="14"/>
      <c r="V60" s="14"/>
      <c r="W60" s="14"/>
      <c r="X60" s="14"/>
      <c r="Y60" s="6"/>
      <c r="Z60" s="15"/>
      <c r="AA60" s="14"/>
      <c r="AB60" s="6"/>
      <c r="AC60" s="15"/>
      <c r="AD60" s="19"/>
      <c r="AE60" s="15"/>
      <c r="AF60" s="19"/>
      <c r="AG60" s="19"/>
      <c r="AH60" s="19"/>
      <c r="AI60" s="19"/>
      <c r="AJ60" s="6"/>
      <c r="AK60" s="15"/>
      <c r="AL60" s="14"/>
      <c r="AM60" s="6"/>
      <c r="AN60" s="15"/>
      <c r="AO60" s="19"/>
      <c r="AP60" s="15"/>
      <c r="AQ60" s="19"/>
      <c r="AR60" s="19"/>
      <c r="AS60" s="19"/>
      <c r="AT60" s="19"/>
      <c r="AU60" s="6"/>
      <c r="AV60" s="6"/>
      <c r="AW60" s="6"/>
      <c r="AX60" s="6"/>
      <c r="AY60" s="6"/>
      <c r="AZ60" s="6"/>
      <c r="BA60" s="6"/>
    </row>
    <row r="61">
      <c r="B61" s="6"/>
      <c r="C61" s="6"/>
      <c r="D61" s="13"/>
      <c r="E61" s="13"/>
      <c r="F61" s="6"/>
      <c r="G61" s="14"/>
      <c r="H61" s="14"/>
      <c r="I61" s="14"/>
      <c r="J61" s="14"/>
      <c r="K61" s="14"/>
      <c r="L61" s="14"/>
      <c r="M61" s="14"/>
      <c r="N61" s="6"/>
      <c r="O61" s="15"/>
      <c r="P61" s="13"/>
      <c r="Q61" s="6"/>
      <c r="R61" s="15"/>
      <c r="S61" s="14"/>
      <c r="T61" s="15"/>
      <c r="U61" s="14"/>
      <c r="V61" s="14"/>
      <c r="W61" s="14"/>
      <c r="X61" s="14"/>
      <c r="Y61" s="6"/>
      <c r="Z61" s="15"/>
      <c r="AA61" s="14"/>
      <c r="AB61" s="6"/>
      <c r="AC61" s="15"/>
      <c r="AD61" s="19"/>
      <c r="AE61" s="15"/>
      <c r="AF61" s="19"/>
      <c r="AG61" s="19"/>
      <c r="AH61" s="19"/>
      <c r="AI61" s="19"/>
      <c r="AJ61" s="6"/>
      <c r="AK61" s="15"/>
      <c r="AL61" s="14"/>
      <c r="AM61" s="6"/>
      <c r="AN61" s="15"/>
      <c r="AO61" s="19"/>
      <c r="AP61" s="15"/>
      <c r="AQ61" s="19"/>
      <c r="AR61" s="19"/>
      <c r="AS61" s="19"/>
      <c r="AT61" s="19"/>
      <c r="AU61" s="6"/>
      <c r="AV61" s="6"/>
      <c r="AW61" s="6"/>
      <c r="AX61" s="6"/>
      <c r="AY61" s="6"/>
      <c r="AZ61" s="6"/>
      <c r="BA61" s="6"/>
    </row>
    <row r="62">
      <c r="B62" s="20"/>
      <c r="C62" s="20"/>
      <c r="D62" s="21"/>
      <c r="E62" s="21"/>
      <c r="F62" s="20"/>
      <c r="G62" s="22"/>
      <c r="H62" s="22"/>
      <c r="I62" s="22"/>
      <c r="J62" s="22"/>
      <c r="K62" s="22"/>
      <c r="L62" s="22"/>
      <c r="M62" s="22"/>
      <c r="N62" s="20"/>
      <c r="O62" s="23"/>
      <c r="P62" s="21"/>
      <c r="Q62" s="20"/>
      <c r="R62" s="23"/>
      <c r="S62" s="22"/>
      <c r="T62" s="23"/>
      <c r="U62" s="22"/>
      <c r="V62" s="22"/>
      <c r="W62" s="22"/>
      <c r="X62" s="22"/>
      <c r="Y62" s="20"/>
      <c r="Z62" s="23"/>
      <c r="AA62" s="22"/>
      <c r="AB62" s="20"/>
      <c r="AC62" s="23"/>
      <c r="AD62" s="24"/>
      <c r="AE62" s="23"/>
      <c r="AF62" s="24"/>
      <c r="AG62" s="24"/>
      <c r="AH62" s="24"/>
      <c r="AI62" s="24"/>
      <c r="AJ62" s="20"/>
      <c r="AK62" s="23"/>
      <c r="AL62" s="22"/>
      <c r="AM62" s="20"/>
      <c r="AN62" s="23"/>
      <c r="AO62" s="25"/>
      <c r="AP62" s="23"/>
      <c r="AQ62" s="24"/>
      <c r="AR62" s="24"/>
      <c r="AS62" s="24"/>
      <c r="AT62" s="24"/>
      <c r="AU62" s="20"/>
      <c r="AV62" s="20"/>
      <c r="AW62" s="20"/>
      <c r="AX62" s="20"/>
      <c r="AY62" s="20"/>
      <c r="AZ62" s="20"/>
      <c r="BA62" s="20"/>
    </row>
    <row r="63">
      <c r="A63" s="18" t="s">
        <v>290</v>
      </c>
      <c r="B63" s="20"/>
      <c r="C63" s="20"/>
      <c r="D63" s="21"/>
      <c r="E63" s="21"/>
      <c r="F63" s="20"/>
      <c r="G63" s="22"/>
      <c r="H63" s="22"/>
      <c r="I63" s="22"/>
      <c r="J63" s="22"/>
      <c r="K63" s="22"/>
      <c r="L63" s="22"/>
      <c r="M63" s="22"/>
      <c r="N63" s="20"/>
      <c r="O63" s="23"/>
      <c r="P63" s="21"/>
      <c r="Q63" s="20"/>
      <c r="R63" s="23"/>
      <c r="S63" s="22"/>
      <c r="T63" s="23"/>
      <c r="U63" s="22"/>
      <c r="V63" s="22"/>
      <c r="W63" s="22"/>
      <c r="X63" s="22"/>
      <c r="Y63" s="20"/>
      <c r="Z63" s="23"/>
      <c r="AA63" s="22"/>
      <c r="AB63" s="20"/>
      <c r="AC63" s="23"/>
      <c r="AD63" s="24"/>
      <c r="AE63" s="23"/>
      <c r="AF63" s="24"/>
      <c r="AG63" s="24"/>
      <c r="AH63" s="24"/>
      <c r="AI63" s="24"/>
      <c r="AJ63" s="20"/>
      <c r="AK63" s="23"/>
      <c r="AL63" s="22"/>
      <c r="AM63" s="20"/>
      <c r="AN63" s="23"/>
      <c r="AO63" s="25"/>
      <c r="AP63" s="23"/>
      <c r="AQ63" s="24"/>
      <c r="AR63" s="24"/>
      <c r="AS63" s="24"/>
      <c r="AT63" s="24"/>
      <c r="AU63" s="20"/>
      <c r="AV63" s="20"/>
      <c r="AW63" s="20"/>
      <c r="AX63" s="20"/>
      <c r="AY63" s="20"/>
      <c r="AZ63" s="20"/>
      <c r="BA63" s="20"/>
    </row>
    <row r="64">
      <c r="B64" s="20"/>
      <c r="C64" s="20"/>
      <c r="D64" s="21"/>
      <c r="E64" s="21"/>
      <c r="F64" s="20"/>
      <c r="G64" s="22"/>
      <c r="H64" s="22"/>
      <c r="I64" s="22"/>
      <c r="J64" s="22"/>
      <c r="K64" s="22"/>
      <c r="L64" s="22"/>
      <c r="M64" s="22"/>
      <c r="N64" s="20"/>
      <c r="O64" s="23"/>
      <c r="P64" s="21"/>
      <c r="Q64" s="20"/>
      <c r="R64" s="23"/>
      <c r="S64" s="22"/>
      <c r="T64" s="23"/>
      <c r="U64" s="22"/>
      <c r="V64" s="22"/>
      <c r="W64" s="22"/>
      <c r="X64" s="22"/>
      <c r="Y64" s="20"/>
      <c r="Z64" s="23"/>
      <c r="AA64" s="22"/>
      <c r="AB64" s="20"/>
      <c r="AC64" s="23"/>
      <c r="AD64" s="24"/>
      <c r="AE64" s="23"/>
      <c r="AF64" s="24"/>
      <c r="AG64" s="24"/>
      <c r="AH64" s="24"/>
      <c r="AI64" s="24"/>
      <c r="AJ64" s="20"/>
      <c r="AK64" s="23"/>
      <c r="AL64" s="22"/>
      <c r="AM64" s="20"/>
      <c r="AN64" s="23"/>
      <c r="AO64" s="25"/>
      <c r="AP64" s="23"/>
      <c r="AQ64" s="24"/>
      <c r="AR64" s="24"/>
      <c r="AS64" s="24"/>
      <c r="AT64" s="24"/>
      <c r="AU64" s="20"/>
      <c r="AV64" s="20"/>
      <c r="AW64" s="20"/>
      <c r="AX64" s="20"/>
      <c r="AY64" s="20"/>
      <c r="AZ64" s="20"/>
      <c r="BA64" s="20"/>
    </row>
    <row r="65">
      <c r="A65" s="18" t="s">
        <v>291</v>
      </c>
      <c r="B65" s="20"/>
      <c r="C65" s="20"/>
      <c r="D65" s="21"/>
      <c r="E65" s="21"/>
      <c r="F65" s="20"/>
      <c r="G65" s="22"/>
      <c r="H65" s="22"/>
      <c r="I65" s="22"/>
      <c r="J65" s="22"/>
      <c r="K65" s="22"/>
      <c r="L65" s="22"/>
      <c r="M65" s="22"/>
      <c r="N65" s="20"/>
      <c r="O65" s="23"/>
      <c r="P65" s="21"/>
      <c r="Q65" s="20"/>
      <c r="R65" s="23"/>
      <c r="S65" s="22"/>
      <c r="T65" s="23"/>
      <c r="U65" s="22"/>
      <c r="V65" s="22"/>
      <c r="W65" s="22"/>
      <c r="X65" s="22"/>
      <c r="Y65" s="20"/>
      <c r="Z65" s="23"/>
      <c r="AA65" s="22"/>
      <c r="AB65" s="20"/>
      <c r="AC65" s="23"/>
      <c r="AD65" s="24"/>
      <c r="AE65" s="23"/>
      <c r="AF65" s="24"/>
      <c r="AG65" s="24"/>
      <c r="AH65" s="24"/>
      <c r="AI65" s="24"/>
      <c r="AJ65" s="20"/>
      <c r="AK65" s="23"/>
      <c r="AL65" s="22"/>
      <c r="AM65" s="20"/>
      <c r="AN65" s="23"/>
      <c r="AO65" s="25"/>
      <c r="AP65" s="23"/>
      <c r="AQ65" s="24"/>
      <c r="AR65" s="24"/>
      <c r="AS65" s="24"/>
      <c r="AT65" s="24"/>
      <c r="AU65" s="20"/>
      <c r="AV65" s="20"/>
      <c r="AW65" s="20"/>
      <c r="AX65" s="20"/>
      <c r="AY65" s="20"/>
      <c r="AZ65" s="20"/>
      <c r="BA65" s="20"/>
    </row>
    <row r="66">
      <c r="A66" s="18" t="s">
        <v>292</v>
      </c>
      <c r="B66" s="20"/>
      <c r="C66" s="20"/>
      <c r="D66" s="21"/>
      <c r="E66" s="21"/>
      <c r="F66" s="20"/>
      <c r="G66" s="22"/>
      <c r="H66" s="22"/>
      <c r="I66" s="22"/>
      <c r="J66" s="22"/>
      <c r="K66" s="22"/>
      <c r="L66" s="22"/>
      <c r="M66" s="22"/>
      <c r="N66" s="20"/>
      <c r="O66" s="23"/>
      <c r="P66" s="21"/>
      <c r="Q66" s="20"/>
      <c r="R66" s="23"/>
      <c r="S66" s="22"/>
      <c r="T66" s="23"/>
      <c r="U66" s="22"/>
      <c r="V66" s="22"/>
      <c r="W66" s="22"/>
      <c r="X66" s="22"/>
      <c r="Y66" s="20"/>
      <c r="Z66" s="23"/>
      <c r="AA66" s="22"/>
      <c r="AB66" s="20"/>
      <c r="AC66" s="23"/>
      <c r="AD66" s="24"/>
      <c r="AE66" s="23"/>
      <c r="AF66" s="24"/>
      <c r="AG66" s="24"/>
      <c r="AH66" s="24"/>
      <c r="AI66" s="24"/>
      <c r="AJ66" s="20"/>
      <c r="AK66" s="23"/>
      <c r="AL66" s="22"/>
      <c r="AM66" s="20"/>
      <c r="AN66" s="23"/>
      <c r="AO66" s="25"/>
      <c r="AP66" s="23"/>
      <c r="AQ66" s="24"/>
      <c r="AR66" s="24"/>
      <c r="AS66" s="24"/>
      <c r="AT66" s="24"/>
      <c r="AU66" s="20"/>
      <c r="AV66" s="20"/>
      <c r="AW66" s="20"/>
      <c r="AX66" s="20"/>
      <c r="AY66" s="20"/>
      <c r="AZ66" s="20"/>
      <c r="BA66" s="20"/>
    </row>
    <row r="67">
      <c r="A67" s="18" t="s">
        <v>293</v>
      </c>
      <c r="B67" s="20"/>
      <c r="C67" s="20"/>
      <c r="D67" s="21"/>
      <c r="E67" s="21"/>
      <c r="F67" s="20"/>
      <c r="G67" s="22"/>
      <c r="H67" s="22"/>
      <c r="I67" s="22"/>
      <c r="J67" s="22"/>
      <c r="K67" s="22"/>
      <c r="L67" s="22"/>
      <c r="M67" s="22"/>
      <c r="N67" s="20"/>
      <c r="O67" s="23"/>
      <c r="P67" s="21"/>
      <c r="Q67" s="20"/>
      <c r="R67" s="23"/>
      <c r="S67" s="22"/>
      <c r="T67" s="23"/>
      <c r="U67" s="22"/>
      <c r="V67" s="22"/>
      <c r="W67" s="22"/>
      <c r="X67" s="22"/>
      <c r="Y67" s="20"/>
      <c r="Z67" s="23"/>
      <c r="AA67" s="22"/>
      <c r="AB67" s="20"/>
      <c r="AC67" s="23"/>
      <c r="AD67" s="24"/>
      <c r="AE67" s="23"/>
      <c r="AF67" s="24"/>
      <c r="AG67" s="24"/>
      <c r="AH67" s="24"/>
      <c r="AI67" s="24"/>
      <c r="AJ67" s="20"/>
      <c r="AK67" s="23"/>
      <c r="AL67" s="22"/>
      <c r="AM67" s="20"/>
      <c r="AN67" s="23"/>
      <c r="AO67" s="25"/>
      <c r="AP67" s="23"/>
      <c r="AQ67" s="24"/>
      <c r="AR67" s="24"/>
      <c r="AS67" s="24"/>
      <c r="AT67" s="24"/>
      <c r="AU67" s="20"/>
      <c r="AV67" s="20"/>
      <c r="AW67" s="20"/>
      <c r="AX67" s="20"/>
      <c r="AY67" s="20"/>
      <c r="AZ67" s="20"/>
      <c r="BA67" s="20"/>
    </row>
    <row r="68">
      <c r="A68" s="18" t="s">
        <v>294</v>
      </c>
      <c r="B68" s="20"/>
      <c r="C68" s="20"/>
      <c r="D68" s="21"/>
      <c r="E68" s="21"/>
      <c r="F68" s="20"/>
      <c r="G68" s="22"/>
      <c r="H68" s="22"/>
      <c r="I68" s="22"/>
      <c r="J68" s="22"/>
      <c r="K68" s="22"/>
      <c r="L68" s="22"/>
      <c r="M68" s="22"/>
      <c r="N68" s="20"/>
      <c r="O68" s="23"/>
      <c r="P68" s="21"/>
      <c r="Q68" s="20"/>
      <c r="R68" s="23"/>
      <c r="S68" s="22"/>
      <c r="T68" s="23"/>
      <c r="U68" s="22"/>
      <c r="V68" s="22"/>
      <c r="W68" s="22"/>
      <c r="X68" s="22"/>
      <c r="Y68" s="20"/>
      <c r="Z68" s="23"/>
      <c r="AA68" s="22"/>
      <c r="AB68" s="20"/>
      <c r="AC68" s="23"/>
      <c r="AD68" s="24"/>
      <c r="AE68" s="23"/>
      <c r="AF68" s="24"/>
      <c r="AG68" s="24"/>
      <c r="AH68" s="24"/>
      <c r="AI68" s="24"/>
      <c r="AJ68" s="20"/>
      <c r="AK68" s="23"/>
      <c r="AL68" s="22"/>
      <c r="AM68" s="20"/>
      <c r="AN68" s="23"/>
      <c r="AO68" s="25"/>
      <c r="AP68" s="23"/>
      <c r="AQ68" s="24"/>
      <c r="AR68" s="24"/>
      <c r="AS68" s="24"/>
      <c r="AT68" s="24"/>
      <c r="AU68" s="20"/>
      <c r="AV68" s="20"/>
      <c r="AW68" s="20"/>
      <c r="AX68" s="20"/>
      <c r="AY68" s="20"/>
      <c r="AZ68" s="20"/>
      <c r="BA68" s="20"/>
    </row>
    <row r="69">
      <c r="B69" s="20"/>
      <c r="C69" s="20"/>
      <c r="D69" s="21"/>
      <c r="E69" s="21"/>
      <c r="F69" s="20"/>
      <c r="G69" s="22"/>
      <c r="H69" s="22"/>
      <c r="I69" s="22"/>
      <c r="J69" s="22"/>
      <c r="K69" s="22"/>
      <c r="L69" s="22"/>
      <c r="M69" s="22"/>
      <c r="N69" s="20"/>
      <c r="O69" s="23"/>
      <c r="P69" s="21"/>
      <c r="Q69" s="20"/>
      <c r="R69" s="23"/>
      <c r="S69" s="22"/>
      <c r="T69" s="23"/>
      <c r="U69" s="22"/>
      <c r="V69" s="22"/>
      <c r="W69" s="22"/>
      <c r="X69" s="22"/>
      <c r="Y69" s="20"/>
      <c r="Z69" s="23"/>
      <c r="AA69" s="22"/>
      <c r="AB69" s="20"/>
      <c r="AC69" s="23"/>
      <c r="AD69" s="24"/>
      <c r="AE69" s="23"/>
      <c r="AF69" s="24"/>
      <c r="AG69" s="24"/>
      <c r="AH69" s="24"/>
      <c r="AI69" s="24"/>
      <c r="AJ69" s="20"/>
      <c r="AK69" s="23"/>
      <c r="AL69" s="22"/>
      <c r="AM69" s="20"/>
      <c r="AN69" s="23"/>
      <c r="AO69" s="25"/>
      <c r="AP69" s="23"/>
      <c r="AQ69" s="24"/>
      <c r="AR69" s="24"/>
      <c r="AS69" s="24"/>
      <c r="AT69" s="24"/>
      <c r="AU69" s="20"/>
      <c r="AV69" s="20"/>
      <c r="AW69" s="20"/>
      <c r="AX69" s="20"/>
      <c r="AY69" s="20"/>
      <c r="AZ69" s="20"/>
      <c r="BA69" s="20"/>
    </row>
    <row r="70">
      <c r="A70" s="18" t="s">
        <v>295</v>
      </c>
      <c r="B70" s="20"/>
      <c r="C70" s="20"/>
      <c r="D70" s="21"/>
      <c r="E70" s="21"/>
      <c r="F70" s="20"/>
      <c r="G70" s="22"/>
      <c r="H70" s="22"/>
      <c r="I70" s="22"/>
      <c r="J70" s="22"/>
      <c r="K70" s="22"/>
      <c r="L70" s="22"/>
      <c r="M70" s="22"/>
      <c r="N70" s="20"/>
      <c r="O70" s="23"/>
      <c r="P70" s="21"/>
      <c r="Q70" s="20"/>
      <c r="R70" s="23"/>
      <c r="S70" s="22"/>
      <c r="T70" s="23"/>
      <c r="U70" s="22"/>
      <c r="V70" s="22"/>
      <c r="W70" s="22"/>
      <c r="X70" s="22"/>
      <c r="Y70" s="20"/>
      <c r="Z70" s="23"/>
      <c r="AA70" s="22"/>
      <c r="AB70" s="20"/>
      <c r="AC70" s="23"/>
      <c r="AD70" s="24"/>
      <c r="AE70" s="23"/>
      <c r="AF70" s="24"/>
      <c r="AG70" s="24"/>
      <c r="AH70" s="24"/>
      <c r="AI70" s="24"/>
      <c r="AJ70" s="20"/>
      <c r="AK70" s="23"/>
      <c r="AL70" s="22"/>
      <c r="AM70" s="20"/>
      <c r="AN70" s="23"/>
      <c r="AO70" s="25"/>
      <c r="AP70" s="23"/>
      <c r="AQ70" s="24"/>
      <c r="AR70" s="24"/>
      <c r="AS70" s="24"/>
      <c r="AT70" s="24"/>
      <c r="AU70" s="20"/>
      <c r="AV70" s="20"/>
      <c r="AW70" s="20"/>
      <c r="AX70" s="20"/>
      <c r="AY70" s="20"/>
      <c r="AZ70" s="20"/>
      <c r="BA70" s="20"/>
    </row>
    <row r="71">
      <c r="A71" s="20"/>
      <c r="B71" s="20"/>
      <c r="C71" s="20"/>
      <c r="D71" s="21"/>
      <c r="E71" s="21"/>
      <c r="F71" s="20"/>
      <c r="G71" s="22"/>
      <c r="H71" s="22"/>
      <c r="I71" s="22"/>
      <c r="J71" s="22"/>
      <c r="K71" s="22"/>
      <c r="L71" s="22"/>
      <c r="M71" s="22"/>
      <c r="N71" s="20"/>
      <c r="O71" s="23"/>
      <c r="P71" s="21"/>
      <c r="Q71" s="20"/>
      <c r="R71" s="23"/>
      <c r="S71" s="22"/>
      <c r="T71" s="23"/>
      <c r="U71" s="22"/>
      <c r="V71" s="22"/>
      <c r="W71" s="22"/>
      <c r="X71" s="22"/>
      <c r="Y71" s="20"/>
      <c r="Z71" s="23"/>
      <c r="AA71" s="22"/>
      <c r="AB71" s="20"/>
      <c r="AC71" s="23"/>
      <c r="AD71" s="24"/>
      <c r="AE71" s="23"/>
      <c r="AF71" s="24"/>
      <c r="AG71" s="24"/>
      <c r="AH71" s="24"/>
      <c r="AI71" s="24"/>
      <c r="AJ71" s="20"/>
      <c r="AK71" s="23"/>
      <c r="AL71" s="22"/>
      <c r="AM71" s="20"/>
      <c r="AN71" s="23"/>
      <c r="AO71" s="25"/>
      <c r="AP71" s="23"/>
      <c r="AQ71" s="24"/>
      <c r="AR71" s="24"/>
      <c r="AS71" s="24"/>
      <c r="AT71" s="24"/>
      <c r="AU71" s="20"/>
      <c r="AV71" s="20"/>
      <c r="AW71" s="20"/>
      <c r="AX71" s="20"/>
      <c r="AY71" s="20"/>
      <c r="AZ71" s="20"/>
      <c r="BA71" s="20"/>
    </row>
    <row r="72">
      <c r="A72" s="20"/>
      <c r="B72" s="20"/>
      <c r="C72" s="20"/>
      <c r="D72" s="21"/>
      <c r="E72" s="21"/>
      <c r="F72" s="20"/>
      <c r="G72" s="22"/>
      <c r="H72" s="22"/>
      <c r="I72" s="22"/>
      <c r="J72" s="22"/>
      <c r="K72" s="22"/>
      <c r="L72" s="22"/>
      <c r="M72" s="22"/>
      <c r="N72" s="20"/>
      <c r="O72" s="23"/>
      <c r="P72" s="21"/>
      <c r="Q72" s="20"/>
      <c r="R72" s="23"/>
      <c r="S72" s="22"/>
      <c r="T72" s="23"/>
      <c r="U72" s="22"/>
      <c r="V72" s="22"/>
      <c r="W72" s="22"/>
      <c r="X72" s="22"/>
      <c r="Y72" s="20"/>
      <c r="Z72" s="23"/>
      <c r="AA72" s="22"/>
      <c r="AB72" s="20"/>
      <c r="AC72" s="23"/>
      <c r="AD72" s="24"/>
      <c r="AE72" s="23"/>
      <c r="AF72" s="24"/>
      <c r="AG72" s="24"/>
      <c r="AH72" s="24"/>
      <c r="AI72" s="24"/>
      <c r="AJ72" s="20"/>
      <c r="AK72" s="23"/>
      <c r="AL72" s="22"/>
      <c r="AM72" s="20"/>
      <c r="AN72" s="23"/>
      <c r="AO72" s="25"/>
      <c r="AP72" s="23"/>
      <c r="AQ72" s="24"/>
      <c r="AR72" s="24"/>
      <c r="AS72" s="24"/>
      <c r="AT72" s="24"/>
      <c r="AU72" s="20"/>
      <c r="AV72" s="20"/>
      <c r="AW72" s="20"/>
      <c r="AX72" s="20"/>
      <c r="AY72" s="20"/>
      <c r="AZ72" s="20"/>
      <c r="BA72" s="20"/>
    </row>
    <row r="73">
      <c r="A73" s="20"/>
      <c r="B73" s="20"/>
      <c r="C73" s="20"/>
      <c r="D73" s="21"/>
      <c r="E73" s="21"/>
      <c r="F73" s="20"/>
      <c r="G73" s="22"/>
      <c r="H73" s="22"/>
      <c r="I73" s="22"/>
      <c r="J73" s="22"/>
      <c r="K73" s="22"/>
      <c r="L73" s="22"/>
      <c r="M73" s="22"/>
      <c r="N73" s="20"/>
      <c r="O73" s="23"/>
      <c r="P73" s="21"/>
      <c r="Q73" s="20"/>
      <c r="R73" s="23"/>
      <c r="S73" s="22"/>
      <c r="T73" s="23"/>
      <c r="U73" s="22"/>
      <c r="V73" s="22"/>
      <c r="W73" s="22"/>
      <c r="X73" s="22"/>
      <c r="Y73" s="20"/>
      <c r="Z73" s="23"/>
      <c r="AA73" s="22"/>
      <c r="AB73" s="20"/>
      <c r="AC73" s="23"/>
      <c r="AD73" s="24"/>
      <c r="AE73" s="23"/>
      <c r="AF73" s="24"/>
      <c r="AG73" s="24"/>
      <c r="AH73" s="24"/>
      <c r="AI73" s="24"/>
      <c r="AJ73" s="20"/>
      <c r="AK73" s="23"/>
      <c r="AL73" s="22"/>
      <c r="AM73" s="20"/>
      <c r="AN73" s="23"/>
      <c r="AO73" s="25"/>
      <c r="AP73" s="23"/>
      <c r="AQ73" s="24"/>
      <c r="AR73" s="24"/>
      <c r="AS73" s="24"/>
      <c r="AT73" s="24"/>
      <c r="AU73" s="20"/>
      <c r="AV73" s="20"/>
      <c r="AW73" s="20"/>
      <c r="AX73" s="20"/>
      <c r="AY73" s="20"/>
      <c r="AZ73" s="20"/>
      <c r="BA73" s="20"/>
    </row>
    <row r="74">
      <c r="A74" s="20"/>
      <c r="B74" s="20"/>
      <c r="C74" s="20"/>
      <c r="D74" s="21"/>
      <c r="E74" s="21"/>
      <c r="F74" s="20"/>
      <c r="G74" s="22"/>
      <c r="H74" s="22"/>
      <c r="I74" s="22"/>
      <c r="J74" s="22"/>
      <c r="K74" s="22"/>
      <c r="L74" s="22"/>
      <c r="M74" s="22"/>
      <c r="N74" s="20"/>
      <c r="O74" s="23"/>
      <c r="P74" s="21"/>
      <c r="Q74" s="20"/>
      <c r="R74" s="23"/>
      <c r="S74" s="22"/>
      <c r="T74" s="23"/>
      <c r="U74" s="22"/>
      <c r="V74" s="22"/>
      <c r="W74" s="22"/>
      <c r="X74" s="22"/>
      <c r="Y74" s="20"/>
      <c r="Z74" s="23"/>
      <c r="AA74" s="22"/>
      <c r="AB74" s="20"/>
      <c r="AC74" s="23"/>
      <c r="AD74" s="24"/>
      <c r="AE74" s="23"/>
      <c r="AF74" s="24"/>
      <c r="AG74" s="24"/>
      <c r="AH74" s="24"/>
      <c r="AI74" s="24"/>
      <c r="AJ74" s="20"/>
      <c r="AK74" s="23"/>
      <c r="AL74" s="22"/>
      <c r="AM74" s="20"/>
      <c r="AN74" s="23"/>
      <c r="AO74" s="25"/>
      <c r="AP74" s="23"/>
      <c r="AQ74" s="24"/>
      <c r="AR74" s="24"/>
      <c r="AS74" s="24"/>
      <c r="AT74" s="24"/>
      <c r="AU74" s="20"/>
      <c r="AV74" s="20"/>
      <c r="AW74" s="20"/>
      <c r="AX74" s="20"/>
      <c r="AY74" s="20"/>
      <c r="AZ74" s="20"/>
      <c r="BA74" s="20"/>
    </row>
    <row r="75">
      <c r="A75" s="20"/>
      <c r="B75" s="20"/>
      <c r="C75" s="20"/>
      <c r="D75" s="21"/>
      <c r="E75" s="21"/>
      <c r="F75" s="20"/>
      <c r="G75" s="22"/>
      <c r="H75" s="22"/>
      <c r="I75" s="22"/>
      <c r="J75" s="22"/>
      <c r="K75" s="22"/>
      <c r="L75" s="22"/>
      <c r="M75" s="22"/>
      <c r="N75" s="20"/>
      <c r="O75" s="23"/>
      <c r="P75" s="21"/>
      <c r="Q75" s="20"/>
      <c r="R75" s="23"/>
      <c r="S75" s="22"/>
      <c r="T75" s="23"/>
      <c r="U75" s="22"/>
      <c r="V75" s="22"/>
      <c r="W75" s="22"/>
      <c r="X75" s="22"/>
      <c r="Y75" s="20"/>
      <c r="Z75" s="23"/>
      <c r="AA75" s="22"/>
      <c r="AB75" s="20"/>
      <c r="AC75" s="23"/>
      <c r="AD75" s="24"/>
      <c r="AE75" s="23"/>
      <c r="AF75" s="24"/>
      <c r="AG75" s="24"/>
      <c r="AH75" s="24"/>
      <c r="AI75" s="24"/>
      <c r="AJ75" s="20"/>
      <c r="AK75" s="23"/>
      <c r="AL75" s="22"/>
      <c r="AM75" s="20"/>
      <c r="AN75" s="23"/>
      <c r="AO75" s="25"/>
      <c r="AP75" s="23"/>
      <c r="AQ75" s="24"/>
      <c r="AR75" s="24"/>
      <c r="AS75" s="24"/>
      <c r="AT75" s="24"/>
      <c r="AU75" s="20"/>
      <c r="AV75" s="20"/>
      <c r="AW75" s="20"/>
      <c r="AX75" s="20"/>
      <c r="AY75" s="20"/>
      <c r="AZ75" s="20"/>
      <c r="BA75" s="20"/>
    </row>
    <row r="76">
      <c r="A76" s="20"/>
      <c r="B76" s="20"/>
      <c r="C76" s="20"/>
      <c r="D76" s="21"/>
      <c r="E76" s="21"/>
      <c r="F76" s="20"/>
      <c r="G76" s="22"/>
      <c r="H76" s="22"/>
      <c r="I76" s="22"/>
      <c r="J76" s="22"/>
      <c r="K76" s="22"/>
      <c r="L76" s="22"/>
      <c r="M76" s="22"/>
      <c r="N76" s="20"/>
      <c r="O76" s="23"/>
      <c r="P76" s="21"/>
      <c r="Q76" s="20"/>
      <c r="R76" s="23"/>
      <c r="S76" s="22"/>
      <c r="T76" s="23"/>
      <c r="U76" s="22"/>
      <c r="V76" s="22"/>
      <c r="W76" s="22"/>
      <c r="X76" s="22"/>
      <c r="Y76" s="20"/>
      <c r="Z76" s="23"/>
      <c r="AA76" s="22"/>
      <c r="AB76" s="20"/>
      <c r="AC76" s="23"/>
      <c r="AD76" s="24"/>
      <c r="AE76" s="23"/>
      <c r="AF76" s="24"/>
      <c r="AG76" s="24"/>
      <c r="AH76" s="24"/>
      <c r="AI76" s="24"/>
      <c r="AJ76" s="20"/>
      <c r="AK76" s="23"/>
      <c r="AL76" s="22"/>
      <c r="AM76" s="20"/>
      <c r="AN76" s="23"/>
      <c r="AO76" s="25"/>
      <c r="AP76" s="23"/>
      <c r="AQ76" s="24"/>
      <c r="AR76" s="24"/>
      <c r="AS76" s="24"/>
      <c r="AT76" s="24"/>
      <c r="AU76" s="20"/>
      <c r="AV76" s="20"/>
      <c r="AW76" s="20"/>
      <c r="AX76" s="20"/>
      <c r="AY76" s="20"/>
      <c r="AZ76" s="20"/>
      <c r="BA76" s="20"/>
    </row>
    <row r="77">
      <c r="A77" s="20"/>
      <c r="B77" s="20"/>
      <c r="C77" s="20"/>
      <c r="D77" s="21"/>
      <c r="E77" s="21"/>
      <c r="F77" s="20"/>
      <c r="G77" s="22"/>
      <c r="H77" s="22"/>
      <c r="I77" s="22"/>
      <c r="J77" s="22"/>
      <c r="K77" s="22"/>
      <c r="L77" s="22"/>
      <c r="M77" s="22"/>
      <c r="N77" s="20"/>
      <c r="O77" s="23"/>
      <c r="P77" s="21"/>
      <c r="Q77" s="20"/>
      <c r="R77" s="23"/>
      <c r="S77" s="22"/>
      <c r="T77" s="23"/>
      <c r="U77" s="22"/>
      <c r="V77" s="22"/>
      <c r="W77" s="22"/>
      <c r="X77" s="22"/>
      <c r="Y77" s="20"/>
      <c r="Z77" s="23"/>
      <c r="AA77" s="22"/>
      <c r="AB77" s="20"/>
      <c r="AC77" s="23"/>
      <c r="AD77" s="24"/>
      <c r="AE77" s="23"/>
      <c r="AF77" s="24"/>
      <c r="AG77" s="24"/>
      <c r="AH77" s="24"/>
      <c r="AI77" s="24"/>
      <c r="AJ77" s="20"/>
      <c r="AK77" s="23"/>
      <c r="AL77" s="22"/>
      <c r="AM77" s="20"/>
      <c r="AN77" s="23"/>
      <c r="AO77" s="25"/>
      <c r="AP77" s="23"/>
      <c r="AQ77" s="24"/>
      <c r="AR77" s="24"/>
      <c r="AS77" s="24"/>
      <c r="AT77" s="24"/>
      <c r="AU77" s="20"/>
      <c r="AV77" s="20"/>
      <c r="AW77" s="20"/>
      <c r="AX77" s="20"/>
      <c r="AY77" s="20"/>
      <c r="AZ77" s="20"/>
      <c r="BA77" s="20"/>
    </row>
    <row r="78">
      <c r="A78" s="20"/>
      <c r="B78" s="20"/>
      <c r="C78" s="20"/>
      <c r="D78" s="21"/>
      <c r="E78" s="21"/>
      <c r="F78" s="20"/>
      <c r="G78" s="22"/>
      <c r="H78" s="22"/>
      <c r="I78" s="22"/>
      <c r="J78" s="22"/>
      <c r="K78" s="22"/>
      <c r="L78" s="22"/>
      <c r="M78" s="22"/>
      <c r="N78" s="20"/>
      <c r="O78" s="23"/>
      <c r="P78" s="21"/>
      <c r="Q78" s="20"/>
      <c r="R78" s="23"/>
      <c r="S78" s="22"/>
      <c r="T78" s="23"/>
      <c r="U78" s="22"/>
      <c r="V78" s="22"/>
      <c r="W78" s="22"/>
      <c r="X78" s="22"/>
      <c r="Y78" s="20"/>
      <c r="Z78" s="23"/>
      <c r="AA78" s="22"/>
      <c r="AB78" s="20"/>
      <c r="AC78" s="23"/>
      <c r="AD78" s="24"/>
      <c r="AE78" s="23"/>
      <c r="AF78" s="24"/>
      <c r="AG78" s="24"/>
      <c r="AH78" s="24"/>
      <c r="AI78" s="24"/>
      <c r="AJ78" s="20"/>
      <c r="AK78" s="23"/>
      <c r="AL78" s="22"/>
      <c r="AM78" s="20"/>
      <c r="AN78" s="23"/>
      <c r="AO78" s="25"/>
      <c r="AP78" s="23"/>
      <c r="AQ78" s="24"/>
      <c r="AR78" s="24"/>
      <c r="AS78" s="24"/>
      <c r="AT78" s="24"/>
      <c r="AU78" s="20"/>
      <c r="AV78" s="20"/>
      <c r="AW78" s="20"/>
      <c r="AX78" s="20"/>
      <c r="AY78" s="20"/>
      <c r="AZ78" s="20"/>
      <c r="BA78" s="20"/>
    </row>
    <row r="79">
      <c r="A79" s="20"/>
      <c r="B79" s="20"/>
      <c r="C79" s="20"/>
      <c r="D79" s="21"/>
      <c r="E79" s="21"/>
      <c r="F79" s="20"/>
      <c r="G79" s="22"/>
      <c r="H79" s="22"/>
      <c r="I79" s="22"/>
      <c r="J79" s="22"/>
      <c r="K79" s="22"/>
      <c r="L79" s="22"/>
      <c r="M79" s="22"/>
      <c r="N79" s="20"/>
      <c r="O79" s="23"/>
      <c r="P79" s="21"/>
      <c r="Q79" s="20"/>
      <c r="R79" s="23"/>
      <c r="S79" s="22"/>
      <c r="T79" s="23"/>
      <c r="U79" s="22"/>
      <c r="V79" s="22"/>
      <c r="W79" s="22"/>
      <c r="X79" s="22"/>
      <c r="Y79" s="20"/>
      <c r="Z79" s="23"/>
      <c r="AA79" s="22"/>
      <c r="AB79" s="20"/>
      <c r="AC79" s="23"/>
      <c r="AD79" s="24"/>
      <c r="AE79" s="23"/>
      <c r="AF79" s="24"/>
      <c r="AG79" s="24"/>
      <c r="AH79" s="24"/>
      <c r="AI79" s="24"/>
      <c r="AJ79" s="20"/>
      <c r="AK79" s="23"/>
      <c r="AL79" s="22"/>
      <c r="AM79" s="20"/>
      <c r="AN79" s="23"/>
      <c r="AO79" s="25"/>
      <c r="AP79" s="23"/>
      <c r="AQ79" s="24"/>
      <c r="AR79" s="24"/>
      <c r="AS79" s="24"/>
      <c r="AT79" s="24"/>
      <c r="AU79" s="20"/>
      <c r="AV79" s="20"/>
      <c r="AW79" s="20"/>
      <c r="AX79" s="20"/>
      <c r="AY79" s="20"/>
      <c r="AZ79" s="20"/>
      <c r="BA79" s="20"/>
    </row>
    <row r="80">
      <c r="A80" s="20"/>
      <c r="B80" s="20"/>
      <c r="C80" s="20"/>
      <c r="D80" s="21"/>
      <c r="E80" s="21"/>
      <c r="F80" s="20"/>
      <c r="G80" s="22"/>
      <c r="H80" s="22"/>
      <c r="I80" s="22"/>
      <c r="J80" s="22"/>
      <c r="K80" s="22"/>
      <c r="L80" s="22"/>
      <c r="M80" s="22"/>
      <c r="N80" s="20"/>
      <c r="O80" s="23"/>
      <c r="P80" s="21"/>
      <c r="Q80" s="20"/>
      <c r="R80" s="23"/>
      <c r="S80" s="22"/>
      <c r="T80" s="23"/>
      <c r="U80" s="22"/>
      <c r="V80" s="22"/>
      <c r="W80" s="22"/>
      <c r="X80" s="22"/>
      <c r="Y80" s="20"/>
      <c r="Z80" s="23"/>
      <c r="AA80" s="22"/>
      <c r="AB80" s="20"/>
      <c r="AC80" s="23"/>
      <c r="AD80" s="24"/>
      <c r="AE80" s="23"/>
      <c r="AF80" s="24"/>
      <c r="AG80" s="24"/>
      <c r="AH80" s="24"/>
      <c r="AI80" s="24"/>
      <c r="AJ80" s="20"/>
      <c r="AK80" s="23"/>
      <c r="AL80" s="22"/>
      <c r="AM80" s="20"/>
      <c r="AN80" s="23"/>
      <c r="AO80" s="25"/>
      <c r="AP80" s="23"/>
      <c r="AQ80" s="24"/>
      <c r="AR80" s="24"/>
      <c r="AS80" s="24"/>
      <c r="AT80" s="24"/>
      <c r="AU80" s="20"/>
      <c r="AV80" s="20"/>
      <c r="AW80" s="20"/>
      <c r="AX80" s="20"/>
      <c r="AY80" s="20"/>
      <c r="AZ80" s="20"/>
      <c r="BA80" s="20"/>
    </row>
    <row r="81">
      <c r="A81" s="20"/>
      <c r="B81" s="20"/>
      <c r="C81" s="20"/>
      <c r="D81" s="21"/>
      <c r="E81" s="21"/>
      <c r="F81" s="20"/>
      <c r="G81" s="22"/>
      <c r="H81" s="22"/>
      <c r="I81" s="22"/>
      <c r="J81" s="22"/>
      <c r="K81" s="22"/>
      <c r="L81" s="22"/>
      <c r="M81" s="22"/>
      <c r="N81" s="20"/>
      <c r="O81" s="23"/>
      <c r="P81" s="21"/>
      <c r="Q81" s="20"/>
      <c r="R81" s="23"/>
      <c r="S81" s="22"/>
      <c r="T81" s="23"/>
      <c r="U81" s="22"/>
      <c r="V81" s="22"/>
      <c r="W81" s="22"/>
      <c r="X81" s="22"/>
      <c r="Y81" s="20"/>
      <c r="Z81" s="23"/>
      <c r="AA81" s="22"/>
      <c r="AB81" s="20"/>
      <c r="AC81" s="23"/>
      <c r="AD81" s="24"/>
      <c r="AE81" s="23"/>
      <c r="AF81" s="24"/>
      <c r="AG81" s="24"/>
      <c r="AH81" s="24"/>
      <c r="AI81" s="24"/>
      <c r="AJ81" s="20"/>
      <c r="AK81" s="23"/>
      <c r="AL81" s="22"/>
      <c r="AM81" s="20"/>
      <c r="AN81" s="23"/>
      <c r="AO81" s="25"/>
      <c r="AP81" s="23"/>
      <c r="AQ81" s="24"/>
      <c r="AR81" s="24"/>
      <c r="AS81" s="24"/>
      <c r="AT81" s="24"/>
      <c r="AU81" s="20"/>
      <c r="AV81" s="20"/>
      <c r="AW81" s="20"/>
      <c r="AX81" s="20"/>
      <c r="AY81" s="20"/>
      <c r="AZ81" s="20"/>
      <c r="BA81" s="20"/>
    </row>
    <row r="82">
      <c r="A82" s="20"/>
      <c r="B82" s="20"/>
      <c r="C82" s="20"/>
      <c r="D82" s="21"/>
      <c r="E82" s="21"/>
      <c r="F82" s="20"/>
      <c r="G82" s="22"/>
      <c r="H82" s="22"/>
      <c r="I82" s="22"/>
      <c r="J82" s="22"/>
      <c r="K82" s="22"/>
      <c r="L82" s="22"/>
      <c r="M82" s="22"/>
      <c r="N82" s="20"/>
      <c r="O82" s="23"/>
      <c r="P82" s="21"/>
      <c r="Q82" s="20"/>
      <c r="R82" s="23"/>
      <c r="S82" s="22"/>
      <c r="T82" s="23"/>
      <c r="U82" s="22"/>
      <c r="V82" s="22"/>
      <c r="W82" s="22"/>
      <c r="X82" s="22"/>
      <c r="Y82" s="20"/>
      <c r="Z82" s="23"/>
      <c r="AA82" s="22"/>
      <c r="AB82" s="20"/>
      <c r="AC82" s="23"/>
      <c r="AD82" s="24"/>
      <c r="AE82" s="23"/>
      <c r="AF82" s="24"/>
      <c r="AG82" s="24"/>
      <c r="AH82" s="24"/>
      <c r="AI82" s="24"/>
      <c r="AJ82" s="20"/>
      <c r="AK82" s="23"/>
      <c r="AL82" s="22"/>
      <c r="AM82" s="20"/>
      <c r="AN82" s="23"/>
      <c r="AO82" s="25"/>
      <c r="AP82" s="23"/>
      <c r="AQ82" s="24"/>
      <c r="AR82" s="24"/>
      <c r="AS82" s="24"/>
      <c r="AT82" s="24"/>
      <c r="AU82" s="20"/>
      <c r="AV82" s="20"/>
      <c r="AW82" s="20"/>
      <c r="AX82" s="20"/>
      <c r="AY82" s="20"/>
      <c r="AZ82" s="20"/>
      <c r="BA82" s="20"/>
    </row>
    <row r="83">
      <c r="A83" s="20"/>
      <c r="B83" s="20"/>
      <c r="C83" s="20"/>
      <c r="D83" s="21"/>
      <c r="E83" s="21"/>
      <c r="F83" s="20"/>
      <c r="G83" s="22"/>
      <c r="H83" s="22"/>
      <c r="I83" s="22"/>
      <c r="J83" s="22"/>
      <c r="K83" s="22"/>
      <c r="L83" s="22"/>
      <c r="M83" s="22"/>
      <c r="N83" s="20"/>
      <c r="O83" s="23"/>
      <c r="P83" s="21"/>
      <c r="Q83" s="20"/>
      <c r="R83" s="23"/>
      <c r="S83" s="22"/>
      <c r="T83" s="23"/>
      <c r="U83" s="22"/>
      <c r="V83" s="22"/>
      <c r="W83" s="22"/>
      <c r="X83" s="22"/>
      <c r="Y83" s="20"/>
      <c r="Z83" s="23"/>
      <c r="AA83" s="22"/>
      <c r="AB83" s="20"/>
      <c r="AC83" s="23"/>
      <c r="AD83" s="24"/>
      <c r="AE83" s="23"/>
      <c r="AF83" s="24"/>
      <c r="AG83" s="24"/>
      <c r="AH83" s="24"/>
      <c r="AI83" s="24"/>
      <c r="AJ83" s="20"/>
      <c r="AK83" s="23"/>
      <c r="AL83" s="22"/>
      <c r="AM83" s="20"/>
      <c r="AN83" s="23"/>
      <c r="AO83" s="25"/>
      <c r="AP83" s="23"/>
      <c r="AQ83" s="24"/>
      <c r="AR83" s="24"/>
      <c r="AS83" s="24"/>
      <c r="AT83" s="24"/>
      <c r="AU83" s="20"/>
      <c r="AV83" s="20"/>
      <c r="AW83" s="20"/>
      <c r="AX83" s="20"/>
      <c r="AY83" s="20"/>
      <c r="AZ83" s="20"/>
      <c r="BA83" s="20"/>
    </row>
    <row r="84">
      <c r="A84" s="20"/>
      <c r="B84" s="20"/>
      <c r="C84" s="20"/>
      <c r="D84" s="21"/>
      <c r="E84" s="21"/>
      <c r="F84" s="20"/>
      <c r="G84" s="22"/>
      <c r="H84" s="22"/>
      <c r="I84" s="22"/>
      <c r="J84" s="22"/>
      <c r="K84" s="22"/>
      <c r="L84" s="22"/>
      <c r="M84" s="22"/>
      <c r="N84" s="20"/>
      <c r="O84" s="23"/>
      <c r="P84" s="21"/>
      <c r="Q84" s="20"/>
      <c r="R84" s="23"/>
      <c r="S84" s="22"/>
      <c r="T84" s="23"/>
      <c r="U84" s="22"/>
      <c r="V84" s="22"/>
      <c r="W84" s="22"/>
      <c r="X84" s="22"/>
      <c r="Y84" s="20"/>
      <c r="Z84" s="23"/>
      <c r="AA84" s="22"/>
      <c r="AB84" s="20"/>
      <c r="AC84" s="23"/>
      <c r="AD84" s="24"/>
      <c r="AE84" s="23"/>
      <c r="AF84" s="24"/>
      <c r="AG84" s="24"/>
      <c r="AH84" s="24"/>
      <c r="AI84" s="24"/>
      <c r="AJ84" s="20"/>
      <c r="AK84" s="23"/>
      <c r="AL84" s="22"/>
      <c r="AM84" s="20"/>
      <c r="AN84" s="23"/>
      <c r="AO84" s="25"/>
      <c r="AP84" s="23"/>
      <c r="AQ84" s="24"/>
      <c r="AR84" s="24"/>
      <c r="AS84" s="24"/>
      <c r="AT84" s="24"/>
      <c r="AU84" s="20"/>
      <c r="AV84" s="20"/>
      <c r="AW84" s="20"/>
      <c r="AX84" s="20"/>
      <c r="AY84" s="20"/>
      <c r="AZ84" s="20"/>
      <c r="BA84" s="20"/>
    </row>
    <row r="85">
      <c r="A85" s="20"/>
      <c r="B85" s="20"/>
      <c r="C85" s="20"/>
      <c r="D85" s="21"/>
      <c r="E85" s="21"/>
      <c r="F85" s="20"/>
      <c r="G85" s="22"/>
      <c r="H85" s="22"/>
      <c r="I85" s="22"/>
      <c r="J85" s="22"/>
      <c r="K85" s="22"/>
      <c r="L85" s="22"/>
      <c r="M85" s="22"/>
      <c r="N85" s="20"/>
      <c r="O85" s="23"/>
      <c r="P85" s="21"/>
      <c r="Q85" s="20"/>
      <c r="R85" s="23"/>
      <c r="S85" s="22"/>
      <c r="T85" s="23"/>
      <c r="U85" s="22"/>
      <c r="V85" s="22"/>
      <c r="W85" s="22"/>
      <c r="X85" s="22"/>
      <c r="Y85" s="20"/>
      <c r="Z85" s="23"/>
      <c r="AA85" s="22"/>
      <c r="AB85" s="20"/>
      <c r="AC85" s="23"/>
      <c r="AD85" s="24"/>
      <c r="AE85" s="23"/>
      <c r="AF85" s="24"/>
      <c r="AG85" s="24"/>
      <c r="AH85" s="24"/>
      <c r="AI85" s="24"/>
      <c r="AJ85" s="20"/>
      <c r="AK85" s="23"/>
      <c r="AL85" s="22"/>
      <c r="AM85" s="20"/>
      <c r="AN85" s="23"/>
      <c r="AO85" s="25"/>
      <c r="AP85" s="23"/>
      <c r="AQ85" s="24"/>
      <c r="AR85" s="24"/>
      <c r="AS85" s="24"/>
      <c r="AT85" s="24"/>
      <c r="AU85" s="20"/>
      <c r="AV85" s="20"/>
      <c r="AW85" s="20"/>
      <c r="AX85" s="20"/>
      <c r="AY85" s="20"/>
      <c r="AZ85" s="20"/>
      <c r="BA85" s="20"/>
    </row>
    <row r="86">
      <c r="A86" s="20"/>
      <c r="B86" s="20"/>
      <c r="C86" s="20"/>
      <c r="D86" s="21"/>
      <c r="E86" s="21"/>
      <c r="F86" s="20"/>
      <c r="G86" s="22"/>
      <c r="H86" s="22"/>
      <c r="I86" s="22"/>
      <c r="J86" s="22"/>
      <c r="K86" s="22"/>
      <c r="L86" s="22"/>
      <c r="M86" s="22"/>
      <c r="N86" s="20"/>
      <c r="O86" s="23"/>
      <c r="P86" s="21"/>
      <c r="Q86" s="20"/>
      <c r="R86" s="23"/>
      <c r="S86" s="22"/>
      <c r="T86" s="23"/>
      <c r="U86" s="22"/>
      <c r="V86" s="22"/>
      <c r="W86" s="22"/>
      <c r="X86" s="22"/>
      <c r="Y86" s="20"/>
      <c r="Z86" s="23"/>
      <c r="AA86" s="22"/>
      <c r="AB86" s="20"/>
      <c r="AC86" s="23"/>
      <c r="AD86" s="24"/>
      <c r="AE86" s="23"/>
      <c r="AF86" s="24"/>
      <c r="AG86" s="24"/>
      <c r="AH86" s="24"/>
      <c r="AI86" s="24"/>
      <c r="AJ86" s="20"/>
      <c r="AK86" s="23"/>
      <c r="AL86" s="22"/>
      <c r="AM86" s="20"/>
      <c r="AN86" s="23"/>
      <c r="AO86" s="25"/>
      <c r="AP86" s="23"/>
      <c r="AQ86" s="24"/>
      <c r="AR86" s="24"/>
      <c r="AS86" s="24"/>
      <c r="AT86" s="24"/>
      <c r="AU86" s="20"/>
      <c r="AV86" s="20"/>
      <c r="AW86" s="20"/>
      <c r="AX86" s="20"/>
      <c r="AY86" s="20"/>
      <c r="AZ86" s="20"/>
      <c r="BA86" s="20"/>
    </row>
    <row r="87">
      <c r="A87" s="20"/>
      <c r="B87" s="20"/>
      <c r="C87" s="20"/>
      <c r="D87" s="21"/>
      <c r="E87" s="21"/>
      <c r="F87" s="20"/>
      <c r="G87" s="22"/>
      <c r="H87" s="22"/>
      <c r="I87" s="22"/>
      <c r="J87" s="22"/>
      <c r="K87" s="22"/>
      <c r="L87" s="22"/>
      <c r="M87" s="22"/>
      <c r="N87" s="20"/>
      <c r="O87" s="23"/>
      <c r="P87" s="21"/>
      <c r="Q87" s="20"/>
      <c r="R87" s="23"/>
      <c r="S87" s="22"/>
      <c r="T87" s="23"/>
      <c r="U87" s="22"/>
      <c r="V87" s="22"/>
      <c r="W87" s="22"/>
      <c r="X87" s="22"/>
      <c r="Y87" s="20"/>
      <c r="Z87" s="23"/>
      <c r="AA87" s="22"/>
      <c r="AB87" s="20"/>
      <c r="AC87" s="23"/>
      <c r="AD87" s="24"/>
      <c r="AE87" s="23"/>
      <c r="AF87" s="24"/>
      <c r="AG87" s="24"/>
      <c r="AH87" s="24"/>
      <c r="AI87" s="24"/>
      <c r="AJ87" s="20"/>
      <c r="AK87" s="23"/>
      <c r="AL87" s="22"/>
      <c r="AM87" s="20"/>
      <c r="AN87" s="23"/>
      <c r="AO87" s="25"/>
      <c r="AP87" s="23"/>
      <c r="AQ87" s="24"/>
      <c r="AR87" s="24"/>
      <c r="AS87" s="24"/>
      <c r="AT87" s="24"/>
      <c r="AU87" s="20"/>
      <c r="AV87" s="20"/>
      <c r="AW87" s="20"/>
      <c r="AX87" s="20"/>
      <c r="AY87" s="20"/>
      <c r="AZ87" s="20"/>
      <c r="BA87" s="20"/>
    </row>
    <row r="88">
      <c r="A88" s="20"/>
      <c r="B88" s="20"/>
      <c r="C88" s="20"/>
      <c r="D88" s="21"/>
      <c r="E88" s="21"/>
      <c r="F88" s="20"/>
      <c r="G88" s="22"/>
      <c r="H88" s="22"/>
      <c r="I88" s="22"/>
      <c r="J88" s="22"/>
      <c r="K88" s="22"/>
      <c r="L88" s="22"/>
      <c r="M88" s="22"/>
      <c r="N88" s="20"/>
      <c r="O88" s="23"/>
      <c r="P88" s="21"/>
      <c r="Q88" s="20"/>
      <c r="R88" s="23"/>
      <c r="S88" s="22"/>
      <c r="T88" s="23"/>
      <c r="U88" s="22"/>
      <c r="V88" s="22"/>
      <c r="W88" s="22"/>
      <c r="X88" s="22"/>
      <c r="Y88" s="20"/>
      <c r="Z88" s="23"/>
      <c r="AA88" s="22"/>
      <c r="AB88" s="20"/>
      <c r="AC88" s="23"/>
      <c r="AD88" s="24"/>
      <c r="AE88" s="23"/>
      <c r="AF88" s="24"/>
      <c r="AG88" s="24"/>
      <c r="AH88" s="24"/>
      <c r="AI88" s="24"/>
      <c r="AJ88" s="20"/>
      <c r="AK88" s="23"/>
      <c r="AL88" s="22"/>
      <c r="AM88" s="20"/>
      <c r="AN88" s="23"/>
      <c r="AO88" s="25"/>
      <c r="AP88" s="23"/>
      <c r="AQ88" s="24"/>
      <c r="AR88" s="24"/>
      <c r="AS88" s="24"/>
      <c r="AT88" s="24"/>
      <c r="AU88" s="20"/>
      <c r="AV88" s="20"/>
      <c r="AW88" s="20"/>
      <c r="AX88" s="20"/>
      <c r="AY88" s="20"/>
      <c r="AZ88" s="20"/>
      <c r="BA88" s="20"/>
    </row>
    <row r="89">
      <c r="A89" s="20"/>
      <c r="B89" s="20"/>
      <c r="C89" s="20"/>
      <c r="D89" s="21"/>
      <c r="E89" s="21"/>
      <c r="F89" s="20"/>
      <c r="G89" s="22"/>
      <c r="H89" s="22"/>
      <c r="I89" s="22"/>
      <c r="J89" s="22"/>
      <c r="K89" s="22"/>
      <c r="L89" s="22"/>
      <c r="M89" s="22"/>
      <c r="N89" s="20"/>
      <c r="O89" s="23"/>
      <c r="P89" s="21"/>
      <c r="Q89" s="20"/>
      <c r="R89" s="23"/>
      <c r="S89" s="22"/>
      <c r="T89" s="23"/>
      <c r="U89" s="22"/>
      <c r="V89" s="22"/>
      <c r="W89" s="22"/>
      <c r="X89" s="22"/>
      <c r="Y89" s="20"/>
      <c r="Z89" s="23"/>
      <c r="AA89" s="22"/>
      <c r="AB89" s="20"/>
      <c r="AC89" s="23"/>
      <c r="AD89" s="24"/>
      <c r="AE89" s="23"/>
      <c r="AF89" s="24"/>
      <c r="AG89" s="24"/>
      <c r="AH89" s="24"/>
      <c r="AI89" s="24"/>
      <c r="AJ89" s="20"/>
      <c r="AK89" s="23"/>
      <c r="AL89" s="22"/>
      <c r="AM89" s="20"/>
      <c r="AN89" s="23"/>
      <c r="AO89" s="25"/>
      <c r="AP89" s="23"/>
      <c r="AQ89" s="24"/>
      <c r="AR89" s="24"/>
      <c r="AS89" s="24"/>
      <c r="AT89" s="24"/>
      <c r="AU89" s="20"/>
      <c r="AV89" s="20"/>
      <c r="AW89" s="20"/>
      <c r="AX89" s="20"/>
      <c r="AY89" s="20"/>
      <c r="AZ89" s="20"/>
      <c r="BA89" s="20"/>
    </row>
    <row r="90">
      <c r="A90" s="20"/>
      <c r="B90" s="20"/>
      <c r="C90" s="20"/>
      <c r="D90" s="21"/>
      <c r="E90" s="21"/>
      <c r="F90" s="20"/>
      <c r="G90" s="22"/>
      <c r="H90" s="22"/>
      <c r="I90" s="22"/>
      <c r="J90" s="22"/>
      <c r="K90" s="22"/>
      <c r="L90" s="22"/>
      <c r="M90" s="22"/>
      <c r="N90" s="20"/>
      <c r="O90" s="23"/>
      <c r="P90" s="21"/>
      <c r="Q90" s="20"/>
      <c r="R90" s="23"/>
      <c r="S90" s="22"/>
      <c r="T90" s="23"/>
      <c r="U90" s="22"/>
      <c r="V90" s="22"/>
      <c r="W90" s="22"/>
      <c r="X90" s="22"/>
      <c r="Y90" s="20"/>
      <c r="Z90" s="23"/>
      <c r="AA90" s="22"/>
      <c r="AB90" s="20"/>
      <c r="AC90" s="23"/>
      <c r="AD90" s="24"/>
      <c r="AE90" s="23"/>
      <c r="AF90" s="24"/>
      <c r="AG90" s="24"/>
      <c r="AH90" s="24"/>
      <c r="AI90" s="24"/>
      <c r="AJ90" s="20"/>
      <c r="AK90" s="23"/>
      <c r="AL90" s="22"/>
      <c r="AM90" s="20"/>
      <c r="AN90" s="23"/>
      <c r="AO90" s="25"/>
      <c r="AP90" s="23"/>
      <c r="AQ90" s="24"/>
      <c r="AR90" s="24"/>
      <c r="AS90" s="24"/>
      <c r="AT90" s="24"/>
      <c r="AU90" s="20"/>
      <c r="AV90" s="20"/>
      <c r="AW90" s="20"/>
      <c r="AX90" s="20"/>
      <c r="AY90" s="20"/>
      <c r="AZ90" s="20"/>
      <c r="BA90" s="20"/>
    </row>
    <row r="91">
      <c r="A91" s="20"/>
      <c r="B91" s="20"/>
      <c r="C91" s="20"/>
      <c r="D91" s="21"/>
      <c r="E91" s="21"/>
      <c r="F91" s="20"/>
      <c r="G91" s="22"/>
      <c r="H91" s="22"/>
      <c r="I91" s="22"/>
      <c r="J91" s="22"/>
      <c r="K91" s="22"/>
      <c r="L91" s="22"/>
      <c r="M91" s="22"/>
      <c r="N91" s="20"/>
      <c r="O91" s="23"/>
      <c r="P91" s="21"/>
      <c r="Q91" s="20"/>
      <c r="R91" s="23"/>
      <c r="S91" s="22"/>
      <c r="T91" s="23"/>
      <c r="U91" s="22"/>
      <c r="V91" s="22"/>
      <c r="W91" s="22"/>
      <c r="X91" s="22"/>
      <c r="Y91" s="20"/>
      <c r="Z91" s="23"/>
      <c r="AA91" s="22"/>
      <c r="AB91" s="20"/>
      <c r="AC91" s="23"/>
      <c r="AD91" s="24"/>
      <c r="AE91" s="23"/>
      <c r="AF91" s="24"/>
      <c r="AG91" s="24"/>
      <c r="AH91" s="24"/>
      <c r="AI91" s="24"/>
      <c r="AJ91" s="20"/>
      <c r="AK91" s="23"/>
      <c r="AL91" s="22"/>
      <c r="AM91" s="20"/>
      <c r="AN91" s="23"/>
      <c r="AO91" s="25"/>
      <c r="AP91" s="23"/>
      <c r="AQ91" s="24"/>
      <c r="AR91" s="24"/>
      <c r="AS91" s="24"/>
      <c r="AT91" s="24"/>
      <c r="AU91" s="20"/>
      <c r="AV91" s="20"/>
      <c r="AW91" s="20"/>
      <c r="AX91" s="20"/>
      <c r="AY91" s="20"/>
      <c r="AZ91" s="20"/>
      <c r="BA91" s="20"/>
    </row>
    <row r="92">
      <c r="A92" s="20"/>
      <c r="B92" s="20"/>
      <c r="C92" s="20"/>
      <c r="D92" s="21"/>
      <c r="E92" s="21"/>
      <c r="F92" s="20"/>
      <c r="G92" s="22"/>
      <c r="H92" s="22"/>
      <c r="I92" s="22"/>
      <c r="J92" s="22"/>
      <c r="K92" s="22"/>
      <c r="L92" s="22"/>
      <c r="M92" s="22"/>
      <c r="N92" s="20"/>
      <c r="O92" s="23"/>
      <c r="P92" s="21"/>
      <c r="Q92" s="20"/>
      <c r="R92" s="23"/>
      <c r="S92" s="22"/>
      <c r="T92" s="23"/>
      <c r="U92" s="22"/>
      <c r="V92" s="22"/>
      <c r="W92" s="22"/>
      <c r="X92" s="22"/>
      <c r="Y92" s="20"/>
      <c r="Z92" s="23"/>
      <c r="AA92" s="22"/>
      <c r="AB92" s="20"/>
      <c r="AC92" s="23"/>
      <c r="AD92" s="24"/>
      <c r="AE92" s="23"/>
      <c r="AF92" s="24"/>
      <c r="AG92" s="24"/>
      <c r="AH92" s="24"/>
      <c r="AI92" s="24"/>
      <c r="AJ92" s="20"/>
      <c r="AK92" s="23"/>
      <c r="AL92" s="22"/>
      <c r="AM92" s="20"/>
      <c r="AN92" s="23"/>
      <c r="AO92" s="25"/>
      <c r="AP92" s="23"/>
      <c r="AQ92" s="24"/>
      <c r="AR92" s="24"/>
      <c r="AS92" s="24"/>
      <c r="AT92" s="24"/>
      <c r="AU92" s="20"/>
      <c r="AV92" s="20"/>
      <c r="AW92" s="20"/>
      <c r="AX92" s="20"/>
      <c r="AY92" s="20"/>
      <c r="AZ92" s="20"/>
      <c r="BA92" s="20"/>
    </row>
    <row r="93">
      <c r="A93" s="20"/>
      <c r="B93" s="20"/>
      <c r="C93" s="20"/>
      <c r="D93" s="21"/>
      <c r="E93" s="21"/>
      <c r="F93" s="20"/>
      <c r="G93" s="22"/>
      <c r="H93" s="22"/>
      <c r="I93" s="22"/>
      <c r="J93" s="22"/>
      <c r="K93" s="22"/>
      <c r="L93" s="22"/>
      <c r="M93" s="22"/>
      <c r="N93" s="20"/>
      <c r="O93" s="23"/>
      <c r="P93" s="21"/>
      <c r="Q93" s="20"/>
      <c r="R93" s="23"/>
      <c r="S93" s="22"/>
      <c r="T93" s="23"/>
      <c r="U93" s="22"/>
      <c r="V93" s="22"/>
      <c r="W93" s="22"/>
      <c r="X93" s="22"/>
      <c r="Y93" s="20"/>
      <c r="Z93" s="23"/>
      <c r="AA93" s="22"/>
      <c r="AB93" s="20"/>
      <c r="AC93" s="23"/>
      <c r="AD93" s="24"/>
      <c r="AE93" s="23"/>
      <c r="AF93" s="24"/>
      <c r="AG93" s="24"/>
      <c r="AH93" s="24"/>
      <c r="AI93" s="24"/>
      <c r="AJ93" s="20"/>
      <c r="AK93" s="23"/>
      <c r="AL93" s="22"/>
      <c r="AM93" s="20"/>
      <c r="AN93" s="23"/>
      <c r="AO93" s="25"/>
      <c r="AP93" s="23"/>
      <c r="AQ93" s="24"/>
      <c r="AR93" s="24"/>
      <c r="AS93" s="24"/>
      <c r="AT93" s="24"/>
      <c r="AU93" s="20"/>
      <c r="AV93" s="20"/>
      <c r="AW93" s="20"/>
      <c r="AX93" s="20"/>
      <c r="AY93" s="20"/>
      <c r="AZ93" s="20"/>
      <c r="BA93" s="20"/>
    </row>
    <row r="94">
      <c r="A94" s="20"/>
      <c r="B94" s="20"/>
      <c r="C94" s="20"/>
      <c r="D94" s="21"/>
      <c r="E94" s="21"/>
      <c r="F94" s="20"/>
      <c r="G94" s="22"/>
      <c r="H94" s="22"/>
      <c r="I94" s="22"/>
      <c r="J94" s="22"/>
      <c r="K94" s="22"/>
      <c r="L94" s="22"/>
      <c r="M94" s="22"/>
      <c r="N94" s="20"/>
      <c r="O94" s="23"/>
      <c r="P94" s="21"/>
      <c r="Q94" s="20"/>
      <c r="R94" s="23"/>
      <c r="S94" s="22"/>
      <c r="T94" s="23"/>
      <c r="U94" s="22"/>
      <c r="V94" s="22"/>
      <c r="W94" s="22"/>
      <c r="X94" s="22"/>
      <c r="Y94" s="20"/>
      <c r="Z94" s="23"/>
      <c r="AA94" s="22"/>
      <c r="AB94" s="20"/>
      <c r="AC94" s="23"/>
      <c r="AD94" s="24"/>
      <c r="AE94" s="23"/>
      <c r="AF94" s="24"/>
      <c r="AG94" s="24"/>
      <c r="AH94" s="24"/>
      <c r="AI94" s="24"/>
      <c r="AJ94" s="20"/>
      <c r="AK94" s="23"/>
      <c r="AL94" s="22"/>
      <c r="AM94" s="20"/>
      <c r="AN94" s="23"/>
      <c r="AO94" s="25"/>
      <c r="AP94" s="23"/>
      <c r="AQ94" s="24"/>
      <c r="AR94" s="24"/>
      <c r="AS94" s="24"/>
      <c r="AT94" s="24"/>
      <c r="AU94" s="20"/>
      <c r="AV94" s="20"/>
      <c r="AW94" s="20"/>
      <c r="AX94" s="20"/>
      <c r="AY94" s="20"/>
      <c r="AZ94" s="20"/>
      <c r="BA94" s="20"/>
    </row>
    <row r="95">
      <c r="A95" s="20"/>
      <c r="B95" s="20"/>
      <c r="C95" s="20"/>
      <c r="D95" s="21"/>
      <c r="E95" s="21"/>
      <c r="F95" s="20"/>
      <c r="G95" s="22"/>
      <c r="H95" s="22"/>
      <c r="I95" s="22"/>
      <c r="J95" s="22"/>
      <c r="K95" s="22"/>
      <c r="L95" s="22"/>
      <c r="M95" s="22"/>
      <c r="N95" s="20"/>
      <c r="O95" s="23"/>
      <c r="P95" s="21"/>
      <c r="Q95" s="20"/>
      <c r="R95" s="23"/>
      <c r="S95" s="22"/>
      <c r="T95" s="23"/>
      <c r="U95" s="22"/>
      <c r="V95" s="22"/>
      <c r="W95" s="22"/>
      <c r="X95" s="22"/>
      <c r="Y95" s="20"/>
      <c r="Z95" s="23"/>
      <c r="AA95" s="22"/>
      <c r="AB95" s="20"/>
      <c r="AC95" s="23"/>
      <c r="AD95" s="24"/>
      <c r="AE95" s="23"/>
      <c r="AF95" s="24"/>
      <c r="AG95" s="24"/>
      <c r="AH95" s="24"/>
      <c r="AI95" s="24"/>
      <c r="AJ95" s="20"/>
      <c r="AK95" s="23"/>
      <c r="AL95" s="22"/>
      <c r="AM95" s="20"/>
      <c r="AN95" s="23"/>
      <c r="AO95" s="25"/>
      <c r="AP95" s="23"/>
      <c r="AQ95" s="24"/>
      <c r="AR95" s="24"/>
      <c r="AS95" s="24"/>
      <c r="AT95" s="24"/>
      <c r="AU95" s="20"/>
      <c r="AV95" s="20"/>
      <c r="AW95" s="20"/>
      <c r="AX95" s="20"/>
      <c r="AY95" s="20"/>
      <c r="AZ95" s="20"/>
      <c r="BA95" s="20"/>
    </row>
    <row r="96">
      <c r="A96" s="20"/>
      <c r="B96" s="20"/>
      <c r="C96" s="20"/>
      <c r="D96" s="21"/>
      <c r="E96" s="21"/>
      <c r="F96" s="20"/>
      <c r="G96" s="22"/>
      <c r="H96" s="22"/>
      <c r="I96" s="22"/>
      <c r="J96" s="22"/>
      <c r="K96" s="22"/>
      <c r="L96" s="22"/>
      <c r="M96" s="22"/>
      <c r="N96" s="20"/>
      <c r="O96" s="23"/>
      <c r="P96" s="21"/>
      <c r="Q96" s="20"/>
      <c r="R96" s="23"/>
      <c r="S96" s="22"/>
      <c r="T96" s="23"/>
      <c r="U96" s="22"/>
      <c r="V96" s="22"/>
      <c r="W96" s="22"/>
      <c r="X96" s="22"/>
      <c r="Y96" s="20"/>
      <c r="Z96" s="23"/>
      <c r="AA96" s="22"/>
      <c r="AB96" s="20"/>
      <c r="AC96" s="23"/>
      <c r="AD96" s="24"/>
      <c r="AE96" s="23"/>
      <c r="AF96" s="24"/>
      <c r="AG96" s="24"/>
      <c r="AH96" s="24"/>
      <c r="AI96" s="24"/>
      <c r="AJ96" s="20"/>
      <c r="AK96" s="23"/>
      <c r="AL96" s="22"/>
      <c r="AM96" s="20"/>
      <c r="AN96" s="23"/>
      <c r="AO96" s="25"/>
      <c r="AP96" s="23"/>
      <c r="AQ96" s="24"/>
      <c r="AR96" s="24"/>
      <c r="AS96" s="24"/>
      <c r="AT96" s="24"/>
      <c r="AU96" s="20"/>
      <c r="AV96" s="20"/>
      <c r="AW96" s="20"/>
      <c r="AX96" s="20"/>
      <c r="AY96" s="20"/>
      <c r="AZ96" s="20"/>
      <c r="BA96" s="20"/>
    </row>
    <row r="97">
      <c r="A97" s="20"/>
      <c r="B97" s="20"/>
      <c r="C97" s="20"/>
      <c r="D97" s="21"/>
      <c r="E97" s="21"/>
      <c r="F97" s="20"/>
      <c r="G97" s="22"/>
      <c r="H97" s="22"/>
      <c r="I97" s="22"/>
      <c r="J97" s="22"/>
      <c r="K97" s="22"/>
      <c r="L97" s="22"/>
      <c r="M97" s="22"/>
      <c r="N97" s="20"/>
      <c r="O97" s="23"/>
      <c r="P97" s="21"/>
      <c r="Q97" s="20"/>
      <c r="R97" s="23"/>
      <c r="S97" s="22"/>
      <c r="T97" s="23"/>
      <c r="U97" s="22"/>
      <c r="V97" s="22"/>
      <c r="W97" s="22"/>
      <c r="X97" s="22"/>
      <c r="Y97" s="20"/>
      <c r="Z97" s="23"/>
      <c r="AA97" s="22"/>
      <c r="AB97" s="20"/>
      <c r="AC97" s="23"/>
      <c r="AD97" s="24"/>
      <c r="AE97" s="23"/>
      <c r="AF97" s="24"/>
      <c r="AG97" s="24"/>
      <c r="AH97" s="24"/>
      <c r="AI97" s="24"/>
      <c r="AJ97" s="20"/>
      <c r="AK97" s="23"/>
      <c r="AL97" s="22"/>
      <c r="AM97" s="20"/>
      <c r="AN97" s="23"/>
      <c r="AO97" s="25"/>
      <c r="AP97" s="23"/>
      <c r="AQ97" s="24"/>
      <c r="AR97" s="24"/>
      <c r="AS97" s="24"/>
      <c r="AT97" s="24"/>
      <c r="AU97" s="20"/>
      <c r="AV97" s="20"/>
      <c r="AW97" s="20"/>
      <c r="AX97" s="20"/>
      <c r="AY97" s="20"/>
      <c r="AZ97" s="20"/>
      <c r="BA97" s="20"/>
    </row>
    <row r="98">
      <c r="A98" s="20"/>
      <c r="B98" s="20"/>
      <c r="C98" s="20"/>
      <c r="D98" s="21"/>
      <c r="E98" s="21"/>
      <c r="F98" s="20"/>
      <c r="G98" s="22"/>
      <c r="H98" s="22"/>
      <c r="I98" s="22"/>
      <c r="J98" s="22"/>
      <c r="K98" s="22"/>
      <c r="L98" s="22"/>
      <c r="M98" s="22"/>
      <c r="N98" s="20"/>
      <c r="O98" s="23"/>
      <c r="P98" s="21"/>
      <c r="Q98" s="20"/>
      <c r="R98" s="23"/>
      <c r="S98" s="22"/>
      <c r="T98" s="23"/>
      <c r="U98" s="22"/>
      <c r="V98" s="22"/>
      <c r="W98" s="22"/>
      <c r="X98" s="22"/>
      <c r="Y98" s="20"/>
      <c r="Z98" s="23"/>
      <c r="AA98" s="22"/>
      <c r="AB98" s="20"/>
      <c r="AC98" s="23"/>
      <c r="AD98" s="24"/>
      <c r="AE98" s="23"/>
      <c r="AF98" s="24"/>
      <c r="AG98" s="24"/>
      <c r="AH98" s="24"/>
      <c r="AI98" s="24"/>
      <c r="AJ98" s="20"/>
      <c r="AK98" s="23"/>
      <c r="AL98" s="22"/>
      <c r="AM98" s="20"/>
      <c r="AN98" s="23"/>
      <c r="AO98" s="25"/>
      <c r="AP98" s="23"/>
      <c r="AQ98" s="24"/>
      <c r="AR98" s="24"/>
      <c r="AS98" s="24"/>
      <c r="AT98" s="24"/>
      <c r="AU98" s="20"/>
      <c r="AV98" s="20"/>
      <c r="AW98" s="20"/>
      <c r="AX98" s="20"/>
      <c r="AY98" s="20"/>
      <c r="AZ98" s="20"/>
      <c r="BA98" s="20"/>
    </row>
    <row r="99">
      <c r="A99" s="20"/>
      <c r="B99" s="20"/>
      <c r="C99" s="20"/>
      <c r="D99" s="21"/>
      <c r="E99" s="21"/>
      <c r="F99" s="20"/>
      <c r="G99" s="22"/>
      <c r="H99" s="22"/>
      <c r="I99" s="22"/>
      <c r="J99" s="22"/>
      <c r="K99" s="22"/>
      <c r="L99" s="22"/>
      <c r="M99" s="22"/>
      <c r="N99" s="20"/>
      <c r="O99" s="23"/>
      <c r="P99" s="21"/>
      <c r="Q99" s="20"/>
      <c r="R99" s="23"/>
      <c r="S99" s="22"/>
      <c r="T99" s="23"/>
      <c r="U99" s="22"/>
      <c r="V99" s="22"/>
      <c r="W99" s="22"/>
      <c r="X99" s="22"/>
      <c r="Y99" s="20"/>
      <c r="Z99" s="23"/>
      <c r="AA99" s="22"/>
      <c r="AB99" s="20"/>
      <c r="AC99" s="23"/>
      <c r="AD99" s="24"/>
      <c r="AE99" s="23"/>
      <c r="AF99" s="24"/>
      <c r="AG99" s="24"/>
      <c r="AH99" s="24"/>
      <c r="AI99" s="24"/>
      <c r="AJ99" s="20"/>
      <c r="AK99" s="23"/>
      <c r="AL99" s="22"/>
      <c r="AM99" s="20"/>
      <c r="AN99" s="23"/>
      <c r="AO99" s="25"/>
      <c r="AP99" s="23"/>
      <c r="AQ99" s="24"/>
      <c r="AR99" s="24"/>
      <c r="AS99" s="24"/>
      <c r="AT99" s="24"/>
      <c r="AU99" s="20"/>
      <c r="AV99" s="20"/>
      <c r="AW99" s="20"/>
      <c r="AX99" s="20"/>
      <c r="AY99" s="20"/>
      <c r="AZ99" s="20"/>
      <c r="BA99" s="20"/>
    </row>
    <row r="100">
      <c r="A100" s="20"/>
      <c r="B100" s="20"/>
      <c r="C100" s="20"/>
      <c r="D100" s="21"/>
      <c r="E100" s="21"/>
      <c r="F100" s="20"/>
      <c r="G100" s="22"/>
      <c r="H100" s="22"/>
      <c r="I100" s="22"/>
      <c r="J100" s="22"/>
      <c r="K100" s="22"/>
      <c r="L100" s="22"/>
      <c r="M100" s="22"/>
      <c r="N100" s="20"/>
      <c r="O100" s="23"/>
      <c r="P100" s="21"/>
      <c r="Q100" s="20"/>
      <c r="R100" s="23"/>
      <c r="S100" s="22"/>
      <c r="T100" s="23"/>
      <c r="U100" s="22"/>
      <c r="V100" s="22"/>
      <c r="W100" s="22"/>
      <c r="X100" s="22"/>
      <c r="Y100" s="20"/>
      <c r="Z100" s="23"/>
      <c r="AA100" s="22"/>
      <c r="AB100" s="20"/>
      <c r="AC100" s="23"/>
      <c r="AD100" s="24"/>
      <c r="AE100" s="23"/>
      <c r="AF100" s="24"/>
      <c r="AG100" s="24"/>
      <c r="AH100" s="24"/>
      <c r="AI100" s="24"/>
      <c r="AJ100" s="20"/>
      <c r="AK100" s="23"/>
      <c r="AL100" s="22"/>
      <c r="AM100" s="20"/>
      <c r="AN100" s="23"/>
      <c r="AO100" s="25"/>
      <c r="AP100" s="23"/>
      <c r="AQ100" s="24"/>
      <c r="AR100" s="24"/>
      <c r="AS100" s="24"/>
      <c r="AT100" s="24"/>
      <c r="AU100" s="20"/>
      <c r="AV100" s="20"/>
      <c r="AW100" s="20"/>
      <c r="AX100" s="20"/>
      <c r="AY100" s="20"/>
      <c r="AZ100" s="20"/>
      <c r="BA100" s="20"/>
    </row>
    <row r="101">
      <c r="A101" s="20"/>
      <c r="B101" s="20"/>
      <c r="C101" s="20"/>
      <c r="D101" s="21"/>
      <c r="E101" s="21"/>
      <c r="F101" s="20"/>
      <c r="G101" s="22"/>
      <c r="H101" s="22"/>
      <c r="I101" s="22"/>
      <c r="J101" s="22"/>
      <c r="K101" s="22"/>
      <c r="L101" s="22"/>
      <c r="M101" s="22"/>
      <c r="N101" s="20"/>
      <c r="O101" s="23"/>
      <c r="P101" s="21"/>
      <c r="Q101" s="20"/>
      <c r="R101" s="23"/>
      <c r="S101" s="22"/>
      <c r="T101" s="23"/>
      <c r="U101" s="22"/>
      <c r="V101" s="22"/>
      <c r="W101" s="22"/>
      <c r="X101" s="22"/>
      <c r="Y101" s="20"/>
      <c r="Z101" s="23"/>
      <c r="AA101" s="22"/>
      <c r="AB101" s="20"/>
      <c r="AC101" s="23"/>
      <c r="AD101" s="24"/>
      <c r="AE101" s="23"/>
      <c r="AF101" s="24"/>
      <c r="AG101" s="24"/>
      <c r="AH101" s="24"/>
      <c r="AI101" s="24"/>
      <c r="AJ101" s="20"/>
      <c r="AK101" s="23"/>
      <c r="AL101" s="22"/>
      <c r="AM101" s="20"/>
      <c r="AN101" s="23"/>
      <c r="AO101" s="25"/>
      <c r="AP101" s="23"/>
      <c r="AQ101" s="24"/>
      <c r="AR101" s="24"/>
      <c r="AS101" s="24"/>
      <c r="AT101" s="24"/>
      <c r="AU101" s="20"/>
      <c r="AV101" s="20"/>
      <c r="AW101" s="20"/>
      <c r="AX101" s="20"/>
      <c r="AY101" s="20"/>
      <c r="AZ101" s="20"/>
      <c r="BA101" s="20"/>
    </row>
    <row r="102">
      <c r="A102" s="20"/>
      <c r="B102" s="20"/>
      <c r="C102" s="20"/>
      <c r="D102" s="21"/>
      <c r="E102" s="21"/>
      <c r="F102" s="20"/>
      <c r="G102" s="22"/>
      <c r="H102" s="22"/>
      <c r="I102" s="22"/>
      <c r="J102" s="22"/>
      <c r="K102" s="22"/>
      <c r="L102" s="22"/>
      <c r="M102" s="22"/>
      <c r="N102" s="20"/>
      <c r="O102" s="23"/>
      <c r="P102" s="21"/>
      <c r="Q102" s="20"/>
      <c r="R102" s="23"/>
      <c r="S102" s="22"/>
      <c r="T102" s="23"/>
      <c r="U102" s="22"/>
      <c r="V102" s="22"/>
      <c r="W102" s="22"/>
      <c r="X102" s="22"/>
      <c r="Y102" s="20"/>
      <c r="Z102" s="23"/>
      <c r="AA102" s="22"/>
      <c r="AB102" s="20"/>
      <c r="AC102" s="23"/>
      <c r="AD102" s="24"/>
      <c r="AE102" s="23"/>
      <c r="AF102" s="24"/>
      <c r="AG102" s="24"/>
      <c r="AH102" s="24"/>
      <c r="AI102" s="24"/>
      <c r="AJ102" s="20"/>
      <c r="AK102" s="23"/>
      <c r="AL102" s="22"/>
      <c r="AM102" s="20"/>
      <c r="AN102" s="23"/>
      <c r="AO102" s="25"/>
      <c r="AP102" s="23"/>
      <c r="AQ102" s="24"/>
      <c r="AR102" s="24"/>
      <c r="AS102" s="24"/>
      <c r="AT102" s="24"/>
      <c r="AU102" s="20"/>
      <c r="AV102" s="20"/>
      <c r="AW102" s="20"/>
      <c r="AX102" s="20"/>
      <c r="AY102" s="20"/>
      <c r="AZ102" s="20"/>
      <c r="BA102" s="20"/>
    </row>
    <row r="103">
      <c r="A103" s="20"/>
      <c r="B103" s="20"/>
      <c r="C103" s="20"/>
      <c r="D103" s="21"/>
      <c r="E103" s="21"/>
      <c r="F103" s="20"/>
      <c r="G103" s="22"/>
      <c r="H103" s="22"/>
      <c r="I103" s="22"/>
      <c r="J103" s="22"/>
      <c r="K103" s="22"/>
      <c r="L103" s="22"/>
      <c r="M103" s="22"/>
      <c r="N103" s="20"/>
      <c r="O103" s="23"/>
      <c r="P103" s="21"/>
      <c r="Q103" s="20"/>
      <c r="R103" s="23"/>
      <c r="S103" s="22"/>
      <c r="T103" s="23"/>
      <c r="U103" s="22"/>
      <c r="V103" s="22"/>
      <c r="W103" s="22"/>
      <c r="X103" s="22"/>
      <c r="Y103" s="20"/>
      <c r="Z103" s="23"/>
      <c r="AA103" s="22"/>
      <c r="AB103" s="20"/>
      <c r="AC103" s="23"/>
      <c r="AD103" s="24"/>
      <c r="AE103" s="23"/>
      <c r="AF103" s="24"/>
      <c r="AG103" s="24"/>
      <c r="AH103" s="24"/>
      <c r="AI103" s="24"/>
      <c r="AJ103" s="20"/>
      <c r="AK103" s="23"/>
      <c r="AL103" s="22"/>
      <c r="AM103" s="20"/>
      <c r="AN103" s="23"/>
      <c r="AO103" s="25"/>
      <c r="AP103" s="23"/>
      <c r="AQ103" s="24"/>
      <c r="AR103" s="24"/>
      <c r="AS103" s="24"/>
      <c r="AT103" s="24"/>
      <c r="AU103" s="20"/>
      <c r="AV103" s="20"/>
      <c r="AW103" s="20"/>
      <c r="AX103" s="20"/>
      <c r="AY103" s="20"/>
      <c r="AZ103" s="20"/>
      <c r="BA103" s="20"/>
    </row>
    <row r="104">
      <c r="A104" s="20"/>
      <c r="B104" s="20"/>
      <c r="C104" s="20"/>
      <c r="D104" s="21"/>
      <c r="E104" s="21"/>
      <c r="F104" s="20"/>
      <c r="G104" s="22"/>
      <c r="H104" s="22"/>
      <c r="I104" s="22"/>
      <c r="J104" s="22"/>
      <c r="K104" s="22"/>
      <c r="L104" s="22"/>
      <c r="M104" s="22"/>
      <c r="N104" s="20"/>
      <c r="O104" s="23"/>
      <c r="P104" s="21"/>
      <c r="Q104" s="20"/>
      <c r="R104" s="23"/>
      <c r="S104" s="22"/>
      <c r="T104" s="23"/>
      <c r="U104" s="22"/>
      <c r="V104" s="22"/>
      <c r="W104" s="22"/>
      <c r="X104" s="22"/>
      <c r="Y104" s="20"/>
      <c r="Z104" s="23"/>
      <c r="AA104" s="22"/>
      <c r="AB104" s="20"/>
      <c r="AC104" s="23"/>
      <c r="AD104" s="24"/>
      <c r="AE104" s="23"/>
      <c r="AF104" s="24"/>
      <c r="AG104" s="24"/>
      <c r="AH104" s="24"/>
      <c r="AI104" s="24"/>
      <c r="AJ104" s="20"/>
      <c r="AK104" s="23"/>
      <c r="AL104" s="22"/>
      <c r="AM104" s="20"/>
      <c r="AN104" s="23"/>
      <c r="AO104" s="25"/>
      <c r="AP104" s="23"/>
      <c r="AQ104" s="24"/>
      <c r="AR104" s="24"/>
      <c r="AS104" s="24"/>
      <c r="AT104" s="24"/>
      <c r="AU104" s="20"/>
      <c r="AV104" s="20"/>
      <c r="AW104" s="20"/>
      <c r="AX104" s="20"/>
      <c r="AY104" s="20"/>
      <c r="AZ104" s="20"/>
      <c r="BA104" s="20"/>
    </row>
    <row r="105">
      <c r="A105" s="20"/>
      <c r="B105" s="20"/>
      <c r="C105" s="20"/>
      <c r="D105" s="21"/>
      <c r="E105" s="21"/>
      <c r="F105" s="20"/>
      <c r="G105" s="22"/>
      <c r="H105" s="22"/>
      <c r="I105" s="22"/>
      <c r="J105" s="22"/>
      <c r="K105" s="22"/>
      <c r="L105" s="22"/>
      <c r="M105" s="22"/>
      <c r="N105" s="20"/>
      <c r="O105" s="23"/>
      <c r="P105" s="21"/>
      <c r="Q105" s="20"/>
      <c r="R105" s="23"/>
      <c r="S105" s="22"/>
      <c r="T105" s="23"/>
      <c r="U105" s="22"/>
      <c r="V105" s="22"/>
      <c r="W105" s="22"/>
      <c r="X105" s="22"/>
      <c r="Y105" s="20"/>
      <c r="Z105" s="23"/>
      <c r="AA105" s="22"/>
      <c r="AB105" s="20"/>
      <c r="AC105" s="23"/>
      <c r="AD105" s="24"/>
      <c r="AE105" s="23"/>
      <c r="AF105" s="24"/>
      <c r="AG105" s="24"/>
      <c r="AH105" s="24"/>
      <c r="AI105" s="24"/>
      <c r="AJ105" s="20"/>
      <c r="AK105" s="23"/>
      <c r="AL105" s="22"/>
      <c r="AM105" s="20"/>
      <c r="AN105" s="23"/>
      <c r="AO105" s="25"/>
      <c r="AP105" s="23"/>
      <c r="AQ105" s="24"/>
      <c r="AR105" s="24"/>
      <c r="AS105" s="24"/>
      <c r="AT105" s="24"/>
      <c r="AU105" s="20"/>
      <c r="AV105" s="20"/>
      <c r="AW105" s="20"/>
      <c r="AX105" s="20"/>
      <c r="AY105" s="20"/>
      <c r="AZ105" s="20"/>
      <c r="BA105" s="20"/>
    </row>
    <row r="106">
      <c r="A106" s="20"/>
      <c r="B106" s="20"/>
      <c r="C106" s="20"/>
      <c r="D106" s="21"/>
      <c r="E106" s="21"/>
      <c r="F106" s="20"/>
      <c r="G106" s="22"/>
      <c r="H106" s="22"/>
      <c r="I106" s="22"/>
      <c r="J106" s="22"/>
      <c r="K106" s="22"/>
      <c r="L106" s="22"/>
      <c r="M106" s="22"/>
      <c r="N106" s="20"/>
      <c r="O106" s="23"/>
      <c r="P106" s="21"/>
      <c r="Q106" s="20"/>
      <c r="R106" s="23"/>
      <c r="S106" s="22"/>
      <c r="T106" s="23"/>
      <c r="U106" s="22"/>
      <c r="V106" s="22"/>
      <c r="W106" s="22"/>
      <c r="X106" s="22"/>
      <c r="Y106" s="20"/>
      <c r="Z106" s="23"/>
      <c r="AA106" s="22"/>
      <c r="AB106" s="20"/>
      <c r="AC106" s="23"/>
      <c r="AD106" s="24"/>
      <c r="AE106" s="23"/>
      <c r="AF106" s="24"/>
      <c r="AG106" s="24"/>
      <c r="AH106" s="24"/>
      <c r="AI106" s="24"/>
      <c r="AJ106" s="20"/>
      <c r="AK106" s="23"/>
      <c r="AL106" s="22"/>
      <c r="AM106" s="20"/>
      <c r="AN106" s="23"/>
      <c r="AO106" s="25"/>
      <c r="AP106" s="23"/>
      <c r="AQ106" s="24"/>
      <c r="AR106" s="24"/>
      <c r="AS106" s="24"/>
      <c r="AT106" s="24"/>
      <c r="AU106" s="20"/>
      <c r="AV106" s="20"/>
      <c r="AW106" s="20"/>
      <c r="AX106" s="20"/>
      <c r="AY106" s="20"/>
      <c r="AZ106" s="20"/>
      <c r="BA106" s="20"/>
    </row>
    <row r="107">
      <c r="A107" s="20"/>
      <c r="B107" s="20"/>
      <c r="C107" s="20"/>
      <c r="D107" s="21"/>
      <c r="E107" s="21"/>
      <c r="F107" s="20"/>
      <c r="G107" s="22"/>
      <c r="H107" s="22"/>
      <c r="I107" s="22"/>
      <c r="J107" s="22"/>
      <c r="K107" s="22"/>
      <c r="L107" s="22"/>
      <c r="M107" s="22"/>
      <c r="N107" s="20"/>
      <c r="O107" s="23"/>
      <c r="P107" s="21"/>
      <c r="Q107" s="20"/>
      <c r="R107" s="23"/>
      <c r="S107" s="22"/>
      <c r="T107" s="23"/>
      <c r="U107" s="22"/>
      <c r="V107" s="22"/>
      <c r="W107" s="22"/>
      <c r="X107" s="22"/>
      <c r="Y107" s="20"/>
      <c r="Z107" s="23"/>
      <c r="AA107" s="22"/>
      <c r="AB107" s="20"/>
      <c r="AC107" s="23"/>
      <c r="AD107" s="24"/>
      <c r="AE107" s="23"/>
      <c r="AF107" s="24"/>
      <c r="AG107" s="24"/>
      <c r="AH107" s="24"/>
      <c r="AI107" s="24"/>
      <c r="AJ107" s="20"/>
      <c r="AK107" s="23"/>
      <c r="AL107" s="22"/>
      <c r="AM107" s="20"/>
      <c r="AN107" s="23"/>
      <c r="AO107" s="25"/>
      <c r="AP107" s="23"/>
      <c r="AQ107" s="24"/>
      <c r="AR107" s="24"/>
      <c r="AS107" s="24"/>
      <c r="AT107" s="24"/>
      <c r="AU107" s="20"/>
      <c r="AV107" s="20"/>
      <c r="AW107" s="20"/>
      <c r="AX107" s="20"/>
      <c r="AY107" s="20"/>
      <c r="AZ107" s="20"/>
      <c r="BA107" s="20"/>
    </row>
    <row r="108">
      <c r="A108" s="20"/>
      <c r="B108" s="20"/>
      <c r="C108" s="20"/>
      <c r="D108" s="21"/>
      <c r="E108" s="21"/>
      <c r="F108" s="20"/>
      <c r="G108" s="22"/>
      <c r="H108" s="22"/>
      <c r="I108" s="22"/>
      <c r="J108" s="22"/>
      <c r="K108" s="22"/>
      <c r="L108" s="22"/>
      <c r="M108" s="22"/>
      <c r="N108" s="20"/>
      <c r="O108" s="23"/>
      <c r="P108" s="21"/>
      <c r="Q108" s="20"/>
      <c r="R108" s="23"/>
      <c r="S108" s="22"/>
      <c r="T108" s="23"/>
      <c r="U108" s="22"/>
      <c r="V108" s="22"/>
      <c r="W108" s="22"/>
      <c r="X108" s="22"/>
      <c r="Y108" s="20"/>
      <c r="Z108" s="23"/>
      <c r="AA108" s="22"/>
      <c r="AB108" s="20"/>
      <c r="AC108" s="23"/>
      <c r="AD108" s="24"/>
      <c r="AE108" s="23"/>
      <c r="AF108" s="24"/>
      <c r="AG108" s="24"/>
      <c r="AH108" s="24"/>
      <c r="AI108" s="24"/>
      <c r="AJ108" s="20"/>
      <c r="AK108" s="23"/>
      <c r="AL108" s="22"/>
      <c r="AM108" s="20"/>
      <c r="AN108" s="23"/>
      <c r="AO108" s="25"/>
      <c r="AP108" s="23"/>
      <c r="AQ108" s="24"/>
      <c r="AR108" s="24"/>
      <c r="AS108" s="24"/>
      <c r="AT108" s="24"/>
      <c r="AU108" s="20"/>
      <c r="AV108" s="20"/>
      <c r="AW108" s="20"/>
      <c r="AX108" s="20"/>
      <c r="AY108" s="20"/>
      <c r="AZ108" s="20"/>
      <c r="BA108" s="20"/>
    </row>
    <row r="109">
      <c r="A109" s="20"/>
      <c r="B109" s="20"/>
      <c r="C109" s="20"/>
      <c r="D109" s="21"/>
      <c r="E109" s="21"/>
      <c r="F109" s="20"/>
      <c r="G109" s="22"/>
      <c r="H109" s="22"/>
      <c r="I109" s="22"/>
      <c r="J109" s="22"/>
      <c r="K109" s="22"/>
      <c r="L109" s="22"/>
      <c r="M109" s="22"/>
      <c r="N109" s="20"/>
      <c r="O109" s="23"/>
      <c r="P109" s="21"/>
      <c r="Q109" s="20"/>
      <c r="R109" s="23"/>
      <c r="S109" s="22"/>
      <c r="T109" s="23"/>
      <c r="U109" s="22"/>
      <c r="V109" s="22"/>
      <c r="W109" s="22"/>
      <c r="X109" s="22"/>
      <c r="Y109" s="20"/>
      <c r="Z109" s="23"/>
      <c r="AA109" s="22"/>
      <c r="AB109" s="20"/>
      <c r="AC109" s="23"/>
      <c r="AD109" s="24"/>
      <c r="AE109" s="23"/>
      <c r="AF109" s="24"/>
      <c r="AG109" s="24"/>
      <c r="AH109" s="24"/>
      <c r="AI109" s="24"/>
      <c r="AJ109" s="20"/>
      <c r="AK109" s="23"/>
      <c r="AL109" s="22"/>
      <c r="AM109" s="20"/>
      <c r="AN109" s="23"/>
      <c r="AO109" s="25"/>
      <c r="AP109" s="23"/>
      <c r="AQ109" s="24"/>
      <c r="AR109" s="24"/>
      <c r="AS109" s="24"/>
      <c r="AT109" s="24"/>
      <c r="AU109" s="20"/>
      <c r="AV109" s="20"/>
      <c r="AW109" s="20"/>
      <c r="AX109" s="20"/>
      <c r="AY109" s="20"/>
      <c r="AZ109" s="20"/>
      <c r="BA109" s="20"/>
    </row>
    <row r="110">
      <c r="A110" s="20"/>
      <c r="B110" s="20"/>
      <c r="C110" s="20"/>
      <c r="D110" s="21"/>
      <c r="E110" s="21"/>
      <c r="F110" s="20"/>
      <c r="G110" s="22"/>
      <c r="H110" s="22"/>
      <c r="I110" s="22"/>
      <c r="J110" s="22"/>
      <c r="K110" s="22"/>
      <c r="L110" s="22"/>
      <c r="M110" s="22"/>
      <c r="N110" s="20"/>
      <c r="O110" s="23"/>
      <c r="P110" s="21"/>
      <c r="Q110" s="20"/>
      <c r="R110" s="23"/>
      <c r="S110" s="22"/>
      <c r="T110" s="23"/>
      <c r="U110" s="22"/>
      <c r="V110" s="22"/>
      <c r="W110" s="22"/>
      <c r="X110" s="22"/>
      <c r="Y110" s="20"/>
      <c r="Z110" s="23"/>
      <c r="AA110" s="22"/>
      <c r="AB110" s="20"/>
      <c r="AC110" s="23"/>
      <c r="AD110" s="24"/>
      <c r="AE110" s="23"/>
      <c r="AF110" s="24"/>
      <c r="AG110" s="24"/>
      <c r="AH110" s="24"/>
      <c r="AI110" s="24"/>
      <c r="AJ110" s="20"/>
      <c r="AK110" s="23"/>
      <c r="AL110" s="22"/>
      <c r="AM110" s="20"/>
      <c r="AN110" s="23"/>
      <c r="AO110" s="25"/>
      <c r="AP110" s="23"/>
      <c r="AQ110" s="24"/>
      <c r="AR110" s="24"/>
      <c r="AS110" s="24"/>
      <c r="AT110" s="24"/>
      <c r="AU110" s="20"/>
      <c r="AV110" s="20"/>
      <c r="AW110" s="20"/>
      <c r="AX110" s="20"/>
      <c r="AY110" s="20"/>
      <c r="AZ110" s="20"/>
      <c r="BA110" s="20"/>
    </row>
    <row r="111">
      <c r="A111" s="20"/>
      <c r="B111" s="20"/>
      <c r="C111" s="20"/>
      <c r="D111" s="21"/>
      <c r="E111" s="21"/>
      <c r="F111" s="20"/>
      <c r="G111" s="22"/>
      <c r="H111" s="22"/>
      <c r="I111" s="22"/>
      <c r="J111" s="22"/>
      <c r="K111" s="22"/>
      <c r="L111" s="22"/>
      <c r="M111" s="22"/>
      <c r="N111" s="20"/>
      <c r="O111" s="23"/>
      <c r="P111" s="21"/>
      <c r="Q111" s="20"/>
      <c r="R111" s="23"/>
      <c r="S111" s="22"/>
      <c r="T111" s="23"/>
      <c r="U111" s="22"/>
      <c r="V111" s="22"/>
      <c r="W111" s="22"/>
      <c r="X111" s="22"/>
      <c r="Y111" s="20"/>
      <c r="Z111" s="23"/>
      <c r="AA111" s="22"/>
      <c r="AB111" s="20"/>
      <c r="AC111" s="23"/>
      <c r="AD111" s="24"/>
      <c r="AE111" s="23"/>
      <c r="AF111" s="24"/>
      <c r="AG111" s="24"/>
      <c r="AH111" s="24"/>
      <c r="AI111" s="24"/>
      <c r="AJ111" s="20"/>
      <c r="AK111" s="23"/>
      <c r="AL111" s="22"/>
      <c r="AM111" s="20"/>
      <c r="AN111" s="23"/>
      <c r="AO111" s="25"/>
      <c r="AP111" s="23"/>
      <c r="AQ111" s="24"/>
      <c r="AR111" s="24"/>
      <c r="AS111" s="24"/>
      <c r="AT111" s="24"/>
      <c r="AU111" s="20"/>
      <c r="AV111" s="20"/>
      <c r="AW111" s="20"/>
      <c r="AX111" s="20"/>
      <c r="AY111" s="20"/>
      <c r="AZ111" s="20"/>
      <c r="BA111" s="20"/>
    </row>
    <row r="112">
      <c r="A112" s="20"/>
      <c r="B112" s="20"/>
      <c r="C112" s="20"/>
      <c r="D112" s="21"/>
      <c r="E112" s="21"/>
      <c r="F112" s="20"/>
      <c r="G112" s="22"/>
      <c r="H112" s="22"/>
      <c r="I112" s="22"/>
      <c r="J112" s="22"/>
      <c r="K112" s="22"/>
      <c r="L112" s="22"/>
      <c r="M112" s="22"/>
      <c r="N112" s="20"/>
      <c r="O112" s="23"/>
      <c r="P112" s="21"/>
      <c r="Q112" s="20"/>
      <c r="R112" s="23"/>
      <c r="S112" s="22"/>
      <c r="T112" s="23"/>
      <c r="U112" s="22"/>
      <c r="V112" s="22"/>
      <c r="W112" s="22"/>
      <c r="X112" s="22"/>
      <c r="Y112" s="20"/>
      <c r="Z112" s="23"/>
      <c r="AA112" s="22"/>
      <c r="AB112" s="20"/>
      <c r="AC112" s="23"/>
      <c r="AD112" s="24"/>
      <c r="AE112" s="23"/>
      <c r="AF112" s="24"/>
      <c r="AG112" s="24"/>
      <c r="AH112" s="24"/>
      <c r="AI112" s="24"/>
      <c r="AJ112" s="20"/>
      <c r="AK112" s="23"/>
      <c r="AL112" s="22"/>
      <c r="AM112" s="20"/>
      <c r="AN112" s="23"/>
      <c r="AO112" s="25"/>
      <c r="AP112" s="23"/>
      <c r="AQ112" s="24"/>
      <c r="AR112" s="24"/>
      <c r="AS112" s="24"/>
      <c r="AT112" s="24"/>
      <c r="AU112" s="20"/>
      <c r="AV112" s="20"/>
      <c r="AW112" s="20"/>
      <c r="AX112" s="20"/>
      <c r="AY112" s="20"/>
      <c r="AZ112" s="20"/>
      <c r="BA112" s="20"/>
    </row>
    <row r="113">
      <c r="A113" s="20"/>
      <c r="B113" s="20"/>
      <c r="C113" s="20"/>
      <c r="D113" s="21"/>
      <c r="E113" s="21"/>
      <c r="F113" s="20"/>
      <c r="G113" s="22"/>
      <c r="H113" s="22"/>
      <c r="I113" s="22"/>
      <c r="J113" s="22"/>
      <c r="K113" s="22"/>
      <c r="L113" s="22"/>
      <c r="M113" s="22"/>
      <c r="N113" s="20"/>
      <c r="O113" s="23"/>
      <c r="P113" s="21"/>
      <c r="Q113" s="20"/>
      <c r="R113" s="23"/>
      <c r="S113" s="22"/>
      <c r="T113" s="23"/>
      <c r="U113" s="22"/>
      <c r="V113" s="22"/>
      <c r="W113" s="22"/>
      <c r="X113" s="22"/>
      <c r="Y113" s="20"/>
      <c r="Z113" s="23"/>
      <c r="AA113" s="22"/>
      <c r="AB113" s="20"/>
      <c r="AC113" s="23"/>
      <c r="AD113" s="24"/>
      <c r="AE113" s="23"/>
      <c r="AF113" s="24"/>
      <c r="AG113" s="24"/>
      <c r="AH113" s="24"/>
      <c r="AI113" s="24"/>
      <c r="AJ113" s="20"/>
      <c r="AK113" s="23"/>
      <c r="AL113" s="22"/>
      <c r="AM113" s="20"/>
      <c r="AN113" s="23"/>
      <c r="AO113" s="25"/>
      <c r="AP113" s="23"/>
      <c r="AQ113" s="24"/>
      <c r="AR113" s="24"/>
      <c r="AS113" s="24"/>
      <c r="AT113" s="24"/>
      <c r="AU113" s="20"/>
      <c r="AV113" s="20"/>
      <c r="AW113" s="20"/>
      <c r="AX113" s="20"/>
      <c r="AY113" s="20"/>
      <c r="AZ113" s="20"/>
      <c r="BA113" s="20"/>
    </row>
    <row r="114">
      <c r="A114" s="20"/>
      <c r="B114" s="20"/>
      <c r="C114" s="20"/>
      <c r="D114" s="21"/>
      <c r="E114" s="21"/>
      <c r="F114" s="20"/>
      <c r="G114" s="22"/>
      <c r="H114" s="22"/>
      <c r="I114" s="22"/>
      <c r="J114" s="22"/>
      <c r="K114" s="22"/>
      <c r="L114" s="22"/>
      <c r="M114" s="22"/>
      <c r="N114" s="20"/>
      <c r="O114" s="23"/>
      <c r="P114" s="21"/>
      <c r="Q114" s="20"/>
      <c r="R114" s="23"/>
      <c r="S114" s="22"/>
      <c r="T114" s="23"/>
      <c r="U114" s="22"/>
      <c r="V114" s="22"/>
      <c r="W114" s="22"/>
      <c r="X114" s="22"/>
      <c r="Y114" s="20"/>
      <c r="Z114" s="23"/>
      <c r="AA114" s="22"/>
      <c r="AB114" s="20"/>
      <c r="AC114" s="23"/>
      <c r="AD114" s="24"/>
      <c r="AE114" s="23"/>
      <c r="AF114" s="24"/>
      <c r="AG114" s="24"/>
      <c r="AH114" s="24"/>
      <c r="AI114" s="24"/>
      <c r="AJ114" s="20"/>
      <c r="AK114" s="23"/>
      <c r="AL114" s="22"/>
      <c r="AM114" s="20"/>
      <c r="AN114" s="23"/>
      <c r="AO114" s="25"/>
      <c r="AP114" s="23"/>
      <c r="AQ114" s="24"/>
      <c r="AR114" s="24"/>
      <c r="AS114" s="24"/>
      <c r="AT114" s="24"/>
      <c r="AU114" s="20"/>
      <c r="AV114" s="20"/>
      <c r="AW114" s="20"/>
      <c r="AX114" s="20"/>
      <c r="AY114" s="20"/>
      <c r="AZ114" s="20"/>
      <c r="BA114" s="20"/>
    </row>
    <row r="115">
      <c r="A115" s="20"/>
      <c r="B115" s="20"/>
      <c r="C115" s="20"/>
      <c r="D115" s="21"/>
      <c r="E115" s="21"/>
      <c r="F115" s="20"/>
      <c r="G115" s="22"/>
      <c r="H115" s="22"/>
      <c r="I115" s="22"/>
      <c r="J115" s="22"/>
      <c r="K115" s="22"/>
      <c r="L115" s="22"/>
      <c r="M115" s="22"/>
      <c r="N115" s="20"/>
      <c r="O115" s="23"/>
      <c r="P115" s="21"/>
      <c r="Q115" s="20"/>
      <c r="R115" s="23"/>
      <c r="S115" s="22"/>
      <c r="T115" s="23"/>
      <c r="U115" s="22"/>
      <c r="V115" s="22"/>
      <c r="W115" s="22"/>
      <c r="X115" s="22"/>
      <c r="Y115" s="20"/>
      <c r="Z115" s="23"/>
      <c r="AA115" s="22"/>
      <c r="AB115" s="20"/>
      <c r="AC115" s="23"/>
      <c r="AD115" s="24"/>
      <c r="AE115" s="23"/>
      <c r="AF115" s="24"/>
      <c r="AG115" s="24"/>
      <c r="AH115" s="24"/>
      <c r="AI115" s="24"/>
      <c r="AJ115" s="20"/>
      <c r="AK115" s="23"/>
      <c r="AL115" s="22"/>
      <c r="AM115" s="20"/>
      <c r="AN115" s="23"/>
      <c r="AO115" s="25"/>
      <c r="AP115" s="23"/>
      <c r="AQ115" s="24"/>
      <c r="AR115" s="24"/>
      <c r="AS115" s="24"/>
      <c r="AT115" s="24"/>
      <c r="AU115" s="20"/>
      <c r="AV115" s="20"/>
      <c r="AW115" s="20"/>
      <c r="AX115" s="20"/>
      <c r="AY115" s="20"/>
      <c r="AZ115" s="20"/>
      <c r="BA115" s="20"/>
    </row>
    <row r="116">
      <c r="A116" s="20"/>
      <c r="B116" s="20"/>
      <c r="C116" s="20"/>
      <c r="D116" s="21"/>
      <c r="E116" s="21"/>
      <c r="F116" s="20"/>
      <c r="G116" s="22"/>
      <c r="H116" s="22"/>
      <c r="I116" s="22"/>
      <c r="J116" s="22"/>
      <c r="K116" s="22"/>
      <c r="L116" s="22"/>
      <c r="M116" s="22"/>
      <c r="N116" s="20"/>
      <c r="O116" s="23"/>
      <c r="P116" s="21"/>
      <c r="Q116" s="20"/>
      <c r="R116" s="23"/>
      <c r="S116" s="22"/>
      <c r="T116" s="23"/>
      <c r="U116" s="22"/>
      <c r="V116" s="22"/>
      <c r="W116" s="22"/>
      <c r="X116" s="22"/>
      <c r="Y116" s="20"/>
      <c r="Z116" s="23"/>
      <c r="AA116" s="22"/>
      <c r="AB116" s="20"/>
      <c r="AC116" s="23"/>
      <c r="AD116" s="24"/>
      <c r="AE116" s="23"/>
      <c r="AF116" s="24"/>
      <c r="AG116" s="24"/>
      <c r="AH116" s="24"/>
      <c r="AI116" s="24"/>
      <c r="AJ116" s="20"/>
      <c r="AK116" s="23"/>
      <c r="AL116" s="22"/>
      <c r="AM116" s="20"/>
      <c r="AN116" s="23"/>
      <c r="AO116" s="25"/>
      <c r="AP116" s="23"/>
      <c r="AQ116" s="24"/>
      <c r="AR116" s="24"/>
      <c r="AS116" s="24"/>
      <c r="AT116" s="24"/>
      <c r="AU116" s="20"/>
      <c r="AV116" s="20"/>
      <c r="AW116" s="20"/>
      <c r="AX116" s="20"/>
      <c r="AY116" s="20"/>
      <c r="AZ116" s="20"/>
      <c r="BA116" s="20"/>
    </row>
    <row r="117">
      <c r="A117" s="20"/>
      <c r="B117" s="20"/>
      <c r="C117" s="20"/>
      <c r="D117" s="21"/>
      <c r="E117" s="21"/>
      <c r="F117" s="20"/>
      <c r="G117" s="22"/>
      <c r="H117" s="22"/>
      <c r="I117" s="22"/>
      <c r="J117" s="22"/>
      <c r="K117" s="22"/>
      <c r="L117" s="22"/>
      <c r="M117" s="22"/>
      <c r="N117" s="20"/>
      <c r="O117" s="23"/>
      <c r="P117" s="21"/>
      <c r="Q117" s="20"/>
      <c r="R117" s="23"/>
      <c r="S117" s="22"/>
      <c r="T117" s="23"/>
      <c r="U117" s="22"/>
      <c r="V117" s="22"/>
      <c r="W117" s="22"/>
      <c r="X117" s="22"/>
      <c r="Y117" s="20"/>
      <c r="Z117" s="23"/>
      <c r="AA117" s="22"/>
      <c r="AB117" s="20"/>
      <c r="AC117" s="23"/>
      <c r="AD117" s="24"/>
      <c r="AE117" s="23"/>
      <c r="AF117" s="24"/>
      <c r="AG117" s="24"/>
      <c r="AH117" s="24"/>
      <c r="AI117" s="24"/>
      <c r="AJ117" s="20"/>
      <c r="AK117" s="23"/>
      <c r="AL117" s="22"/>
      <c r="AM117" s="20"/>
      <c r="AN117" s="23"/>
      <c r="AO117" s="25"/>
      <c r="AP117" s="23"/>
      <c r="AQ117" s="24"/>
      <c r="AR117" s="24"/>
      <c r="AS117" s="24"/>
      <c r="AT117" s="24"/>
      <c r="AU117" s="20"/>
      <c r="AV117" s="20"/>
      <c r="AW117" s="20"/>
      <c r="AX117" s="20"/>
      <c r="AY117" s="20"/>
      <c r="AZ117" s="20"/>
      <c r="BA117" s="20"/>
    </row>
    <row r="118">
      <c r="A118" s="20"/>
      <c r="B118" s="20"/>
      <c r="C118" s="20"/>
      <c r="D118" s="21"/>
      <c r="E118" s="21"/>
      <c r="F118" s="20"/>
      <c r="G118" s="22"/>
      <c r="H118" s="22"/>
      <c r="I118" s="22"/>
      <c r="J118" s="22"/>
      <c r="K118" s="22"/>
      <c r="L118" s="22"/>
      <c r="M118" s="22"/>
      <c r="N118" s="20"/>
      <c r="O118" s="23"/>
      <c r="P118" s="21"/>
      <c r="Q118" s="20"/>
      <c r="R118" s="23"/>
      <c r="S118" s="22"/>
      <c r="T118" s="23"/>
      <c r="U118" s="22"/>
      <c r="V118" s="22"/>
      <c r="W118" s="22"/>
      <c r="X118" s="22"/>
      <c r="Y118" s="20"/>
      <c r="Z118" s="23"/>
      <c r="AA118" s="22"/>
      <c r="AB118" s="20"/>
      <c r="AC118" s="23"/>
      <c r="AD118" s="24"/>
      <c r="AE118" s="23"/>
      <c r="AF118" s="24"/>
      <c r="AG118" s="24"/>
      <c r="AH118" s="24"/>
      <c r="AI118" s="24"/>
      <c r="AJ118" s="20"/>
      <c r="AK118" s="23"/>
      <c r="AL118" s="22"/>
      <c r="AM118" s="20"/>
      <c r="AN118" s="23"/>
      <c r="AO118" s="25"/>
      <c r="AP118" s="23"/>
      <c r="AQ118" s="24"/>
      <c r="AR118" s="24"/>
      <c r="AS118" s="24"/>
      <c r="AT118" s="24"/>
      <c r="AU118" s="20"/>
      <c r="AV118" s="20"/>
      <c r="AW118" s="20"/>
      <c r="AX118" s="20"/>
      <c r="AY118" s="20"/>
      <c r="AZ118" s="20"/>
      <c r="BA118" s="20"/>
    </row>
    <row r="119">
      <c r="A119" s="20"/>
      <c r="B119" s="20"/>
      <c r="C119" s="20"/>
      <c r="D119" s="21"/>
      <c r="E119" s="21"/>
      <c r="F119" s="20"/>
      <c r="G119" s="22"/>
      <c r="H119" s="22"/>
      <c r="I119" s="22"/>
      <c r="J119" s="22"/>
      <c r="K119" s="22"/>
      <c r="L119" s="22"/>
      <c r="M119" s="22"/>
      <c r="N119" s="20"/>
      <c r="O119" s="23"/>
      <c r="P119" s="21"/>
      <c r="Q119" s="20"/>
      <c r="R119" s="23"/>
      <c r="S119" s="22"/>
      <c r="T119" s="23"/>
      <c r="U119" s="22"/>
      <c r="V119" s="22"/>
      <c r="W119" s="22"/>
      <c r="X119" s="22"/>
      <c r="Y119" s="20"/>
      <c r="Z119" s="23"/>
      <c r="AA119" s="22"/>
      <c r="AB119" s="20"/>
      <c r="AC119" s="23"/>
      <c r="AD119" s="24"/>
      <c r="AE119" s="23"/>
      <c r="AF119" s="24"/>
      <c r="AG119" s="24"/>
      <c r="AH119" s="24"/>
      <c r="AI119" s="24"/>
      <c r="AJ119" s="20"/>
      <c r="AK119" s="23"/>
      <c r="AL119" s="22"/>
      <c r="AM119" s="20"/>
      <c r="AN119" s="23"/>
      <c r="AO119" s="25"/>
      <c r="AP119" s="23"/>
      <c r="AQ119" s="24"/>
      <c r="AR119" s="24"/>
      <c r="AS119" s="24"/>
      <c r="AT119" s="24"/>
      <c r="AU119" s="20"/>
      <c r="AV119" s="20"/>
      <c r="AW119" s="20"/>
      <c r="AX119" s="20"/>
      <c r="AY119" s="20"/>
      <c r="AZ119" s="20"/>
      <c r="BA119" s="20"/>
    </row>
    <row r="120">
      <c r="A120" s="20"/>
      <c r="B120" s="20"/>
      <c r="C120" s="20"/>
      <c r="D120" s="21"/>
      <c r="E120" s="21"/>
      <c r="F120" s="20"/>
      <c r="G120" s="22"/>
      <c r="H120" s="22"/>
      <c r="I120" s="22"/>
      <c r="J120" s="22"/>
      <c r="K120" s="22"/>
      <c r="L120" s="22"/>
      <c r="M120" s="22"/>
      <c r="N120" s="20"/>
      <c r="O120" s="23"/>
      <c r="P120" s="21"/>
      <c r="Q120" s="20"/>
      <c r="R120" s="23"/>
      <c r="S120" s="22"/>
      <c r="T120" s="23"/>
      <c r="U120" s="22"/>
      <c r="V120" s="22"/>
      <c r="W120" s="22"/>
      <c r="X120" s="22"/>
      <c r="Y120" s="20"/>
      <c r="Z120" s="23"/>
      <c r="AA120" s="22"/>
      <c r="AB120" s="20"/>
      <c r="AC120" s="23"/>
      <c r="AD120" s="24"/>
      <c r="AE120" s="23"/>
      <c r="AF120" s="24"/>
      <c r="AG120" s="24"/>
      <c r="AH120" s="24"/>
      <c r="AI120" s="24"/>
      <c r="AJ120" s="20"/>
      <c r="AK120" s="23"/>
      <c r="AL120" s="22"/>
      <c r="AM120" s="20"/>
      <c r="AN120" s="23"/>
      <c r="AO120" s="25"/>
      <c r="AP120" s="23"/>
      <c r="AQ120" s="24"/>
      <c r="AR120" s="24"/>
      <c r="AS120" s="24"/>
      <c r="AT120" s="24"/>
      <c r="AU120" s="20"/>
      <c r="AV120" s="20"/>
      <c r="AW120" s="20"/>
      <c r="AX120" s="20"/>
      <c r="AY120" s="20"/>
      <c r="AZ120" s="20"/>
      <c r="BA120" s="20"/>
    </row>
    <row r="121">
      <c r="A121" s="20"/>
      <c r="B121" s="20"/>
      <c r="C121" s="20"/>
      <c r="D121" s="21"/>
      <c r="E121" s="21"/>
      <c r="F121" s="20"/>
      <c r="G121" s="22"/>
      <c r="H121" s="22"/>
      <c r="I121" s="22"/>
      <c r="J121" s="22"/>
      <c r="K121" s="22"/>
      <c r="L121" s="22"/>
      <c r="M121" s="22"/>
      <c r="N121" s="20"/>
      <c r="O121" s="23"/>
      <c r="P121" s="21"/>
      <c r="Q121" s="20"/>
      <c r="R121" s="23"/>
      <c r="S121" s="22"/>
      <c r="T121" s="23"/>
      <c r="U121" s="22"/>
      <c r="V121" s="22"/>
      <c r="W121" s="22"/>
      <c r="X121" s="22"/>
      <c r="Y121" s="20"/>
      <c r="Z121" s="23"/>
      <c r="AA121" s="22"/>
      <c r="AB121" s="20"/>
      <c r="AC121" s="23"/>
      <c r="AD121" s="24"/>
      <c r="AE121" s="23"/>
      <c r="AF121" s="24"/>
      <c r="AG121" s="24"/>
      <c r="AH121" s="24"/>
      <c r="AI121" s="24"/>
      <c r="AJ121" s="20"/>
      <c r="AK121" s="23"/>
      <c r="AL121" s="22"/>
      <c r="AM121" s="20"/>
      <c r="AN121" s="23"/>
      <c r="AO121" s="25"/>
      <c r="AP121" s="23"/>
      <c r="AQ121" s="24"/>
      <c r="AR121" s="24"/>
      <c r="AS121" s="24"/>
      <c r="AT121" s="24"/>
      <c r="AU121" s="20"/>
      <c r="AV121" s="20"/>
      <c r="AW121" s="20"/>
      <c r="AX121" s="20"/>
      <c r="AY121" s="20"/>
      <c r="AZ121" s="20"/>
      <c r="BA121" s="20"/>
    </row>
    <row r="122">
      <c r="A122" s="20"/>
      <c r="B122" s="20"/>
      <c r="C122" s="20"/>
      <c r="D122" s="21"/>
      <c r="E122" s="21"/>
      <c r="F122" s="20"/>
      <c r="G122" s="22"/>
      <c r="H122" s="22"/>
      <c r="I122" s="22"/>
      <c r="J122" s="22"/>
      <c r="K122" s="22"/>
      <c r="L122" s="22"/>
      <c r="M122" s="22"/>
      <c r="N122" s="20"/>
      <c r="O122" s="23"/>
      <c r="P122" s="21"/>
      <c r="Q122" s="20"/>
      <c r="R122" s="23"/>
      <c r="S122" s="22"/>
      <c r="T122" s="23"/>
      <c r="U122" s="22"/>
      <c r="V122" s="22"/>
      <c r="W122" s="22"/>
      <c r="X122" s="22"/>
      <c r="Y122" s="20"/>
      <c r="Z122" s="23"/>
      <c r="AA122" s="22"/>
      <c r="AB122" s="20"/>
      <c r="AC122" s="23"/>
      <c r="AD122" s="24"/>
      <c r="AE122" s="23"/>
      <c r="AF122" s="24"/>
      <c r="AG122" s="24"/>
      <c r="AH122" s="24"/>
      <c r="AI122" s="24"/>
      <c r="AJ122" s="20"/>
      <c r="AK122" s="23"/>
      <c r="AL122" s="22"/>
      <c r="AM122" s="20"/>
      <c r="AN122" s="23"/>
      <c r="AO122" s="25"/>
      <c r="AP122" s="23"/>
      <c r="AQ122" s="24"/>
      <c r="AR122" s="24"/>
      <c r="AS122" s="24"/>
      <c r="AT122" s="24"/>
      <c r="AU122" s="20"/>
      <c r="AV122" s="20"/>
      <c r="AW122" s="20"/>
      <c r="AX122" s="20"/>
      <c r="AY122" s="20"/>
      <c r="AZ122" s="20"/>
      <c r="BA122" s="20"/>
    </row>
    <row r="123">
      <c r="A123" s="20"/>
      <c r="B123" s="20"/>
      <c r="C123" s="20"/>
      <c r="D123" s="21"/>
      <c r="E123" s="21"/>
      <c r="F123" s="20"/>
      <c r="G123" s="22"/>
      <c r="H123" s="22"/>
      <c r="I123" s="22"/>
      <c r="J123" s="22"/>
      <c r="K123" s="22"/>
      <c r="L123" s="22"/>
      <c r="M123" s="22"/>
      <c r="N123" s="20"/>
      <c r="O123" s="23"/>
      <c r="P123" s="21"/>
      <c r="Q123" s="20"/>
      <c r="R123" s="23"/>
      <c r="S123" s="22"/>
      <c r="T123" s="23"/>
      <c r="U123" s="22"/>
      <c r="V123" s="22"/>
      <c r="W123" s="22"/>
      <c r="X123" s="22"/>
      <c r="Y123" s="20"/>
      <c r="Z123" s="23"/>
      <c r="AA123" s="22"/>
      <c r="AB123" s="20"/>
      <c r="AC123" s="23"/>
      <c r="AD123" s="24"/>
      <c r="AE123" s="23"/>
      <c r="AF123" s="24"/>
      <c r="AG123" s="24"/>
      <c r="AH123" s="24"/>
      <c r="AI123" s="24"/>
      <c r="AJ123" s="20"/>
      <c r="AK123" s="23"/>
      <c r="AL123" s="22"/>
      <c r="AM123" s="20"/>
      <c r="AN123" s="23"/>
      <c r="AO123" s="25"/>
      <c r="AP123" s="23"/>
      <c r="AQ123" s="24"/>
      <c r="AR123" s="24"/>
      <c r="AS123" s="24"/>
      <c r="AT123" s="24"/>
      <c r="AU123" s="20"/>
      <c r="AV123" s="20"/>
      <c r="AW123" s="20"/>
      <c r="AX123" s="20"/>
      <c r="AY123" s="20"/>
      <c r="AZ123" s="20"/>
      <c r="BA123" s="20"/>
    </row>
    <row r="124">
      <c r="A124" s="20"/>
      <c r="B124" s="20"/>
      <c r="C124" s="20"/>
      <c r="D124" s="21"/>
      <c r="E124" s="21"/>
      <c r="F124" s="20"/>
      <c r="G124" s="22"/>
      <c r="H124" s="22"/>
      <c r="I124" s="22"/>
      <c r="J124" s="22"/>
      <c r="K124" s="22"/>
      <c r="L124" s="22"/>
      <c r="M124" s="22"/>
      <c r="N124" s="20"/>
      <c r="O124" s="23"/>
      <c r="P124" s="21"/>
      <c r="Q124" s="20"/>
      <c r="R124" s="23"/>
      <c r="S124" s="22"/>
      <c r="T124" s="23"/>
      <c r="U124" s="22"/>
      <c r="V124" s="22"/>
      <c r="W124" s="22"/>
      <c r="X124" s="22"/>
      <c r="Y124" s="20"/>
      <c r="Z124" s="23"/>
      <c r="AA124" s="22"/>
      <c r="AB124" s="20"/>
      <c r="AC124" s="23"/>
      <c r="AD124" s="24"/>
      <c r="AE124" s="23"/>
      <c r="AF124" s="24"/>
      <c r="AG124" s="24"/>
      <c r="AH124" s="24"/>
      <c r="AI124" s="24"/>
      <c r="AJ124" s="20"/>
      <c r="AK124" s="23"/>
      <c r="AL124" s="22"/>
      <c r="AM124" s="20"/>
      <c r="AN124" s="23"/>
      <c r="AO124" s="25"/>
      <c r="AP124" s="23"/>
      <c r="AQ124" s="24"/>
      <c r="AR124" s="24"/>
      <c r="AS124" s="24"/>
      <c r="AT124" s="24"/>
      <c r="AU124" s="20"/>
      <c r="AV124" s="20"/>
      <c r="AW124" s="20"/>
      <c r="AX124" s="20"/>
      <c r="AY124" s="20"/>
      <c r="AZ124" s="20"/>
      <c r="BA124" s="20"/>
    </row>
    <row r="125">
      <c r="A125" s="20"/>
      <c r="B125" s="20"/>
      <c r="C125" s="20"/>
      <c r="D125" s="21"/>
      <c r="E125" s="21"/>
      <c r="F125" s="20"/>
      <c r="G125" s="22"/>
      <c r="H125" s="22"/>
      <c r="I125" s="22"/>
      <c r="J125" s="22"/>
      <c r="K125" s="22"/>
      <c r="L125" s="22"/>
      <c r="M125" s="22"/>
      <c r="N125" s="20"/>
      <c r="O125" s="23"/>
      <c r="P125" s="21"/>
      <c r="Q125" s="20"/>
      <c r="R125" s="23"/>
      <c r="S125" s="22"/>
      <c r="T125" s="23"/>
      <c r="U125" s="22"/>
      <c r="V125" s="22"/>
      <c r="W125" s="22"/>
      <c r="X125" s="22"/>
      <c r="Y125" s="20"/>
      <c r="Z125" s="23"/>
      <c r="AA125" s="22"/>
      <c r="AB125" s="20"/>
      <c r="AC125" s="23"/>
      <c r="AD125" s="24"/>
      <c r="AE125" s="23"/>
      <c r="AF125" s="24"/>
      <c r="AG125" s="24"/>
      <c r="AH125" s="24"/>
      <c r="AI125" s="24"/>
      <c r="AJ125" s="20"/>
      <c r="AK125" s="23"/>
      <c r="AL125" s="22"/>
      <c r="AM125" s="20"/>
      <c r="AN125" s="23"/>
      <c r="AO125" s="25"/>
      <c r="AP125" s="23"/>
      <c r="AQ125" s="24"/>
      <c r="AR125" s="24"/>
      <c r="AS125" s="24"/>
      <c r="AT125" s="24"/>
      <c r="AU125" s="20"/>
      <c r="AV125" s="20"/>
      <c r="AW125" s="20"/>
      <c r="AX125" s="20"/>
      <c r="AY125" s="20"/>
      <c r="AZ125" s="20"/>
      <c r="BA125" s="20"/>
    </row>
    <row r="126">
      <c r="A126" s="20"/>
      <c r="B126" s="20"/>
      <c r="C126" s="20"/>
      <c r="D126" s="21"/>
      <c r="E126" s="21"/>
      <c r="F126" s="20"/>
      <c r="G126" s="22"/>
      <c r="H126" s="22"/>
      <c r="I126" s="22"/>
      <c r="J126" s="22"/>
      <c r="K126" s="22"/>
      <c r="L126" s="22"/>
      <c r="M126" s="22"/>
      <c r="N126" s="20"/>
      <c r="O126" s="23"/>
      <c r="P126" s="21"/>
      <c r="Q126" s="20"/>
      <c r="R126" s="23"/>
      <c r="S126" s="22"/>
      <c r="T126" s="23"/>
      <c r="U126" s="22"/>
      <c r="V126" s="22"/>
      <c r="W126" s="22"/>
      <c r="X126" s="22"/>
      <c r="Y126" s="20"/>
      <c r="Z126" s="23"/>
      <c r="AA126" s="22"/>
      <c r="AB126" s="20"/>
      <c r="AC126" s="23"/>
      <c r="AD126" s="24"/>
      <c r="AE126" s="23"/>
      <c r="AF126" s="24"/>
      <c r="AG126" s="24"/>
      <c r="AH126" s="24"/>
      <c r="AI126" s="24"/>
      <c r="AJ126" s="20"/>
      <c r="AK126" s="23"/>
      <c r="AL126" s="22"/>
      <c r="AM126" s="20"/>
      <c r="AN126" s="23"/>
      <c r="AO126" s="25"/>
      <c r="AP126" s="23"/>
      <c r="AQ126" s="24"/>
      <c r="AR126" s="24"/>
      <c r="AS126" s="24"/>
      <c r="AT126" s="24"/>
      <c r="AU126" s="20"/>
      <c r="AV126" s="20"/>
      <c r="AW126" s="20"/>
      <c r="AX126" s="20"/>
      <c r="AY126" s="20"/>
      <c r="AZ126" s="20"/>
      <c r="BA126" s="20"/>
    </row>
    <row r="127">
      <c r="A127" s="20"/>
      <c r="B127" s="20"/>
      <c r="C127" s="20"/>
      <c r="D127" s="21"/>
      <c r="E127" s="21"/>
      <c r="F127" s="20"/>
      <c r="G127" s="22"/>
      <c r="H127" s="22"/>
      <c r="I127" s="22"/>
      <c r="J127" s="22"/>
      <c r="K127" s="22"/>
      <c r="L127" s="22"/>
      <c r="M127" s="22"/>
      <c r="N127" s="20"/>
      <c r="O127" s="23"/>
      <c r="P127" s="21"/>
      <c r="Q127" s="20"/>
      <c r="R127" s="23"/>
      <c r="S127" s="22"/>
      <c r="T127" s="23"/>
      <c r="U127" s="22"/>
      <c r="V127" s="22"/>
      <c r="W127" s="22"/>
      <c r="X127" s="22"/>
      <c r="Y127" s="20"/>
      <c r="Z127" s="23"/>
      <c r="AA127" s="22"/>
      <c r="AB127" s="20"/>
      <c r="AC127" s="23"/>
      <c r="AD127" s="24"/>
      <c r="AE127" s="23"/>
      <c r="AF127" s="24"/>
      <c r="AG127" s="24"/>
      <c r="AH127" s="24"/>
      <c r="AI127" s="24"/>
      <c r="AJ127" s="20"/>
      <c r="AK127" s="23"/>
      <c r="AL127" s="22"/>
      <c r="AM127" s="20"/>
      <c r="AN127" s="23"/>
      <c r="AO127" s="25"/>
      <c r="AP127" s="23"/>
      <c r="AQ127" s="24"/>
      <c r="AR127" s="24"/>
      <c r="AS127" s="24"/>
      <c r="AT127" s="24"/>
      <c r="AU127" s="20"/>
      <c r="AV127" s="20"/>
      <c r="AW127" s="20"/>
      <c r="AX127" s="20"/>
      <c r="AY127" s="20"/>
      <c r="AZ127" s="20"/>
      <c r="BA127" s="20"/>
    </row>
    <row r="128">
      <c r="A128" s="20"/>
      <c r="B128" s="20"/>
      <c r="C128" s="20"/>
      <c r="D128" s="21"/>
      <c r="E128" s="21"/>
      <c r="F128" s="20"/>
      <c r="G128" s="22"/>
      <c r="H128" s="22"/>
      <c r="I128" s="22"/>
      <c r="J128" s="22"/>
      <c r="K128" s="22"/>
      <c r="L128" s="22"/>
      <c r="M128" s="22"/>
      <c r="N128" s="20"/>
      <c r="O128" s="23"/>
      <c r="P128" s="21"/>
      <c r="Q128" s="20"/>
      <c r="R128" s="23"/>
      <c r="S128" s="22"/>
      <c r="T128" s="23"/>
      <c r="U128" s="22"/>
      <c r="V128" s="22"/>
      <c r="W128" s="22"/>
      <c r="X128" s="22"/>
      <c r="Y128" s="20"/>
      <c r="Z128" s="23"/>
      <c r="AA128" s="22"/>
      <c r="AB128" s="20"/>
      <c r="AC128" s="23"/>
      <c r="AD128" s="24"/>
      <c r="AE128" s="23"/>
      <c r="AF128" s="24"/>
      <c r="AG128" s="24"/>
      <c r="AH128" s="24"/>
      <c r="AI128" s="24"/>
      <c r="AJ128" s="20"/>
      <c r="AK128" s="23"/>
      <c r="AL128" s="22"/>
      <c r="AM128" s="20"/>
      <c r="AN128" s="23"/>
      <c r="AO128" s="25"/>
      <c r="AP128" s="23"/>
      <c r="AQ128" s="24"/>
      <c r="AR128" s="24"/>
      <c r="AS128" s="24"/>
      <c r="AT128" s="24"/>
      <c r="AU128" s="20"/>
      <c r="AV128" s="20"/>
      <c r="AW128" s="20"/>
      <c r="AX128" s="20"/>
      <c r="AY128" s="20"/>
      <c r="AZ128" s="20"/>
      <c r="BA128" s="20"/>
    </row>
    <row r="129">
      <c r="A129" s="20"/>
      <c r="B129" s="20"/>
      <c r="C129" s="20"/>
      <c r="D129" s="21"/>
      <c r="E129" s="21"/>
      <c r="F129" s="20"/>
      <c r="G129" s="22"/>
      <c r="H129" s="22"/>
      <c r="I129" s="22"/>
      <c r="J129" s="22"/>
      <c r="K129" s="22"/>
      <c r="L129" s="22"/>
      <c r="M129" s="22"/>
      <c r="N129" s="20"/>
      <c r="O129" s="23"/>
      <c r="P129" s="21"/>
      <c r="Q129" s="20"/>
      <c r="R129" s="23"/>
      <c r="S129" s="22"/>
      <c r="T129" s="23"/>
      <c r="U129" s="22"/>
      <c r="V129" s="22"/>
      <c r="W129" s="22"/>
      <c r="X129" s="22"/>
      <c r="Y129" s="20"/>
      <c r="Z129" s="23"/>
      <c r="AA129" s="22"/>
      <c r="AB129" s="20"/>
      <c r="AC129" s="23"/>
      <c r="AD129" s="24"/>
      <c r="AE129" s="23"/>
      <c r="AF129" s="24"/>
      <c r="AG129" s="24"/>
      <c r="AH129" s="24"/>
      <c r="AI129" s="24"/>
      <c r="AJ129" s="20"/>
      <c r="AK129" s="23"/>
      <c r="AL129" s="22"/>
      <c r="AM129" s="20"/>
      <c r="AN129" s="23"/>
      <c r="AO129" s="25"/>
      <c r="AP129" s="23"/>
      <c r="AQ129" s="24"/>
      <c r="AR129" s="24"/>
      <c r="AS129" s="24"/>
      <c r="AT129" s="24"/>
      <c r="AU129" s="20"/>
      <c r="AV129" s="20"/>
      <c r="AW129" s="20"/>
      <c r="AX129" s="20"/>
      <c r="AY129" s="20"/>
      <c r="AZ129" s="20"/>
      <c r="BA129" s="20"/>
    </row>
    <row r="130">
      <c r="A130" s="20"/>
      <c r="B130" s="20"/>
      <c r="C130" s="20"/>
      <c r="D130" s="21"/>
      <c r="E130" s="21"/>
      <c r="F130" s="20"/>
      <c r="G130" s="22"/>
      <c r="H130" s="22"/>
      <c r="I130" s="22"/>
      <c r="J130" s="22"/>
      <c r="K130" s="22"/>
      <c r="L130" s="22"/>
      <c r="M130" s="22"/>
      <c r="N130" s="20"/>
      <c r="O130" s="23"/>
      <c r="P130" s="21"/>
      <c r="Q130" s="20"/>
      <c r="R130" s="23"/>
      <c r="S130" s="22"/>
      <c r="T130" s="23"/>
      <c r="U130" s="22"/>
      <c r="V130" s="22"/>
      <c r="W130" s="22"/>
      <c r="X130" s="22"/>
      <c r="Y130" s="20"/>
      <c r="Z130" s="23"/>
      <c r="AA130" s="22"/>
      <c r="AB130" s="20"/>
      <c r="AC130" s="23"/>
      <c r="AD130" s="24"/>
      <c r="AE130" s="23"/>
      <c r="AF130" s="24"/>
      <c r="AG130" s="24"/>
      <c r="AH130" s="24"/>
      <c r="AI130" s="24"/>
      <c r="AJ130" s="20"/>
      <c r="AK130" s="23"/>
      <c r="AL130" s="22"/>
      <c r="AM130" s="20"/>
      <c r="AN130" s="23"/>
      <c r="AO130" s="25"/>
      <c r="AP130" s="23"/>
      <c r="AQ130" s="24"/>
      <c r="AR130" s="24"/>
      <c r="AS130" s="24"/>
      <c r="AT130" s="24"/>
      <c r="AU130" s="20"/>
      <c r="AV130" s="20"/>
      <c r="AW130" s="20"/>
      <c r="AX130" s="20"/>
      <c r="AY130" s="20"/>
      <c r="AZ130" s="20"/>
      <c r="BA130" s="20"/>
    </row>
    <row r="131">
      <c r="A131" s="20"/>
      <c r="B131" s="20"/>
      <c r="C131" s="20"/>
      <c r="D131" s="21"/>
      <c r="E131" s="21"/>
      <c r="F131" s="20"/>
      <c r="G131" s="22"/>
      <c r="H131" s="22"/>
      <c r="I131" s="22"/>
      <c r="J131" s="22"/>
      <c r="K131" s="22"/>
      <c r="L131" s="22"/>
      <c r="M131" s="22"/>
      <c r="N131" s="20"/>
      <c r="O131" s="23"/>
      <c r="P131" s="21"/>
      <c r="Q131" s="20"/>
      <c r="R131" s="23"/>
      <c r="S131" s="22"/>
      <c r="T131" s="23"/>
      <c r="U131" s="22"/>
      <c r="V131" s="22"/>
      <c r="W131" s="22"/>
      <c r="X131" s="22"/>
      <c r="Y131" s="20"/>
      <c r="Z131" s="23"/>
      <c r="AA131" s="22"/>
      <c r="AB131" s="20"/>
      <c r="AC131" s="23"/>
      <c r="AD131" s="24"/>
      <c r="AE131" s="23"/>
      <c r="AF131" s="24"/>
      <c r="AG131" s="24"/>
      <c r="AH131" s="24"/>
      <c r="AI131" s="24"/>
      <c r="AJ131" s="20"/>
      <c r="AK131" s="23"/>
      <c r="AL131" s="22"/>
      <c r="AM131" s="20"/>
      <c r="AN131" s="23"/>
      <c r="AO131" s="25"/>
      <c r="AP131" s="23"/>
      <c r="AQ131" s="24"/>
      <c r="AR131" s="24"/>
      <c r="AS131" s="24"/>
      <c r="AT131" s="24"/>
      <c r="AU131" s="20"/>
      <c r="AV131" s="20"/>
      <c r="AW131" s="20"/>
      <c r="AX131" s="20"/>
      <c r="AY131" s="20"/>
      <c r="AZ131" s="20"/>
      <c r="BA131" s="20"/>
    </row>
    <row r="132">
      <c r="A132" s="20"/>
      <c r="B132" s="20"/>
      <c r="C132" s="20"/>
      <c r="D132" s="21"/>
      <c r="E132" s="21"/>
      <c r="F132" s="20"/>
      <c r="G132" s="22"/>
      <c r="H132" s="22"/>
      <c r="I132" s="22"/>
      <c r="J132" s="22"/>
      <c r="K132" s="22"/>
      <c r="L132" s="22"/>
      <c r="M132" s="22"/>
      <c r="N132" s="20"/>
      <c r="O132" s="23"/>
      <c r="P132" s="21"/>
      <c r="Q132" s="20"/>
      <c r="R132" s="23"/>
      <c r="S132" s="22"/>
      <c r="T132" s="23"/>
      <c r="U132" s="22"/>
      <c r="V132" s="22"/>
      <c r="W132" s="22"/>
      <c r="X132" s="22"/>
      <c r="Y132" s="20"/>
      <c r="Z132" s="23"/>
      <c r="AA132" s="22"/>
      <c r="AB132" s="20"/>
      <c r="AC132" s="23"/>
      <c r="AD132" s="24"/>
      <c r="AE132" s="23"/>
      <c r="AF132" s="24"/>
      <c r="AG132" s="24"/>
      <c r="AH132" s="24"/>
      <c r="AI132" s="24"/>
      <c r="AJ132" s="20"/>
      <c r="AK132" s="23"/>
      <c r="AL132" s="22"/>
      <c r="AM132" s="20"/>
      <c r="AN132" s="23"/>
      <c r="AO132" s="25"/>
      <c r="AP132" s="23"/>
      <c r="AQ132" s="24"/>
      <c r="AR132" s="24"/>
      <c r="AS132" s="24"/>
      <c r="AT132" s="24"/>
      <c r="AU132" s="20"/>
      <c r="AV132" s="20"/>
      <c r="AW132" s="20"/>
      <c r="AX132" s="20"/>
      <c r="AY132" s="20"/>
      <c r="AZ132" s="20"/>
      <c r="BA132" s="20"/>
    </row>
    <row r="133">
      <c r="A133" s="20"/>
      <c r="B133" s="20"/>
      <c r="C133" s="20"/>
      <c r="D133" s="21"/>
      <c r="E133" s="21"/>
      <c r="F133" s="20"/>
      <c r="G133" s="22"/>
      <c r="H133" s="22"/>
      <c r="I133" s="22"/>
      <c r="J133" s="22"/>
      <c r="K133" s="22"/>
      <c r="L133" s="22"/>
      <c r="M133" s="22"/>
      <c r="N133" s="20"/>
      <c r="O133" s="23"/>
      <c r="P133" s="21"/>
      <c r="Q133" s="20"/>
      <c r="R133" s="23"/>
      <c r="S133" s="22"/>
      <c r="T133" s="23"/>
      <c r="U133" s="22"/>
      <c r="V133" s="22"/>
      <c r="W133" s="22"/>
      <c r="X133" s="22"/>
      <c r="Y133" s="20"/>
      <c r="Z133" s="23"/>
      <c r="AA133" s="22"/>
      <c r="AB133" s="20"/>
      <c r="AC133" s="23"/>
      <c r="AD133" s="24"/>
      <c r="AE133" s="23"/>
      <c r="AF133" s="24"/>
      <c r="AG133" s="24"/>
      <c r="AH133" s="24"/>
      <c r="AI133" s="24"/>
      <c r="AJ133" s="20"/>
      <c r="AK133" s="23"/>
      <c r="AL133" s="22"/>
      <c r="AM133" s="20"/>
      <c r="AN133" s="23"/>
      <c r="AO133" s="25"/>
      <c r="AP133" s="23"/>
      <c r="AQ133" s="24"/>
      <c r="AR133" s="24"/>
      <c r="AS133" s="24"/>
      <c r="AT133" s="24"/>
      <c r="AU133" s="20"/>
      <c r="AV133" s="20"/>
      <c r="AW133" s="20"/>
      <c r="AX133" s="20"/>
      <c r="AY133" s="20"/>
      <c r="AZ133" s="20"/>
      <c r="BA133" s="20"/>
    </row>
    <row r="134">
      <c r="A134" s="20"/>
      <c r="B134" s="20"/>
      <c r="C134" s="20"/>
      <c r="D134" s="21"/>
      <c r="E134" s="21"/>
      <c r="F134" s="20"/>
      <c r="G134" s="22"/>
      <c r="H134" s="22"/>
      <c r="I134" s="22"/>
      <c r="J134" s="22"/>
      <c r="K134" s="22"/>
      <c r="L134" s="22"/>
      <c r="M134" s="22"/>
      <c r="N134" s="20"/>
      <c r="O134" s="23"/>
      <c r="P134" s="21"/>
      <c r="Q134" s="20"/>
      <c r="R134" s="23"/>
      <c r="S134" s="22"/>
      <c r="T134" s="23"/>
      <c r="U134" s="22"/>
      <c r="V134" s="22"/>
      <c r="W134" s="22"/>
      <c r="X134" s="22"/>
      <c r="Y134" s="20"/>
      <c r="Z134" s="23"/>
      <c r="AA134" s="22"/>
      <c r="AB134" s="20"/>
      <c r="AC134" s="23"/>
      <c r="AD134" s="24"/>
      <c r="AE134" s="23"/>
      <c r="AF134" s="24"/>
      <c r="AG134" s="24"/>
      <c r="AH134" s="24"/>
      <c r="AI134" s="24"/>
      <c r="AJ134" s="20"/>
      <c r="AK134" s="23"/>
      <c r="AL134" s="22"/>
      <c r="AM134" s="20"/>
      <c r="AN134" s="23"/>
      <c r="AO134" s="25"/>
      <c r="AP134" s="23"/>
      <c r="AQ134" s="24"/>
      <c r="AR134" s="24"/>
      <c r="AS134" s="24"/>
      <c r="AT134" s="24"/>
      <c r="AU134" s="20"/>
      <c r="AV134" s="20"/>
      <c r="AW134" s="20"/>
      <c r="AX134" s="20"/>
      <c r="AY134" s="20"/>
      <c r="AZ134" s="20"/>
      <c r="BA134" s="20"/>
    </row>
    <row r="135">
      <c r="A135" s="20"/>
      <c r="B135" s="20"/>
      <c r="C135" s="20"/>
      <c r="D135" s="21"/>
      <c r="E135" s="21"/>
      <c r="F135" s="20"/>
      <c r="G135" s="22"/>
      <c r="H135" s="22"/>
      <c r="I135" s="22"/>
      <c r="J135" s="22"/>
      <c r="K135" s="22"/>
      <c r="L135" s="22"/>
      <c r="M135" s="22"/>
      <c r="N135" s="20"/>
      <c r="O135" s="23"/>
      <c r="P135" s="21"/>
      <c r="Q135" s="20"/>
      <c r="R135" s="23"/>
      <c r="S135" s="22"/>
      <c r="T135" s="23"/>
      <c r="U135" s="22"/>
      <c r="V135" s="22"/>
      <c r="W135" s="22"/>
      <c r="X135" s="22"/>
      <c r="Y135" s="20"/>
      <c r="Z135" s="23"/>
      <c r="AA135" s="22"/>
      <c r="AB135" s="20"/>
      <c r="AC135" s="23"/>
      <c r="AD135" s="24"/>
      <c r="AE135" s="23"/>
      <c r="AF135" s="24"/>
      <c r="AG135" s="24"/>
      <c r="AH135" s="24"/>
      <c r="AI135" s="24"/>
      <c r="AJ135" s="20"/>
      <c r="AK135" s="23"/>
      <c r="AL135" s="22"/>
      <c r="AM135" s="20"/>
      <c r="AN135" s="23"/>
      <c r="AO135" s="25"/>
      <c r="AP135" s="23"/>
      <c r="AQ135" s="24"/>
      <c r="AR135" s="24"/>
      <c r="AS135" s="24"/>
      <c r="AT135" s="24"/>
      <c r="AU135" s="20"/>
      <c r="AV135" s="20"/>
      <c r="AW135" s="20"/>
      <c r="AX135" s="20"/>
      <c r="AY135" s="20"/>
      <c r="AZ135" s="20"/>
      <c r="BA135" s="20"/>
    </row>
    <row r="136">
      <c r="A136" s="20"/>
      <c r="B136" s="20"/>
      <c r="C136" s="20"/>
      <c r="D136" s="21"/>
      <c r="E136" s="21"/>
      <c r="F136" s="20"/>
      <c r="G136" s="22"/>
      <c r="H136" s="22"/>
      <c r="I136" s="22"/>
      <c r="J136" s="22"/>
      <c r="K136" s="22"/>
      <c r="L136" s="22"/>
      <c r="M136" s="22"/>
      <c r="N136" s="20"/>
      <c r="O136" s="23"/>
      <c r="P136" s="21"/>
      <c r="Q136" s="20"/>
      <c r="R136" s="23"/>
      <c r="S136" s="22"/>
      <c r="T136" s="23"/>
      <c r="U136" s="22"/>
      <c r="V136" s="22"/>
      <c r="W136" s="22"/>
      <c r="X136" s="22"/>
      <c r="Y136" s="20"/>
      <c r="Z136" s="23"/>
      <c r="AA136" s="22"/>
      <c r="AB136" s="20"/>
      <c r="AC136" s="23"/>
      <c r="AD136" s="24"/>
      <c r="AE136" s="23"/>
      <c r="AF136" s="24"/>
      <c r="AG136" s="24"/>
      <c r="AH136" s="24"/>
      <c r="AI136" s="24"/>
      <c r="AJ136" s="20"/>
      <c r="AK136" s="23"/>
      <c r="AL136" s="22"/>
      <c r="AM136" s="20"/>
      <c r="AN136" s="23"/>
      <c r="AO136" s="25"/>
      <c r="AP136" s="23"/>
      <c r="AQ136" s="24"/>
      <c r="AR136" s="24"/>
      <c r="AS136" s="24"/>
      <c r="AT136" s="24"/>
      <c r="AU136" s="20"/>
      <c r="AV136" s="20"/>
      <c r="AW136" s="20"/>
      <c r="AX136" s="20"/>
      <c r="AY136" s="20"/>
      <c r="AZ136" s="20"/>
      <c r="BA136" s="20"/>
    </row>
    <row r="137">
      <c r="A137" s="26"/>
      <c r="B137" s="26"/>
      <c r="C137" s="26"/>
      <c r="D137" s="27"/>
      <c r="E137" s="27"/>
      <c r="F137" s="26"/>
      <c r="G137" s="28"/>
      <c r="H137" s="28"/>
      <c r="I137" s="28"/>
      <c r="J137" s="28"/>
      <c r="K137" s="28"/>
      <c r="L137" s="28"/>
      <c r="M137" s="28"/>
      <c r="N137" s="26"/>
      <c r="O137" s="29"/>
      <c r="P137" s="27"/>
      <c r="Q137" s="26"/>
      <c r="R137" s="29"/>
      <c r="S137" s="28"/>
      <c r="T137" s="29"/>
      <c r="U137" s="28"/>
      <c r="V137" s="28"/>
      <c r="W137" s="28"/>
      <c r="X137" s="28"/>
      <c r="Y137" s="26"/>
      <c r="Z137" s="29"/>
      <c r="AA137" s="28"/>
      <c r="AB137" s="26"/>
      <c r="AC137" s="29"/>
      <c r="AD137" s="25"/>
      <c r="AE137" s="29"/>
      <c r="AF137" s="25"/>
      <c r="AG137" s="25"/>
      <c r="AH137" s="25"/>
      <c r="AI137" s="25"/>
      <c r="AJ137" s="26"/>
      <c r="AK137" s="29"/>
      <c r="AL137" s="28"/>
      <c r="AM137" s="26"/>
      <c r="AN137" s="29"/>
      <c r="AO137" s="25"/>
      <c r="AP137" s="29"/>
      <c r="AQ137" s="25"/>
      <c r="AR137" s="25"/>
      <c r="AS137" s="25"/>
      <c r="AT137" s="25"/>
      <c r="AU137" s="26"/>
      <c r="AV137" s="26"/>
      <c r="AW137" s="26"/>
      <c r="AX137" s="26"/>
      <c r="AY137" s="26"/>
      <c r="AZ137" s="26"/>
      <c r="BA137" s="26"/>
    </row>
    <row r="138">
      <c r="A138" s="26"/>
      <c r="B138" s="26"/>
      <c r="C138" s="26"/>
      <c r="D138" s="27"/>
      <c r="E138" s="27"/>
      <c r="F138" s="26"/>
      <c r="G138" s="28"/>
      <c r="H138" s="28"/>
      <c r="I138" s="28"/>
      <c r="J138" s="28"/>
      <c r="K138" s="28"/>
      <c r="L138" s="28"/>
      <c r="M138" s="28"/>
      <c r="N138" s="26"/>
      <c r="O138" s="29"/>
      <c r="P138" s="27"/>
      <c r="Q138" s="26"/>
      <c r="R138" s="29"/>
      <c r="S138" s="28"/>
      <c r="T138" s="29"/>
      <c r="U138" s="28"/>
      <c r="V138" s="28"/>
      <c r="W138" s="28"/>
      <c r="X138" s="28"/>
      <c r="Y138" s="26"/>
      <c r="Z138" s="29"/>
      <c r="AA138" s="28"/>
      <c r="AB138" s="26"/>
      <c r="AC138" s="29"/>
      <c r="AD138" s="25"/>
      <c r="AE138" s="29"/>
      <c r="AF138" s="25"/>
      <c r="AG138" s="25"/>
      <c r="AH138" s="25"/>
      <c r="AI138" s="25"/>
      <c r="AJ138" s="26"/>
      <c r="AK138" s="29"/>
      <c r="AL138" s="28"/>
      <c r="AM138" s="26"/>
      <c r="AN138" s="29"/>
      <c r="AO138" s="25"/>
      <c r="AP138" s="29"/>
      <c r="AQ138" s="25"/>
      <c r="AR138" s="25"/>
      <c r="AS138" s="25"/>
      <c r="AT138" s="25"/>
      <c r="AU138" s="26"/>
      <c r="AV138" s="26"/>
      <c r="AW138" s="26"/>
      <c r="AX138" s="26"/>
      <c r="AY138" s="26"/>
      <c r="AZ138" s="26"/>
      <c r="BA138" s="26"/>
    </row>
    <row r="139">
      <c r="A139" s="26"/>
      <c r="B139" s="26"/>
      <c r="C139" s="26"/>
      <c r="D139" s="27"/>
      <c r="E139" s="27"/>
      <c r="F139" s="26"/>
      <c r="G139" s="28"/>
      <c r="H139" s="28"/>
      <c r="I139" s="28"/>
      <c r="J139" s="28"/>
      <c r="K139" s="28"/>
      <c r="L139" s="28"/>
      <c r="M139" s="28"/>
      <c r="N139" s="26"/>
      <c r="O139" s="29"/>
      <c r="P139" s="27"/>
      <c r="Q139" s="26"/>
      <c r="R139" s="29"/>
      <c r="S139" s="28"/>
      <c r="T139" s="29"/>
      <c r="U139" s="28"/>
      <c r="V139" s="28"/>
      <c r="W139" s="28"/>
      <c r="X139" s="28"/>
      <c r="Y139" s="26"/>
      <c r="Z139" s="29"/>
      <c r="AA139" s="28"/>
      <c r="AB139" s="26"/>
      <c r="AC139" s="29"/>
      <c r="AD139" s="25"/>
      <c r="AE139" s="29"/>
      <c r="AF139" s="25"/>
      <c r="AG139" s="25"/>
      <c r="AH139" s="25"/>
      <c r="AI139" s="25"/>
      <c r="AJ139" s="26"/>
      <c r="AK139" s="29"/>
      <c r="AL139" s="28"/>
      <c r="AM139" s="26"/>
      <c r="AN139" s="29"/>
      <c r="AO139" s="25"/>
      <c r="AP139" s="29"/>
      <c r="AQ139" s="25"/>
      <c r="AR139" s="25"/>
      <c r="AS139" s="25"/>
      <c r="AT139" s="25"/>
      <c r="AU139" s="26"/>
      <c r="AV139" s="26"/>
      <c r="AW139" s="26"/>
      <c r="AX139" s="26"/>
      <c r="AY139" s="26"/>
      <c r="AZ139" s="26"/>
      <c r="BA139" s="26"/>
    </row>
    <row r="140">
      <c r="A140" s="26"/>
      <c r="B140" s="26"/>
      <c r="C140" s="26"/>
      <c r="D140" s="27"/>
      <c r="E140" s="27"/>
      <c r="F140" s="26"/>
      <c r="G140" s="28"/>
      <c r="H140" s="28"/>
      <c r="I140" s="28"/>
      <c r="J140" s="28"/>
      <c r="K140" s="28"/>
      <c r="L140" s="28"/>
      <c r="M140" s="28"/>
      <c r="N140" s="26"/>
      <c r="O140" s="29"/>
      <c r="P140" s="27"/>
      <c r="Q140" s="26"/>
      <c r="R140" s="29"/>
      <c r="S140" s="28"/>
      <c r="T140" s="29"/>
      <c r="U140" s="28"/>
      <c r="V140" s="28"/>
      <c r="W140" s="28"/>
      <c r="X140" s="28"/>
      <c r="Y140" s="26"/>
      <c r="Z140" s="29"/>
      <c r="AA140" s="28"/>
      <c r="AB140" s="26"/>
      <c r="AC140" s="29"/>
      <c r="AD140" s="25"/>
      <c r="AE140" s="29"/>
      <c r="AF140" s="25"/>
      <c r="AG140" s="25"/>
      <c r="AH140" s="25"/>
      <c r="AI140" s="25"/>
      <c r="AJ140" s="26"/>
      <c r="AK140" s="29"/>
      <c r="AL140" s="28"/>
      <c r="AM140" s="26"/>
      <c r="AN140" s="29"/>
      <c r="AO140" s="25"/>
      <c r="AP140" s="29"/>
      <c r="AQ140" s="25"/>
      <c r="AR140" s="25"/>
      <c r="AS140" s="25"/>
      <c r="AT140" s="25"/>
      <c r="AU140" s="26"/>
      <c r="AV140" s="26"/>
      <c r="AW140" s="26"/>
      <c r="AX140" s="26"/>
      <c r="AY140" s="26"/>
      <c r="AZ140" s="26"/>
      <c r="BA140" s="26"/>
    </row>
    <row r="141">
      <c r="A141" s="26"/>
      <c r="B141" s="26"/>
      <c r="C141" s="26"/>
      <c r="D141" s="27"/>
      <c r="E141" s="27"/>
      <c r="F141" s="26"/>
      <c r="G141" s="28"/>
      <c r="H141" s="28"/>
      <c r="I141" s="28"/>
      <c r="J141" s="28"/>
      <c r="K141" s="28"/>
      <c r="L141" s="28"/>
      <c r="M141" s="28"/>
      <c r="N141" s="26"/>
      <c r="O141" s="29"/>
      <c r="P141" s="27"/>
      <c r="Q141" s="26"/>
      <c r="R141" s="29"/>
      <c r="S141" s="28"/>
      <c r="T141" s="29"/>
      <c r="U141" s="28"/>
      <c r="V141" s="28"/>
      <c r="W141" s="28"/>
      <c r="X141" s="28"/>
      <c r="Y141" s="26"/>
      <c r="Z141" s="29"/>
      <c r="AA141" s="28"/>
      <c r="AB141" s="26"/>
      <c r="AC141" s="29"/>
      <c r="AD141" s="25"/>
      <c r="AE141" s="29"/>
      <c r="AF141" s="25"/>
      <c r="AG141" s="25"/>
      <c r="AH141" s="25"/>
      <c r="AI141" s="25"/>
      <c r="AJ141" s="26"/>
      <c r="AK141" s="29"/>
      <c r="AL141" s="28"/>
      <c r="AM141" s="26"/>
      <c r="AN141" s="29"/>
      <c r="AO141" s="25"/>
      <c r="AP141" s="29"/>
      <c r="AQ141" s="25"/>
      <c r="AR141" s="25"/>
      <c r="AS141" s="25"/>
      <c r="AT141" s="25"/>
      <c r="AU141" s="26"/>
      <c r="AV141" s="26"/>
      <c r="AW141" s="26"/>
      <c r="AX141" s="26"/>
      <c r="AY141" s="26"/>
      <c r="AZ141" s="26"/>
      <c r="BA141" s="26"/>
    </row>
    <row r="142">
      <c r="A142" s="26"/>
      <c r="B142" s="26"/>
      <c r="C142" s="26"/>
      <c r="D142" s="27"/>
      <c r="E142" s="27"/>
      <c r="F142" s="26"/>
      <c r="G142" s="28"/>
      <c r="H142" s="28"/>
      <c r="I142" s="28"/>
      <c r="J142" s="28"/>
      <c r="K142" s="28"/>
      <c r="L142" s="28"/>
      <c r="M142" s="28"/>
      <c r="N142" s="26"/>
      <c r="O142" s="29"/>
      <c r="P142" s="27"/>
      <c r="Q142" s="26"/>
      <c r="R142" s="29"/>
      <c r="S142" s="28"/>
      <c r="T142" s="29"/>
      <c r="U142" s="28"/>
      <c r="V142" s="28"/>
      <c r="W142" s="28"/>
      <c r="X142" s="28"/>
      <c r="Y142" s="26"/>
      <c r="Z142" s="29"/>
      <c r="AA142" s="28"/>
      <c r="AB142" s="26"/>
      <c r="AC142" s="29"/>
      <c r="AD142" s="25"/>
      <c r="AE142" s="29"/>
      <c r="AF142" s="25"/>
      <c r="AG142" s="25"/>
      <c r="AH142" s="25"/>
      <c r="AI142" s="25"/>
      <c r="AJ142" s="26"/>
      <c r="AK142" s="29"/>
      <c r="AL142" s="28"/>
      <c r="AM142" s="26"/>
      <c r="AN142" s="29"/>
      <c r="AO142" s="25"/>
      <c r="AP142" s="29"/>
      <c r="AQ142" s="25"/>
      <c r="AR142" s="25"/>
      <c r="AS142" s="25"/>
      <c r="AT142" s="25"/>
      <c r="AU142" s="26"/>
      <c r="AV142" s="26"/>
      <c r="AW142" s="26"/>
      <c r="AX142" s="26"/>
      <c r="AY142" s="26"/>
      <c r="AZ142" s="26"/>
      <c r="BA142" s="26"/>
    </row>
    <row r="143">
      <c r="A143" s="26"/>
      <c r="B143" s="26"/>
      <c r="C143" s="26"/>
      <c r="D143" s="27"/>
      <c r="E143" s="27"/>
      <c r="F143" s="26"/>
      <c r="G143" s="28"/>
      <c r="H143" s="28"/>
      <c r="I143" s="28"/>
      <c r="J143" s="28"/>
      <c r="K143" s="28"/>
      <c r="L143" s="28"/>
      <c r="M143" s="28"/>
      <c r="N143" s="26"/>
      <c r="O143" s="29"/>
      <c r="P143" s="27"/>
      <c r="Q143" s="26"/>
      <c r="R143" s="29"/>
      <c r="S143" s="28"/>
      <c r="T143" s="29"/>
      <c r="U143" s="28"/>
      <c r="V143" s="28"/>
      <c r="W143" s="28"/>
      <c r="X143" s="28"/>
      <c r="Y143" s="26"/>
      <c r="Z143" s="29"/>
      <c r="AA143" s="28"/>
      <c r="AB143" s="26"/>
      <c r="AC143" s="29"/>
      <c r="AD143" s="25"/>
      <c r="AE143" s="29"/>
      <c r="AF143" s="25"/>
      <c r="AG143" s="25"/>
      <c r="AH143" s="25"/>
      <c r="AI143" s="25"/>
      <c r="AJ143" s="26"/>
      <c r="AK143" s="29"/>
      <c r="AL143" s="28"/>
      <c r="AM143" s="26"/>
      <c r="AN143" s="29"/>
      <c r="AO143" s="25"/>
      <c r="AP143" s="29"/>
      <c r="AQ143" s="25"/>
      <c r="AR143" s="25"/>
      <c r="AS143" s="25"/>
      <c r="AT143" s="25"/>
      <c r="AU143" s="26"/>
      <c r="AV143" s="26"/>
      <c r="AW143" s="26"/>
      <c r="AX143" s="26"/>
      <c r="AY143" s="26"/>
      <c r="AZ143" s="26"/>
      <c r="BA143" s="26"/>
    </row>
    <row r="144">
      <c r="A144" s="26"/>
      <c r="B144" s="26"/>
      <c r="C144" s="26"/>
      <c r="D144" s="27"/>
      <c r="E144" s="27"/>
      <c r="F144" s="26"/>
      <c r="G144" s="28"/>
      <c r="H144" s="28"/>
      <c r="I144" s="28"/>
      <c r="J144" s="28"/>
      <c r="K144" s="28"/>
      <c r="L144" s="28"/>
      <c r="M144" s="28"/>
      <c r="N144" s="26"/>
      <c r="O144" s="29"/>
      <c r="P144" s="27"/>
      <c r="Q144" s="26"/>
      <c r="R144" s="29"/>
      <c r="S144" s="28"/>
      <c r="T144" s="29"/>
      <c r="U144" s="28"/>
      <c r="V144" s="28"/>
      <c r="W144" s="28"/>
      <c r="X144" s="28"/>
      <c r="Y144" s="26"/>
      <c r="Z144" s="29"/>
      <c r="AA144" s="28"/>
      <c r="AB144" s="26"/>
      <c r="AC144" s="29"/>
      <c r="AD144" s="25"/>
      <c r="AE144" s="29"/>
      <c r="AF144" s="25"/>
      <c r="AG144" s="25"/>
      <c r="AH144" s="25"/>
      <c r="AI144" s="25"/>
      <c r="AJ144" s="26"/>
      <c r="AK144" s="29"/>
      <c r="AL144" s="28"/>
      <c r="AM144" s="26"/>
      <c r="AN144" s="29"/>
      <c r="AO144" s="25"/>
      <c r="AP144" s="29"/>
      <c r="AQ144" s="25"/>
      <c r="AR144" s="25"/>
      <c r="AS144" s="25"/>
      <c r="AT144" s="25"/>
      <c r="AU144" s="26"/>
      <c r="AV144" s="26"/>
      <c r="AW144" s="26"/>
      <c r="AX144" s="26"/>
      <c r="AY144" s="26"/>
      <c r="AZ144" s="26"/>
      <c r="BA144" s="26"/>
    </row>
    <row r="145">
      <c r="A145" s="26"/>
      <c r="B145" s="26"/>
      <c r="C145" s="26"/>
      <c r="D145" s="27"/>
      <c r="E145" s="27"/>
      <c r="F145" s="26"/>
      <c r="G145" s="28"/>
      <c r="H145" s="28"/>
      <c r="I145" s="28"/>
      <c r="J145" s="28"/>
      <c r="K145" s="28"/>
      <c r="L145" s="28"/>
      <c r="M145" s="28"/>
      <c r="N145" s="26"/>
      <c r="O145" s="29"/>
      <c r="P145" s="27"/>
      <c r="Q145" s="26"/>
      <c r="R145" s="29"/>
      <c r="S145" s="28"/>
      <c r="T145" s="29"/>
      <c r="U145" s="28"/>
      <c r="V145" s="28"/>
      <c r="W145" s="28"/>
      <c r="X145" s="28"/>
      <c r="Y145" s="26"/>
      <c r="Z145" s="29"/>
      <c r="AA145" s="28"/>
      <c r="AB145" s="26"/>
      <c r="AC145" s="29"/>
      <c r="AD145" s="25"/>
      <c r="AE145" s="29"/>
      <c r="AF145" s="25"/>
      <c r="AG145" s="25"/>
      <c r="AH145" s="25"/>
      <c r="AI145" s="25"/>
      <c r="AJ145" s="26"/>
      <c r="AK145" s="29"/>
      <c r="AL145" s="28"/>
      <c r="AM145" s="26"/>
      <c r="AN145" s="29"/>
      <c r="AO145" s="25"/>
      <c r="AP145" s="29"/>
      <c r="AQ145" s="25"/>
      <c r="AR145" s="25"/>
      <c r="AS145" s="25"/>
      <c r="AT145" s="25"/>
      <c r="AU145" s="26"/>
      <c r="AV145" s="26"/>
      <c r="AW145" s="26"/>
      <c r="AX145" s="26"/>
      <c r="AY145" s="26"/>
      <c r="AZ145" s="26"/>
      <c r="BA145" s="26"/>
    </row>
    <row r="146">
      <c r="A146" s="26"/>
      <c r="B146" s="26"/>
      <c r="C146" s="26"/>
      <c r="D146" s="27"/>
      <c r="E146" s="27"/>
      <c r="F146" s="26"/>
      <c r="G146" s="28"/>
      <c r="H146" s="28"/>
      <c r="I146" s="28"/>
      <c r="J146" s="28"/>
      <c r="K146" s="28"/>
      <c r="L146" s="28"/>
      <c r="M146" s="28"/>
      <c r="N146" s="26"/>
      <c r="O146" s="29"/>
      <c r="P146" s="27"/>
      <c r="Q146" s="26"/>
      <c r="R146" s="29"/>
      <c r="S146" s="28"/>
      <c r="T146" s="29"/>
      <c r="U146" s="28"/>
      <c r="V146" s="28"/>
      <c r="W146" s="28"/>
      <c r="X146" s="28"/>
      <c r="Y146" s="26"/>
      <c r="Z146" s="29"/>
      <c r="AA146" s="28"/>
      <c r="AB146" s="26"/>
      <c r="AC146" s="29"/>
      <c r="AD146" s="25"/>
      <c r="AE146" s="29"/>
      <c r="AF146" s="25"/>
      <c r="AG146" s="25"/>
      <c r="AH146" s="25"/>
      <c r="AI146" s="25"/>
      <c r="AJ146" s="26"/>
      <c r="AK146" s="29"/>
      <c r="AL146" s="28"/>
      <c r="AM146" s="26"/>
      <c r="AN146" s="29"/>
      <c r="AO146" s="25"/>
      <c r="AP146" s="29"/>
      <c r="AQ146" s="25"/>
      <c r="AR146" s="25"/>
      <c r="AS146" s="25"/>
      <c r="AT146" s="25"/>
      <c r="AU146" s="26"/>
      <c r="AV146" s="26"/>
      <c r="AW146" s="26"/>
      <c r="AX146" s="26"/>
      <c r="AY146" s="26"/>
      <c r="AZ146" s="26"/>
      <c r="BA146" s="26"/>
    </row>
    <row r="147">
      <c r="A147" s="26"/>
      <c r="B147" s="26"/>
      <c r="C147" s="26"/>
      <c r="D147" s="27"/>
      <c r="E147" s="27"/>
      <c r="F147" s="26"/>
      <c r="G147" s="28"/>
      <c r="H147" s="28"/>
      <c r="I147" s="28"/>
      <c r="J147" s="28"/>
      <c r="K147" s="28"/>
      <c r="L147" s="28"/>
      <c r="M147" s="28"/>
      <c r="N147" s="26"/>
      <c r="O147" s="29"/>
      <c r="P147" s="27"/>
      <c r="Q147" s="26"/>
      <c r="R147" s="29"/>
      <c r="S147" s="28"/>
      <c r="T147" s="29"/>
      <c r="U147" s="28"/>
      <c r="V147" s="28"/>
      <c r="W147" s="28"/>
      <c r="X147" s="28"/>
      <c r="Y147" s="26"/>
      <c r="Z147" s="29"/>
      <c r="AA147" s="28"/>
      <c r="AB147" s="26"/>
      <c r="AC147" s="29"/>
      <c r="AD147" s="25"/>
      <c r="AE147" s="29"/>
      <c r="AF147" s="25"/>
      <c r="AG147" s="25"/>
      <c r="AH147" s="25"/>
      <c r="AI147" s="25"/>
      <c r="AJ147" s="26"/>
      <c r="AK147" s="29"/>
      <c r="AL147" s="28"/>
      <c r="AM147" s="26"/>
      <c r="AN147" s="29"/>
      <c r="AO147" s="25"/>
      <c r="AP147" s="29"/>
      <c r="AQ147" s="25"/>
      <c r="AR147" s="25"/>
      <c r="AS147" s="25"/>
      <c r="AT147" s="25"/>
      <c r="AU147" s="26"/>
      <c r="AV147" s="26"/>
      <c r="AW147" s="26"/>
      <c r="AX147" s="26"/>
      <c r="AY147" s="26"/>
      <c r="AZ147" s="26"/>
      <c r="BA147" s="26"/>
    </row>
    <row r="148">
      <c r="A148" s="26"/>
      <c r="B148" s="26"/>
      <c r="C148" s="26"/>
      <c r="D148" s="27"/>
      <c r="E148" s="27"/>
      <c r="F148" s="26"/>
      <c r="G148" s="28"/>
      <c r="H148" s="28"/>
      <c r="I148" s="28"/>
      <c r="J148" s="28"/>
      <c r="K148" s="28"/>
      <c r="L148" s="28"/>
      <c r="M148" s="28"/>
      <c r="N148" s="26"/>
      <c r="O148" s="29"/>
      <c r="P148" s="27"/>
      <c r="Q148" s="26"/>
      <c r="R148" s="29"/>
      <c r="S148" s="28"/>
      <c r="T148" s="29"/>
      <c r="U148" s="28"/>
      <c r="V148" s="28"/>
      <c r="W148" s="28"/>
      <c r="X148" s="28"/>
      <c r="Y148" s="26"/>
      <c r="Z148" s="29"/>
      <c r="AA148" s="28"/>
      <c r="AB148" s="26"/>
      <c r="AC148" s="29"/>
      <c r="AD148" s="25"/>
      <c r="AE148" s="29"/>
      <c r="AF148" s="25"/>
      <c r="AG148" s="25"/>
      <c r="AH148" s="25"/>
      <c r="AI148" s="25"/>
      <c r="AJ148" s="26"/>
      <c r="AK148" s="29"/>
      <c r="AL148" s="28"/>
      <c r="AM148" s="26"/>
      <c r="AN148" s="29"/>
      <c r="AO148" s="25"/>
      <c r="AP148" s="29"/>
      <c r="AQ148" s="25"/>
      <c r="AR148" s="25"/>
      <c r="AS148" s="25"/>
      <c r="AT148" s="25"/>
      <c r="AU148" s="26"/>
      <c r="AV148" s="26"/>
      <c r="AW148" s="26"/>
      <c r="AX148" s="26"/>
      <c r="AY148" s="26"/>
      <c r="AZ148" s="26"/>
      <c r="BA148" s="26"/>
    </row>
    <row r="149">
      <c r="A149" s="26"/>
      <c r="B149" s="26"/>
      <c r="C149" s="26"/>
      <c r="D149" s="27"/>
      <c r="E149" s="27"/>
      <c r="F149" s="26"/>
      <c r="G149" s="28"/>
      <c r="H149" s="28"/>
      <c r="I149" s="28"/>
      <c r="J149" s="28"/>
      <c r="K149" s="28"/>
      <c r="L149" s="28"/>
      <c r="M149" s="28"/>
      <c r="N149" s="26"/>
      <c r="O149" s="29"/>
      <c r="P149" s="27"/>
      <c r="Q149" s="26"/>
      <c r="R149" s="29"/>
      <c r="S149" s="28"/>
      <c r="T149" s="29"/>
      <c r="U149" s="28"/>
      <c r="V149" s="28"/>
      <c r="W149" s="28"/>
      <c r="X149" s="28"/>
      <c r="Y149" s="26"/>
      <c r="Z149" s="29"/>
      <c r="AA149" s="28"/>
      <c r="AB149" s="26"/>
      <c r="AC149" s="29"/>
      <c r="AD149" s="25"/>
      <c r="AE149" s="29"/>
      <c r="AF149" s="25"/>
      <c r="AG149" s="25"/>
      <c r="AH149" s="25"/>
      <c r="AI149" s="25"/>
      <c r="AJ149" s="26"/>
      <c r="AK149" s="29"/>
      <c r="AL149" s="28"/>
      <c r="AM149" s="26"/>
      <c r="AN149" s="29"/>
      <c r="AO149" s="25"/>
      <c r="AP149" s="29"/>
      <c r="AQ149" s="25"/>
      <c r="AR149" s="25"/>
      <c r="AS149" s="25"/>
      <c r="AT149" s="25"/>
      <c r="AU149" s="26"/>
      <c r="AV149" s="26"/>
      <c r="AW149" s="26"/>
      <c r="AX149" s="26"/>
      <c r="AY149" s="26"/>
      <c r="AZ149" s="26"/>
      <c r="BA149" s="26"/>
    </row>
    <row r="150">
      <c r="A150" s="26"/>
      <c r="B150" s="26"/>
      <c r="C150" s="26"/>
      <c r="D150" s="27"/>
      <c r="E150" s="27"/>
      <c r="F150" s="26"/>
      <c r="G150" s="28"/>
      <c r="H150" s="28"/>
      <c r="I150" s="28"/>
      <c r="J150" s="28"/>
      <c r="K150" s="28"/>
      <c r="L150" s="28"/>
      <c r="M150" s="28"/>
      <c r="N150" s="26"/>
      <c r="O150" s="29"/>
      <c r="P150" s="27"/>
      <c r="Q150" s="26"/>
      <c r="R150" s="29"/>
      <c r="S150" s="28"/>
      <c r="T150" s="29"/>
      <c r="U150" s="28"/>
      <c r="V150" s="28"/>
      <c r="W150" s="28"/>
      <c r="X150" s="28"/>
      <c r="Y150" s="26"/>
      <c r="Z150" s="29"/>
      <c r="AA150" s="28"/>
      <c r="AB150" s="26"/>
      <c r="AC150" s="29"/>
      <c r="AD150" s="25"/>
      <c r="AE150" s="29"/>
      <c r="AF150" s="25"/>
      <c r="AG150" s="25"/>
      <c r="AH150" s="25"/>
      <c r="AI150" s="25"/>
      <c r="AJ150" s="26"/>
      <c r="AK150" s="29"/>
      <c r="AL150" s="28"/>
      <c r="AM150" s="26"/>
      <c r="AN150" s="29"/>
      <c r="AO150" s="25"/>
      <c r="AP150" s="29"/>
      <c r="AQ150" s="25"/>
      <c r="AR150" s="25"/>
      <c r="AS150" s="25"/>
      <c r="AT150" s="25"/>
      <c r="AU150" s="26"/>
      <c r="AV150" s="26"/>
      <c r="AW150" s="26"/>
      <c r="AX150" s="26"/>
      <c r="AY150" s="26"/>
      <c r="AZ150" s="26"/>
      <c r="BA150" s="26"/>
    </row>
    <row r="151">
      <c r="A151" s="26"/>
      <c r="B151" s="26"/>
      <c r="C151" s="26"/>
      <c r="D151" s="27"/>
      <c r="E151" s="27"/>
      <c r="F151" s="26"/>
      <c r="G151" s="28"/>
      <c r="H151" s="28"/>
      <c r="I151" s="28"/>
      <c r="J151" s="28"/>
      <c r="K151" s="28"/>
      <c r="L151" s="28"/>
      <c r="M151" s="28"/>
      <c r="N151" s="26"/>
      <c r="O151" s="29"/>
      <c r="P151" s="27"/>
      <c r="Q151" s="26"/>
      <c r="R151" s="29"/>
      <c r="S151" s="28"/>
      <c r="T151" s="29"/>
      <c r="U151" s="28"/>
      <c r="V151" s="28"/>
      <c r="W151" s="28"/>
      <c r="X151" s="28"/>
      <c r="Y151" s="26"/>
      <c r="Z151" s="29"/>
      <c r="AA151" s="28"/>
      <c r="AB151" s="26"/>
      <c r="AC151" s="29"/>
      <c r="AD151" s="25"/>
      <c r="AE151" s="29"/>
      <c r="AF151" s="25"/>
      <c r="AG151" s="25"/>
      <c r="AH151" s="25"/>
      <c r="AI151" s="25"/>
      <c r="AJ151" s="26"/>
      <c r="AK151" s="29"/>
      <c r="AL151" s="28"/>
      <c r="AM151" s="26"/>
      <c r="AN151" s="29"/>
      <c r="AO151" s="25"/>
      <c r="AP151" s="29"/>
      <c r="AQ151" s="25"/>
      <c r="AR151" s="25"/>
      <c r="AS151" s="25"/>
      <c r="AT151" s="25"/>
      <c r="AU151" s="26"/>
      <c r="AV151" s="26"/>
      <c r="AW151" s="26"/>
      <c r="AX151" s="26"/>
      <c r="AY151" s="26"/>
      <c r="AZ151" s="26"/>
      <c r="BA151" s="26"/>
    </row>
    <row r="152">
      <c r="A152" s="26"/>
      <c r="B152" s="26"/>
      <c r="C152" s="26"/>
      <c r="D152" s="27"/>
      <c r="E152" s="27"/>
      <c r="F152" s="26"/>
      <c r="G152" s="28"/>
      <c r="H152" s="28"/>
      <c r="I152" s="28"/>
      <c r="J152" s="28"/>
      <c r="K152" s="28"/>
      <c r="L152" s="28"/>
      <c r="M152" s="28"/>
      <c r="N152" s="26"/>
      <c r="O152" s="29"/>
      <c r="P152" s="27"/>
      <c r="Q152" s="26"/>
      <c r="R152" s="29"/>
      <c r="S152" s="28"/>
      <c r="T152" s="29"/>
      <c r="U152" s="28"/>
      <c r="V152" s="28"/>
      <c r="W152" s="28"/>
      <c r="X152" s="28"/>
      <c r="Y152" s="26"/>
      <c r="Z152" s="29"/>
      <c r="AA152" s="28"/>
      <c r="AB152" s="26"/>
      <c r="AC152" s="29"/>
      <c r="AD152" s="25"/>
      <c r="AE152" s="29"/>
      <c r="AF152" s="25"/>
      <c r="AG152" s="25"/>
      <c r="AH152" s="25"/>
      <c r="AI152" s="25"/>
      <c r="AJ152" s="26"/>
      <c r="AK152" s="29"/>
      <c r="AL152" s="28"/>
      <c r="AM152" s="26"/>
      <c r="AN152" s="29"/>
      <c r="AO152" s="25"/>
      <c r="AP152" s="29"/>
      <c r="AQ152" s="25"/>
      <c r="AR152" s="25"/>
      <c r="AS152" s="25"/>
      <c r="AT152" s="25"/>
      <c r="AU152" s="26"/>
      <c r="AV152" s="26"/>
      <c r="AW152" s="26"/>
      <c r="AX152" s="26"/>
      <c r="AY152" s="26"/>
      <c r="AZ152" s="26"/>
      <c r="BA152" s="26"/>
    </row>
    <row r="153">
      <c r="A153" s="26"/>
      <c r="B153" s="26"/>
      <c r="C153" s="26"/>
      <c r="D153" s="27"/>
      <c r="E153" s="27"/>
      <c r="F153" s="26"/>
      <c r="G153" s="28"/>
      <c r="H153" s="28"/>
      <c r="I153" s="28"/>
      <c r="J153" s="28"/>
      <c r="K153" s="28"/>
      <c r="L153" s="28"/>
      <c r="M153" s="28"/>
      <c r="N153" s="26"/>
      <c r="O153" s="29"/>
      <c r="P153" s="27"/>
      <c r="Q153" s="26"/>
      <c r="R153" s="29"/>
      <c r="S153" s="28"/>
      <c r="T153" s="29"/>
      <c r="U153" s="28"/>
      <c r="V153" s="28"/>
      <c r="W153" s="28"/>
      <c r="X153" s="28"/>
      <c r="Y153" s="26"/>
      <c r="Z153" s="29"/>
      <c r="AA153" s="28"/>
      <c r="AB153" s="26"/>
      <c r="AC153" s="29"/>
      <c r="AD153" s="25"/>
      <c r="AE153" s="29"/>
      <c r="AF153" s="25"/>
      <c r="AG153" s="25"/>
      <c r="AH153" s="25"/>
      <c r="AI153" s="25"/>
      <c r="AJ153" s="26"/>
      <c r="AK153" s="29"/>
      <c r="AL153" s="28"/>
      <c r="AM153" s="26"/>
      <c r="AN153" s="29"/>
      <c r="AO153" s="25"/>
      <c r="AP153" s="29"/>
      <c r="AQ153" s="25"/>
      <c r="AR153" s="25"/>
      <c r="AS153" s="25"/>
      <c r="AT153" s="25"/>
      <c r="AU153" s="26"/>
      <c r="AV153" s="26"/>
      <c r="AW153" s="26"/>
      <c r="AX153" s="26"/>
      <c r="AY153" s="26"/>
      <c r="AZ153" s="26"/>
      <c r="BA153" s="26"/>
    </row>
    <row r="154">
      <c r="A154" s="26"/>
      <c r="B154" s="26"/>
      <c r="C154" s="26"/>
      <c r="D154" s="27"/>
      <c r="E154" s="27"/>
      <c r="F154" s="26"/>
      <c r="G154" s="28"/>
      <c r="H154" s="28"/>
      <c r="I154" s="28"/>
      <c r="J154" s="28"/>
      <c r="K154" s="28"/>
      <c r="L154" s="28"/>
      <c r="M154" s="28"/>
      <c r="N154" s="26"/>
      <c r="O154" s="29"/>
      <c r="P154" s="27"/>
      <c r="Q154" s="26"/>
      <c r="R154" s="29"/>
      <c r="S154" s="28"/>
      <c r="T154" s="29"/>
      <c r="U154" s="28"/>
      <c r="V154" s="28"/>
      <c r="W154" s="28"/>
      <c r="X154" s="28"/>
      <c r="Y154" s="26"/>
      <c r="Z154" s="29"/>
      <c r="AA154" s="28"/>
      <c r="AB154" s="26"/>
      <c r="AC154" s="29"/>
      <c r="AD154" s="25"/>
      <c r="AE154" s="29"/>
      <c r="AF154" s="25"/>
      <c r="AG154" s="25"/>
      <c r="AH154" s="25"/>
      <c r="AI154" s="25"/>
      <c r="AJ154" s="26"/>
      <c r="AK154" s="29"/>
      <c r="AL154" s="28"/>
      <c r="AM154" s="26"/>
      <c r="AN154" s="29"/>
      <c r="AO154" s="25"/>
      <c r="AP154" s="29"/>
      <c r="AQ154" s="25"/>
      <c r="AR154" s="25"/>
      <c r="AS154" s="25"/>
      <c r="AT154" s="25"/>
      <c r="AU154" s="26"/>
      <c r="AV154" s="26"/>
      <c r="AW154" s="26"/>
      <c r="AX154" s="26"/>
      <c r="AY154" s="26"/>
      <c r="AZ154" s="26"/>
      <c r="BA154" s="26"/>
    </row>
    <row r="155">
      <c r="A155" s="26"/>
      <c r="B155" s="26"/>
      <c r="C155" s="26"/>
      <c r="D155" s="27"/>
      <c r="E155" s="27"/>
      <c r="F155" s="26"/>
      <c r="G155" s="28"/>
      <c r="H155" s="28"/>
      <c r="I155" s="28"/>
      <c r="J155" s="28"/>
      <c r="K155" s="28"/>
      <c r="L155" s="28"/>
      <c r="M155" s="28"/>
      <c r="N155" s="26"/>
      <c r="O155" s="29"/>
      <c r="P155" s="27"/>
      <c r="Q155" s="26"/>
      <c r="R155" s="29"/>
      <c r="S155" s="28"/>
      <c r="T155" s="29"/>
      <c r="U155" s="28"/>
      <c r="V155" s="28"/>
      <c r="W155" s="28"/>
      <c r="X155" s="28"/>
      <c r="Y155" s="26"/>
      <c r="Z155" s="29"/>
      <c r="AA155" s="28"/>
      <c r="AB155" s="26"/>
      <c r="AC155" s="29"/>
      <c r="AD155" s="25"/>
      <c r="AE155" s="29"/>
      <c r="AF155" s="25"/>
      <c r="AG155" s="25"/>
      <c r="AH155" s="25"/>
      <c r="AI155" s="25"/>
      <c r="AJ155" s="26"/>
      <c r="AK155" s="29"/>
      <c r="AL155" s="28"/>
      <c r="AM155" s="26"/>
      <c r="AN155" s="29"/>
      <c r="AO155" s="25"/>
      <c r="AP155" s="29"/>
      <c r="AQ155" s="25"/>
      <c r="AR155" s="25"/>
      <c r="AS155" s="25"/>
      <c r="AT155" s="25"/>
      <c r="AU155" s="26"/>
      <c r="AV155" s="26"/>
      <c r="AW155" s="26"/>
      <c r="AX155" s="26"/>
      <c r="AY155" s="26"/>
      <c r="AZ155" s="26"/>
      <c r="BA155" s="26"/>
    </row>
    <row r="156">
      <c r="A156" s="26"/>
      <c r="B156" s="26"/>
      <c r="C156" s="26"/>
      <c r="D156" s="27"/>
      <c r="E156" s="27"/>
      <c r="F156" s="26"/>
      <c r="G156" s="28"/>
      <c r="H156" s="28"/>
      <c r="I156" s="28"/>
      <c r="J156" s="28"/>
      <c r="K156" s="28"/>
      <c r="L156" s="28"/>
      <c r="M156" s="28"/>
      <c r="N156" s="26"/>
      <c r="O156" s="29"/>
      <c r="P156" s="27"/>
      <c r="Q156" s="26"/>
      <c r="R156" s="29"/>
      <c r="S156" s="28"/>
      <c r="T156" s="29"/>
      <c r="U156" s="28"/>
      <c r="V156" s="28"/>
      <c r="W156" s="28"/>
      <c r="X156" s="28"/>
      <c r="Y156" s="26"/>
      <c r="Z156" s="29"/>
      <c r="AA156" s="28"/>
      <c r="AB156" s="26"/>
      <c r="AC156" s="29"/>
      <c r="AD156" s="25"/>
      <c r="AE156" s="29"/>
      <c r="AF156" s="25"/>
      <c r="AG156" s="25"/>
      <c r="AH156" s="25"/>
      <c r="AI156" s="25"/>
      <c r="AJ156" s="26"/>
      <c r="AK156" s="29"/>
      <c r="AL156" s="28"/>
      <c r="AM156" s="26"/>
      <c r="AN156" s="29"/>
      <c r="AO156" s="25"/>
      <c r="AP156" s="29"/>
      <c r="AQ156" s="25"/>
      <c r="AR156" s="25"/>
      <c r="AS156" s="25"/>
      <c r="AT156" s="25"/>
      <c r="AU156" s="26"/>
      <c r="AV156" s="26"/>
      <c r="AW156" s="26"/>
      <c r="AX156" s="26"/>
      <c r="AY156" s="26"/>
      <c r="AZ156" s="26"/>
      <c r="BA156" s="26"/>
    </row>
    <row r="157">
      <c r="A157" s="26"/>
      <c r="B157" s="26"/>
      <c r="C157" s="26"/>
      <c r="D157" s="27"/>
      <c r="E157" s="27"/>
      <c r="F157" s="26"/>
      <c r="G157" s="28"/>
      <c r="H157" s="28"/>
      <c r="I157" s="28"/>
      <c r="J157" s="28"/>
      <c r="K157" s="28"/>
      <c r="L157" s="28"/>
      <c r="M157" s="28"/>
      <c r="N157" s="26"/>
      <c r="O157" s="29"/>
      <c r="P157" s="27"/>
      <c r="Q157" s="26"/>
      <c r="R157" s="29"/>
      <c r="S157" s="28"/>
      <c r="T157" s="29"/>
      <c r="U157" s="28"/>
      <c r="V157" s="28"/>
      <c r="W157" s="28"/>
      <c r="X157" s="28"/>
      <c r="Y157" s="26"/>
      <c r="Z157" s="29"/>
      <c r="AA157" s="28"/>
      <c r="AB157" s="26"/>
      <c r="AC157" s="29"/>
      <c r="AD157" s="25"/>
      <c r="AE157" s="29"/>
      <c r="AF157" s="25"/>
      <c r="AG157" s="25"/>
      <c r="AH157" s="25"/>
      <c r="AI157" s="25"/>
      <c r="AJ157" s="26"/>
      <c r="AK157" s="29"/>
      <c r="AL157" s="28"/>
      <c r="AM157" s="26"/>
      <c r="AN157" s="29"/>
      <c r="AO157" s="25"/>
      <c r="AP157" s="29"/>
      <c r="AQ157" s="25"/>
      <c r="AR157" s="25"/>
      <c r="AS157" s="25"/>
      <c r="AT157" s="25"/>
      <c r="AU157" s="26"/>
      <c r="AV157" s="26"/>
      <c r="AW157" s="26"/>
      <c r="AX157" s="26"/>
      <c r="AY157" s="26"/>
      <c r="AZ157" s="26"/>
      <c r="BA157" s="26"/>
    </row>
    <row r="158">
      <c r="A158" s="26"/>
      <c r="B158" s="26"/>
      <c r="C158" s="26"/>
      <c r="D158" s="27"/>
      <c r="E158" s="27"/>
      <c r="F158" s="26"/>
      <c r="G158" s="28"/>
      <c r="H158" s="28"/>
      <c r="I158" s="28"/>
      <c r="J158" s="28"/>
      <c r="K158" s="28"/>
      <c r="L158" s="28"/>
      <c r="M158" s="28"/>
      <c r="N158" s="26"/>
      <c r="O158" s="29"/>
      <c r="P158" s="27"/>
      <c r="Q158" s="26"/>
      <c r="R158" s="29"/>
      <c r="S158" s="28"/>
      <c r="T158" s="29"/>
      <c r="U158" s="28"/>
      <c r="V158" s="28"/>
      <c r="W158" s="28"/>
      <c r="X158" s="28"/>
      <c r="Y158" s="26"/>
      <c r="Z158" s="29"/>
      <c r="AA158" s="28"/>
      <c r="AB158" s="26"/>
      <c r="AC158" s="29"/>
      <c r="AD158" s="25"/>
      <c r="AE158" s="29"/>
      <c r="AF158" s="25"/>
      <c r="AG158" s="25"/>
      <c r="AH158" s="25"/>
      <c r="AI158" s="25"/>
      <c r="AJ158" s="26"/>
      <c r="AK158" s="29"/>
      <c r="AL158" s="28"/>
      <c r="AM158" s="26"/>
      <c r="AN158" s="29"/>
      <c r="AO158" s="25"/>
      <c r="AP158" s="29"/>
      <c r="AQ158" s="25"/>
      <c r="AR158" s="25"/>
      <c r="AS158" s="25"/>
      <c r="AT158" s="25"/>
      <c r="AU158" s="26"/>
      <c r="AV158" s="26"/>
      <c r="AW158" s="26"/>
      <c r="AX158" s="26"/>
      <c r="AY158" s="26"/>
      <c r="AZ158" s="26"/>
      <c r="BA158" s="26"/>
    </row>
    <row r="159">
      <c r="A159" s="26"/>
      <c r="B159" s="26"/>
      <c r="C159" s="26"/>
      <c r="D159" s="27"/>
      <c r="E159" s="27"/>
      <c r="F159" s="26"/>
      <c r="G159" s="28"/>
      <c r="H159" s="28"/>
      <c r="I159" s="28"/>
      <c r="J159" s="28"/>
      <c r="K159" s="28"/>
      <c r="L159" s="28"/>
      <c r="M159" s="28"/>
      <c r="N159" s="26"/>
      <c r="O159" s="29"/>
      <c r="P159" s="27"/>
      <c r="Q159" s="26"/>
      <c r="R159" s="29"/>
      <c r="S159" s="28"/>
      <c r="T159" s="29"/>
      <c r="U159" s="28"/>
      <c r="V159" s="28"/>
      <c r="W159" s="28"/>
      <c r="X159" s="28"/>
      <c r="Y159" s="26"/>
      <c r="Z159" s="29"/>
      <c r="AA159" s="28"/>
      <c r="AB159" s="26"/>
      <c r="AC159" s="29"/>
      <c r="AD159" s="25"/>
      <c r="AE159" s="29"/>
      <c r="AF159" s="25"/>
      <c r="AG159" s="25"/>
      <c r="AH159" s="25"/>
      <c r="AI159" s="25"/>
      <c r="AJ159" s="26"/>
      <c r="AK159" s="29"/>
      <c r="AL159" s="28"/>
      <c r="AM159" s="26"/>
      <c r="AN159" s="29"/>
      <c r="AO159" s="25"/>
      <c r="AP159" s="29"/>
      <c r="AQ159" s="25"/>
      <c r="AR159" s="25"/>
      <c r="AS159" s="25"/>
      <c r="AT159" s="25"/>
      <c r="AU159" s="26"/>
      <c r="AV159" s="26"/>
      <c r="AW159" s="26"/>
      <c r="AX159" s="26"/>
      <c r="AY159" s="26"/>
      <c r="AZ159" s="26"/>
      <c r="BA159" s="26"/>
    </row>
    <row r="160">
      <c r="A160" s="26"/>
      <c r="B160" s="26"/>
      <c r="C160" s="26"/>
      <c r="D160" s="27"/>
      <c r="E160" s="27"/>
      <c r="F160" s="26"/>
      <c r="G160" s="28"/>
      <c r="H160" s="28"/>
      <c r="I160" s="28"/>
      <c r="J160" s="28"/>
      <c r="K160" s="28"/>
      <c r="L160" s="28"/>
      <c r="M160" s="28"/>
      <c r="N160" s="26"/>
      <c r="O160" s="29"/>
      <c r="P160" s="27"/>
      <c r="Q160" s="26"/>
      <c r="R160" s="29"/>
      <c r="S160" s="28"/>
      <c r="T160" s="29"/>
      <c r="U160" s="28"/>
      <c r="V160" s="28"/>
      <c r="W160" s="28"/>
      <c r="X160" s="28"/>
      <c r="Y160" s="26"/>
      <c r="Z160" s="29"/>
      <c r="AA160" s="28"/>
      <c r="AB160" s="26"/>
      <c r="AC160" s="29"/>
      <c r="AD160" s="25"/>
      <c r="AE160" s="29"/>
      <c r="AF160" s="25"/>
      <c r="AG160" s="25"/>
      <c r="AH160" s="25"/>
      <c r="AI160" s="25"/>
      <c r="AJ160" s="26"/>
      <c r="AK160" s="29"/>
      <c r="AL160" s="28"/>
      <c r="AM160" s="26"/>
      <c r="AN160" s="29"/>
      <c r="AO160" s="25"/>
      <c r="AP160" s="29"/>
      <c r="AQ160" s="25"/>
      <c r="AR160" s="25"/>
      <c r="AS160" s="25"/>
      <c r="AT160" s="25"/>
      <c r="AU160" s="26"/>
      <c r="AV160" s="26"/>
      <c r="AW160" s="26"/>
      <c r="AX160" s="26"/>
      <c r="AY160" s="26"/>
      <c r="AZ160" s="26"/>
      <c r="BA160" s="26"/>
    </row>
    <row r="161">
      <c r="A161" s="26"/>
      <c r="B161" s="26"/>
      <c r="C161" s="26"/>
      <c r="D161" s="27"/>
      <c r="E161" s="27"/>
      <c r="F161" s="26"/>
      <c r="G161" s="28"/>
      <c r="H161" s="28"/>
      <c r="I161" s="28"/>
      <c r="J161" s="28"/>
      <c r="K161" s="28"/>
      <c r="L161" s="28"/>
      <c r="M161" s="28"/>
      <c r="N161" s="26"/>
      <c r="O161" s="29"/>
      <c r="P161" s="27"/>
      <c r="Q161" s="26"/>
      <c r="R161" s="29"/>
      <c r="S161" s="28"/>
      <c r="T161" s="29"/>
      <c r="U161" s="28"/>
      <c r="V161" s="28"/>
      <c r="W161" s="28"/>
      <c r="X161" s="28"/>
      <c r="Y161" s="26"/>
      <c r="Z161" s="29"/>
      <c r="AA161" s="28"/>
      <c r="AB161" s="26"/>
      <c r="AC161" s="29"/>
      <c r="AD161" s="25"/>
      <c r="AE161" s="29"/>
      <c r="AF161" s="25"/>
      <c r="AG161" s="25"/>
      <c r="AH161" s="25"/>
      <c r="AI161" s="25"/>
      <c r="AJ161" s="26"/>
      <c r="AK161" s="29"/>
      <c r="AL161" s="28"/>
      <c r="AM161" s="26"/>
      <c r="AN161" s="29"/>
      <c r="AO161" s="25"/>
      <c r="AP161" s="29"/>
      <c r="AQ161" s="25"/>
      <c r="AR161" s="25"/>
      <c r="AS161" s="25"/>
      <c r="AT161" s="25"/>
      <c r="AU161" s="26"/>
      <c r="AV161" s="26"/>
      <c r="AW161" s="26"/>
      <c r="AX161" s="26"/>
      <c r="AY161" s="26"/>
      <c r="AZ161" s="26"/>
      <c r="BA161" s="26"/>
    </row>
    <row r="162">
      <c r="A162" s="26"/>
      <c r="B162" s="26"/>
      <c r="C162" s="26"/>
      <c r="D162" s="27"/>
      <c r="E162" s="27"/>
      <c r="F162" s="26"/>
      <c r="G162" s="28"/>
      <c r="H162" s="28"/>
      <c r="I162" s="28"/>
      <c r="J162" s="28"/>
      <c r="K162" s="28"/>
      <c r="L162" s="28"/>
      <c r="M162" s="28"/>
      <c r="N162" s="26"/>
      <c r="O162" s="29"/>
      <c r="P162" s="27"/>
      <c r="Q162" s="26"/>
      <c r="R162" s="29"/>
      <c r="S162" s="28"/>
      <c r="T162" s="29"/>
      <c r="U162" s="28"/>
      <c r="V162" s="28"/>
      <c r="W162" s="28"/>
      <c r="X162" s="28"/>
      <c r="Y162" s="26"/>
      <c r="Z162" s="29"/>
      <c r="AA162" s="28"/>
      <c r="AB162" s="26"/>
      <c r="AC162" s="29"/>
      <c r="AD162" s="25"/>
      <c r="AE162" s="29"/>
      <c r="AF162" s="25"/>
      <c r="AG162" s="25"/>
      <c r="AH162" s="25"/>
      <c r="AI162" s="25"/>
      <c r="AJ162" s="26"/>
      <c r="AK162" s="29"/>
      <c r="AL162" s="28"/>
      <c r="AM162" s="26"/>
      <c r="AN162" s="29"/>
      <c r="AO162" s="25"/>
      <c r="AP162" s="29"/>
      <c r="AQ162" s="25"/>
      <c r="AR162" s="25"/>
      <c r="AS162" s="25"/>
      <c r="AT162" s="25"/>
      <c r="AU162" s="26"/>
      <c r="AV162" s="26"/>
      <c r="AW162" s="26"/>
      <c r="AX162" s="26"/>
      <c r="AY162" s="26"/>
      <c r="AZ162" s="26"/>
      <c r="BA162" s="26"/>
    </row>
    <row r="163">
      <c r="A163" s="26"/>
      <c r="B163" s="26"/>
      <c r="C163" s="26"/>
      <c r="D163" s="27"/>
      <c r="E163" s="27"/>
      <c r="F163" s="26"/>
      <c r="G163" s="28"/>
      <c r="H163" s="28"/>
      <c r="I163" s="28"/>
      <c r="J163" s="28"/>
      <c r="K163" s="28"/>
      <c r="L163" s="28"/>
      <c r="M163" s="28"/>
      <c r="N163" s="26"/>
      <c r="O163" s="29"/>
      <c r="P163" s="27"/>
      <c r="Q163" s="26"/>
      <c r="R163" s="29"/>
      <c r="S163" s="28"/>
      <c r="T163" s="29"/>
      <c r="U163" s="28"/>
      <c r="V163" s="28"/>
      <c r="W163" s="28"/>
      <c r="X163" s="28"/>
      <c r="Y163" s="26"/>
      <c r="Z163" s="29"/>
      <c r="AA163" s="28"/>
      <c r="AB163" s="26"/>
      <c r="AC163" s="29"/>
      <c r="AD163" s="25"/>
      <c r="AE163" s="29"/>
      <c r="AF163" s="25"/>
      <c r="AG163" s="25"/>
      <c r="AH163" s="25"/>
      <c r="AI163" s="25"/>
      <c r="AJ163" s="26"/>
      <c r="AK163" s="29"/>
      <c r="AL163" s="28"/>
      <c r="AM163" s="26"/>
      <c r="AN163" s="29"/>
      <c r="AO163" s="25"/>
      <c r="AP163" s="29"/>
      <c r="AQ163" s="25"/>
      <c r="AR163" s="25"/>
      <c r="AS163" s="25"/>
      <c r="AT163" s="25"/>
      <c r="AU163" s="26"/>
      <c r="AV163" s="26"/>
      <c r="AW163" s="26"/>
      <c r="AX163" s="26"/>
      <c r="AY163" s="26"/>
      <c r="AZ163" s="26"/>
      <c r="BA163" s="26"/>
    </row>
    <row r="164">
      <c r="A164" s="26"/>
      <c r="B164" s="26"/>
      <c r="C164" s="26"/>
      <c r="D164" s="27"/>
      <c r="E164" s="27"/>
      <c r="F164" s="26"/>
      <c r="G164" s="28"/>
      <c r="H164" s="28"/>
      <c r="I164" s="28"/>
      <c r="J164" s="28"/>
      <c r="K164" s="28"/>
      <c r="L164" s="28"/>
      <c r="M164" s="28"/>
      <c r="N164" s="26"/>
      <c r="O164" s="29"/>
      <c r="P164" s="27"/>
      <c r="Q164" s="26"/>
      <c r="R164" s="29"/>
      <c r="S164" s="28"/>
      <c r="T164" s="29"/>
      <c r="U164" s="28"/>
      <c r="V164" s="28"/>
      <c r="W164" s="28"/>
      <c r="X164" s="28"/>
      <c r="Y164" s="26"/>
      <c r="Z164" s="29"/>
      <c r="AA164" s="28"/>
      <c r="AB164" s="26"/>
      <c r="AC164" s="29"/>
      <c r="AD164" s="25"/>
      <c r="AE164" s="29"/>
      <c r="AF164" s="25"/>
      <c r="AG164" s="25"/>
      <c r="AH164" s="25"/>
      <c r="AI164" s="25"/>
      <c r="AJ164" s="26"/>
      <c r="AK164" s="29"/>
      <c r="AL164" s="28"/>
      <c r="AM164" s="26"/>
      <c r="AN164" s="29"/>
      <c r="AO164" s="25"/>
      <c r="AP164" s="29"/>
      <c r="AQ164" s="25"/>
      <c r="AR164" s="25"/>
      <c r="AS164" s="25"/>
      <c r="AT164" s="25"/>
      <c r="AU164" s="26"/>
      <c r="AV164" s="26"/>
      <c r="AW164" s="26"/>
      <c r="AX164" s="26"/>
      <c r="AY164" s="26"/>
      <c r="AZ164" s="26"/>
      <c r="BA164" s="26"/>
    </row>
    <row r="165">
      <c r="A165" s="26"/>
      <c r="B165" s="26"/>
      <c r="C165" s="26"/>
      <c r="D165" s="27"/>
      <c r="E165" s="27"/>
      <c r="F165" s="26"/>
      <c r="G165" s="28"/>
      <c r="H165" s="28"/>
      <c r="I165" s="28"/>
      <c r="J165" s="28"/>
      <c r="K165" s="28"/>
      <c r="L165" s="28"/>
      <c r="M165" s="28"/>
      <c r="N165" s="26"/>
      <c r="O165" s="29"/>
      <c r="P165" s="27"/>
      <c r="Q165" s="26"/>
      <c r="R165" s="29"/>
      <c r="S165" s="28"/>
      <c r="T165" s="29"/>
      <c r="U165" s="28"/>
      <c r="V165" s="28"/>
      <c r="W165" s="28"/>
      <c r="X165" s="28"/>
      <c r="Y165" s="26"/>
      <c r="Z165" s="29"/>
      <c r="AA165" s="28"/>
      <c r="AB165" s="26"/>
      <c r="AC165" s="29"/>
      <c r="AD165" s="25"/>
      <c r="AE165" s="29"/>
      <c r="AF165" s="25"/>
      <c r="AG165" s="25"/>
      <c r="AH165" s="25"/>
      <c r="AI165" s="25"/>
      <c r="AJ165" s="26"/>
      <c r="AK165" s="29"/>
      <c r="AL165" s="28"/>
      <c r="AM165" s="26"/>
      <c r="AN165" s="29"/>
      <c r="AO165" s="25"/>
      <c r="AP165" s="29"/>
      <c r="AQ165" s="25"/>
      <c r="AR165" s="25"/>
      <c r="AS165" s="25"/>
      <c r="AT165" s="25"/>
      <c r="AU165" s="26"/>
      <c r="AV165" s="26"/>
      <c r="AW165" s="26"/>
      <c r="AX165" s="26"/>
      <c r="AY165" s="26"/>
      <c r="AZ165" s="26"/>
      <c r="BA165" s="26"/>
    </row>
    <row r="166">
      <c r="A166" s="26"/>
      <c r="B166" s="26"/>
      <c r="C166" s="26"/>
      <c r="D166" s="27"/>
      <c r="E166" s="27"/>
      <c r="F166" s="26"/>
      <c r="G166" s="28"/>
      <c r="H166" s="28"/>
      <c r="I166" s="28"/>
      <c r="J166" s="28"/>
      <c r="K166" s="28"/>
      <c r="L166" s="28"/>
      <c r="M166" s="28"/>
      <c r="N166" s="26"/>
      <c r="O166" s="29"/>
      <c r="P166" s="27"/>
      <c r="Q166" s="26"/>
      <c r="R166" s="29"/>
      <c r="S166" s="28"/>
      <c r="T166" s="29"/>
      <c r="U166" s="28"/>
      <c r="V166" s="28"/>
      <c r="W166" s="28"/>
      <c r="X166" s="28"/>
      <c r="Y166" s="26"/>
      <c r="Z166" s="29"/>
      <c r="AA166" s="28"/>
      <c r="AB166" s="26"/>
      <c r="AC166" s="29"/>
      <c r="AD166" s="25"/>
      <c r="AE166" s="29"/>
      <c r="AF166" s="25"/>
      <c r="AG166" s="25"/>
      <c r="AH166" s="25"/>
      <c r="AI166" s="25"/>
      <c r="AJ166" s="26"/>
      <c r="AK166" s="29"/>
      <c r="AL166" s="28"/>
      <c r="AM166" s="26"/>
      <c r="AN166" s="29"/>
      <c r="AO166" s="25"/>
      <c r="AP166" s="29"/>
      <c r="AQ166" s="25"/>
      <c r="AR166" s="25"/>
      <c r="AS166" s="25"/>
      <c r="AT166" s="25"/>
      <c r="AU166" s="26"/>
      <c r="AV166" s="26"/>
      <c r="AW166" s="26"/>
      <c r="AX166" s="26"/>
      <c r="AY166" s="26"/>
      <c r="AZ166" s="26"/>
      <c r="BA166" s="26"/>
    </row>
    <row r="167">
      <c r="A167" s="26"/>
      <c r="B167" s="26"/>
      <c r="C167" s="26"/>
      <c r="D167" s="27"/>
      <c r="E167" s="27"/>
      <c r="F167" s="26"/>
      <c r="G167" s="28"/>
      <c r="H167" s="28"/>
      <c r="I167" s="28"/>
      <c r="J167" s="28"/>
      <c r="K167" s="28"/>
      <c r="L167" s="28"/>
      <c r="M167" s="28"/>
      <c r="N167" s="26"/>
      <c r="O167" s="29"/>
      <c r="P167" s="27"/>
      <c r="Q167" s="26"/>
      <c r="R167" s="29"/>
      <c r="S167" s="28"/>
      <c r="T167" s="29"/>
      <c r="U167" s="28"/>
      <c r="V167" s="28"/>
      <c r="W167" s="28"/>
      <c r="X167" s="28"/>
      <c r="Y167" s="26"/>
      <c r="Z167" s="29"/>
      <c r="AA167" s="28"/>
      <c r="AB167" s="26"/>
      <c r="AC167" s="29"/>
      <c r="AD167" s="25"/>
      <c r="AE167" s="29"/>
      <c r="AF167" s="25"/>
      <c r="AG167" s="25"/>
      <c r="AH167" s="25"/>
      <c r="AI167" s="25"/>
      <c r="AJ167" s="26"/>
      <c r="AK167" s="29"/>
      <c r="AL167" s="28"/>
      <c r="AM167" s="26"/>
      <c r="AN167" s="29"/>
      <c r="AO167" s="25"/>
      <c r="AP167" s="29"/>
      <c r="AQ167" s="25"/>
      <c r="AR167" s="25"/>
      <c r="AS167" s="25"/>
      <c r="AT167" s="25"/>
      <c r="AU167" s="26"/>
      <c r="AV167" s="26"/>
      <c r="AW167" s="26"/>
      <c r="AX167" s="26"/>
      <c r="AY167" s="26"/>
      <c r="AZ167" s="26"/>
      <c r="BA167" s="26"/>
    </row>
    <row r="168">
      <c r="A168" s="26"/>
      <c r="B168" s="26"/>
      <c r="C168" s="26"/>
      <c r="D168" s="27"/>
      <c r="E168" s="27"/>
      <c r="F168" s="26"/>
      <c r="G168" s="28"/>
      <c r="H168" s="28"/>
      <c r="I168" s="28"/>
      <c r="J168" s="28"/>
      <c r="K168" s="28"/>
      <c r="L168" s="28"/>
      <c r="M168" s="28"/>
      <c r="N168" s="26"/>
      <c r="O168" s="29"/>
      <c r="P168" s="27"/>
      <c r="Q168" s="26"/>
      <c r="R168" s="29"/>
      <c r="S168" s="28"/>
      <c r="T168" s="29"/>
      <c r="U168" s="28"/>
      <c r="V168" s="28"/>
      <c r="W168" s="28"/>
      <c r="X168" s="28"/>
      <c r="Y168" s="26"/>
      <c r="Z168" s="29"/>
      <c r="AA168" s="28"/>
      <c r="AB168" s="26"/>
      <c r="AC168" s="29"/>
      <c r="AD168" s="25"/>
      <c r="AE168" s="29"/>
      <c r="AF168" s="25"/>
      <c r="AG168" s="25"/>
      <c r="AH168" s="25"/>
      <c r="AI168" s="25"/>
      <c r="AJ168" s="26"/>
      <c r="AK168" s="29"/>
      <c r="AL168" s="28"/>
      <c r="AM168" s="26"/>
      <c r="AN168" s="29"/>
      <c r="AO168" s="25"/>
      <c r="AP168" s="29"/>
      <c r="AQ168" s="25"/>
      <c r="AR168" s="25"/>
      <c r="AS168" s="25"/>
      <c r="AT168" s="25"/>
      <c r="AU168" s="26"/>
      <c r="AV168" s="26"/>
      <c r="AW168" s="26"/>
      <c r="AX168" s="26"/>
      <c r="AY168" s="26"/>
      <c r="AZ168" s="26"/>
      <c r="BA168" s="26"/>
    </row>
    <row r="169">
      <c r="A169" s="26"/>
      <c r="B169" s="26"/>
      <c r="C169" s="26"/>
      <c r="D169" s="27"/>
      <c r="E169" s="27"/>
      <c r="F169" s="26"/>
      <c r="G169" s="28"/>
      <c r="H169" s="28"/>
      <c r="I169" s="28"/>
      <c r="J169" s="28"/>
      <c r="K169" s="28"/>
      <c r="L169" s="28"/>
      <c r="M169" s="28"/>
      <c r="N169" s="26"/>
      <c r="O169" s="29"/>
      <c r="P169" s="27"/>
      <c r="Q169" s="26"/>
      <c r="R169" s="29"/>
      <c r="S169" s="28"/>
      <c r="T169" s="29"/>
      <c r="U169" s="28"/>
      <c r="V169" s="28"/>
      <c r="W169" s="28"/>
      <c r="X169" s="28"/>
      <c r="Y169" s="26"/>
      <c r="Z169" s="29"/>
      <c r="AA169" s="28"/>
      <c r="AB169" s="26"/>
      <c r="AC169" s="29"/>
      <c r="AD169" s="25"/>
      <c r="AE169" s="29"/>
      <c r="AF169" s="25"/>
      <c r="AG169" s="25"/>
      <c r="AH169" s="25"/>
      <c r="AI169" s="25"/>
      <c r="AJ169" s="26"/>
      <c r="AK169" s="29"/>
      <c r="AL169" s="28"/>
      <c r="AM169" s="26"/>
      <c r="AN169" s="29"/>
      <c r="AO169" s="25"/>
      <c r="AP169" s="29"/>
      <c r="AQ169" s="25"/>
      <c r="AR169" s="25"/>
      <c r="AS169" s="25"/>
      <c r="AT169" s="25"/>
      <c r="AU169" s="26"/>
      <c r="AV169" s="26"/>
      <c r="AW169" s="26"/>
      <c r="AX169" s="26"/>
      <c r="AY169" s="26"/>
      <c r="AZ169" s="26"/>
      <c r="BA169" s="26"/>
    </row>
    <row r="170">
      <c r="A170" s="26"/>
      <c r="B170" s="26"/>
      <c r="C170" s="26"/>
      <c r="D170" s="27"/>
      <c r="E170" s="27"/>
      <c r="F170" s="26"/>
      <c r="G170" s="28"/>
      <c r="H170" s="28"/>
      <c r="I170" s="28"/>
      <c r="J170" s="28"/>
      <c r="K170" s="28"/>
      <c r="L170" s="28"/>
      <c r="M170" s="28"/>
      <c r="N170" s="26"/>
      <c r="O170" s="29"/>
      <c r="P170" s="27"/>
      <c r="Q170" s="26"/>
      <c r="R170" s="29"/>
      <c r="S170" s="28"/>
      <c r="T170" s="29"/>
      <c r="U170" s="28"/>
      <c r="V170" s="28"/>
      <c r="W170" s="28"/>
      <c r="X170" s="28"/>
      <c r="Y170" s="26"/>
      <c r="Z170" s="29"/>
      <c r="AA170" s="28"/>
      <c r="AB170" s="26"/>
      <c r="AC170" s="29"/>
      <c r="AD170" s="25"/>
      <c r="AE170" s="29"/>
      <c r="AF170" s="25"/>
      <c r="AG170" s="25"/>
      <c r="AH170" s="25"/>
      <c r="AI170" s="25"/>
      <c r="AJ170" s="26"/>
      <c r="AK170" s="29"/>
      <c r="AL170" s="28"/>
      <c r="AM170" s="26"/>
      <c r="AN170" s="29"/>
      <c r="AO170" s="25"/>
      <c r="AP170" s="29"/>
      <c r="AQ170" s="25"/>
      <c r="AR170" s="25"/>
      <c r="AS170" s="25"/>
      <c r="AT170" s="25"/>
      <c r="AU170" s="26"/>
      <c r="AV170" s="26"/>
      <c r="AW170" s="26"/>
      <c r="AX170" s="26"/>
      <c r="AY170" s="26"/>
      <c r="AZ170" s="26"/>
      <c r="BA170" s="26"/>
    </row>
    <row r="171">
      <c r="A171" s="26"/>
      <c r="B171" s="26"/>
      <c r="C171" s="26"/>
      <c r="D171" s="27"/>
      <c r="E171" s="27"/>
      <c r="F171" s="26"/>
      <c r="G171" s="28"/>
      <c r="H171" s="28"/>
      <c r="I171" s="28"/>
      <c r="J171" s="28"/>
      <c r="K171" s="28"/>
      <c r="L171" s="28"/>
      <c r="M171" s="28"/>
      <c r="N171" s="26"/>
      <c r="O171" s="29"/>
      <c r="P171" s="27"/>
      <c r="Q171" s="26"/>
      <c r="R171" s="29"/>
      <c r="S171" s="28"/>
      <c r="T171" s="29"/>
      <c r="U171" s="28"/>
      <c r="V171" s="28"/>
      <c r="W171" s="28"/>
      <c r="X171" s="28"/>
      <c r="Y171" s="26"/>
      <c r="Z171" s="29"/>
      <c r="AA171" s="28"/>
      <c r="AB171" s="26"/>
      <c r="AC171" s="29"/>
      <c r="AD171" s="25"/>
      <c r="AE171" s="29"/>
      <c r="AF171" s="25"/>
      <c r="AG171" s="25"/>
      <c r="AH171" s="25"/>
      <c r="AI171" s="25"/>
      <c r="AJ171" s="26"/>
      <c r="AK171" s="29"/>
      <c r="AL171" s="28"/>
      <c r="AM171" s="26"/>
      <c r="AN171" s="29"/>
      <c r="AO171" s="25"/>
      <c r="AP171" s="29"/>
      <c r="AQ171" s="25"/>
      <c r="AR171" s="25"/>
      <c r="AS171" s="25"/>
      <c r="AT171" s="25"/>
      <c r="AU171" s="26"/>
      <c r="AV171" s="26"/>
      <c r="AW171" s="26"/>
      <c r="AX171" s="26"/>
      <c r="AY171" s="26"/>
      <c r="AZ171" s="26"/>
      <c r="BA171" s="26"/>
    </row>
    <row r="172">
      <c r="A172" s="26"/>
      <c r="B172" s="26"/>
      <c r="C172" s="26"/>
      <c r="D172" s="27"/>
      <c r="E172" s="27"/>
      <c r="F172" s="26"/>
      <c r="G172" s="28"/>
      <c r="H172" s="28"/>
      <c r="I172" s="28"/>
      <c r="J172" s="28"/>
      <c r="K172" s="28"/>
      <c r="L172" s="28"/>
      <c r="M172" s="28"/>
      <c r="N172" s="26"/>
      <c r="O172" s="29"/>
      <c r="P172" s="27"/>
      <c r="Q172" s="26"/>
      <c r="R172" s="29"/>
      <c r="S172" s="28"/>
      <c r="T172" s="29"/>
      <c r="U172" s="28"/>
      <c r="V172" s="28"/>
      <c r="W172" s="28"/>
      <c r="X172" s="28"/>
      <c r="Y172" s="26"/>
      <c r="Z172" s="29"/>
      <c r="AA172" s="28"/>
      <c r="AB172" s="26"/>
      <c r="AC172" s="29"/>
      <c r="AD172" s="25"/>
      <c r="AE172" s="29"/>
      <c r="AF172" s="25"/>
      <c r="AG172" s="25"/>
      <c r="AH172" s="25"/>
      <c r="AI172" s="25"/>
      <c r="AJ172" s="26"/>
      <c r="AK172" s="29"/>
      <c r="AL172" s="28"/>
      <c r="AM172" s="26"/>
      <c r="AN172" s="29"/>
      <c r="AO172" s="25"/>
      <c r="AP172" s="29"/>
      <c r="AQ172" s="25"/>
      <c r="AR172" s="25"/>
      <c r="AS172" s="25"/>
      <c r="AT172" s="25"/>
      <c r="AU172" s="26"/>
      <c r="AV172" s="26"/>
      <c r="AW172" s="26"/>
      <c r="AX172" s="26"/>
      <c r="AY172" s="26"/>
      <c r="AZ172" s="26"/>
      <c r="BA172" s="26"/>
    </row>
    <row r="173">
      <c r="A173" s="26"/>
      <c r="B173" s="26"/>
      <c r="C173" s="26"/>
      <c r="D173" s="27"/>
      <c r="E173" s="27"/>
      <c r="F173" s="26"/>
      <c r="G173" s="28"/>
      <c r="H173" s="28"/>
      <c r="I173" s="28"/>
      <c r="J173" s="28"/>
      <c r="K173" s="28"/>
      <c r="L173" s="28"/>
      <c r="M173" s="28"/>
      <c r="N173" s="26"/>
      <c r="O173" s="29"/>
      <c r="P173" s="27"/>
      <c r="Q173" s="26"/>
      <c r="R173" s="29"/>
      <c r="S173" s="28"/>
      <c r="T173" s="29"/>
      <c r="U173" s="28"/>
      <c r="V173" s="28"/>
      <c r="W173" s="28"/>
      <c r="X173" s="28"/>
      <c r="Y173" s="26"/>
      <c r="Z173" s="29"/>
      <c r="AA173" s="28"/>
      <c r="AB173" s="26"/>
      <c r="AC173" s="29"/>
      <c r="AD173" s="25"/>
      <c r="AE173" s="29"/>
      <c r="AF173" s="25"/>
      <c r="AG173" s="25"/>
      <c r="AH173" s="25"/>
      <c r="AI173" s="25"/>
      <c r="AJ173" s="26"/>
      <c r="AK173" s="29"/>
      <c r="AL173" s="28"/>
      <c r="AM173" s="26"/>
      <c r="AN173" s="29"/>
      <c r="AO173" s="25"/>
      <c r="AP173" s="29"/>
      <c r="AQ173" s="25"/>
      <c r="AR173" s="25"/>
      <c r="AS173" s="25"/>
      <c r="AT173" s="25"/>
      <c r="AU173" s="26"/>
      <c r="AV173" s="26"/>
      <c r="AW173" s="26"/>
      <c r="AX173" s="26"/>
      <c r="AY173" s="26"/>
      <c r="AZ173" s="26"/>
      <c r="BA173" s="26"/>
    </row>
    <row r="174">
      <c r="A174" s="26"/>
      <c r="B174" s="26"/>
      <c r="C174" s="26"/>
      <c r="D174" s="27"/>
      <c r="E174" s="27"/>
      <c r="F174" s="26"/>
      <c r="G174" s="28"/>
      <c r="H174" s="28"/>
      <c r="I174" s="28"/>
      <c r="J174" s="28"/>
      <c r="K174" s="28"/>
      <c r="L174" s="28"/>
      <c r="M174" s="28"/>
      <c r="N174" s="26"/>
      <c r="O174" s="29"/>
      <c r="P174" s="27"/>
      <c r="Q174" s="26"/>
      <c r="R174" s="29"/>
      <c r="S174" s="28"/>
      <c r="T174" s="29"/>
      <c r="U174" s="28"/>
      <c r="V174" s="28"/>
      <c r="W174" s="28"/>
      <c r="X174" s="28"/>
      <c r="Y174" s="26"/>
      <c r="Z174" s="29"/>
      <c r="AA174" s="28"/>
      <c r="AB174" s="26"/>
      <c r="AC174" s="29"/>
      <c r="AD174" s="25"/>
      <c r="AE174" s="29"/>
      <c r="AF174" s="25"/>
      <c r="AG174" s="25"/>
      <c r="AH174" s="25"/>
      <c r="AI174" s="25"/>
      <c r="AJ174" s="26"/>
      <c r="AK174" s="29"/>
      <c r="AL174" s="28"/>
      <c r="AM174" s="26"/>
      <c r="AN174" s="29"/>
      <c r="AO174" s="25"/>
      <c r="AP174" s="29"/>
      <c r="AQ174" s="25"/>
      <c r="AR174" s="25"/>
      <c r="AS174" s="25"/>
      <c r="AT174" s="25"/>
      <c r="AU174" s="26"/>
      <c r="AV174" s="26"/>
      <c r="AW174" s="26"/>
      <c r="AX174" s="26"/>
      <c r="AY174" s="26"/>
      <c r="AZ174" s="26"/>
      <c r="BA174" s="26"/>
    </row>
    <row r="175">
      <c r="A175" s="26"/>
      <c r="B175" s="26"/>
      <c r="C175" s="26"/>
      <c r="D175" s="27"/>
      <c r="E175" s="27"/>
      <c r="F175" s="26"/>
      <c r="G175" s="28"/>
      <c r="H175" s="28"/>
      <c r="I175" s="28"/>
      <c r="J175" s="28"/>
      <c r="K175" s="28"/>
      <c r="L175" s="28"/>
      <c r="M175" s="28"/>
      <c r="N175" s="26"/>
      <c r="O175" s="29"/>
      <c r="P175" s="27"/>
      <c r="Q175" s="26"/>
      <c r="R175" s="29"/>
      <c r="S175" s="28"/>
      <c r="T175" s="29"/>
      <c r="U175" s="28"/>
      <c r="V175" s="28"/>
      <c r="W175" s="28"/>
      <c r="X175" s="28"/>
      <c r="Y175" s="26"/>
      <c r="Z175" s="29"/>
      <c r="AA175" s="28"/>
      <c r="AB175" s="26"/>
      <c r="AC175" s="29"/>
      <c r="AD175" s="25"/>
      <c r="AE175" s="29"/>
      <c r="AF175" s="25"/>
      <c r="AG175" s="25"/>
      <c r="AH175" s="25"/>
      <c r="AI175" s="25"/>
      <c r="AJ175" s="26"/>
      <c r="AK175" s="29"/>
      <c r="AL175" s="28"/>
      <c r="AM175" s="26"/>
      <c r="AN175" s="29"/>
      <c r="AO175" s="25"/>
      <c r="AP175" s="29"/>
      <c r="AQ175" s="25"/>
      <c r="AR175" s="25"/>
      <c r="AS175" s="25"/>
      <c r="AT175" s="25"/>
      <c r="AU175" s="26"/>
      <c r="AV175" s="26"/>
      <c r="AW175" s="26"/>
      <c r="AX175" s="26"/>
      <c r="AY175" s="26"/>
      <c r="AZ175" s="26"/>
      <c r="BA175" s="26"/>
    </row>
    <row r="176">
      <c r="A176" s="26"/>
      <c r="B176" s="26"/>
      <c r="C176" s="26"/>
      <c r="D176" s="27"/>
      <c r="E176" s="27"/>
      <c r="F176" s="26"/>
      <c r="G176" s="28"/>
      <c r="H176" s="28"/>
      <c r="I176" s="28"/>
      <c r="J176" s="28"/>
      <c r="K176" s="28"/>
      <c r="L176" s="28"/>
      <c r="M176" s="28"/>
      <c r="N176" s="26"/>
      <c r="O176" s="29"/>
      <c r="P176" s="27"/>
      <c r="Q176" s="26"/>
      <c r="R176" s="29"/>
      <c r="S176" s="28"/>
      <c r="T176" s="29"/>
      <c r="U176" s="28"/>
      <c r="V176" s="28"/>
      <c r="W176" s="28"/>
      <c r="X176" s="28"/>
      <c r="Y176" s="26"/>
      <c r="Z176" s="29"/>
      <c r="AA176" s="28"/>
      <c r="AB176" s="26"/>
      <c r="AC176" s="29"/>
      <c r="AD176" s="25"/>
      <c r="AE176" s="29"/>
      <c r="AF176" s="25"/>
      <c r="AG176" s="25"/>
      <c r="AH176" s="25"/>
      <c r="AI176" s="25"/>
      <c r="AJ176" s="26"/>
      <c r="AK176" s="29"/>
      <c r="AL176" s="28"/>
      <c r="AM176" s="26"/>
      <c r="AN176" s="29"/>
      <c r="AO176" s="25"/>
      <c r="AP176" s="29"/>
      <c r="AQ176" s="25"/>
      <c r="AR176" s="25"/>
      <c r="AS176" s="25"/>
      <c r="AT176" s="25"/>
      <c r="AU176" s="26"/>
      <c r="AV176" s="26"/>
      <c r="AW176" s="26"/>
      <c r="AX176" s="26"/>
      <c r="AY176" s="26"/>
      <c r="AZ176" s="26"/>
      <c r="BA176" s="26"/>
    </row>
    <row r="177">
      <c r="A177" s="26"/>
      <c r="B177" s="26"/>
      <c r="C177" s="26"/>
      <c r="D177" s="27"/>
      <c r="E177" s="27"/>
      <c r="F177" s="26"/>
      <c r="G177" s="28"/>
      <c r="H177" s="28"/>
      <c r="I177" s="28"/>
      <c r="J177" s="28"/>
      <c r="K177" s="28"/>
      <c r="L177" s="28"/>
      <c r="M177" s="28"/>
      <c r="N177" s="26"/>
      <c r="O177" s="29"/>
      <c r="P177" s="27"/>
      <c r="Q177" s="26"/>
      <c r="R177" s="29"/>
      <c r="S177" s="28"/>
      <c r="T177" s="29"/>
      <c r="U177" s="28"/>
      <c r="V177" s="28"/>
      <c r="W177" s="28"/>
      <c r="X177" s="28"/>
      <c r="Y177" s="26"/>
      <c r="Z177" s="29"/>
      <c r="AA177" s="28"/>
      <c r="AB177" s="26"/>
      <c r="AC177" s="29"/>
      <c r="AD177" s="25"/>
      <c r="AE177" s="29"/>
      <c r="AF177" s="25"/>
      <c r="AG177" s="25"/>
      <c r="AH177" s="25"/>
      <c r="AI177" s="25"/>
      <c r="AJ177" s="26"/>
      <c r="AK177" s="29"/>
      <c r="AL177" s="28"/>
      <c r="AM177" s="26"/>
      <c r="AN177" s="29"/>
      <c r="AO177" s="25"/>
      <c r="AP177" s="29"/>
      <c r="AQ177" s="25"/>
      <c r="AR177" s="25"/>
      <c r="AS177" s="25"/>
      <c r="AT177" s="25"/>
      <c r="AU177" s="26"/>
      <c r="AV177" s="26"/>
      <c r="AW177" s="26"/>
      <c r="AX177" s="26"/>
      <c r="AY177" s="26"/>
      <c r="AZ177" s="26"/>
      <c r="BA177" s="26"/>
    </row>
    <row r="178">
      <c r="A178" s="26"/>
      <c r="B178" s="26"/>
      <c r="C178" s="26"/>
      <c r="D178" s="27"/>
      <c r="E178" s="27"/>
      <c r="F178" s="26"/>
      <c r="G178" s="28"/>
      <c r="H178" s="28"/>
      <c r="I178" s="28"/>
      <c r="J178" s="28"/>
      <c r="K178" s="28"/>
      <c r="L178" s="28"/>
      <c r="M178" s="28"/>
      <c r="N178" s="26"/>
      <c r="O178" s="29"/>
      <c r="P178" s="27"/>
      <c r="Q178" s="26"/>
      <c r="R178" s="29"/>
      <c r="S178" s="28"/>
      <c r="T178" s="29"/>
      <c r="U178" s="28"/>
      <c r="V178" s="28"/>
      <c r="W178" s="28"/>
      <c r="X178" s="28"/>
      <c r="Y178" s="26"/>
      <c r="Z178" s="29"/>
      <c r="AA178" s="28"/>
      <c r="AB178" s="26"/>
      <c r="AC178" s="29"/>
      <c r="AD178" s="25"/>
      <c r="AE178" s="29"/>
      <c r="AF178" s="25"/>
      <c r="AG178" s="25"/>
      <c r="AH178" s="25"/>
      <c r="AI178" s="25"/>
      <c r="AJ178" s="26"/>
      <c r="AK178" s="29"/>
      <c r="AL178" s="28"/>
      <c r="AM178" s="26"/>
      <c r="AN178" s="29"/>
      <c r="AO178" s="25"/>
      <c r="AP178" s="29"/>
      <c r="AQ178" s="25"/>
      <c r="AR178" s="25"/>
      <c r="AS178" s="25"/>
      <c r="AT178" s="25"/>
      <c r="AU178" s="26"/>
      <c r="AV178" s="26"/>
      <c r="AW178" s="26"/>
      <c r="AX178" s="26"/>
      <c r="AY178" s="26"/>
      <c r="AZ178" s="26"/>
      <c r="BA178" s="26"/>
    </row>
    <row r="179">
      <c r="A179" s="26"/>
      <c r="B179" s="26"/>
      <c r="C179" s="26"/>
      <c r="D179" s="27"/>
      <c r="E179" s="27"/>
      <c r="F179" s="26"/>
      <c r="G179" s="28"/>
      <c r="H179" s="28"/>
      <c r="I179" s="28"/>
      <c r="J179" s="28"/>
      <c r="K179" s="28"/>
      <c r="L179" s="28"/>
      <c r="M179" s="28"/>
      <c r="N179" s="26"/>
      <c r="O179" s="29"/>
      <c r="P179" s="27"/>
      <c r="Q179" s="26"/>
      <c r="R179" s="29"/>
      <c r="S179" s="28"/>
      <c r="T179" s="29"/>
      <c r="U179" s="28"/>
      <c r="V179" s="28"/>
      <c r="W179" s="28"/>
      <c r="X179" s="28"/>
      <c r="Y179" s="26"/>
      <c r="Z179" s="29"/>
      <c r="AA179" s="28"/>
      <c r="AB179" s="26"/>
      <c r="AC179" s="29"/>
      <c r="AD179" s="25"/>
      <c r="AE179" s="29"/>
      <c r="AF179" s="25"/>
      <c r="AG179" s="25"/>
      <c r="AH179" s="25"/>
      <c r="AI179" s="25"/>
      <c r="AJ179" s="26"/>
      <c r="AK179" s="29"/>
      <c r="AL179" s="28"/>
      <c r="AM179" s="26"/>
      <c r="AN179" s="29"/>
      <c r="AO179" s="25"/>
      <c r="AP179" s="29"/>
      <c r="AQ179" s="25"/>
      <c r="AR179" s="25"/>
      <c r="AS179" s="25"/>
      <c r="AT179" s="25"/>
      <c r="AU179" s="26"/>
      <c r="AV179" s="26"/>
      <c r="AW179" s="26"/>
      <c r="AX179" s="26"/>
      <c r="AY179" s="26"/>
      <c r="AZ179" s="26"/>
      <c r="BA179" s="26"/>
    </row>
    <row r="180">
      <c r="A180" s="26"/>
      <c r="B180" s="26"/>
      <c r="C180" s="26"/>
      <c r="D180" s="27"/>
      <c r="E180" s="27"/>
      <c r="F180" s="26"/>
      <c r="G180" s="28"/>
      <c r="H180" s="28"/>
      <c r="I180" s="28"/>
      <c r="J180" s="28"/>
      <c r="K180" s="28"/>
      <c r="L180" s="28"/>
      <c r="M180" s="28"/>
      <c r="N180" s="26"/>
      <c r="O180" s="29"/>
      <c r="P180" s="27"/>
      <c r="Q180" s="26"/>
      <c r="R180" s="29"/>
      <c r="S180" s="28"/>
      <c r="T180" s="29"/>
      <c r="U180" s="28"/>
      <c r="V180" s="28"/>
      <c r="W180" s="28"/>
      <c r="X180" s="28"/>
      <c r="Y180" s="26"/>
      <c r="Z180" s="29"/>
      <c r="AA180" s="28"/>
      <c r="AB180" s="26"/>
      <c r="AC180" s="29"/>
      <c r="AD180" s="25"/>
      <c r="AE180" s="29"/>
      <c r="AF180" s="25"/>
      <c r="AG180" s="25"/>
      <c r="AH180" s="25"/>
      <c r="AI180" s="25"/>
      <c r="AJ180" s="26"/>
      <c r="AK180" s="29"/>
      <c r="AL180" s="28"/>
      <c r="AM180" s="26"/>
      <c r="AN180" s="29"/>
      <c r="AO180" s="25"/>
      <c r="AP180" s="29"/>
      <c r="AQ180" s="25"/>
      <c r="AR180" s="25"/>
      <c r="AS180" s="25"/>
      <c r="AT180" s="25"/>
      <c r="AU180" s="26"/>
      <c r="AV180" s="26"/>
      <c r="AW180" s="26"/>
      <c r="AX180" s="26"/>
      <c r="AY180" s="26"/>
      <c r="AZ180" s="26"/>
      <c r="BA180" s="26"/>
    </row>
    <row r="181">
      <c r="A181" s="26"/>
      <c r="B181" s="26"/>
      <c r="C181" s="26"/>
      <c r="D181" s="27"/>
      <c r="E181" s="27"/>
      <c r="F181" s="26"/>
      <c r="G181" s="28"/>
      <c r="H181" s="28"/>
      <c r="I181" s="28"/>
      <c r="J181" s="28"/>
      <c r="K181" s="28"/>
      <c r="L181" s="28"/>
      <c r="M181" s="28"/>
      <c r="N181" s="26"/>
      <c r="O181" s="29"/>
      <c r="P181" s="27"/>
      <c r="Q181" s="26"/>
      <c r="R181" s="29"/>
      <c r="S181" s="28"/>
      <c r="T181" s="29"/>
      <c r="U181" s="28"/>
      <c r="V181" s="28"/>
      <c r="W181" s="28"/>
      <c r="X181" s="28"/>
      <c r="Y181" s="26"/>
      <c r="Z181" s="29"/>
      <c r="AA181" s="28"/>
      <c r="AB181" s="26"/>
      <c r="AC181" s="29"/>
      <c r="AD181" s="25"/>
      <c r="AE181" s="29"/>
      <c r="AF181" s="25"/>
      <c r="AG181" s="25"/>
      <c r="AH181" s="25"/>
      <c r="AI181" s="25"/>
      <c r="AJ181" s="26"/>
      <c r="AK181" s="29"/>
      <c r="AL181" s="28"/>
      <c r="AM181" s="26"/>
      <c r="AN181" s="29"/>
      <c r="AO181" s="25"/>
      <c r="AP181" s="29"/>
      <c r="AQ181" s="25"/>
      <c r="AR181" s="25"/>
      <c r="AS181" s="25"/>
      <c r="AT181" s="25"/>
      <c r="AU181" s="26"/>
      <c r="AV181" s="26"/>
      <c r="AW181" s="26"/>
      <c r="AX181" s="26"/>
      <c r="AY181" s="26"/>
      <c r="AZ181" s="26"/>
      <c r="BA181" s="26"/>
    </row>
    <row r="182">
      <c r="A182" s="26"/>
      <c r="B182" s="26"/>
      <c r="C182" s="26"/>
      <c r="D182" s="27"/>
      <c r="E182" s="27"/>
      <c r="F182" s="26"/>
      <c r="G182" s="28"/>
      <c r="H182" s="28"/>
      <c r="I182" s="28"/>
      <c r="J182" s="28"/>
      <c r="K182" s="28"/>
      <c r="L182" s="28"/>
      <c r="M182" s="28"/>
      <c r="N182" s="26"/>
      <c r="O182" s="29"/>
      <c r="P182" s="27"/>
      <c r="Q182" s="26"/>
      <c r="R182" s="29"/>
      <c r="S182" s="28"/>
      <c r="T182" s="29"/>
      <c r="U182" s="28"/>
      <c r="V182" s="28"/>
      <c r="W182" s="28"/>
      <c r="X182" s="28"/>
      <c r="Y182" s="26"/>
      <c r="Z182" s="29"/>
      <c r="AA182" s="28"/>
      <c r="AB182" s="26"/>
      <c r="AC182" s="29"/>
      <c r="AD182" s="25"/>
      <c r="AE182" s="29"/>
      <c r="AF182" s="25"/>
      <c r="AG182" s="25"/>
      <c r="AH182" s="25"/>
      <c r="AI182" s="25"/>
      <c r="AJ182" s="26"/>
      <c r="AK182" s="29"/>
      <c r="AL182" s="28"/>
      <c r="AM182" s="26"/>
      <c r="AN182" s="29"/>
      <c r="AO182" s="25"/>
      <c r="AP182" s="29"/>
      <c r="AQ182" s="25"/>
      <c r="AR182" s="25"/>
      <c r="AS182" s="25"/>
      <c r="AT182" s="25"/>
      <c r="AU182" s="26"/>
      <c r="AV182" s="26"/>
      <c r="AW182" s="26"/>
      <c r="AX182" s="26"/>
      <c r="AY182" s="26"/>
      <c r="AZ182" s="26"/>
      <c r="BA182" s="26"/>
    </row>
    <row r="183">
      <c r="A183" s="26"/>
      <c r="B183" s="26"/>
      <c r="C183" s="26"/>
      <c r="D183" s="27"/>
      <c r="E183" s="27"/>
      <c r="F183" s="26"/>
      <c r="G183" s="28"/>
      <c r="H183" s="28"/>
      <c r="I183" s="28"/>
      <c r="J183" s="28"/>
      <c r="K183" s="28"/>
      <c r="L183" s="28"/>
      <c r="M183" s="28"/>
      <c r="N183" s="26"/>
      <c r="O183" s="29"/>
      <c r="P183" s="27"/>
      <c r="Q183" s="26"/>
      <c r="R183" s="29"/>
      <c r="S183" s="28"/>
      <c r="T183" s="29"/>
      <c r="U183" s="28"/>
      <c r="V183" s="28"/>
      <c r="W183" s="28"/>
      <c r="X183" s="28"/>
      <c r="Y183" s="26"/>
      <c r="Z183" s="29"/>
      <c r="AA183" s="28"/>
      <c r="AB183" s="26"/>
      <c r="AC183" s="29"/>
      <c r="AD183" s="25"/>
      <c r="AE183" s="29"/>
      <c r="AF183" s="25"/>
      <c r="AG183" s="25"/>
      <c r="AH183" s="25"/>
      <c r="AI183" s="25"/>
      <c r="AJ183" s="26"/>
      <c r="AK183" s="29"/>
      <c r="AL183" s="28"/>
      <c r="AM183" s="26"/>
      <c r="AN183" s="29"/>
      <c r="AO183" s="25"/>
      <c r="AP183" s="29"/>
      <c r="AQ183" s="25"/>
      <c r="AR183" s="25"/>
      <c r="AS183" s="25"/>
      <c r="AT183" s="25"/>
      <c r="AU183" s="26"/>
      <c r="AV183" s="26"/>
      <c r="AW183" s="26"/>
      <c r="AX183" s="26"/>
      <c r="AY183" s="26"/>
      <c r="AZ183" s="26"/>
      <c r="BA183" s="26"/>
    </row>
    <row r="184">
      <c r="A184" s="26"/>
      <c r="B184" s="26"/>
      <c r="C184" s="26"/>
      <c r="D184" s="27"/>
      <c r="E184" s="27"/>
      <c r="F184" s="26"/>
      <c r="G184" s="28"/>
      <c r="H184" s="28"/>
      <c r="I184" s="28"/>
      <c r="J184" s="28"/>
      <c r="K184" s="28"/>
      <c r="L184" s="28"/>
      <c r="M184" s="28"/>
      <c r="N184" s="26"/>
      <c r="O184" s="29"/>
      <c r="P184" s="27"/>
      <c r="Q184" s="26"/>
      <c r="R184" s="29"/>
      <c r="S184" s="28"/>
      <c r="T184" s="29"/>
      <c r="U184" s="28"/>
      <c r="V184" s="28"/>
      <c r="W184" s="28"/>
      <c r="X184" s="28"/>
      <c r="Y184" s="26"/>
      <c r="Z184" s="29"/>
      <c r="AA184" s="28"/>
      <c r="AB184" s="26"/>
      <c r="AC184" s="29"/>
      <c r="AD184" s="25"/>
      <c r="AE184" s="29"/>
      <c r="AF184" s="25"/>
      <c r="AG184" s="25"/>
      <c r="AH184" s="25"/>
      <c r="AI184" s="25"/>
      <c r="AJ184" s="26"/>
      <c r="AK184" s="29"/>
      <c r="AL184" s="28"/>
      <c r="AM184" s="26"/>
      <c r="AN184" s="29"/>
      <c r="AO184" s="25"/>
      <c r="AP184" s="29"/>
      <c r="AQ184" s="25"/>
      <c r="AR184" s="25"/>
      <c r="AS184" s="25"/>
      <c r="AT184" s="25"/>
      <c r="AU184" s="26"/>
      <c r="AV184" s="26"/>
      <c r="AW184" s="26"/>
      <c r="AX184" s="26"/>
      <c r="AY184" s="26"/>
      <c r="AZ184" s="26"/>
      <c r="BA184" s="26"/>
    </row>
    <row r="185">
      <c r="A185" s="26"/>
      <c r="B185" s="26"/>
      <c r="C185" s="26"/>
      <c r="D185" s="27"/>
      <c r="E185" s="27"/>
      <c r="F185" s="26"/>
      <c r="G185" s="28"/>
      <c r="H185" s="28"/>
      <c r="I185" s="28"/>
      <c r="J185" s="28"/>
      <c r="K185" s="28"/>
      <c r="L185" s="28"/>
      <c r="M185" s="28"/>
      <c r="N185" s="26"/>
      <c r="O185" s="29"/>
      <c r="P185" s="27"/>
      <c r="Q185" s="26"/>
      <c r="R185" s="29"/>
      <c r="S185" s="28"/>
      <c r="T185" s="29"/>
      <c r="U185" s="28"/>
      <c r="V185" s="28"/>
      <c r="W185" s="28"/>
      <c r="X185" s="28"/>
      <c r="Y185" s="26"/>
      <c r="Z185" s="29"/>
      <c r="AA185" s="28"/>
      <c r="AB185" s="26"/>
      <c r="AC185" s="29"/>
      <c r="AD185" s="25"/>
      <c r="AE185" s="29"/>
      <c r="AF185" s="25"/>
      <c r="AG185" s="25"/>
      <c r="AH185" s="25"/>
      <c r="AI185" s="25"/>
      <c r="AJ185" s="26"/>
      <c r="AK185" s="29"/>
      <c r="AL185" s="28"/>
      <c r="AM185" s="26"/>
      <c r="AN185" s="29"/>
      <c r="AO185" s="25"/>
      <c r="AP185" s="29"/>
      <c r="AQ185" s="25"/>
      <c r="AR185" s="25"/>
      <c r="AS185" s="25"/>
      <c r="AT185" s="25"/>
      <c r="AU185" s="26"/>
      <c r="AV185" s="26"/>
      <c r="AW185" s="26"/>
      <c r="AX185" s="26"/>
      <c r="AY185" s="26"/>
      <c r="AZ185" s="26"/>
      <c r="BA185" s="26"/>
    </row>
    <row r="186">
      <c r="A186" s="26"/>
      <c r="B186" s="26"/>
      <c r="C186" s="26"/>
      <c r="D186" s="27"/>
      <c r="E186" s="27"/>
      <c r="F186" s="26"/>
      <c r="G186" s="28"/>
      <c r="H186" s="28"/>
      <c r="I186" s="28"/>
      <c r="J186" s="28"/>
      <c r="K186" s="28"/>
      <c r="L186" s="28"/>
      <c r="M186" s="28"/>
      <c r="N186" s="26"/>
      <c r="O186" s="29"/>
      <c r="P186" s="27"/>
      <c r="Q186" s="26"/>
      <c r="R186" s="29"/>
      <c r="S186" s="28"/>
      <c r="T186" s="29"/>
      <c r="U186" s="28"/>
      <c r="V186" s="28"/>
      <c r="W186" s="28"/>
      <c r="X186" s="28"/>
      <c r="Y186" s="26"/>
      <c r="Z186" s="29"/>
      <c r="AA186" s="28"/>
      <c r="AB186" s="26"/>
      <c r="AC186" s="29"/>
      <c r="AD186" s="25"/>
      <c r="AE186" s="29"/>
      <c r="AF186" s="25"/>
      <c r="AG186" s="25"/>
      <c r="AH186" s="25"/>
      <c r="AI186" s="25"/>
      <c r="AJ186" s="26"/>
      <c r="AK186" s="29"/>
      <c r="AL186" s="28"/>
      <c r="AM186" s="26"/>
      <c r="AN186" s="29"/>
      <c r="AO186" s="25"/>
      <c r="AP186" s="29"/>
      <c r="AQ186" s="25"/>
      <c r="AR186" s="25"/>
      <c r="AS186" s="25"/>
      <c r="AT186" s="25"/>
      <c r="AU186" s="26"/>
      <c r="AV186" s="26"/>
      <c r="AW186" s="26"/>
      <c r="AX186" s="26"/>
      <c r="AY186" s="26"/>
      <c r="AZ186" s="26"/>
      <c r="BA186" s="26"/>
    </row>
    <row r="187">
      <c r="A187" s="26"/>
      <c r="B187" s="26"/>
      <c r="C187" s="26"/>
      <c r="D187" s="27"/>
      <c r="E187" s="27"/>
      <c r="F187" s="26"/>
      <c r="G187" s="28"/>
      <c r="H187" s="28"/>
      <c r="I187" s="28"/>
      <c r="J187" s="28"/>
      <c r="K187" s="28"/>
      <c r="L187" s="28"/>
      <c r="M187" s="28"/>
      <c r="N187" s="26"/>
      <c r="O187" s="29"/>
      <c r="P187" s="27"/>
      <c r="Q187" s="26"/>
      <c r="R187" s="29"/>
      <c r="S187" s="28"/>
      <c r="T187" s="29"/>
      <c r="U187" s="28"/>
      <c r="V187" s="28"/>
      <c r="W187" s="28"/>
      <c r="X187" s="28"/>
      <c r="Y187" s="26"/>
      <c r="Z187" s="29"/>
      <c r="AA187" s="28"/>
      <c r="AB187" s="26"/>
      <c r="AC187" s="29"/>
      <c r="AD187" s="25"/>
      <c r="AE187" s="29"/>
      <c r="AF187" s="25"/>
      <c r="AG187" s="25"/>
      <c r="AH187" s="25"/>
      <c r="AI187" s="25"/>
      <c r="AJ187" s="26"/>
      <c r="AK187" s="29"/>
      <c r="AL187" s="28"/>
      <c r="AM187" s="26"/>
      <c r="AN187" s="29"/>
      <c r="AO187" s="25"/>
      <c r="AP187" s="29"/>
      <c r="AQ187" s="25"/>
      <c r="AR187" s="25"/>
      <c r="AS187" s="25"/>
      <c r="AT187" s="25"/>
      <c r="AU187" s="26"/>
      <c r="AV187" s="26"/>
      <c r="AW187" s="26"/>
      <c r="AX187" s="26"/>
      <c r="AY187" s="26"/>
      <c r="AZ187" s="26"/>
      <c r="BA187" s="26"/>
    </row>
    <row r="188">
      <c r="A188" s="26"/>
      <c r="B188" s="26"/>
      <c r="C188" s="26"/>
      <c r="D188" s="27"/>
      <c r="E188" s="27"/>
      <c r="F188" s="26"/>
      <c r="G188" s="28"/>
      <c r="H188" s="28"/>
      <c r="I188" s="28"/>
      <c r="J188" s="28"/>
      <c r="K188" s="28"/>
      <c r="L188" s="28"/>
      <c r="M188" s="28"/>
      <c r="N188" s="26"/>
      <c r="O188" s="29"/>
      <c r="P188" s="27"/>
      <c r="Q188" s="26"/>
      <c r="R188" s="29"/>
      <c r="S188" s="28"/>
      <c r="T188" s="29"/>
      <c r="U188" s="28"/>
      <c r="V188" s="28"/>
      <c r="W188" s="28"/>
      <c r="X188" s="28"/>
      <c r="Y188" s="26"/>
      <c r="Z188" s="29"/>
      <c r="AA188" s="28"/>
      <c r="AB188" s="26"/>
      <c r="AC188" s="29"/>
      <c r="AD188" s="25"/>
      <c r="AE188" s="29"/>
      <c r="AF188" s="25"/>
      <c r="AG188" s="25"/>
      <c r="AH188" s="25"/>
      <c r="AI188" s="25"/>
      <c r="AJ188" s="26"/>
      <c r="AK188" s="29"/>
      <c r="AL188" s="28"/>
      <c r="AM188" s="26"/>
      <c r="AN188" s="29"/>
      <c r="AO188" s="25"/>
      <c r="AP188" s="29"/>
      <c r="AQ188" s="25"/>
      <c r="AR188" s="25"/>
      <c r="AS188" s="25"/>
      <c r="AT188" s="25"/>
      <c r="AU188" s="26"/>
      <c r="AV188" s="26"/>
      <c r="AW188" s="26"/>
      <c r="AX188" s="26"/>
      <c r="AY188" s="26"/>
      <c r="AZ188" s="26"/>
      <c r="BA188" s="26"/>
    </row>
    <row r="189">
      <c r="A189" s="26"/>
      <c r="B189" s="26"/>
      <c r="C189" s="26"/>
      <c r="D189" s="27"/>
      <c r="E189" s="27"/>
      <c r="F189" s="26"/>
      <c r="G189" s="28"/>
      <c r="H189" s="28"/>
      <c r="I189" s="28"/>
      <c r="J189" s="28"/>
      <c r="K189" s="28"/>
      <c r="L189" s="28"/>
      <c r="M189" s="28"/>
      <c r="N189" s="26"/>
      <c r="O189" s="29"/>
      <c r="P189" s="27"/>
      <c r="Q189" s="26"/>
      <c r="R189" s="29"/>
      <c r="S189" s="28"/>
      <c r="T189" s="29"/>
      <c r="U189" s="28"/>
      <c r="V189" s="28"/>
      <c r="W189" s="28"/>
      <c r="X189" s="28"/>
      <c r="Y189" s="26"/>
      <c r="Z189" s="29"/>
      <c r="AA189" s="28"/>
      <c r="AB189" s="26"/>
      <c r="AC189" s="29"/>
      <c r="AD189" s="25"/>
      <c r="AE189" s="29"/>
      <c r="AF189" s="25"/>
      <c r="AG189" s="25"/>
      <c r="AH189" s="25"/>
      <c r="AI189" s="25"/>
      <c r="AJ189" s="26"/>
      <c r="AK189" s="29"/>
      <c r="AL189" s="28"/>
      <c r="AM189" s="26"/>
      <c r="AN189" s="29"/>
      <c r="AO189" s="25"/>
      <c r="AP189" s="29"/>
      <c r="AQ189" s="25"/>
      <c r="AR189" s="25"/>
      <c r="AS189" s="25"/>
      <c r="AT189" s="25"/>
      <c r="AU189" s="26"/>
      <c r="AV189" s="26"/>
      <c r="AW189" s="26"/>
      <c r="AX189" s="26"/>
      <c r="AY189" s="26"/>
      <c r="AZ189" s="26"/>
      <c r="BA189" s="26"/>
    </row>
    <row r="190">
      <c r="A190" s="26"/>
      <c r="B190" s="26"/>
      <c r="C190" s="26"/>
      <c r="D190" s="27"/>
      <c r="E190" s="27"/>
      <c r="F190" s="26"/>
      <c r="G190" s="28"/>
      <c r="H190" s="28"/>
      <c r="I190" s="28"/>
      <c r="J190" s="28"/>
      <c r="K190" s="28"/>
      <c r="L190" s="28"/>
      <c r="M190" s="28"/>
      <c r="N190" s="26"/>
      <c r="O190" s="29"/>
      <c r="P190" s="27"/>
      <c r="Q190" s="26"/>
      <c r="R190" s="29"/>
      <c r="S190" s="28"/>
      <c r="T190" s="29"/>
      <c r="U190" s="28"/>
      <c r="V190" s="28"/>
      <c r="W190" s="28"/>
      <c r="X190" s="28"/>
      <c r="Y190" s="26"/>
      <c r="Z190" s="29"/>
      <c r="AA190" s="28"/>
      <c r="AB190" s="26"/>
      <c r="AC190" s="29"/>
      <c r="AD190" s="25"/>
      <c r="AE190" s="29"/>
      <c r="AF190" s="25"/>
      <c r="AG190" s="25"/>
      <c r="AH190" s="25"/>
      <c r="AI190" s="25"/>
      <c r="AJ190" s="26"/>
      <c r="AK190" s="29"/>
      <c r="AL190" s="28"/>
      <c r="AM190" s="26"/>
      <c r="AN190" s="29"/>
      <c r="AO190" s="25"/>
      <c r="AP190" s="29"/>
      <c r="AQ190" s="25"/>
      <c r="AR190" s="25"/>
      <c r="AS190" s="25"/>
      <c r="AT190" s="25"/>
      <c r="AU190" s="26"/>
      <c r="AV190" s="26"/>
      <c r="AW190" s="26"/>
      <c r="AX190" s="26"/>
      <c r="AY190" s="26"/>
      <c r="AZ190" s="26"/>
      <c r="BA190" s="26"/>
    </row>
    <row r="191">
      <c r="A191" s="26"/>
      <c r="B191" s="26"/>
      <c r="C191" s="26"/>
      <c r="D191" s="27"/>
      <c r="E191" s="27"/>
      <c r="F191" s="26"/>
      <c r="G191" s="28"/>
      <c r="H191" s="28"/>
      <c r="I191" s="28"/>
      <c r="J191" s="28"/>
      <c r="K191" s="28"/>
      <c r="L191" s="28"/>
      <c r="M191" s="28"/>
      <c r="N191" s="26"/>
      <c r="O191" s="29"/>
      <c r="P191" s="27"/>
      <c r="Q191" s="26"/>
      <c r="R191" s="29"/>
      <c r="S191" s="28"/>
      <c r="T191" s="29"/>
      <c r="U191" s="28"/>
      <c r="V191" s="28"/>
      <c r="W191" s="28"/>
      <c r="X191" s="28"/>
      <c r="Y191" s="26"/>
      <c r="Z191" s="29"/>
      <c r="AA191" s="28"/>
      <c r="AB191" s="26"/>
      <c r="AC191" s="29"/>
      <c r="AD191" s="25"/>
      <c r="AE191" s="29"/>
      <c r="AF191" s="25"/>
      <c r="AG191" s="25"/>
      <c r="AH191" s="25"/>
      <c r="AI191" s="25"/>
      <c r="AJ191" s="26"/>
      <c r="AK191" s="29"/>
      <c r="AL191" s="28"/>
      <c r="AM191" s="26"/>
      <c r="AN191" s="29"/>
      <c r="AO191" s="25"/>
      <c r="AP191" s="29"/>
      <c r="AQ191" s="25"/>
      <c r="AR191" s="25"/>
      <c r="AS191" s="25"/>
      <c r="AT191" s="25"/>
      <c r="AU191" s="26"/>
      <c r="AV191" s="26"/>
      <c r="AW191" s="26"/>
      <c r="AX191" s="26"/>
      <c r="AY191" s="26"/>
      <c r="AZ191" s="26"/>
      <c r="BA191" s="26"/>
    </row>
    <row r="192">
      <c r="A192" s="26"/>
      <c r="B192" s="26"/>
      <c r="C192" s="26"/>
      <c r="D192" s="27"/>
      <c r="E192" s="27"/>
      <c r="F192" s="26"/>
      <c r="G192" s="28"/>
      <c r="H192" s="28"/>
      <c r="I192" s="28"/>
      <c r="J192" s="28"/>
      <c r="K192" s="28"/>
      <c r="L192" s="28"/>
      <c r="M192" s="28"/>
      <c r="N192" s="26"/>
      <c r="O192" s="29"/>
      <c r="P192" s="27"/>
      <c r="Q192" s="26"/>
      <c r="R192" s="29"/>
      <c r="S192" s="28"/>
      <c r="T192" s="29"/>
      <c r="U192" s="28"/>
      <c r="V192" s="28"/>
      <c r="W192" s="28"/>
      <c r="X192" s="28"/>
      <c r="Y192" s="26"/>
      <c r="Z192" s="29"/>
      <c r="AA192" s="28"/>
      <c r="AB192" s="26"/>
      <c r="AC192" s="29"/>
      <c r="AD192" s="25"/>
      <c r="AE192" s="29"/>
      <c r="AF192" s="25"/>
      <c r="AG192" s="25"/>
      <c r="AH192" s="25"/>
      <c r="AI192" s="25"/>
      <c r="AJ192" s="26"/>
      <c r="AK192" s="29"/>
      <c r="AL192" s="28"/>
      <c r="AM192" s="26"/>
      <c r="AN192" s="29"/>
      <c r="AO192" s="25"/>
      <c r="AP192" s="29"/>
      <c r="AQ192" s="25"/>
      <c r="AR192" s="25"/>
      <c r="AS192" s="25"/>
      <c r="AT192" s="25"/>
      <c r="AU192" s="26"/>
      <c r="AV192" s="26"/>
      <c r="AW192" s="26"/>
      <c r="AX192" s="26"/>
      <c r="AY192" s="26"/>
      <c r="AZ192" s="26"/>
      <c r="BA192" s="26"/>
    </row>
    <row r="193">
      <c r="A193" s="26"/>
      <c r="B193" s="26"/>
      <c r="C193" s="26"/>
      <c r="D193" s="27"/>
      <c r="E193" s="27"/>
      <c r="F193" s="26"/>
      <c r="G193" s="28"/>
      <c r="H193" s="28"/>
      <c r="I193" s="28"/>
      <c r="J193" s="28"/>
      <c r="K193" s="28"/>
      <c r="L193" s="28"/>
      <c r="M193" s="28"/>
      <c r="N193" s="26"/>
      <c r="O193" s="29"/>
      <c r="P193" s="27"/>
      <c r="Q193" s="26"/>
      <c r="R193" s="29"/>
      <c r="S193" s="28"/>
      <c r="T193" s="29"/>
      <c r="U193" s="28"/>
      <c r="V193" s="28"/>
      <c r="W193" s="28"/>
      <c r="X193" s="28"/>
      <c r="Y193" s="26"/>
      <c r="Z193" s="29"/>
      <c r="AA193" s="28"/>
      <c r="AB193" s="26"/>
      <c r="AC193" s="29"/>
      <c r="AD193" s="25"/>
      <c r="AE193" s="29"/>
      <c r="AF193" s="25"/>
      <c r="AG193" s="25"/>
      <c r="AH193" s="25"/>
      <c r="AI193" s="25"/>
      <c r="AJ193" s="26"/>
      <c r="AK193" s="29"/>
      <c r="AL193" s="28"/>
      <c r="AM193" s="26"/>
      <c r="AN193" s="29"/>
      <c r="AO193" s="25"/>
      <c r="AP193" s="29"/>
      <c r="AQ193" s="25"/>
      <c r="AR193" s="25"/>
      <c r="AS193" s="25"/>
      <c r="AT193" s="25"/>
      <c r="AU193" s="26"/>
      <c r="AV193" s="26"/>
      <c r="AW193" s="26"/>
      <c r="AX193" s="26"/>
      <c r="AY193" s="26"/>
      <c r="AZ193" s="26"/>
      <c r="BA193" s="26"/>
    </row>
    <row r="194">
      <c r="A194" s="26"/>
      <c r="B194" s="26"/>
      <c r="C194" s="26"/>
      <c r="D194" s="27"/>
      <c r="E194" s="27"/>
      <c r="F194" s="26"/>
      <c r="G194" s="28"/>
      <c r="H194" s="28"/>
      <c r="I194" s="28"/>
      <c r="J194" s="28"/>
      <c r="K194" s="28"/>
      <c r="L194" s="28"/>
      <c r="M194" s="28"/>
      <c r="N194" s="26"/>
      <c r="O194" s="29"/>
      <c r="P194" s="27"/>
      <c r="Q194" s="26"/>
      <c r="R194" s="29"/>
      <c r="S194" s="28"/>
      <c r="T194" s="29"/>
      <c r="U194" s="28"/>
      <c r="V194" s="28"/>
      <c r="W194" s="28"/>
      <c r="X194" s="28"/>
      <c r="Y194" s="26"/>
      <c r="Z194" s="29"/>
      <c r="AA194" s="28"/>
      <c r="AB194" s="26"/>
      <c r="AC194" s="29"/>
      <c r="AD194" s="25"/>
      <c r="AE194" s="29"/>
      <c r="AF194" s="25"/>
      <c r="AG194" s="25"/>
      <c r="AH194" s="25"/>
      <c r="AI194" s="25"/>
      <c r="AJ194" s="26"/>
      <c r="AK194" s="29"/>
      <c r="AL194" s="28"/>
      <c r="AM194" s="26"/>
      <c r="AN194" s="29"/>
      <c r="AO194" s="25"/>
      <c r="AP194" s="29"/>
      <c r="AQ194" s="25"/>
      <c r="AR194" s="25"/>
      <c r="AS194" s="25"/>
      <c r="AT194" s="25"/>
      <c r="AU194" s="26"/>
      <c r="AV194" s="26"/>
      <c r="AW194" s="26"/>
      <c r="AX194" s="26"/>
      <c r="AY194" s="26"/>
      <c r="AZ194" s="26"/>
      <c r="BA194" s="26"/>
    </row>
    <row r="195">
      <c r="A195" s="26"/>
      <c r="B195" s="26"/>
      <c r="C195" s="26"/>
      <c r="D195" s="27"/>
      <c r="E195" s="27"/>
      <c r="F195" s="26"/>
      <c r="G195" s="28"/>
      <c r="H195" s="28"/>
      <c r="I195" s="28"/>
      <c r="J195" s="28"/>
      <c r="K195" s="28"/>
      <c r="L195" s="28"/>
      <c r="M195" s="28"/>
      <c r="N195" s="26"/>
      <c r="O195" s="29"/>
      <c r="P195" s="27"/>
      <c r="Q195" s="26"/>
      <c r="R195" s="29"/>
      <c r="S195" s="28"/>
      <c r="T195" s="29"/>
      <c r="U195" s="28"/>
      <c r="V195" s="28"/>
      <c r="W195" s="28"/>
      <c r="X195" s="28"/>
      <c r="Y195" s="26"/>
      <c r="Z195" s="29"/>
      <c r="AA195" s="28"/>
      <c r="AB195" s="26"/>
      <c r="AC195" s="29"/>
      <c r="AD195" s="25"/>
      <c r="AE195" s="29"/>
      <c r="AF195" s="25"/>
      <c r="AG195" s="25"/>
      <c r="AH195" s="25"/>
      <c r="AI195" s="25"/>
      <c r="AJ195" s="26"/>
      <c r="AK195" s="29"/>
      <c r="AL195" s="28"/>
      <c r="AM195" s="26"/>
      <c r="AN195" s="29"/>
      <c r="AO195" s="25"/>
      <c r="AP195" s="29"/>
      <c r="AQ195" s="25"/>
      <c r="AR195" s="25"/>
      <c r="AS195" s="25"/>
      <c r="AT195" s="25"/>
      <c r="AU195" s="26"/>
      <c r="AV195" s="26"/>
      <c r="AW195" s="26"/>
      <c r="AX195" s="26"/>
      <c r="AY195" s="26"/>
      <c r="AZ195" s="26"/>
      <c r="BA195" s="26"/>
    </row>
    <row r="196">
      <c r="A196" s="26"/>
      <c r="B196" s="26"/>
      <c r="C196" s="26"/>
      <c r="D196" s="27"/>
      <c r="E196" s="27"/>
      <c r="F196" s="26"/>
      <c r="G196" s="28"/>
      <c r="H196" s="28"/>
      <c r="I196" s="28"/>
      <c r="J196" s="28"/>
      <c r="K196" s="28"/>
      <c r="L196" s="28"/>
      <c r="M196" s="28"/>
      <c r="N196" s="26"/>
      <c r="O196" s="29"/>
      <c r="P196" s="27"/>
      <c r="Q196" s="26"/>
      <c r="R196" s="29"/>
      <c r="S196" s="28"/>
      <c r="T196" s="29"/>
      <c r="U196" s="28"/>
      <c r="V196" s="28"/>
      <c r="W196" s="28"/>
      <c r="X196" s="28"/>
      <c r="Y196" s="26"/>
      <c r="Z196" s="29"/>
      <c r="AA196" s="28"/>
      <c r="AB196" s="26"/>
      <c r="AC196" s="29"/>
      <c r="AD196" s="25"/>
      <c r="AE196" s="29"/>
      <c r="AF196" s="25"/>
      <c r="AG196" s="25"/>
      <c r="AH196" s="25"/>
      <c r="AI196" s="25"/>
      <c r="AJ196" s="26"/>
      <c r="AK196" s="29"/>
      <c r="AL196" s="28"/>
      <c r="AM196" s="26"/>
      <c r="AN196" s="29"/>
      <c r="AO196" s="25"/>
      <c r="AP196" s="29"/>
      <c r="AQ196" s="25"/>
      <c r="AR196" s="25"/>
      <c r="AS196" s="25"/>
      <c r="AT196" s="25"/>
      <c r="AU196" s="26"/>
      <c r="AV196" s="26"/>
      <c r="AW196" s="26"/>
      <c r="AX196" s="26"/>
      <c r="AY196" s="26"/>
      <c r="AZ196" s="26"/>
      <c r="BA196" s="26"/>
    </row>
    <row r="197">
      <c r="A197" s="26"/>
      <c r="B197" s="26"/>
      <c r="C197" s="26"/>
      <c r="D197" s="27"/>
      <c r="E197" s="27"/>
      <c r="F197" s="26"/>
      <c r="G197" s="28"/>
      <c r="H197" s="28"/>
      <c r="I197" s="28"/>
      <c r="J197" s="28"/>
      <c r="K197" s="28"/>
      <c r="L197" s="28"/>
      <c r="M197" s="28"/>
      <c r="N197" s="26"/>
      <c r="O197" s="29"/>
      <c r="P197" s="27"/>
      <c r="Q197" s="26"/>
      <c r="R197" s="29"/>
      <c r="S197" s="28"/>
      <c r="T197" s="29"/>
      <c r="U197" s="28"/>
      <c r="V197" s="28"/>
      <c r="W197" s="28"/>
      <c r="X197" s="28"/>
      <c r="Y197" s="26"/>
      <c r="Z197" s="29"/>
      <c r="AA197" s="28"/>
      <c r="AB197" s="26"/>
      <c r="AC197" s="29"/>
      <c r="AD197" s="25"/>
      <c r="AE197" s="29"/>
      <c r="AF197" s="25"/>
      <c r="AG197" s="25"/>
      <c r="AH197" s="25"/>
      <c r="AI197" s="25"/>
      <c r="AJ197" s="26"/>
      <c r="AK197" s="29"/>
      <c r="AL197" s="28"/>
      <c r="AM197" s="26"/>
      <c r="AN197" s="29"/>
      <c r="AO197" s="25"/>
      <c r="AP197" s="29"/>
      <c r="AQ197" s="25"/>
      <c r="AR197" s="25"/>
      <c r="AS197" s="25"/>
      <c r="AT197" s="25"/>
      <c r="AU197" s="26"/>
      <c r="AV197" s="26"/>
      <c r="AW197" s="26"/>
      <c r="AX197" s="26"/>
      <c r="AY197" s="26"/>
      <c r="AZ197" s="26"/>
      <c r="BA197" s="26"/>
    </row>
    <row r="198">
      <c r="A198" s="26"/>
      <c r="B198" s="26"/>
      <c r="C198" s="26"/>
      <c r="D198" s="27"/>
      <c r="E198" s="27"/>
      <c r="F198" s="26"/>
      <c r="G198" s="28"/>
      <c r="H198" s="28"/>
      <c r="I198" s="28"/>
      <c r="J198" s="28"/>
      <c r="K198" s="28"/>
      <c r="L198" s="28"/>
      <c r="M198" s="28"/>
      <c r="N198" s="26"/>
      <c r="O198" s="29"/>
      <c r="P198" s="27"/>
      <c r="Q198" s="26"/>
      <c r="R198" s="29"/>
      <c r="S198" s="28"/>
      <c r="T198" s="29"/>
      <c r="U198" s="28"/>
      <c r="V198" s="28"/>
      <c r="W198" s="28"/>
      <c r="X198" s="28"/>
      <c r="Y198" s="26"/>
      <c r="Z198" s="29"/>
      <c r="AA198" s="28"/>
      <c r="AB198" s="26"/>
      <c r="AC198" s="29"/>
      <c r="AD198" s="25"/>
      <c r="AE198" s="29"/>
      <c r="AF198" s="25"/>
      <c r="AG198" s="25"/>
      <c r="AH198" s="25"/>
      <c r="AI198" s="25"/>
      <c r="AJ198" s="26"/>
      <c r="AK198" s="29"/>
      <c r="AL198" s="28"/>
      <c r="AM198" s="26"/>
      <c r="AN198" s="29"/>
      <c r="AO198" s="25"/>
      <c r="AP198" s="29"/>
      <c r="AQ198" s="25"/>
      <c r="AR198" s="25"/>
      <c r="AS198" s="25"/>
      <c r="AT198" s="25"/>
      <c r="AU198" s="26"/>
      <c r="AV198" s="26"/>
      <c r="AW198" s="26"/>
      <c r="AX198" s="26"/>
      <c r="AY198" s="26"/>
      <c r="AZ198" s="26"/>
      <c r="BA198" s="26"/>
    </row>
    <row r="199">
      <c r="A199" s="26"/>
      <c r="B199" s="26"/>
      <c r="C199" s="26"/>
      <c r="D199" s="27"/>
      <c r="E199" s="27"/>
      <c r="F199" s="26"/>
      <c r="G199" s="28"/>
      <c r="H199" s="28"/>
      <c r="I199" s="28"/>
      <c r="J199" s="28"/>
      <c r="K199" s="28"/>
      <c r="L199" s="28"/>
      <c r="M199" s="28"/>
      <c r="N199" s="26"/>
      <c r="O199" s="29"/>
      <c r="P199" s="27"/>
      <c r="Q199" s="26"/>
      <c r="R199" s="29"/>
      <c r="S199" s="28"/>
      <c r="T199" s="29"/>
      <c r="U199" s="28"/>
      <c r="V199" s="28"/>
      <c r="W199" s="28"/>
      <c r="X199" s="28"/>
      <c r="Y199" s="26"/>
      <c r="Z199" s="29"/>
      <c r="AA199" s="28"/>
      <c r="AB199" s="26"/>
      <c r="AC199" s="29"/>
      <c r="AD199" s="25"/>
      <c r="AE199" s="29"/>
      <c r="AF199" s="25"/>
      <c r="AG199" s="25"/>
      <c r="AH199" s="25"/>
      <c r="AI199" s="25"/>
      <c r="AJ199" s="26"/>
      <c r="AK199" s="29"/>
      <c r="AL199" s="28"/>
      <c r="AM199" s="26"/>
      <c r="AN199" s="29"/>
      <c r="AO199" s="25"/>
      <c r="AP199" s="29"/>
      <c r="AQ199" s="25"/>
      <c r="AR199" s="25"/>
      <c r="AS199" s="25"/>
      <c r="AT199" s="25"/>
      <c r="AU199" s="26"/>
      <c r="AV199" s="26"/>
      <c r="AW199" s="26"/>
      <c r="AX199" s="26"/>
      <c r="AY199" s="26"/>
      <c r="AZ199" s="26"/>
      <c r="BA199" s="26"/>
    </row>
    <row r="200">
      <c r="A200" s="26"/>
      <c r="B200" s="26"/>
      <c r="C200" s="26"/>
      <c r="D200" s="27"/>
      <c r="E200" s="27"/>
      <c r="F200" s="26"/>
      <c r="G200" s="28"/>
      <c r="H200" s="28"/>
      <c r="I200" s="28"/>
      <c r="J200" s="28"/>
      <c r="K200" s="28"/>
      <c r="L200" s="28"/>
      <c r="M200" s="28"/>
      <c r="N200" s="26"/>
      <c r="O200" s="29"/>
      <c r="P200" s="27"/>
      <c r="Q200" s="26"/>
      <c r="R200" s="29"/>
      <c r="S200" s="28"/>
      <c r="T200" s="29"/>
      <c r="U200" s="28"/>
      <c r="V200" s="28"/>
      <c r="W200" s="28"/>
      <c r="X200" s="28"/>
      <c r="Y200" s="26"/>
      <c r="Z200" s="29"/>
      <c r="AA200" s="28"/>
      <c r="AB200" s="26"/>
      <c r="AC200" s="29"/>
      <c r="AD200" s="25"/>
      <c r="AE200" s="29"/>
      <c r="AF200" s="25"/>
      <c r="AG200" s="25"/>
      <c r="AH200" s="25"/>
      <c r="AI200" s="25"/>
      <c r="AJ200" s="26"/>
      <c r="AK200" s="29"/>
      <c r="AL200" s="28"/>
      <c r="AM200" s="26"/>
      <c r="AN200" s="29"/>
      <c r="AO200" s="25"/>
      <c r="AP200" s="29"/>
      <c r="AQ200" s="25"/>
      <c r="AR200" s="25"/>
      <c r="AS200" s="25"/>
      <c r="AT200" s="25"/>
      <c r="AU200" s="26"/>
      <c r="AV200" s="26"/>
      <c r="AW200" s="26"/>
      <c r="AX200" s="26"/>
      <c r="AY200" s="26"/>
      <c r="AZ200" s="26"/>
      <c r="BA200" s="26"/>
    </row>
    <row r="201">
      <c r="A201" s="26"/>
      <c r="B201" s="26"/>
      <c r="C201" s="26"/>
      <c r="D201" s="27"/>
      <c r="E201" s="27"/>
      <c r="F201" s="26"/>
      <c r="G201" s="28"/>
      <c r="H201" s="28"/>
      <c r="I201" s="28"/>
      <c r="J201" s="28"/>
      <c r="K201" s="28"/>
      <c r="L201" s="28"/>
      <c r="M201" s="28"/>
      <c r="N201" s="26"/>
      <c r="O201" s="29"/>
      <c r="P201" s="27"/>
      <c r="Q201" s="26"/>
      <c r="R201" s="29"/>
      <c r="S201" s="28"/>
      <c r="T201" s="29"/>
      <c r="U201" s="28"/>
      <c r="V201" s="28"/>
      <c r="W201" s="28"/>
      <c r="X201" s="28"/>
      <c r="Y201" s="26"/>
      <c r="Z201" s="29"/>
      <c r="AA201" s="28"/>
      <c r="AB201" s="26"/>
      <c r="AC201" s="29"/>
      <c r="AD201" s="25"/>
      <c r="AE201" s="29"/>
      <c r="AF201" s="25"/>
      <c r="AG201" s="25"/>
      <c r="AH201" s="25"/>
      <c r="AI201" s="25"/>
      <c r="AJ201" s="26"/>
      <c r="AK201" s="29"/>
      <c r="AL201" s="28"/>
      <c r="AM201" s="26"/>
      <c r="AN201" s="29"/>
      <c r="AO201" s="25"/>
      <c r="AP201" s="29"/>
      <c r="AQ201" s="25"/>
      <c r="AR201" s="25"/>
      <c r="AS201" s="25"/>
      <c r="AT201" s="25"/>
      <c r="AU201" s="26"/>
      <c r="AV201" s="26"/>
      <c r="AW201" s="26"/>
      <c r="AX201" s="26"/>
      <c r="AY201" s="26"/>
      <c r="AZ201" s="26"/>
      <c r="BA201" s="26"/>
    </row>
    <row r="202">
      <c r="A202" s="26"/>
      <c r="B202" s="26"/>
      <c r="C202" s="26"/>
      <c r="D202" s="27"/>
      <c r="E202" s="27"/>
      <c r="F202" s="26"/>
      <c r="G202" s="28"/>
      <c r="H202" s="28"/>
      <c r="I202" s="28"/>
      <c r="J202" s="28"/>
      <c r="K202" s="28"/>
      <c r="L202" s="28"/>
      <c r="M202" s="28"/>
      <c r="N202" s="26"/>
      <c r="O202" s="29"/>
      <c r="P202" s="27"/>
      <c r="Q202" s="26"/>
      <c r="R202" s="29"/>
      <c r="S202" s="28"/>
      <c r="T202" s="29"/>
      <c r="U202" s="28"/>
      <c r="V202" s="28"/>
      <c r="W202" s="28"/>
      <c r="X202" s="28"/>
      <c r="Y202" s="26"/>
      <c r="Z202" s="29"/>
      <c r="AA202" s="28"/>
      <c r="AB202" s="26"/>
      <c r="AC202" s="29"/>
      <c r="AD202" s="25"/>
      <c r="AE202" s="29"/>
      <c r="AF202" s="25"/>
      <c r="AG202" s="25"/>
      <c r="AH202" s="25"/>
      <c r="AI202" s="25"/>
      <c r="AJ202" s="26"/>
      <c r="AK202" s="29"/>
      <c r="AL202" s="28"/>
      <c r="AM202" s="26"/>
      <c r="AN202" s="29"/>
      <c r="AO202" s="25"/>
      <c r="AP202" s="29"/>
      <c r="AQ202" s="25"/>
      <c r="AR202" s="25"/>
      <c r="AS202" s="25"/>
      <c r="AT202" s="25"/>
      <c r="AU202" s="26"/>
      <c r="AV202" s="26"/>
      <c r="AW202" s="26"/>
      <c r="AX202" s="26"/>
      <c r="AY202" s="26"/>
      <c r="AZ202" s="26"/>
      <c r="BA202" s="26"/>
    </row>
    <row r="203">
      <c r="A203" s="26"/>
      <c r="B203" s="26"/>
      <c r="C203" s="26"/>
      <c r="D203" s="27"/>
      <c r="E203" s="27"/>
      <c r="F203" s="26"/>
      <c r="G203" s="28"/>
      <c r="H203" s="28"/>
      <c r="I203" s="28"/>
      <c r="J203" s="28"/>
      <c r="K203" s="28"/>
      <c r="L203" s="28"/>
      <c r="M203" s="28"/>
      <c r="N203" s="26"/>
      <c r="O203" s="29"/>
      <c r="P203" s="27"/>
      <c r="Q203" s="26"/>
      <c r="R203" s="29"/>
      <c r="S203" s="28"/>
      <c r="T203" s="29"/>
      <c r="U203" s="28"/>
      <c r="V203" s="28"/>
      <c r="W203" s="28"/>
      <c r="X203" s="28"/>
      <c r="Y203" s="26"/>
      <c r="Z203" s="29"/>
      <c r="AA203" s="28"/>
      <c r="AB203" s="26"/>
      <c r="AC203" s="29"/>
      <c r="AD203" s="25"/>
      <c r="AE203" s="29"/>
      <c r="AF203" s="25"/>
      <c r="AG203" s="25"/>
      <c r="AH203" s="25"/>
      <c r="AI203" s="25"/>
      <c r="AJ203" s="26"/>
      <c r="AK203" s="29"/>
      <c r="AL203" s="28"/>
      <c r="AM203" s="26"/>
      <c r="AN203" s="29"/>
      <c r="AO203" s="25"/>
      <c r="AP203" s="29"/>
      <c r="AQ203" s="25"/>
      <c r="AR203" s="25"/>
      <c r="AS203" s="25"/>
      <c r="AT203" s="25"/>
      <c r="AU203" s="26"/>
      <c r="AV203" s="26"/>
      <c r="AW203" s="26"/>
      <c r="AX203" s="26"/>
      <c r="AY203" s="26"/>
      <c r="AZ203" s="26"/>
      <c r="BA203" s="26"/>
    </row>
    <row r="204">
      <c r="A204" s="26"/>
      <c r="B204" s="26"/>
      <c r="C204" s="26"/>
      <c r="D204" s="27"/>
      <c r="E204" s="27"/>
      <c r="F204" s="26"/>
      <c r="G204" s="28"/>
      <c r="H204" s="28"/>
      <c r="I204" s="28"/>
      <c r="J204" s="28"/>
      <c r="K204" s="28"/>
      <c r="L204" s="28"/>
      <c r="M204" s="28"/>
      <c r="N204" s="26"/>
      <c r="O204" s="29"/>
      <c r="P204" s="27"/>
      <c r="Q204" s="26"/>
      <c r="R204" s="29"/>
      <c r="S204" s="28"/>
      <c r="T204" s="29"/>
      <c r="U204" s="28"/>
      <c r="V204" s="28"/>
      <c r="W204" s="28"/>
      <c r="X204" s="28"/>
      <c r="Y204" s="26"/>
      <c r="Z204" s="29"/>
      <c r="AA204" s="28"/>
      <c r="AB204" s="26"/>
      <c r="AC204" s="29"/>
      <c r="AD204" s="25"/>
      <c r="AE204" s="29"/>
      <c r="AF204" s="25"/>
      <c r="AG204" s="25"/>
      <c r="AH204" s="25"/>
      <c r="AI204" s="25"/>
      <c r="AJ204" s="26"/>
      <c r="AK204" s="29"/>
      <c r="AL204" s="28"/>
      <c r="AM204" s="26"/>
      <c r="AN204" s="29"/>
      <c r="AO204" s="25"/>
      <c r="AP204" s="29"/>
      <c r="AQ204" s="25"/>
      <c r="AR204" s="25"/>
      <c r="AS204" s="25"/>
      <c r="AT204" s="25"/>
      <c r="AU204" s="26"/>
      <c r="AV204" s="26"/>
      <c r="AW204" s="26"/>
      <c r="AX204" s="26"/>
      <c r="AY204" s="26"/>
      <c r="AZ204" s="26"/>
      <c r="BA204" s="26"/>
    </row>
    <row r="205">
      <c r="A205" s="26"/>
      <c r="B205" s="26"/>
      <c r="C205" s="26"/>
      <c r="D205" s="27"/>
      <c r="E205" s="27"/>
      <c r="F205" s="26"/>
      <c r="G205" s="28"/>
      <c r="H205" s="28"/>
      <c r="I205" s="28"/>
      <c r="J205" s="28"/>
      <c r="K205" s="28"/>
      <c r="L205" s="28"/>
      <c r="M205" s="28"/>
      <c r="N205" s="26"/>
      <c r="O205" s="29"/>
      <c r="P205" s="27"/>
      <c r="Q205" s="26"/>
      <c r="R205" s="29"/>
      <c r="S205" s="28"/>
      <c r="T205" s="29"/>
      <c r="U205" s="28"/>
      <c r="V205" s="28"/>
      <c r="W205" s="28"/>
      <c r="X205" s="28"/>
      <c r="Y205" s="26"/>
      <c r="Z205" s="29"/>
      <c r="AA205" s="28"/>
      <c r="AB205" s="26"/>
      <c r="AC205" s="29"/>
      <c r="AD205" s="25"/>
      <c r="AE205" s="29"/>
      <c r="AF205" s="25"/>
      <c r="AG205" s="25"/>
      <c r="AH205" s="25"/>
      <c r="AI205" s="25"/>
      <c r="AJ205" s="26"/>
      <c r="AK205" s="29"/>
      <c r="AL205" s="28"/>
      <c r="AM205" s="26"/>
      <c r="AN205" s="29"/>
      <c r="AO205" s="25"/>
      <c r="AP205" s="29"/>
      <c r="AQ205" s="25"/>
      <c r="AR205" s="25"/>
      <c r="AS205" s="25"/>
      <c r="AT205" s="25"/>
      <c r="AU205" s="26"/>
      <c r="AV205" s="26"/>
      <c r="AW205" s="26"/>
      <c r="AX205" s="26"/>
      <c r="AY205" s="26"/>
      <c r="AZ205" s="26"/>
      <c r="BA205" s="26"/>
    </row>
    <row r="206">
      <c r="A206" s="26"/>
      <c r="B206" s="26"/>
      <c r="C206" s="26"/>
      <c r="D206" s="27"/>
      <c r="E206" s="27"/>
      <c r="F206" s="26"/>
      <c r="G206" s="28"/>
      <c r="H206" s="28"/>
      <c r="I206" s="28"/>
      <c r="J206" s="28"/>
      <c r="K206" s="28"/>
      <c r="L206" s="28"/>
      <c r="M206" s="28"/>
      <c r="N206" s="26"/>
      <c r="O206" s="29"/>
      <c r="P206" s="27"/>
      <c r="Q206" s="26"/>
      <c r="R206" s="29"/>
      <c r="S206" s="28"/>
      <c r="T206" s="29"/>
      <c r="U206" s="28"/>
      <c r="V206" s="28"/>
      <c r="W206" s="28"/>
      <c r="X206" s="28"/>
      <c r="Y206" s="26"/>
      <c r="Z206" s="29"/>
      <c r="AA206" s="28"/>
      <c r="AB206" s="26"/>
      <c r="AC206" s="29"/>
      <c r="AD206" s="25"/>
      <c r="AE206" s="29"/>
      <c r="AF206" s="25"/>
      <c r="AG206" s="25"/>
      <c r="AH206" s="25"/>
      <c r="AI206" s="25"/>
      <c r="AJ206" s="26"/>
      <c r="AK206" s="29"/>
      <c r="AL206" s="28"/>
      <c r="AM206" s="26"/>
      <c r="AN206" s="29"/>
      <c r="AO206" s="25"/>
      <c r="AP206" s="29"/>
      <c r="AQ206" s="25"/>
      <c r="AR206" s="25"/>
      <c r="AS206" s="25"/>
      <c r="AT206" s="25"/>
      <c r="AU206" s="26"/>
      <c r="AV206" s="26"/>
      <c r="AW206" s="26"/>
      <c r="AX206" s="26"/>
      <c r="AY206" s="26"/>
      <c r="AZ206" s="26"/>
      <c r="BA206" s="26"/>
    </row>
    <row r="207">
      <c r="A207" s="26"/>
      <c r="B207" s="26"/>
      <c r="C207" s="26"/>
      <c r="D207" s="27"/>
      <c r="E207" s="27"/>
      <c r="F207" s="26"/>
      <c r="G207" s="28"/>
      <c r="H207" s="28"/>
      <c r="I207" s="28"/>
      <c r="J207" s="28"/>
      <c r="K207" s="28"/>
      <c r="L207" s="28"/>
      <c r="M207" s="28"/>
      <c r="N207" s="26"/>
      <c r="O207" s="29"/>
      <c r="P207" s="27"/>
      <c r="Q207" s="26"/>
      <c r="R207" s="29"/>
      <c r="S207" s="28"/>
      <c r="T207" s="29"/>
      <c r="U207" s="28"/>
      <c r="V207" s="28"/>
      <c r="W207" s="28"/>
      <c r="X207" s="28"/>
      <c r="Y207" s="26"/>
      <c r="Z207" s="29"/>
      <c r="AA207" s="28"/>
      <c r="AB207" s="26"/>
      <c r="AC207" s="29"/>
      <c r="AD207" s="25"/>
      <c r="AE207" s="29"/>
      <c r="AF207" s="25"/>
      <c r="AG207" s="25"/>
      <c r="AH207" s="25"/>
      <c r="AI207" s="25"/>
      <c r="AJ207" s="26"/>
      <c r="AK207" s="29"/>
      <c r="AL207" s="28"/>
      <c r="AM207" s="26"/>
      <c r="AN207" s="29"/>
      <c r="AO207" s="25"/>
      <c r="AP207" s="29"/>
      <c r="AQ207" s="25"/>
      <c r="AR207" s="25"/>
      <c r="AS207" s="25"/>
      <c r="AT207" s="25"/>
      <c r="AU207" s="26"/>
      <c r="AV207" s="26"/>
      <c r="AW207" s="26"/>
      <c r="AX207" s="26"/>
      <c r="AY207" s="26"/>
      <c r="AZ207" s="26"/>
      <c r="BA207" s="26"/>
    </row>
    <row r="208">
      <c r="A208" s="26"/>
      <c r="B208" s="26"/>
      <c r="C208" s="26"/>
      <c r="D208" s="27"/>
      <c r="E208" s="27"/>
      <c r="F208" s="26"/>
      <c r="G208" s="28"/>
      <c r="H208" s="28"/>
      <c r="I208" s="28"/>
      <c r="J208" s="28"/>
      <c r="K208" s="28"/>
      <c r="L208" s="28"/>
      <c r="M208" s="28"/>
      <c r="N208" s="26"/>
      <c r="O208" s="29"/>
      <c r="P208" s="27"/>
      <c r="Q208" s="26"/>
      <c r="R208" s="29"/>
      <c r="S208" s="28"/>
      <c r="T208" s="29"/>
      <c r="U208" s="28"/>
      <c r="V208" s="28"/>
      <c r="W208" s="28"/>
      <c r="X208" s="28"/>
      <c r="Y208" s="26"/>
      <c r="Z208" s="29"/>
      <c r="AA208" s="28"/>
      <c r="AB208" s="26"/>
      <c r="AC208" s="29"/>
      <c r="AD208" s="25"/>
      <c r="AE208" s="29"/>
      <c r="AF208" s="25"/>
      <c r="AG208" s="25"/>
      <c r="AH208" s="25"/>
      <c r="AI208" s="25"/>
      <c r="AJ208" s="26"/>
      <c r="AK208" s="29"/>
      <c r="AL208" s="28"/>
      <c r="AM208" s="26"/>
      <c r="AN208" s="29"/>
      <c r="AO208" s="25"/>
      <c r="AP208" s="29"/>
      <c r="AQ208" s="25"/>
      <c r="AR208" s="25"/>
      <c r="AS208" s="25"/>
      <c r="AT208" s="25"/>
      <c r="AU208" s="26"/>
      <c r="AV208" s="26"/>
      <c r="AW208" s="26"/>
      <c r="AX208" s="26"/>
      <c r="AY208" s="26"/>
      <c r="AZ208" s="26"/>
      <c r="BA208" s="26"/>
    </row>
    <row r="209">
      <c r="A209" s="26"/>
      <c r="B209" s="26"/>
      <c r="C209" s="26"/>
      <c r="D209" s="27"/>
      <c r="E209" s="27"/>
      <c r="F209" s="26"/>
      <c r="G209" s="28"/>
      <c r="H209" s="28"/>
      <c r="I209" s="28"/>
      <c r="J209" s="28"/>
      <c r="K209" s="28"/>
      <c r="L209" s="28"/>
      <c r="M209" s="28"/>
      <c r="N209" s="26"/>
      <c r="O209" s="29"/>
      <c r="P209" s="27"/>
      <c r="Q209" s="26"/>
      <c r="R209" s="29"/>
      <c r="S209" s="28"/>
      <c r="T209" s="29"/>
      <c r="U209" s="28"/>
      <c r="V209" s="28"/>
      <c r="W209" s="28"/>
      <c r="X209" s="28"/>
      <c r="Y209" s="26"/>
      <c r="Z209" s="29"/>
      <c r="AA209" s="28"/>
      <c r="AB209" s="26"/>
      <c r="AC209" s="29"/>
      <c r="AD209" s="25"/>
      <c r="AE209" s="29"/>
      <c r="AF209" s="25"/>
      <c r="AG209" s="25"/>
      <c r="AH209" s="25"/>
      <c r="AI209" s="25"/>
      <c r="AJ209" s="26"/>
      <c r="AK209" s="29"/>
      <c r="AL209" s="28"/>
      <c r="AM209" s="26"/>
      <c r="AN209" s="29"/>
      <c r="AO209" s="25"/>
      <c r="AP209" s="29"/>
      <c r="AQ209" s="25"/>
      <c r="AR209" s="25"/>
      <c r="AS209" s="25"/>
      <c r="AT209" s="25"/>
      <c r="AU209" s="26"/>
      <c r="AV209" s="26"/>
      <c r="AW209" s="26"/>
      <c r="AX209" s="26"/>
      <c r="AY209" s="26"/>
      <c r="AZ209" s="26"/>
      <c r="BA209" s="26"/>
    </row>
    <row r="210">
      <c r="A210" s="26"/>
      <c r="B210" s="26"/>
      <c r="C210" s="26"/>
      <c r="D210" s="27"/>
      <c r="E210" s="27"/>
      <c r="F210" s="26"/>
      <c r="G210" s="28"/>
      <c r="H210" s="28"/>
      <c r="I210" s="28"/>
      <c r="J210" s="28"/>
      <c r="K210" s="28"/>
      <c r="L210" s="28"/>
      <c r="M210" s="28"/>
      <c r="N210" s="26"/>
      <c r="O210" s="29"/>
      <c r="P210" s="27"/>
      <c r="Q210" s="26"/>
      <c r="R210" s="29"/>
      <c r="S210" s="28"/>
      <c r="T210" s="29"/>
      <c r="U210" s="28"/>
      <c r="V210" s="28"/>
      <c r="W210" s="28"/>
      <c r="X210" s="28"/>
      <c r="Y210" s="26"/>
      <c r="Z210" s="29"/>
      <c r="AA210" s="28"/>
      <c r="AB210" s="26"/>
      <c r="AC210" s="29"/>
      <c r="AD210" s="25"/>
      <c r="AE210" s="29"/>
      <c r="AF210" s="25"/>
      <c r="AG210" s="25"/>
      <c r="AH210" s="25"/>
      <c r="AI210" s="25"/>
      <c r="AJ210" s="26"/>
      <c r="AK210" s="29"/>
      <c r="AL210" s="28"/>
      <c r="AM210" s="26"/>
      <c r="AN210" s="29"/>
      <c r="AO210" s="25"/>
      <c r="AP210" s="29"/>
      <c r="AQ210" s="25"/>
      <c r="AR210" s="25"/>
      <c r="AS210" s="25"/>
      <c r="AT210" s="25"/>
      <c r="AU210" s="26"/>
      <c r="AV210" s="26"/>
      <c r="AW210" s="26"/>
      <c r="AX210" s="26"/>
      <c r="AY210" s="26"/>
      <c r="AZ210" s="26"/>
      <c r="BA210" s="26"/>
    </row>
    <row r="211">
      <c r="A211" s="26"/>
      <c r="B211" s="26"/>
      <c r="C211" s="26"/>
      <c r="D211" s="27"/>
      <c r="E211" s="27"/>
      <c r="F211" s="26"/>
      <c r="G211" s="28"/>
      <c r="H211" s="28"/>
      <c r="I211" s="28"/>
      <c r="J211" s="28"/>
      <c r="K211" s="28"/>
      <c r="L211" s="28"/>
      <c r="M211" s="28"/>
      <c r="N211" s="26"/>
      <c r="O211" s="29"/>
      <c r="P211" s="27"/>
      <c r="Q211" s="26"/>
      <c r="R211" s="29"/>
      <c r="S211" s="28"/>
      <c r="T211" s="29"/>
      <c r="U211" s="28"/>
      <c r="V211" s="28"/>
      <c r="W211" s="28"/>
      <c r="X211" s="28"/>
      <c r="Y211" s="26"/>
      <c r="Z211" s="29"/>
      <c r="AA211" s="28"/>
      <c r="AB211" s="26"/>
      <c r="AC211" s="29"/>
      <c r="AD211" s="25"/>
      <c r="AE211" s="29"/>
      <c r="AF211" s="25"/>
      <c r="AG211" s="25"/>
      <c r="AH211" s="25"/>
      <c r="AI211" s="25"/>
      <c r="AJ211" s="26"/>
      <c r="AK211" s="29"/>
      <c r="AL211" s="28"/>
      <c r="AM211" s="26"/>
      <c r="AN211" s="29"/>
      <c r="AO211" s="25"/>
      <c r="AP211" s="29"/>
      <c r="AQ211" s="25"/>
      <c r="AR211" s="25"/>
      <c r="AS211" s="25"/>
      <c r="AT211" s="25"/>
      <c r="AU211" s="26"/>
      <c r="AV211" s="26"/>
      <c r="AW211" s="26"/>
      <c r="AX211" s="26"/>
      <c r="AY211" s="26"/>
      <c r="AZ211" s="26"/>
      <c r="BA211" s="26"/>
    </row>
    <row r="212">
      <c r="A212" s="26"/>
      <c r="B212" s="26"/>
      <c r="C212" s="26"/>
      <c r="D212" s="27"/>
      <c r="E212" s="27"/>
      <c r="F212" s="26"/>
      <c r="G212" s="28"/>
      <c r="H212" s="28"/>
      <c r="I212" s="28"/>
      <c r="J212" s="28"/>
      <c r="K212" s="28"/>
      <c r="L212" s="28"/>
      <c r="M212" s="28"/>
      <c r="N212" s="26"/>
      <c r="O212" s="29"/>
      <c r="P212" s="27"/>
      <c r="Q212" s="26"/>
      <c r="R212" s="29"/>
      <c r="S212" s="28"/>
      <c r="T212" s="29"/>
      <c r="U212" s="28"/>
      <c r="V212" s="28"/>
      <c r="W212" s="28"/>
      <c r="X212" s="28"/>
      <c r="Y212" s="26"/>
      <c r="Z212" s="29"/>
      <c r="AA212" s="28"/>
      <c r="AB212" s="26"/>
      <c r="AC212" s="29"/>
      <c r="AD212" s="25"/>
      <c r="AE212" s="29"/>
      <c r="AF212" s="25"/>
      <c r="AG212" s="25"/>
      <c r="AH212" s="25"/>
      <c r="AI212" s="25"/>
      <c r="AJ212" s="26"/>
      <c r="AK212" s="29"/>
      <c r="AL212" s="28"/>
      <c r="AM212" s="26"/>
      <c r="AN212" s="29"/>
      <c r="AO212" s="25"/>
      <c r="AP212" s="29"/>
      <c r="AQ212" s="25"/>
      <c r="AR212" s="25"/>
      <c r="AS212" s="25"/>
      <c r="AT212" s="25"/>
      <c r="AU212" s="26"/>
      <c r="AV212" s="26"/>
      <c r="AW212" s="26"/>
      <c r="AX212" s="26"/>
      <c r="AY212" s="26"/>
      <c r="AZ212" s="26"/>
      <c r="BA212" s="26"/>
    </row>
    <row r="213">
      <c r="A213" s="26"/>
      <c r="B213" s="26"/>
      <c r="C213" s="26"/>
      <c r="D213" s="27"/>
      <c r="E213" s="27"/>
      <c r="F213" s="26"/>
      <c r="G213" s="28"/>
      <c r="H213" s="28"/>
      <c r="I213" s="28"/>
      <c r="J213" s="28"/>
      <c r="K213" s="28"/>
      <c r="L213" s="28"/>
      <c r="M213" s="28"/>
      <c r="N213" s="26"/>
      <c r="O213" s="29"/>
      <c r="P213" s="27"/>
      <c r="Q213" s="26"/>
      <c r="R213" s="29"/>
      <c r="S213" s="28"/>
      <c r="T213" s="29"/>
      <c r="U213" s="28"/>
      <c r="V213" s="28"/>
      <c r="W213" s="28"/>
      <c r="X213" s="28"/>
      <c r="Y213" s="26"/>
      <c r="Z213" s="29"/>
      <c r="AA213" s="28"/>
      <c r="AB213" s="26"/>
      <c r="AC213" s="29"/>
      <c r="AD213" s="25"/>
      <c r="AE213" s="29"/>
      <c r="AF213" s="25"/>
      <c r="AG213" s="25"/>
      <c r="AH213" s="25"/>
      <c r="AI213" s="25"/>
      <c r="AJ213" s="26"/>
      <c r="AK213" s="29"/>
      <c r="AL213" s="28"/>
      <c r="AM213" s="26"/>
      <c r="AN213" s="29"/>
      <c r="AO213" s="25"/>
      <c r="AP213" s="29"/>
      <c r="AQ213" s="25"/>
      <c r="AR213" s="25"/>
      <c r="AS213" s="25"/>
      <c r="AT213" s="25"/>
      <c r="AU213" s="26"/>
      <c r="AV213" s="26"/>
      <c r="AW213" s="26"/>
      <c r="AX213" s="26"/>
      <c r="AY213" s="26"/>
      <c r="AZ213" s="26"/>
      <c r="BA213" s="26"/>
    </row>
    <row r="214">
      <c r="A214" s="26"/>
      <c r="B214" s="26"/>
      <c r="C214" s="26"/>
      <c r="D214" s="27"/>
      <c r="E214" s="27"/>
      <c r="F214" s="26"/>
      <c r="G214" s="28"/>
      <c r="H214" s="28"/>
      <c r="I214" s="28"/>
      <c r="J214" s="28"/>
      <c r="K214" s="28"/>
      <c r="L214" s="28"/>
      <c r="M214" s="28"/>
      <c r="N214" s="26"/>
      <c r="O214" s="29"/>
      <c r="P214" s="27"/>
      <c r="Q214" s="26"/>
      <c r="R214" s="29"/>
      <c r="S214" s="28"/>
      <c r="T214" s="29"/>
      <c r="U214" s="28"/>
      <c r="V214" s="28"/>
      <c r="W214" s="28"/>
      <c r="X214" s="28"/>
      <c r="Y214" s="26"/>
      <c r="Z214" s="29"/>
      <c r="AA214" s="28"/>
      <c r="AB214" s="26"/>
      <c r="AC214" s="29"/>
      <c r="AD214" s="25"/>
      <c r="AE214" s="29"/>
      <c r="AF214" s="25"/>
      <c r="AG214" s="25"/>
      <c r="AH214" s="25"/>
      <c r="AI214" s="25"/>
      <c r="AJ214" s="26"/>
      <c r="AK214" s="29"/>
      <c r="AL214" s="28"/>
      <c r="AM214" s="26"/>
      <c r="AN214" s="29"/>
      <c r="AO214" s="25"/>
      <c r="AP214" s="29"/>
      <c r="AQ214" s="25"/>
      <c r="AR214" s="25"/>
      <c r="AS214" s="25"/>
      <c r="AT214" s="25"/>
      <c r="AU214" s="26"/>
      <c r="AV214" s="26"/>
      <c r="AW214" s="26"/>
      <c r="AX214" s="26"/>
      <c r="AY214" s="26"/>
      <c r="AZ214" s="26"/>
      <c r="BA214" s="26"/>
    </row>
    <row r="215">
      <c r="A215" s="26"/>
      <c r="B215" s="26"/>
      <c r="C215" s="26"/>
      <c r="D215" s="27"/>
      <c r="E215" s="27"/>
      <c r="F215" s="26"/>
      <c r="G215" s="28"/>
      <c r="H215" s="28"/>
      <c r="I215" s="28"/>
      <c r="J215" s="28"/>
      <c r="K215" s="28"/>
      <c r="L215" s="28"/>
      <c r="M215" s="28"/>
      <c r="N215" s="26"/>
      <c r="O215" s="29"/>
      <c r="P215" s="27"/>
      <c r="Q215" s="26"/>
      <c r="R215" s="29"/>
      <c r="S215" s="28"/>
      <c r="T215" s="29"/>
      <c r="U215" s="28"/>
      <c r="V215" s="28"/>
      <c r="W215" s="28"/>
      <c r="X215" s="28"/>
      <c r="Y215" s="26"/>
      <c r="Z215" s="29"/>
      <c r="AA215" s="28"/>
      <c r="AB215" s="26"/>
      <c r="AC215" s="29"/>
      <c r="AD215" s="25"/>
      <c r="AE215" s="29"/>
      <c r="AF215" s="25"/>
      <c r="AG215" s="25"/>
      <c r="AH215" s="25"/>
      <c r="AI215" s="25"/>
      <c r="AJ215" s="26"/>
      <c r="AK215" s="29"/>
      <c r="AL215" s="28"/>
      <c r="AM215" s="26"/>
      <c r="AN215" s="29"/>
      <c r="AO215" s="25"/>
      <c r="AP215" s="29"/>
      <c r="AQ215" s="25"/>
      <c r="AR215" s="25"/>
      <c r="AS215" s="25"/>
      <c r="AT215" s="25"/>
      <c r="AU215" s="26"/>
      <c r="AV215" s="26"/>
      <c r="AW215" s="26"/>
      <c r="AX215" s="26"/>
      <c r="AY215" s="26"/>
      <c r="AZ215" s="26"/>
      <c r="BA215" s="26"/>
    </row>
    <row r="216">
      <c r="A216" s="26"/>
      <c r="B216" s="26"/>
      <c r="C216" s="26"/>
      <c r="D216" s="27"/>
      <c r="E216" s="27"/>
      <c r="F216" s="26"/>
      <c r="G216" s="28"/>
      <c r="H216" s="28"/>
      <c r="I216" s="28"/>
      <c r="J216" s="28"/>
      <c r="K216" s="28"/>
      <c r="L216" s="28"/>
      <c r="M216" s="28"/>
      <c r="N216" s="26"/>
      <c r="O216" s="29"/>
      <c r="P216" s="27"/>
      <c r="Q216" s="26"/>
      <c r="R216" s="29"/>
      <c r="S216" s="28"/>
      <c r="T216" s="29"/>
      <c r="U216" s="28"/>
      <c r="V216" s="28"/>
      <c r="W216" s="28"/>
      <c r="X216" s="28"/>
      <c r="Y216" s="26"/>
      <c r="Z216" s="29"/>
      <c r="AA216" s="28"/>
      <c r="AB216" s="26"/>
      <c r="AC216" s="29"/>
      <c r="AD216" s="25"/>
      <c r="AE216" s="29"/>
      <c r="AF216" s="25"/>
      <c r="AG216" s="25"/>
      <c r="AH216" s="25"/>
      <c r="AI216" s="25"/>
      <c r="AJ216" s="26"/>
      <c r="AK216" s="29"/>
      <c r="AL216" s="28"/>
      <c r="AM216" s="26"/>
      <c r="AN216" s="29"/>
      <c r="AO216" s="25"/>
      <c r="AP216" s="29"/>
      <c r="AQ216" s="25"/>
      <c r="AR216" s="25"/>
      <c r="AS216" s="25"/>
      <c r="AT216" s="25"/>
      <c r="AU216" s="26"/>
      <c r="AV216" s="26"/>
      <c r="AW216" s="26"/>
      <c r="AX216" s="26"/>
      <c r="AY216" s="26"/>
      <c r="AZ216" s="26"/>
      <c r="BA216" s="26"/>
    </row>
    <row r="217">
      <c r="A217" s="26"/>
      <c r="B217" s="26"/>
      <c r="C217" s="26"/>
      <c r="D217" s="27"/>
      <c r="E217" s="27"/>
      <c r="F217" s="26"/>
      <c r="G217" s="28"/>
      <c r="H217" s="28"/>
      <c r="I217" s="28"/>
      <c r="J217" s="28"/>
      <c r="K217" s="28"/>
      <c r="L217" s="28"/>
      <c r="M217" s="28"/>
      <c r="N217" s="26"/>
      <c r="O217" s="29"/>
      <c r="P217" s="27"/>
      <c r="Q217" s="26"/>
      <c r="R217" s="29"/>
      <c r="S217" s="28"/>
      <c r="T217" s="29"/>
      <c r="U217" s="28"/>
      <c r="V217" s="28"/>
      <c r="W217" s="28"/>
      <c r="X217" s="28"/>
      <c r="Y217" s="26"/>
      <c r="Z217" s="29"/>
      <c r="AA217" s="28"/>
      <c r="AB217" s="26"/>
      <c r="AC217" s="29"/>
      <c r="AD217" s="25"/>
      <c r="AE217" s="29"/>
      <c r="AF217" s="25"/>
      <c r="AG217" s="25"/>
      <c r="AH217" s="25"/>
      <c r="AI217" s="25"/>
      <c r="AJ217" s="26"/>
      <c r="AK217" s="29"/>
      <c r="AL217" s="28"/>
      <c r="AM217" s="26"/>
      <c r="AN217" s="29"/>
      <c r="AO217" s="25"/>
      <c r="AP217" s="29"/>
      <c r="AQ217" s="25"/>
      <c r="AR217" s="25"/>
      <c r="AS217" s="25"/>
      <c r="AT217" s="25"/>
      <c r="AU217" s="26"/>
      <c r="AV217" s="26"/>
      <c r="AW217" s="26"/>
      <c r="AX217" s="26"/>
      <c r="AY217" s="26"/>
      <c r="AZ217" s="26"/>
      <c r="BA217" s="26"/>
    </row>
    <row r="218">
      <c r="A218" s="26"/>
      <c r="B218" s="26"/>
      <c r="C218" s="26"/>
      <c r="D218" s="27"/>
      <c r="E218" s="27"/>
      <c r="F218" s="26"/>
      <c r="G218" s="28"/>
      <c r="H218" s="28"/>
      <c r="I218" s="28"/>
      <c r="J218" s="28"/>
      <c r="K218" s="28"/>
      <c r="L218" s="28"/>
      <c r="M218" s="28"/>
      <c r="N218" s="26"/>
      <c r="O218" s="29"/>
      <c r="P218" s="27"/>
      <c r="Q218" s="26"/>
      <c r="R218" s="29"/>
      <c r="S218" s="28"/>
      <c r="T218" s="29"/>
      <c r="U218" s="28"/>
      <c r="V218" s="28"/>
      <c r="W218" s="28"/>
      <c r="X218" s="28"/>
      <c r="Y218" s="26"/>
      <c r="Z218" s="29"/>
      <c r="AA218" s="28"/>
      <c r="AB218" s="26"/>
      <c r="AC218" s="29"/>
      <c r="AD218" s="25"/>
      <c r="AE218" s="29"/>
      <c r="AF218" s="25"/>
      <c r="AG218" s="25"/>
      <c r="AH218" s="25"/>
      <c r="AI218" s="25"/>
      <c r="AJ218" s="26"/>
      <c r="AK218" s="29"/>
      <c r="AL218" s="28"/>
      <c r="AM218" s="26"/>
      <c r="AN218" s="29"/>
      <c r="AO218" s="25"/>
      <c r="AP218" s="29"/>
      <c r="AQ218" s="25"/>
      <c r="AR218" s="25"/>
      <c r="AS218" s="25"/>
      <c r="AT218" s="25"/>
      <c r="AU218" s="26"/>
      <c r="AV218" s="26"/>
      <c r="AW218" s="26"/>
      <c r="AX218" s="26"/>
      <c r="AY218" s="26"/>
      <c r="AZ218" s="26"/>
      <c r="BA218" s="26"/>
    </row>
    <row r="219">
      <c r="A219" s="26"/>
      <c r="B219" s="26"/>
      <c r="C219" s="26"/>
      <c r="D219" s="27"/>
      <c r="E219" s="27"/>
      <c r="F219" s="26"/>
      <c r="G219" s="28"/>
      <c r="H219" s="28"/>
      <c r="I219" s="28"/>
      <c r="J219" s="28"/>
      <c r="K219" s="28"/>
      <c r="L219" s="28"/>
      <c r="M219" s="28"/>
      <c r="N219" s="26"/>
      <c r="O219" s="29"/>
      <c r="P219" s="27"/>
      <c r="Q219" s="26"/>
      <c r="R219" s="29"/>
      <c r="S219" s="28"/>
      <c r="T219" s="29"/>
      <c r="U219" s="28"/>
      <c r="V219" s="28"/>
      <c r="W219" s="28"/>
      <c r="X219" s="28"/>
      <c r="Y219" s="26"/>
      <c r="Z219" s="29"/>
      <c r="AA219" s="28"/>
      <c r="AB219" s="26"/>
      <c r="AC219" s="29"/>
      <c r="AD219" s="25"/>
      <c r="AE219" s="29"/>
      <c r="AF219" s="25"/>
      <c r="AG219" s="25"/>
      <c r="AH219" s="25"/>
      <c r="AI219" s="25"/>
      <c r="AJ219" s="26"/>
      <c r="AK219" s="29"/>
      <c r="AL219" s="28"/>
      <c r="AM219" s="26"/>
      <c r="AN219" s="29"/>
      <c r="AO219" s="25"/>
      <c r="AP219" s="29"/>
      <c r="AQ219" s="25"/>
      <c r="AR219" s="25"/>
      <c r="AS219" s="25"/>
      <c r="AT219" s="25"/>
      <c r="AU219" s="26"/>
      <c r="AV219" s="26"/>
      <c r="AW219" s="26"/>
      <c r="AX219" s="26"/>
      <c r="AY219" s="26"/>
      <c r="AZ219" s="26"/>
      <c r="BA219" s="26"/>
    </row>
    <row r="220">
      <c r="A220" s="26"/>
      <c r="B220" s="26"/>
      <c r="C220" s="26"/>
      <c r="D220" s="27"/>
      <c r="E220" s="27"/>
      <c r="F220" s="26"/>
      <c r="G220" s="28"/>
      <c r="H220" s="28"/>
      <c r="I220" s="28"/>
      <c r="J220" s="28"/>
      <c r="K220" s="28"/>
      <c r="L220" s="28"/>
      <c r="M220" s="28"/>
      <c r="N220" s="26"/>
      <c r="O220" s="29"/>
      <c r="P220" s="27"/>
      <c r="Q220" s="26"/>
      <c r="R220" s="29"/>
      <c r="S220" s="28"/>
      <c r="T220" s="29"/>
      <c r="U220" s="28"/>
      <c r="V220" s="28"/>
      <c r="W220" s="28"/>
      <c r="X220" s="28"/>
      <c r="Y220" s="26"/>
      <c r="Z220" s="29"/>
      <c r="AA220" s="28"/>
      <c r="AB220" s="26"/>
      <c r="AC220" s="29"/>
      <c r="AD220" s="25"/>
      <c r="AE220" s="29"/>
      <c r="AF220" s="25"/>
      <c r="AG220" s="25"/>
      <c r="AH220" s="25"/>
      <c r="AI220" s="25"/>
      <c r="AJ220" s="26"/>
      <c r="AK220" s="29"/>
      <c r="AL220" s="28"/>
      <c r="AM220" s="26"/>
      <c r="AN220" s="29"/>
      <c r="AO220" s="25"/>
      <c r="AP220" s="29"/>
      <c r="AQ220" s="25"/>
      <c r="AR220" s="25"/>
      <c r="AS220" s="25"/>
      <c r="AT220" s="25"/>
      <c r="AU220" s="26"/>
      <c r="AV220" s="26"/>
      <c r="AW220" s="26"/>
      <c r="AX220" s="26"/>
      <c r="AY220" s="26"/>
      <c r="AZ220" s="26"/>
      <c r="BA220" s="26"/>
    </row>
    <row r="221">
      <c r="A221" s="26"/>
      <c r="B221" s="26"/>
      <c r="C221" s="26"/>
      <c r="D221" s="27"/>
      <c r="E221" s="27"/>
      <c r="F221" s="26"/>
      <c r="G221" s="28"/>
      <c r="H221" s="28"/>
      <c r="I221" s="28"/>
      <c r="J221" s="28"/>
      <c r="K221" s="28"/>
      <c r="L221" s="28"/>
      <c r="M221" s="28"/>
      <c r="N221" s="26"/>
      <c r="O221" s="29"/>
      <c r="P221" s="27"/>
      <c r="Q221" s="26"/>
      <c r="R221" s="29"/>
      <c r="S221" s="28"/>
      <c r="T221" s="29"/>
      <c r="U221" s="28"/>
      <c r="V221" s="28"/>
      <c r="W221" s="28"/>
      <c r="X221" s="28"/>
      <c r="Y221" s="26"/>
      <c r="Z221" s="29"/>
      <c r="AA221" s="28"/>
      <c r="AB221" s="26"/>
      <c r="AC221" s="29"/>
      <c r="AD221" s="25"/>
      <c r="AE221" s="29"/>
      <c r="AF221" s="25"/>
      <c r="AG221" s="25"/>
      <c r="AH221" s="25"/>
      <c r="AI221" s="25"/>
      <c r="AJ221" s="26"/>
      <c r="AK221" s="29"/>
      <c r="AL221" s="28"/>
      <c r="AM221" s="26"/>
      <c r="AN221" s="29"/>
      <c r="AO221" s="25"/>
      <c r="AP221" s="29"/>
      <c r="AQ221" s="25"/>
      <c r="AR221" s="25"/>
      <c r="AS221" s="25"/>
      <c r="AT221" s="25"/>
      <c r="AU221" s="26"/>
      <c r="AV221" s="26"/>
      <c r="AW221" s="26"/>
      <c r="AX221" s="26"/>
      <c r="AY221" s="26"/>
      <c r="AZ221" s="26"/>
      <c r="BA221" s="26"/>
    </row>
    <row r="222">
      <c r="A222" s="26"/>
      <c r="B222" s="26"/>
      <c r="C222" s="26"/>
      <c r="D222" s="27"/>
      <c r="E222" s="27"/>
      <c r="F222" s="26"/>
      <c r="G222" s="28"/>
      <c r="H222" s="28"/>
      <c r="I222" s="28"/>
      <c r="J222" s="28"/>
      <c r="K222" s="28"/>
      <c r="L222" s="28"/>
      <c r="M222" s="28"/>
      <c r="N222" s="26"/>
      <c r="O222" s="29"/>
      <c r="P222" s="27"/>
      <c r="Q222" s="26"/>
      <c r="R222" s="29"/>
      <c r="S222" s="28"/>
      <c r="T222" s="29"/>
      <c r="U222" s="28"/>
      <c r="V222" s="28"/>
      <c r="W222" s="28"/>
      <c r="X222" s="28"/>
      <c r="Y222" s="26"/>
      <c r="Z222" s="29"/>
      <c r="AA222" s="28"/>
      <c r="AB222" s="26"/>
      <c r="AC222" s="29"/>
      <c r="AD222" s="25"/>
      <c r="AE222" s="29"/>
      <c r="AF222" s="25"/>
      <c r="AG222" s="25"/>
      <c r="AH222" s="25"/>
      <c r="AI222" s="25"/>
      <c r="AJ222" s="26"/>
      <c r="AK222" s="29"/>
      <c r="AL222" s="28"/>
      <c r="AM222" s="26"/>
      <c r="AN222" s="29"/>
      <c r="AO222" s="25"/>
      <c r="AP222" s="29"/>
      <c r="AQ222" s="25"/>
      <c r="AR222" s="25"/>
      <c r="AS222" s="25"/>
      <c r="AT222" s="25"/>
      <c r="AU222" s="26"/>
      <c r="AV222" s="26"/>
      <c r="AW222" s="26"/>
      <c r="AX222" s="26"/>
      <c r="AY222" s="26"/>
      <c r="AZ222" s="26"/>
      <c r="BA222" s="26"/>
    </row>
    <row r="223">
      <c r="A223" s="26"/>
      <c r="B223" s="26"/>
      <c r="C223" s="26"/>
      <c r="D223" s="27"/>
      <c r="E223" s="27"/>
      <c r="F223" s="26"/>
      <c r="G223" s="28"/>
      <c r="H223" s="28"/>
      <c r="I223" s="28"/>
      <c r="J223" s="28"/>
      <c r="K223" s="28"/>
      <c r="L223" s="28"/>
      <c r="M223" s="28"/>
      <c r="N223" s="26"/>
      <c r="O223" s="29"/>
      <c r="P223" s="27"/>
      <c r="Q223" s="26"/>
      <c r="R223" s="29"/>
      <c r="S223" s="28"/>
      <c r="T223" s="29"/>
      <c r="U223" s="28"/>
      <c r="V223" s="28"/>
      <c r="W223" s="28"/>
      <c r="X223" s="28"/>
      <c r="Y223" s="26"/>
      <c r="Z223" s="29"/>
      <c r="AA223" s="28"/>
      <c r="AB223" s="26"/>
      <c r="AC223" s="29"/>
      <c r="AD223" s="25"/>
      <c r="AE223" s="29"/>
      <c r="AF223" s="25"/>
      <c r="AG223" s="25"/>
      <c r="AH223" s="25"/>
      <c r="AI223" s="25"/>
      <c r="AJ223" s="26"/>
      <c r="AK223" s="29"/>
      <c r="AL223" s="28"/>
      <c r="AM223" s="26"/>
      <c r="AN223" s="29"/>
      <c r="AO223" s="25"/>
      <c r="AP223" s="29"/>
      <c r="AQ223" s="25"/>
      <c r="AR223" s="25"/>
      <c r="AS223" s="25"/>
      <c r="AT223" s="25"/>
      <c r="AU223" s="26"/>
      <c r="AV223" s="26"/>
      <c r="AW223" s="26"/>
      <c r="AX223" s="26"/>
      <c r="AY223" s="26"/>
      <c r="AZ223" s="26"/>
      <c r="BA223" s="26"/>
    </row>
    <row r="224">
      <c r="A224" s="26"/>
      <c r="B224" s="26"/>
      <c r="C224" s="26"/>
      <c r="D224" s="27"/>
      <c r="E224" s="27"/>
      <c r="F224" s="26"/>
      <c r="G224" s="28"/>
      <c r="H224" s="28"/>
      <c r="I224" s="28"/>
      <c r="J224" s="28"/>
      <c r="K224" s="28"/>
      <c r="L224" s="28"/>
      <c r="M224" s="28"/>
      <c r="N224" s="26"/>
      <c r="O224" s="29"/>
      <c r="P224" s="27"/>
      <c r="Q224" s="26"/>
      <c r="R224" s="29"/>
      <c r="S224" s="28"/>
      <c r="T224" s="29"/>
      <c r="U224" s="28"/>
      <c r="V224" s="28"/>
      <c r="W224" s="28"/>
      <c r="X224" s="28"/>
      <c r="Y224" s="26"/>
      <c r="Z224" s="29"/>
      <c r="AA224" s="28"/>
      <c r="AB224" s="26"/>
      <c r="AC224" s="29"/>
      <c r="AD224" s="25"/>
      <c r="AE224" s="29"/>
      <c r="AF224" s="25"/>
      <c r="AG224" s="25"/>
      <c r="AH224" s="25"/>
      <c r="AI224" s="25"/>
      <c r="AJ224" s="26"/>
      <c r="AK224" s="29"/>
      <c r="AL224" s="28"/>
      <c r="AM224" s="26"/>
      <c r="AN224" s="29"/>
      <c r="AO224" s="25"/>
      <c r="AP224" s="29"/>
      <c r="AQ224" s="25"/>
      <c r="AR224" s="25"/>
      <c r="AS224" s="25"/>
      <c r="AT224" s="25"/>
      <c r="AU224" s="26"/>
      <c r="AV224" s="26"/>
      <c r="AW224" s="26"/>
      <c r="AX224" s="26"/>
      <c r="AY224" s="26"/>
      <c r="AZ224" s="26"/>
      <c r="BA224" s="26"/>
    </row>
    <row r="225">
      <c r="A225" s="26"/>
      <c r="B225" s="26"/>
      <c r="C225" s="26"/>
      <c r="D225" s="27"/>
      <c r="E225" s="27"/>
      <c r="F225" s="26"/>
      <c r="G225" s="28"/>
      <c r="H225" s="28"/>
      <c r="I225" s="28"/>
      <c r="J225" s="28"/>
      <c r="K225" s="28"/>
      <c r="L225" s="28"/>
      <c r="M225" s="28"/>
      <c r="N225" s="26"/>
      <c r="O225" s="29"/>
      <c r="P225" s="27"/>
      <c r="Q225" s="26"/>
      <c r="R225" s="29"/>
      <c r="S225" s="28"/>
      <c r="T225" s="29"/>
      <c r="U225" s="28"/>
      <c r="V225" s="28"/>
      <c r="W225" s="28"/>
      <c r="X225" s="28"/>
      <c r="Y225" s="26"/>
      <c r="Z225" s="29"/>
      <c r="AA225" s="28"/>
      <c r="AB225" s="26"/>
      <c r="AC225" s="29"/>
      <c r="AD225" s="25"/>
      <c r="AE225" s="29"/>
      <c r="AF225" s="25"/>
      <c r="AG225" s="25"/>
      <c r="AH225" s="25"/>
      <c r="AI225" s="25"/>
      <c r="AJ225" s="26"/>
      <c r="AK225" s="29"/>
      <c r="AL225" s="28"/>
      <c r="AM225" s="26"/>
      <c r="AN225" s="29"/>
      <c r="AO225" s="25"/>
      <c r="AP225" s="29"/>
      <c r="AQ225" s="25"/>
      <c r="AR225" s="25"/>
      <c r="AS225" s="25"/>
      <c r="AT225" s="25"/>
      <c r="AU225" s="26"/>
      <c r="AV225" s="26"/>
      <c r="AW225" s="26"/>
      <c r="AX225" s="26"/>
      <c r="AY225" s="26"/>
      <c r="AZ225" s="26"/>
      <c r="BA225" s="26"/>
    </row>
    <row r="226">
      <c r="A226" s="26"/>
      <c r="B226" s="26"/>
      <c r="C226" s="26"/>
      <c r="D226" s="27"/>
      <c r="E226" s="27"/>
      <c r="F226" s="26"/>
      <c r="G226" s="28"/>
      <c r="H226" s="28"/>
      <c r="I226" s="28"/>
      <c r="J226" s="28"/>
      <c r="K226" s="28"/>
      <c r="L226" s="28"/>
      <c r="M226" s="28"/>
      <c r="N226" s="26"/>
      <c r="O226" s="29"/>
      <c r="P226" s="27"/>
      <c r="Q226" s="26"/>
      <c r="R226" s="29"/>
      <c r="S226" s="28"/>
      <c r="T226" s="29"/>
      <c r="U226" s="28"/>
      <c r="V226" s="28"/>
      <c r="W226" s="28"/>
      <c r="X226" s="28"/>
      <c r="Y226" s="26"/>
      <c r="Z226" s="29"/>
      <c r="AA226" s="28"/>
      <c r="AB226" s="26"/>
      <c r="AC226" s="29"/>
      <c r="AD226" s="25"/>
      <c r="AE226" s="29"/>
      <c r="AF226" s="25"/>
      <c r="AG226" s="25"/>
      <c r="AH226" s="25"/>
      <c r="AI226" s="25"/>
      <c r="AJ226" s="26"/>
      <c r="AK226" s="29"/>
      <c r="AL226" s="28"/>
      <c r="AM226" s="26"/>
      <c r="AN226" s="29"/>
      <c r="AO226" s="25"/>
      <c r="AP226" s="29"/>
      <c r="AQ226" s="25"/>
      <c r="AR226" s="25"/>
      <c r="AS226" s="25"/>
      <c r="AT226" s="25"/>
      <c r="AU226" s="26"/>
      <c r="AV226" s="26"/>
      <c r="AW226" s="26"/>
      <c r="AX226" s="26"/>
      <c r="AY226" s="26"/>
      <c r="AZ226" s="26"/>
      <c r="BA226" s="26"/>
    </row>
    <row r="227">
      <c r="A227" s="26"/>
      <c r="B227" s="26"/>
      <c r="C227" s="26"/>
      <c r="D227" s="27"/>
      <c r="E227" s="27"/>
      <c r="F227" s="26"/>
      <c r="G227" s="28"/>
      <c r="H227" s="28"/>
      <c r="I227" s="28"/>
      <c r="J227" s="28"/>
      <c r="K227" s="28"/>
      <c r="L227" s="28"/>
      <c r="M227" s="28"/>
      <c r="N227" s="26"/>
      <c r="O227" s="29"/>
      <c r="P227" s="27"/>
      <c r="Q227" s="26"/>
      <c r="R227" s="29"/>
      <c r="S227" s="28"/>
      <c r="T227" s="29"/>
      <c r="U227" s="28"/>
      <c r="V227" s="28"/>
      <c r="W227" s="28"/>
      <c r="X227" s="28"/>
      <c r="Y227" s="26"/>
      <c r="Z227" s="29"/>
      <c r="AA227" s="28"/>
      <c r="AB227" s="26"/>
      <c r="AC227" s="29"/>
      <c r="AD227" s="25"/>
      <c r="AE227" s="29"/>
      <c r="AF227" s="25"/>
      <c r="AG227" s="25"/>
      <c r="AH227" s="25"/>
      <c r="AI227" s="25"/>
      <c r="AJ227" s="26"/>
      <c r="AK227" s="29"/>
      <c r="AL227" s="28"/>
      <c r="AM227" s="26"/>
      <c r="AN227" s="29"/>
      <c r="AO227" s="25"/>
      <c r="AP227" s="29"/>
      <c r="AQ227" s="25"/>
      <c r="AR227" s="25"/>
      <c r="AS227" s="25"/>
      <c r="AT227" s="25"/>
      <c r="AU227" s="26"/>
      <c r="AV227" s="26"/>
      <c r="AW227" s="26"/>
      <c r="AX227" s="26"/>
      <c r="AY227" s="26"/>
      <c r="AZ227" s="26"/>
      <c r="BA227" s="26"/>
    </row>
    <row r="228">
      <c r="A228" s="26"/>
      <c r="B228" s="26"/>
      <c r="C228" s="26"/>
      <c r="D228" s="27"/>
      <c r="E228" s="27"/>
      <c r="F228" s="26"/>
      <c r="G228" s="28"/>
      <c r="H228" s="28"/>
      <c r="I228" s="28"/>
      <c r="J228" s="28"/>
      <c r="K228" s="28"/>
      <c r="L228" s="28"/>
      <c r="M228" s="28"/>
      <c r="N228" s="26"/>
      <c r="O228" s="29"/>
      <c r="P228" s="27"/>
      <c r="Q228" s="26"/>
      <c r="R228" s="29"/>
      <c r="S228" s="28"/>
      <c r="T228" s="29"/>
      <c r="U228" s="28"/>
      <c r="V228" s="28"/>
      <c r="W228" s="28"/>
      <c r="X228" s="28"/>
      <c r="Y228" s="26"/>
      <c r="Z228" s="29"/>
      <c r="AA228" s="28"/>
      <c r="AB228" s="26"/>
      <c r="AC228" s="29"/>
      <c r="AD228" s="25"/>
      <c r="AE228" s="29"/>
      <c r="AF228" s="25"/>
      <c r="AG228" s="25"/>
      <c r="AH228" s="25"/>
      <c r="AI228" s="25"/>
      <c r="AJ228" s="26"/>
      <c r="AK228" s="29"/>
      <c r="AL228" s="28"/>
      <c r="AM228" s="26"/>
      <c r="AN228" s="29"/>
      <c r="AO228" s="25"/>
      <c r="AP228" s="29"/>
      <c r="AQ228" s="25"/>
      <c r="AR228" s="25"/>
      <c r="AS228" s="25"/>
      <c r="AT228" s="25"/>
      <c r="AU228" s="26"/>
      <c r="AV228" s="26"/>
      <c r="AW228" s="26"/>
      <c r="AX228" s="26"/>
      <c r="AY228" s="26"/>
      <c r="AZ228" s="26"/>
      <c r="BA228" s="26"/>
    </row>
    <row r="229">
      <c r="A229" s="26"/>
      <c r="B229" s="26"/>
      <c r="C229" s="26"/>
      <c r="D229" s="27"/>
      <c r="E229" s="27"/>
      <c r="F229" s="26"/>
      <c r="G229" s="28"/>
      <c r="H229" s="28"/>
      <c r="I229" s="28"/>
      <c r="J229" s="28"/>
      <c r="K229" s="28"/>
      <c r="L229" s="28"/>
      <c r="M229" s="28"/>
      <c r="N229" s="26"/>
      <c r="O229" s="29"/>
      <c r="P229" s="27"/>
      <c r="Q229" s="26"/>
      <c r="R229" s="29"/>
      <c r="S229" s="28"/>
      <c r="T229" s="29"/>
      <c r="U229" s="28"/>
      <c r="V229" s="28"/>
      <c r="W229" s="28"/>
      <c r="X229" s="28"/>
      <c r="Y229" s="26"/>
      <c r="Z229" s="29"/>
      <c r="AA229" s="28"/>
      <c r="AB229" s="26"/>
      <c r="AC229" s="29"/>
      <c r="AD229" s="25"/>
      <c r="AE229" s="29"/>
      <c r="AF229" s="25"/>
      <c r="AG229" s="25"/>
      <c r="AH229" s="25"/>
      <c r="AI229" s="25"/>
      <c r="AJ229" s="26"/>
      <c r="AK229" s="29"/>
      <c r="AL229" s="28"/>
      <c r="AM229" s="26"/>
      <c r="AN229" s="29"/>
      <c r="AO229" s="25"/>
      <c r="AP229" s="29"/>
      <c r="AQ229" s="25"/>
      <c r="AR229" s="25"/>
      <c r="AS229" s="25"/>
      <c r="AT229" s="25"/>
      <c r="AU229" s="26"/>
      <c r="AV229" s="26"/>
      <c r="AW229" s="26"/>
      <c r="AX229" s="26"/>
      <c r="AY229" s="26"/>
      <c r="AZ229" s="26"/>
      <c r="BA229" s="26"/>
    </row>
    <row r="230">
      <c r="A230" s="26"/>
      <c r="B230" s="26"/>
      <c r="C230" s="26"/>
      <c r="D230" s="27"/>
      <c r="E230" s="27"/>
      <c r="F230" s="26"/>
      <c r="G230" s="28"/>
      <c r="H230" s="28"/>
      <c r="I230" s="28"/>
      <c r="J230" s="28"/>
      <c r="K230" s="28"/>
      <c r="L230" s="28"/>
      <c r="M230" s="28"/>
      <c r="N230" s="26"/>
      <c r="O230" s="29"/>
      <c r="P230" s="27"/>
      <c r="Q230" s="26"/>
      <c r="R230" s="29"/>
      <c r="S230" s="28"/>
      <c r="T230" s="29"/>
      <c r="U230" s="28"/>
      <c r="V230" s="28"/>
      <c r="W230" s="28"/>
      <c r="X230" s="28"/>
      <c r="Y230" s="26"/>
      <c r="Z230" s="29"/>
      <c r="AA230" s="28"/>
      <c r="AB230" s="26"/>
      <c r="AC230" s="29"/>
      <c r="AD230" s="25"/>
      <c r="AE230" s="29"/>
      <c r="AF230" s="25"/>
      <c r="AG230" s="25"/>
      <c r="AH230" s="25"/>
      <c r="AI230" s="25"/>
      <c r="AJ230" s="26"/>
      <c r="AK230" s="29"/>
      <c r="AL230" s="28"/>
      <c r="AM230" s="26"/>
      <c r="AN230" s="29"/>
      <c r="AO230" s="25"/>
      <c r="AP230" s="29"/>
      <c r="AQ230" s="25"/>
      <c r="AR230" s="25"/>
      <c r="AS230" s="25"/>
      <c r="AT230" s="25"/>
      <c r="AU230" s="26"/>
      <c r="AV230" s="26"/>
      <c r="AW230" s="26"/>
      <c r="AX230" s="26"/>
      <c r="AY230" s="26"/>
      <c r="AZ230" s="26"/>
      <c r="BA230" s="26"/>
    </row>
    <row r="231">
      <c r="A231" s="26"/>
      <c r="B231" s="26"/>
      <c r="C231" s="26"/>
      <c r="D231" s="27"/>
      <c r="E231" s="27"/>
      <c r="F231" s="26"/>
      <c r="G231" s="28"/>
      <c r="H231" s="28"/>
      <c r="I231" s="28"/>
      <c r="J231" s="28"/>
      <c r="K231" s="28"/>
      <c r="L231" s="28"/>
      <c r="M231" s="28"/>
      <c r="N231" s="26"/>
      <c r="O231" s="29"/>
      <c r="P231" s="27"/>
      <c r="Q231" s="26"/>
      <c r="R231" s="29"/>
      <c r="S231" s="28"/>
      <c r="T231" s="29"/>
      <c r="U231" s="28"/>
      <c r="V231" s="28"/>
      <c r="W231" s="28"/>
      <c r="X231" s="28"/>
      <c r="Y231" s="26"/>
      <c r="Z231" s="29"/>
      <c r="AA231" s="28"/>
      <c r="AB231" s="26"/>
      <c r="AC231" s="29"/>
      <c r="AD231" s="25"/>
      <c r="AE231" s="29"/>
      <c r="AF231" s="25"/>
      <c r="AG231" s="25"/>
      <c r="AH231" s="25"/>
      <c r="AI231" s="25"/>
      <c r="AJ231" s="26"/>
      <c r="AK231" s="29"/>
      <c r="AL231" s="28"/>
      <c r="AM231" s="26"/>
      <c r="AN231" s="29"/>
      <c r="AO231" s="25"/>
      <c r="AP231" s="29"/>
      <c r="AQ231" s="25"/>
      <c r="AR231" s="25"/>
      <c r="AS231" s="25"/>
      <c r="AT231" s="25"/>
      <c r="AU231" s="26"/>
      <c r="AV231" s="26"/>
      <c r="AW231" s="26"/>
      <c r="AX231" s="26"/>
      <c r="AY231" s="26"/>
      <c r="AZ231" s="26"/>
      <c r="BA231" s="26"/>
    </row>
    <row r="232">
      <c r="A232" s="26"/>
      <c r="B232" s="26"/>
      <c r="C232" s="26"/>
      <c r="D232" s="27"/>
      <c r="E232" s="27"/>
      <c r="F232" s="26"/>
      <c r="G232" s="28"/>
      <c r="H232" s="28"/>
      <c r="I232" s="28"/>
      <c r="J232" s="28"/>
      <c r="K232" s="28"/>
      <c r="L232" s="28"/>
      <c r="M232" s="28"/>
      <c r="N232" s="26"/>
      <c r="O232" s="29"/>
      <c r="P232" s="27"/>
      <c r="Q232" s="26"/>
      <c r="R232" s="29"/>
      <c r="S232" s="28"/>
      <c r="T232" s="29"/>
      <c r="U232" s="28"/>
      <c r="V232" s="28"/>
      <c r="W232" s="28"/>
      <c r="X232" s="28"/>
      <c r="Y232" s="26"/>
      <c r="Z232" s="29"/>
      <c r="AA232" s="28"/>
      <c r="AB232" s="26"/>
      <c r="AC232" s="29"/>
      <c r="AD232" s="25"/>
      <c r="AE232" s="29"/>
      <c r="AF232" s="25"/>
      <c r="AG232" s="25"/>
      <c r="AH232" s="25"/>
      <c r="AI232" s="25"/>
      <c r="AJ232" s="26"/>
      <c r="AK232" s="29"/>
      <c r="AL232" s="28"/>
      <c r="AM232" s="26"/>
      <c r="AN232" s="29"/>
      <c r="AO232" s="25"/>
      <c r="AP232" s="29"/>
      <c r="AQ232" s="25"/>
      <c r="AR232" s="25"/>
      <c r="AS232" s="25"/>
      <c r="AT232" s="25"/>
      <c r="AU232" s="26"/>
      <c r="AV232" s="26"/>
      <c r="AW232" s="26"/>
      <c r="AX232" s="26"/>
      <c r="AY232" s="26"/>
      <c r="AZ232" s="26"/>
      <c r="BA232" s="26"/>
    </row>
    <row r="233">
      <c r="A233" s="26"/>
      <c r="B233" s="26"/>
      <c r="C233" s="26"/>
      <c r="D233" s="27"/>
      <c r="E233" s="27"/>
      <c r="F233" s="26"/>
      <c r="G233" s="28"/>
      <c r="H233" s="28"/>
      <c r="I233" s="28"/>
      <c r="J233" s="28"/>
      <c r="K233" s="28"/>
      <c r="L233" s="28"/>
      <c r="M233" s="28"/>
      <c r="N233" s="26"/>
      <c r="O233" s="29"/>
      <c r="P233" s="27"/>
      <c r="Q233" s="26"/>
      <c r="R233" s="29"/>
      <c r="S233" s="28"/>
      <c r="T233" s="29"/>
      <c r="U233" s="28"/>
      <c r="V233" s="28"/>
      <c r="W233" s="28"/>
      <c r="X233" s="28"/>
      <c r="Y233" s="26"/>
      <c r="Z233" s="29"/>
      <c r="AA233" s="28"/>
      <c r="AB233" s="26"/>
      <c r="AC233" s="29"/>
      <c r="AD233" s="25"/>
      <c r="AE233" s="29"/>
      <c r="AF233" s="25"/>
      <c r="AG233" s="25"/>
      <c r="AH233" s="25"/>
      <c r="AI233" s="25"/>
      <c r="AJ233" s="26"/>
      <c r="AK233" s="29"/>
      <c r="AL233" s="28"/>
      <c r="AM233" s="26"/>
      <c r="AN233" s="29"/>
      <c r="AO233" s="25"/>
      <c r="AP233" s="29"/>
      <c r="AQ233" s="25"/>
      <c r="AR233" s="25"/>
      <c r="AS233" s="25"/>
      <c r="AT233" s="25"/>
      <c r="AU233" s="26"/>
      <c r="AV233" s="26"/>
      <c r="AW233" s="26"/>
      <c r="AX233" s="26"/>
      <c r="AY233" s="26"/>
      <c r="AZ233" s="26"/>
      <c r="BA233" s="26"/>
    </row>
    <row r="234">
      <c r="A234" s="26"/>
      <c r="B234" s="26"/>
      <c r="C234" s="26"/>
      <c r="D234" s="27"/>
      <c r="E234" s="27"/>
      <c r="F234" s="26"/>
      <c r="G234" s="28"/>
      <c r="H234" s="28"/>
      <c r="I234" s="28"/>
      <c r="J234" s="28"/>
      <c r="K234" s="28"/>
      <c r="L234" s="28"/>
      <c r="M234" s="28"/>
      <c r="N234" s="26"/>
      <c r="O234" s="29"/>
      <c r="P234" s="27"/>
      <c r="Q234" s="26"/>
      <c r="R234" s="29"/>
      <c r="S234" s="28"/>
      <c r="T234" s="29"/>
      <c r="U234" s="28"/>
      <c r="V234" s="28"/>
      <c r="W234" s="28"/>
      <c r="X234" s="28"/>
      <c r="Y234" s="26"/>
      <c r="Z234" s="29"/>
      <c r="AA234" s="28"/>
      <c r="AB234" s="26"/>
      <c r="AC234" s="29"/>
      <c r="AD234" s="25"/>
      <c r="AE234" s="29"/>
      <c r="AF234" s="25"/>
      <c r="AG234" s="25"/>
      <c r="AH234" s="25"/>
      <c r="AI234" s="25"/>
      <c r="AJ234" s="26"/>
      <c r="AK234" s="29"/>
      <c r="AL234" s="28"/>
      <c r="AM234" s="26"/>
      <c r="AN234" s="29"/>
      <c r="AO234" s="25"/>
      <c r="AP234" s="29"/>
      <c r="AQ234" s="25"/>
      <c r="AR234" s="25"/>
      <c r="AS234" s="25"/>
      <c r="AT234" s="25"/>
      <c r="AU234" s="26"/>
      <c r="AV234" s="26"/>
      <c r="AW234" s="26"/>
      <c r="AX234" s="26"/>
      <c r="AY234" s="26"/>
      <c r="AZ234" s="26"/>
      <c r="BA234" s="26"/>
    </row>
    <row r="235">
      <c r="A235" s="26"/>
      <c r="B235" s="26"/>
      <c r="C235" s="26"/>
      <c r="D235" s="27"/>
      <c r="E235" s="27"/>
      <c r="F235" s="26"/>
      <c r="G235" s="28"/>
      <c r="H235" s="28"/>
      <c r="I235" s="28"/>
      <c r="J235" s="28"/>
      <c r="K235" s="28"/>
      <c r="L235" s="28"/>
      <c r="M235" s="28"/>
      <c r="N235" s="26"/>
      <c r="O235" s="29"/>
      <c r="P235" s="27"/>
      <c r="Q235" s="26"/>
      <c r="R235" s="29"/>
      <c r="S235" s="28"/>
      <c r="T235" s="29"/>
      <c r="U235" s="28"/>
      <c r="V235" s="28"/>
      <c r="W235" s="28"/>
      <c r="X235" s="28"/>
      <c r="Y235" s="26"/>
      <c r="Z235" s="29"/>
      <c r="AA235" s="28"/>
      <c r="AB235" s="26"/>
      <c r="AC235" s="29"/>
      <c r="AD235" s="25"/>
      <c r="AE235" s="29"/>
      <c r="AF235" s="25"/>
      <c r="AG235" s="25"/>
      <c r="AH235" s="25"/>
      <c r="AI235" s="25"/>
      <c r="AJ235" s="26"/>
      <c r="AK235" s="29"/>
      <c r="AL235" s="28"/>
      <c r="AM235" s="26"/>
      <c r="AN235" s="29"/>
      <c r="AO235" s="25"/>
      <c r="AP235" s="29"/>
      <c r="AQ235" s="25"/>
      <c r="AR235" s="25"/>
      <c r="AS235" s="25"/>
      <c r="AT235" s="25"/>
      <c r="AU235" s="26"/>
      <c r="AV235" s="26"/>
      <c r="AW235" s="26"/>
      <c r="AX235" s="26"/>
      <c r="AY235" s="26"/>
      <c r="AZ235" s="26"/>
      <c r="BA235" s="26"/>
    </row>
    <row r="236">
      <c r="A236" s="26"/>
      <c r="B236" s="26"/>
      <c r="C236" s="26"/>
      <c r="D236" s="27"/>
      <c r="E236" s="27"/>
      <c r="F236" s="26"/>
      <c r="G236" s="28"/>
      <c r="H236" s="28"/>
      <c r="I236" s="28"/>
      <c r="J236" s="28"/>
      <c r="K236" s="28"/>
      <c r="L236" s="28"/>
      <c r="M236" s="28"/>
      <c r="N236" s="26"/>
      <c r="O236" s="29"/>
      <c r="P236" s="27"/>
      <c r="Q236" s="26"/>
      <c r="R236" s="29"/>
      <c r="S236" s="28"/>
      <c r="T236" s="29"/>
      <c r="U236" s="28"/>
      <c r="V236" s="28"/>
      <c r="W236" s="28"/>
      <c r="X236" s="28"/>
      <c r="Y236" s="26"/>
      <c r="Z236" s="29"/>
      <c r="AA236" s="28"/>
      <c r="AB236" s="26"/>
      <c r="AC236" s="29"/>
      <c r="AD236" s="25"/>
      <c r="AE236" s="29"/>
      <c r="AF236" s="25"/>
      <c r="AG236" s="25"/>
      <c r="AH236" s="25"/>
      <c r="AI236" s="25"/>
      <c r="AJ236" s="26"/>
      <c r="AK236" s="29"/>
      <c r="AL236" s="28"/>
      <c r="AM236" s="26"/>
      <c r="AN236" s="29"/>
      <c r="AO236" s="25"/>
      <c r="AP236" s="29"/>
      <c r="AQ236" s="25"/>
      <c r="AR236" s="25"/>
      <c r="AS236" s="25"/>
      <c r="AT236" s="25"/>
      <c r="AU236" s="26"/>
      <c r="AV236" s="26"/>
      <c r="AW236" s="26"/>
      <c r="AX236" s="26"/>
      <c r="AY236" s="26"/>
      <c r="AZ236" s="26"/>
      <c r="BA236" s="26"/>
    </row>
    <row r="237">
      <c r="A237" s="26"/>
      <c r="B237" s="26"/>
      <c r="C237" s="26"/>
      <c r="D237" s="27"/>
      <c r="E237" s="27"/>
      <c r="F237" s="26"/>
      <c r="G237" s="28"/>
      <c r="H237" s="28"/>
      <c r="I237" s="28"/>
      <c r="J237" s="28"/>
      <c r="K237" s="28"/>
      <c r="L237" s="28"/>
      <c r="M237" s="28"/>
      <c r="N237" s="26"/>
      <c r="O237" s="29"/>
      <c r="P237" s="27"/>
      <c r="Q237" s="26"/>
      <c r="R237" s="29"/>
      <c r="S237" s="28"/>
      <c r="T237" s="29"/>
      <c r="U237" s="28"/>
      <c r="V237" s="28"/>
      <c r="W237" s="28"/>
      <c r="X237" s="28"/>
      <c r="Y237" s="26"/>
      <c r="Z237" s="29"/>
      <c r="AA237" s="28"/>
      <c r="AB237" s="26"/>
      <c r="AC237" s="29"/>
      <c r="AD237" s="25"/>
      <c r="AE237" s="29"/>
      <c r="AF237" s="25"/>
      <c r="AG237" s="25"/>
      <c r="AH237" s="25"/>
      <c r="AI237" s="25"/>
      <c r="AJ237" s="26"/>
      <c r="AK237" s="29"/>
      <c r="AL237" s="28"/>
      <c r="AM237" s="26"/>
      <c r="AN237" s="29"/>
      <c r="AO237" s="25"/>
      <c r="AP237" s="29"/>
      <c r="AQ237" s="25"/>
      <c r="AR237" s="25"/>
      <c r="AS237" s="25"/>
      <c r="AT237" s="25"/>
      <c r="AU237" s="26"/>
      <c r="AV237" s="26"/>
      <c r="AW237" s="26"/>
      <c r="AX237" s="26"/>
      <c r="AY237" s="26"/>
      <c r="AZ237" s="26"/>
      <c r="BA237" s="26"/>
    </row>
    <row r="238">
      <c r="A238" s="26"/>
      <c r="B238" s="26"/>
      <c r="C238" s="26"/>
      <c r="D238" s="27"/>
      <c r="E238" s="27"/>
      <c r="F238" s="26"/>
      <c r="G238" s="28"/>
      <c r="H238" s="28"/>
      <c r="I238" s="28"/>
      <c r="J238" s="28"/>
      <c r="K238" s="28"/>
      <c r="L238" s="28"/>
      <c r="M238" s="28"/>
      <c r="N238" s="26"/>
      <c r="O238" s="29"/>
      <c r="P238" s="27"/>
      <c r="Q238" s="26"/>
      <c r="R238" s="29"/>
      <c r="S238" s="28"/>
      <c r="T238" s="29"/>
      <c r="U238" s="28"/>
      <c r="V238" s="28"/>
      <c r="W238" s="28"/>
      <c r="X238" s="28"/>
      <c r="Y238" s="26"/>
      <c r="Z238" s="29"/>
      <c r="AA238" s="28"/>
      <c r="AB238" s="26"/>
      <c r="AC238" s="29"/>
      <c r="AD238" s="25"/>
      <c r="AE238" s="29"/>
      <c r="AF238" s="25"/>
      <c r="AG238" s="25"/>
      <c r="AH238" s="25"/>
      <c r="AI238" s="25"/>
      <c r="AJ238" s="26"/>
      <c r="AK238" s="29"/>
      <c r="AL238" s="28"/>
      <c r="AM238" s="26"/>
      <c r="AN238" s="29"/>
      <c r="AO238" s="25"/>
      <c r="AP238" s="29"/>
      <c r="AQ238" s="25"/>
      <c r="AR238" s="25"/>
      <c r="AS238" s="25"/>
      <c r="AT238" s="25"/>
      <c r="AU238" s="26"/>
      <c r="AV238" s="26"/>
      <c r="AW238" s="26"/>
      <c r="AX238" s="26"/>
      <c r="AY238" s="26"/>
      <c r="AZ238" s="26"/>
      <c r="BA238" s="26"/>
    </row>
    <row r="239">
      <c r="A239" s="26"/>
      <c r="B239" s="26"/>
      <c r="C239" s="26"/>
      <c r="D239" s="27"/>
      <c r="E239" s="27"/>
      <c r="F239" s="26"/>
      <c r="G239" s="28"/>
      <c r="H239" s="28"/>
      <c r="I239" s="28"/>
      <c r="J239" s="28"/>
      <c r="K239" s="28"/>
      <c r="L239" s="28"/>
      <c r="M239" s="28"/>
      <c r="N239" s="26"/>
      <c r="O239" s="29"/>
      <c r="P239" s="27"/>
      <c r="Q239" s="26"/>
      <c r="R239" s="29"/>
      <c r="S239" s="28"/>
      <c r="T239" s="29"/>
      <c r="U239" s="28"/>
      <c r="V239" s="28"/>
      <c r="W239" s="28"/>
      <c r="X239" s="28"/>
      <c r="Y239" s="26"/>
      <c r="Z239" s="29"/>
      <c r="AA239" s="28"/>
      <c r="AB239" s="26"/>
      <c r="AC239" s="29"/>
      <c r="AD239" s="25"/>
      <c r="AE239" s="29"/>
      <c r="AF239" s="25"/>
      <c r="AG239" s="25"/>
      <c r="AH239" s="25"/>
      <c r="AI239" s="25"/>
      <c r="AJ239" s="26"/>
      <c r="AK239" s="29"/>
      <c r="AL239" s="28"/>
      <c r="AM239" s="26"/>
      <c r="AN239" s="29"/>
      <c r="AO239" s="25"/>
      <c r="AP239" s="29"/>
      <c r="AQ239" s="25"/>
      <c r="AR239" s="25"/>
      <c r="AS239" s="25"/>
      <c r="AT239" s="25"/>
      <c r="AU239" s="26"/>
      <c r="AV239" s="26"/>
      <c r="AW239" s="26"/>
      <c r="AX239" s="26"/>
      <c r="AY239" s="26"/>
      <c r="AZ239" s="26"/>
      <c r="BA239" s="26"/>
    </row>
    <row r="240">
      <c r="A240" s="26"/>
      <c r="B240" s="26"/>
      <c r="C240" s="26"/>
      <c r="D240" s="27"/>
      <c r="E240" s="27"/>
      <c r="F240" s="26"/>
      <c r="G240" s="28"/>
      <c r="H240" s="28"/>
      <c r="I240" s="28"/>
      <c r="J240" s="28"/>
      <c r="K240" s="28"/>
      <c r="L240" s="28"/>
      <c r="M240" s="28"/>
      <c r="N240" s="26"/>
      <c r="O240" s="29"/>
      <c r="P240" s="27"/>
      <c r="Q240" s="26"/>
      <c r="R240" s="29"/>
      <c r="S240" s="28"/>
      <c r="T240" s="29"/>
      <c r="U240" s="28"/>
      <c r="V240" s="28"/>
      <c r="W240" s="28"/>
      <c r="X240" s="28"/>
      <c r="Y240" s="26"/>
      <c r="Z240" s="29"/>
      <c r="AA240" s="28"/>
      <c r="AB240" s="26"/>
      <c r="AC240" s="29"/>
      <c r="AD240" s="25"/>
      <c r="AE240" s="29"/>
      <c r="AF240" s="25"/>
      <c r="AG240" s="25"/>
      <c r="AH240" s="25"/>
      <c r="AI240" s="25"/>
      <c r="AJ240" s="26"/>
      <c r="AK240" s="29"/>
      <c r="AL240" s="28"/>
      <c r="AM240" s="26"/>
      <c r="AN240" s="29"/>
      <c r="AO240" s="25"/>
      <c r="AP240" s="29"/>
      <c r="AQ240" s="25"/>
      <c r="AR240" s="25"/>
      <c r="AS240" s="25"/>
      <c r="AT240" s="25"/>
      <c r="AU240" s="26"/>
      <c r="AV240" s="26"/>
      <c r="AW240" s="26"/>
      <c r="AX240" s="26"/>
      <c r="AY240" s="26"/>
      <c r="AZ240" s="26"/>
      <c r="BA240" s="26"/>
    </row>
    <row r="241">
      <c r="A241" s="26"/>
      <c r="B241" s="26"/>
      <c r="C241" s="26"/>
      <c r="D241" s="27"/>
      <c r="E241" s="27"/>
      <c r="F241" s="26"/>
      <c r="G241" s="28"/>
      <c r="H241" s="28"/>
      <c r="I241" s="28"/>
      <c r="J241" s="28"/>
      <c r="K241" s="28"/>
      <c r="L241" s="28"/>
      <c r="M241" s="28"/>
      <c r="N241" s="26"/>
      <c r="O241" s="29"/>
      <c r="P241" s="27"/>
      <c r="Q241" s="26"/>
      <c r="R241" s="29"/>
      <c r="S241" s="28"/>
      <c r="T241" s="29"/>
      <c r="U241" s="28"/>
      <c r="V241" s="28"/>
      <c r="W241" s="28"/>
      <c r="X241" s="28"/>
      <c r="Y241" s="26"/>
      <c r="Z241" s="29"/>
      <c r="AA241" s="28"/>
      <c r="AB241" s="26"/>
      <c r="AC241" s="29"/>
      <c r="AD241" s="25"/>
      <c r="AE241" s="29"/>
      <c r="AF241" s="25"/>
      <c r="AG241" s="25"/>
      <c r="AH241" s="25"/>
      <c r="AI241" s="25"/>
      <c r="AJ241" s="26"/>
      <c r="AK241" s="29"/>
      <c r="AL241" s="28"/>
      <c r="AM241" s="26"/>
      <c r="AN241" s="29"/>
      <c r="AO241" s="25"/>
      <c r="AP241" s="29"/>
      <c r="AQ241" s="25"/>
      <c r="AR241" s="25"/>
      <c r="AS241" s="25"/>
      <c r="AT241" s="25"/>
      <c r="AU241" s="26"/>
      <c r="AV241" s="26"/>
      <c r="AW241" s="26"/>
      <c r="AX241" s="26"/>
      <c r="AY241" s="26"/>
      <c r="AZ241" s="26"/>
      <c r="BA241" s="26"/>
    </row>
    <row r="242">
      <c r="A242" s="26"/>
      <c r="B242" s="26"/>
      <c r="C242" s="26"/>
      <c r="D242" s="27"/>
      <c r="E242" s="27"/>
      <c r="F242" s="26"/>
      <c r="G242" s="28"/>
      <c r="H242" s="28"/>
      <c r="I242" s="28"/>
      <c r="J242" s="28"/>
      <c r="K242" s="28"/>
      <c r="L242" s="28"/>
      <c r="M242" s="28"/>
      <c r="N242" s="26"/>
      <c r="O242" s="29"/>
      <c r="P242" s="27"/>
      <c r="Q242" s="26"/>
      <c r="R242" s="29"/>
      <c r="S242" s="28"/>
      <c r="T242" s="29"/>
      <c r="U242" s="28"/>
      <c r="V242" s="28"/>
      <c r="W242" s="28"/>
      <c r="X242" s="28"/>
      <c r="Y242" s="26"/>
      <c r="Z242" s="29"/>
      <c r="AA242" s="28"/>
      <c r="AB242" s="26"/>
      <c r="AC242" s="29"/>
      <c r="AD242" s="25"/>
      <c r="AE242" s="29"/>
      <c r="AF242" s="25"/>
      <c r="AG242" s="25"/>
      <c r="AH242" s="25"/>
      <c r="AI242" s="25"/>
      <c r="AJ242" s="26"/>
      <c r="AK242" s="29"/>
      <c r="AL242" s="28"/>
      <c r="AM242" s="26"/>
      <c r="AN242" s="29"/>
      <c r="AO242" s="25"/>
      <c r="AP242" s="29"/>
      <c r="AQ242" s="25"/>
      <c r="AR242" s="25"/>
      <c r="AS242" s="25"/>
      <c r="AT242" s="25"/>
      <c r="AU242" s="26"/>
      <c r="AV242" s="26"/>
      <c r="AW242" s="26"/>
      <c r="AX242" s="26"/>
      <c r="AY242" s="26"/>
      <c r="AZ242" s="26"/>
      <c r="BA242" s="26"/>
    </row>
    <row r="243">
      <c r="A243" s="26"/>
      <c r="B243" s="26"/>
      <c r="C243" s="26"/>
      <c r="D243" s="27"/>
      <c r="E243" s="27"/>
      <c r="F243" s="26"/>
      <c r="G243" s="28"/>
      <c r="H243" s="28"/>
      <c r="I243" s="28"/>
      <c r="J243" s="28"/>
      <c r="K243" s="28"/>
      <c r="L243" s="28"/>
      <c r="M243" s="28"/>
      <c r="N243" s="26"/>
      <c r="O243" s="29"/>
      <c r="P243" s="27"/>
      <c r="Q243" s="26"/>
      <c r="R243" s="29"/>
      <c r="S243" s="28"/>
      <c r="T243" s="29"/>
      <c r="U243" s="28"/>
      <c r="V243" s="28"/>
      <c r="W243" s="28"/>
      <c r="X243" s="28"/>
      <c r="Y243" s="26"/>
      <c r="Z243" s="29"/>
      <c r="AA243" s="28"/>
      <c r="AB243" s="26"/>
      <c r="AC243" s="29"/>
      <c r="AD243" s="25"/>
      <c r="AE243" s="29"/>
      <c r="AF243" s="25"/>
      <c r="AG243" s="25"/>
      <c r="AH243" s="25"/>
      <c r="AI243" s="25"/>
      <c r="AJ243" s="26"/>
      <c r="AK243" s="29"/>
      <c r="AL243" s="28"/>
      <c r="AM243" s="26"/>
      <c r="AN243" s="29"/>
      <c r="AO243" s="25"/>
      <c r="AP243" s="29"/>
      <c r="AQ243" s="25"/>
      <c r="AR243" s="25"/>
      <c r="AS243" s="25"/>
      <c r="AT243" s="25"/>
      <c r="AU243" s="26"/>
      <c r="AV243" s="26"/>
      <c r="AW243" s="26"/>
      <c r="AX243" s="26"/>
      <c r="AY243" s="26"/>
      <c r="AZ243" s="26"/>
      <c r="BA243" s="26"/>
    </row>
    <row r="244">
      <c r="A244" s="26"/>
      <c r="B244" s="26"/>
      <c r="C244" s="26"/>
      <c r="D244" s="27"/>
      <c r="E244" s="27"/>
      <c r="F244" s="26"/>
      <c r="G244" s="28"/>
      <c r="H244" s="28"/>
      <c r="I244" s="28"/>
      <c r="J244" s="28"/>
      <c r="K244" s="28"/>
      <c r="L244" s="28"/>
      <c r="M244" s="28"/>
      <c r="N244" s="26"/>
      <c r="O244" s="29"/>
      <c r="P244" s="27"/>
      <c r="Q244" s="26"/>
      <c r="R244" s="29"/>
      <c r="S244" s="28"/>
      <c r="T244" s="29"/>
      <c r="U244" s="28"/>
      <c r="V244" s="28"/>
      <c r="W244" s="28"/>
      <c r="X244" s="28"/>
      <c r="Y244" s="26"/>
      <c r="Z244" s="29"/>
      <c r="AA244" s="28"/>
      <c r="AB244" s="26"/>
      <c r="AC244" s="29"/>
      <c r="AD244" s="25"/>
      <c r="AE244" s="29"/>
      <c r="AF244" s="25"/>
      <c r="AG244" s="25"/>
      <c r="AH244" s="25"/>
      <c r="AI244" s="25"/>
      <c r="AJ244" s="26"/>
      <c r="AK244" s="29"/>
      <c r="AL244" s="28"/>
      <c r="AM244" s="26"/>
      <c r="AN244" s="29"/>
      <c r="AO244" s="25"/>
      <c r="AP244" s="29"/>
      <c r="AQ244" s="25"/>
      <c r="AR244" s="25"/>
      <c r="AS244" s="25"/>
      <c r="AT244" s="25"/>
      <c r="AU244" s="26"/>
      <c r="AV244" s="26"/>
      <c r="AW244" s="26"/>
      <c r="AX244" s="26"/>
      <c r="AY244" s="26"/>
      <c r="AZ244" s="26"/>
      <c r="BA244" s="26"/>
    </row>
    <row r="245">
      <c r="A245" s="26"/>
      <c r="B245" s="26"/>
      <c r="C245" s="26"/>
      <c r="D245" s="27"/>
      <c r="E245" s="27"/>
      <c r="F245" s="26"/>
      <c r="G245" s="28"/>
      <c r="H245" s="28"/>
      <c r="I245" s="28"/>
      <c r="J245" s="28"/>
      <c r="K245" s="28"/>
      <c r="L245" s="28"/>
      <c r="M245" s="28"/>
      <c r="N245" s="26"/>
      <c r="O245" s="29"/>
      <c r="P245" s="27"/>
      <c r="Q245" s="26"/>
      <c r="R245" s="29"/>
      <c r="S245" s="28"/>
      <c r="T245" s="29"/>
      <c r="U245" s="28"/>
      <c r="V245" s="28"/>
      <c r="W245" s="28"/>
      <c r="X245" s="28"/>
      <c r="Y245" s="26"/>
      <c r="Z245" s="29"/>
      <c r="AA245" s="28"/>
      <c r="AB245" s="26"/>
      <c r="AC245" s="29"/>
      <c r="AD245" s="25"/>
      <c r="AE245" s="29"/>
      <c r="AF245" s="25"/>
      <c r="AG245" s="25"/>
      <c r="AH245" s="25"/>
      <c r="AI245" s="25"/>
      <c r="AJ245" s="26"/>
      <c r="AK245" s="29"/>
      <c r="AL245" s="28"/>
      <c r="AM245" s="26"/>
      <c r="AN245" s="29"/>
      <c r="AO245" s="25"/>
      <c r="AP245" s="29"/>
      <c r="AQ245" s="25"/>
      <c r="AR245" s="25"/>
      <c r="AS245" s="25"/>
      <c r="AT245" s="25"/>
      <c r="AU245" s="26"/>
      <c r="AV245" s="26"/>
      <c r="AW245" s="26"/>
      <c r="AX245" s="26"/>
      <c r="AY245" s="26"/>
      <c r="AZ245" s="26"/>
      <c r="BA245" s="26"/>
    </row>
    <row r="246">
      <c r="A246" s="26"/>
      <c r="B246" s="26"/>
      <c r="C246" s="26"/>
      <c r="D246" s="27"/>
      <c r="E246" s="27"/>
      <c r="F246" s="26"/>
      <c r="G246" s="28"/>
      <c r="H246" s="28"/>
      <c r="I246" s="28"/>
      <c r="J246" s="28"/>
      <c r="K246" s="28"/>
      <c r="L246" s="28"/>
      <c r="M246" s="28"/>
      <c r="N246" s="26"/>
      <c r="O246" s="29"/>
      <c r="P246" s="27"/>
      <c r="Q246" s="26"/>
      <c r="R246" s="29"/>
      <c r="S246" s="28"/>
      <c r="T246" s="29"/>
      <c r="U246" s="28"/>
      <c r="V246" s="28"/>
      <c r="W246" s="28"/>
      <c r="X246" s="28"/>
      <c r="Y246" s="26"/>
      <c r="Z246" s="29"/>
      <c r="AA246" s="28"/>
      <c r="AB246" s="26"/>
      <c r="AC246" s="29"/>
      <c r="AD246" s="25"/>
      <c r="AE246" s="29"/>
      <c r="AF246" s="25"/>
      <c r="AG246" s="25"/>
      <c r="AH246" s="25"/>
      <c r="AI246" s="25"/>
      <c r="AJ246" s="26"/>
      <c r="AK246" s="29"/>
      <c r="AL246" s="28"/>
      <c r="AM246" s="26"/>
      <c r="AN246" s="29"/>
      <c r="AO246" s="25"/>
      <c r="AP246" s="29"/>
      <c r="AQ246" s="25"/>
      <c r="AR246" s="25"/>
      <c r="AS246" s="25"/>
      <c r="AT246" s="25"/>
      <c r="AU246" s="26"/>
      <c r="AV246" s="26"/>
      <c r="AW246" s="26"/>
      <c r="AX246" s="26"/>
      <c r="AY246" s="26"/>
      <c r="AZ246" s="26"/>
      <c r="BA246" s="26"/>
    </row>
    <row r="247">
      <c r="A247" s="26"/>
      <c r="B247" s="26"/>
      <c r="C247" s="26"/>
      <c r="D247" s="27"/>
      <c r="E247" s="27"/>
      <c r="F247" s="26"/>
      <c r="G247" s="28"/>
      <c r="H247" s="28"/>
      <c r="I247" s="28"/>
      <c r="J247" s="28"/>
      <c r="K247" s="28"/>
      <c r="L247" s="28"/>
      <c r="M247" s="28"/>
      <c r="N247" s="26"/>
      <c r="O247" s="29"/>
      <c r="P247" s="27"/>
      <c r="Q247" s="26"/>
      <c r="R247" s="29"/>
      <c r="S247" s="28"/>
      <c r="T247" s="29"/>
      <c r="U247" s="28"/>
      <c r="V247" s="28"/>
      <c r="W247" s="28"/>
      <c r="X247" s="28"/>
      <c r="Y247" s="26"/>
      <c r="Z247" s="29"/>
      <c r="AA247" s="28"/>
      <c r="AB247" s="26"/>
      <c r="AC247" s="29"/>
      <c r="AD247" s="25"/>
      <c r="AE247" s="29"/>
      <c r="AF247" s="25"/>
      <c r="AG247" s="25"/>
      <c r="AH247" s="25"/>
      <c r="AI247" s="25"/>
      <c r="AJ247" s="26"/>
      <c r="AK247" s="29"/>
      <c r="AL247" s="28"/>
      <c r="AM247" s="26"/>
      <c r="AN247" s="29"/>
      <c r="AO247" s="25"/>
      <c r="AP247" s="29"/>
      <c r="AQ247" s="25"/>
      <c r="AR247" s="25"/>
      <c r="AS247" s="25"/>
      <c r="AT247" s="25"/>
      <c r="AU247" s="26"/>
      <c r="AV247" s="26"/>
      <c r="AW247" s="26"/>
      <c r="AX247" s="26"/>
      <c r="AY247" s="26"/>
      <c r="AZ247" s="26"/>
      <c r="BA247" s="26"/>
    </row>
    <row r="248">
      <c r="A248" s="26"/>
      <c r="B248" s="26"/>
      <c r="C248" s="26"/>
      <c r="D248" s="27"/>
      <c r="E248" s="27"/>
      <c r="F248" s="26"/>
      <c r="G248" s="28"/>
      <c r="H248" s="28"/>
      <c r="I248" s="28"/>
      <c r="J248" s="28"/>
      <c r="K248" s="28"/>
      <c r="L248" s="28"/>
      <c r="M248" s="28"/>
      <c r="N248" s="26"/>
      <c r="O248" s="29"/>
      <c r="P248" s="27"/>
      <c r="Q248" s="26"/>
      <c r="R248" s="29"/>
      <c r="S248" s="28"/>
      <c r="T248" s="29"/>
      <c r="U248" s="28"/>
      <c r="V248" s="28"/>
      <c r="W248" s="28"/>
      <c r="X248" s="28"/>
      <c r="Y248" s="26"/>
      <c r="Z248" s="29"/>
      <c r="AA248" s="28"/>
      <c r="AB248" s="26"/>
      <c r="AC248" s="29"/>
      <c r="AD248" s="25"/>
      <c r="AE248" s="29"/>
      <c r="AF248" s="25"/>
      <c r="AG248" s="25"/>
      <c r="AH248" s="25"/>
      <c r="AI248" s="25"/>
      <c r="AJ248" s="26"/>
      <c r="AK248" s="29"/>
      <c r="AL248" s="28"/>
      <c r="AM248" s="26"/>
      <c r="AN248" s="29"/>
      <c r="AO248" s="25"/>
      <c r="AP248" s="29"/>
      <c r="AQ248" s="25"/>
      <c r="AR248" s="25"/>
      <c r="AS248" s="25"/>
      <c r="AT248" s="25"/>
      <c r="AU248" s="26"/>
      <c r="AV248" s="26"/>
      <c r="AW248" s="26"/>
      <c r="AX248" s="26"/>
      <c r="AY248" s="26"/>
      <c r="AZ248" s="26"/>
      <c r="BA248" s="26"/>
    </row>
    <row r="249">
      <c r="A249" s="26"/>
      <c r="B249" s="26"/>
      <c r="C249" s="26"/>
      <c r="D249" s="27"/>
      <c r="E249" s="27"/>
      <c r="F249" s="26"/>
      <c r="G249" s="28"/>
      <c r="H249" s="28"/>
      <c r="I249" s="28"/>
      <c r="J249" s="28"/>
      <c r="K249" s="28"/>
      <c r="L249" s="28"/>
      <c r="M249" s="28"/>
      <c r="N249" s="26"/>
      <c r="O249" s="29"/>
      <c r="P249" s="27"/>
      <c r="Q249" s="26"/>
      <c r="R249" s="29"/>
      <c r="S249" s="28"/>
      <c r="T249" s="29"/>
      <c r="U249" s="28"/>
      <c r="V249" s="28"/>
      <c r="W249" s="28"/>
      <c r="X249" s="28"/>
      <c r="Y249" s="26"/>
      <c r="Z249" s="29"/>
      <c r="AA249" s="28"/>
      <c r="AB249" s="26"/>
      <c r="AC249" s="29"/>
      <c r="AD249" s="25"/>
      <c r="AE249" s="29"/>
      <c r="AF249" s="25"/>
      <c r="AG249" s="25"/>
      <c r="AH249" s="25"/>
      <c r="AI249" s="25"/>
      <c r="AJ249" s="26"/>
      <c r="AK249" s="29"/>
      <c r="AL249" s="28"/>
      <c r="AM249" s="26"/>
      <c r="AN249" s="29"/>
      <c r="AO249" s="25"/>
      <c r="AP249" s="29"/>
      <c r="AQ249" s="25"/>
      <c r="AR249" s="25"/>
      <c r="AS249" s="25"/>
      <c r="AT249" s="25"/>
      <c r="AU249" s="26"/>
      <c r="AV249" s="26"/>
      <c r="AW249" s="26"/>
      <c r="AX249" s="26"/>
      <c r="AY249" s="26"/>
      <c r="AZ249" s="26"/>
      <c r="BA249" s="26"/>
    </row>
    <row r="250">
      <c r="A250" s="26"/>
      <c r="B250" s="26"/>
      <c r="C250" s="26"/>
      <c r="D250" s="27"/>
      <c r="E250" s="27"/>
      <c r="F250" s="26"/>
      <c r="G250" s="28"/>
      <c r="H250" s="28"/>
      <c r="I250" s="28"/>
      <c r="J250" s="28"/>
      <c r="K250" s="28"/>
      <c r="L250" s="28"/>
      <c r="M250" s="28"/>
      <c r="N250" s="26"/>
      <c r="O250" s="29"/>
      <c r="P250" s="27"/>
      <c r="Q250" s="26"/>
      <c r="R250" s="29"/>
      <c r="S250" s="28"/>
      <c r="T250" s="29"/>
      <c r="U250" s="28"/>
      <c r="V250" s="28"/>
      <c r="W250" s="28"/>
      <c r="X250" s="28"/>
      <c r="Y250" s="26"/>
      <c r="Z250" s="29"/>
      <c r="AA250" s="28"/>
      <c r="AB250" s="26"/>
      <c r="AC250" s="29"/>
      <c r="AD250" s="25"/>
      <c r="AE250" s="29"/>
      <c r="AF250" s="25"/>
      <c r="AG250" s="25"/>
      <c r="AH250" s="25"/>
      <c r="AI250" s="25"/>
      <c r="AJ250" s="26"/>
      <c r="AK250" s="29"/>
      <c r="AL250" s="28"/>
      <c r="AM250" s="26"/>
      <c r="AN250" s="29"/>
      <c r="AO250" s="25"/>
      <c r="AP250" s="29"/>
      <c r="AQ250" s="25"/>
      <c r="AR250" s="25"/>
      <c r="AS250" s="25"/>
      <c r="AT250" s="25"/>
      <c r="AU250" s="26"/>
      <c r="AV250" s="26"/>
      <c r="AW250" s="26"/>
      <c r="AX250" s="26"/>
      <c r="AY250" s="26"/>
      <c r="AZ250" s="26"/>
      <c r="BA250" s="26"/>
    </row>
    <row r="251">
      <c r="A251" s="26"/>
      <c r="B251" s="26"/>
      <c r="C251" s="26"/>
      <c r="D251" s="27"/>
      <c r="E251" s="27"/>
      <c r="F251" s="26"/>
      <c r="G251" s="28"/>
      <c r="H251" s="28"/>
      <c r="I251" s="28"/>
      <c r="J251" s="28"/>
      <c r="K251" s="28"/>
      <c r="L251" s="28"/>
      <c r="M251" s="28"/>
      <c r="N251" s="26"/>
      <c r="O251" s="29"/>
      <c r="P251" s="27"/>
      <c r="Q251" s="26"/>
      <c r="R251" s="29"/>
      <c r="S251" s="28"/>
      <c r="T251" s="29"/>
      <c r="U251" s="28"/>
      <c r="V251" s="28"/>
      <c r="W251" s="28"/>
      <c r="X251" s="28"/>
      <c r="Y251" s="26"/>
      <c r="Z251" s="29"/>
      <c r="AA251" s="28"/>
      <c r="AB251" s="26"/>
      <c r="AC251" s="29"/>
      <c r="AD251" s="25"/>
      <c r="AE251" s="29"/>
      <c r="AF251" s="25"/>
      <c r="AG251" s="25"/>
      <c r="AH251" s="25"/>
      <c r="AI251" s="25"/>
      <c r="AJ251" s="26"/>
      <c r="AK251" s="29"/>
      <c r="AL251" s="28"/>
      <c r="AM251" s="26"/>
      <c r="AN251" s="29"/>
      <c r="AO251" s="25"/>
      <c r="AP251" s="29"/>
      <c r="AQ251" s="25"/>
      <c r="AR251" s="25"/>
      <c r="AS251" s="25"/>
      <c r="AT251" s="25"/>
      <c r="AU251" s="26"/>
      <c r="AV251" s="26"/>
      <c r="AW251" s="26"/>
      <c r="AX251" s="26"/>
      <c r="AY251" s="26"/>
      <c r="AZ251" s="26"/>
      <c r="BA251" s="26"/>
    </row>
    <row r="252">
      <c r="A252" s="26"/>
      <c r="B252" s="26"/>
      <c r="C252" s="26"/>
      <c r="D252" s="27"/>
      <c r="E252" s="27"/>
      <c r="F252" s="26"/>
      <c r="G252" s="28"/>
      <c r="H252" s="28"/>
      <c r="I252" s="28"/>
      <c r="J252" s="28"/>
      <c r="K252" s="28"/>
      <c r="L252" s="28"/>
      <c r="M252" s="28"/>
      <c r="N252" s="26"/>
      <c r="O252" s="29"/>
      <c r="P252" s="27"/>
      <c r="Q252" s="26"/>
      <c r="R252" s="29"/>
      <c r="S252" s="28"/>
      <c r="T252" s="29"/>
      <c r="U252" s="28"/>
      <c r="V252" s="28"/>
      <c r="W252" s="28"/>
      <c r="X252" s="28"/>
      <c r="Y252" s="26"/>
      <c r="Z252" s="29"/>
      <c r="AA252" s="28"/>
      <c r="AB252" s="26"/>
      <c r="AC252" s="29"/>
      <c r="AD252" s="25"/>
      <c r="AE252" s="29"/>
      <c r="AF252" s="25"/>
      <c r="AG252" s="25"/>
      <c r="AH252" s="25"/>
      <c r="AI252" s="25"/>
      <c r="AJ252" s="26"/>
      <c r="AK252" s="29"/>
      <c r="AL252" s="28"/>
      <c r="AM252" s="26"/>
      <c r="AN252" s="29"/>
      <c r="AO252" s="25"/>
      <c r="AP252" s="29"/>
      <c r="AQ252" s="25"/>
      <c r="AR252" s="25"/>
      <c r="AS252" s="25"/>
      <c r="AT252" s="25"/>
      <c r="AU252" s="26"/>
      <c r="AV252" s="26"/>
      <c r="AW252" s="26"/>
      <c r="AX252" s="26"/>
      <c r="AY252" s="26"/>
      <c r="AZ252" s="26"/>
      <c r="BA252" s="26"/>
    </row>
    <row r="253">
      <c r="A253" s="26"/>
      <c r="B253" s="26"/>
      <c r="C253" s="26"/>
      <c r="D253" s="27"/>
      <c r="E253" s="27"/>
      <c r="F253" s="26"/>
      <c r="G253" s="28"/>
      <c r="H253" s="28"/>
      <c r="I253" s="28"/>
      <c r="J253" s="28"/>
      <c r="K253" s="28"/>
      <c r="L253" s="28"/>
      <c r="M253" s="28"/>
      <c r="N253" s="26"/>
      <c r="O253" s="29"/>
      <c r="P253" s="27"/>
      <c r="Q253" s="26"/>
      <c r="R253" s="29"/>
      <c r="S253" s="28"/>
      <c r="T253" s="29"/>
      <c r="U253" s="28"/>
      <c r="V253" s="28"/>
      <c r="W253" s="28"/>
      <c r="X253" s="28"/>
      <c r="Y253" s="26"/>
      <c r="Z253" s="29"/>
      <c r="AA253" s="28"/>
      <c r="AB253" s="26"/>
      <c r="AC253" s="29"/>
      <c r="AD253" s="25"/>
      <c r="AE253" s="29"/>
      <c r="AF253" s="25"/>
      <c r="AG253" s="25"/>
      <c r="AH253" s="25"/>
      <c r="AI253" s="25"/>
      <c r="AJ253" s="26"/>
      <c r="AK253" s="29"/>
      <c r="AL253" s="28"/>
      <c r="AM253" s="26"/>
      <c r="AN253" s="29"/>
      <c r="AO253" s="25"/>
      <c r="AP253" s="29"/>
      <c r="AQ253" s="25"/>
      <c r="AR253" s="25"/>
      <c r="AS253" s="25"/>
      <c r="AT253" s="25"/>
      <c r="AU253" s="26"/>
      <c r="AV253" s="26"/>
      <c r="AW253" s="26"/>
      <c r="AX253" s="26"/>
      <c r="AY253" s="26"/>
      <c r="AZ253" s="26"/>
      <c r="BA253" s="26"/>
    </row>
    <row r="254">
      <c r="A254" s="26"/>
      <c r="B254" s="26"/>
      <c r="C254" s="26"/>
      <c r="D254" s="27"/>
      <c r="E254" s="27"/>
      <c r="F254" s="26"/>
      <c r="G254" s="28"/>
      <c r="H254" s="28"/>
      <c r="I254" s="28"/>
      <c r="J254" s="28"/>
      <c r="K254" s="28"/>
      <c r="L254" s="28"/>
      <c r="M254" s="28"/>
      <c r="N254" s="26"/>
      <c r="O254" s="29"/>
      <c r="P254" s="27"/>
      <c r="Q254" s="26"/>
      <c r="R254" s="29"/>
      <c r="S254" s="28"/>
      <c r="T254" s="29"/>
      <c r="U254" s="28"/>
      <c r="V254" s="28"/>
      <c r="W254" s="28"/>
      <c r="X254" s="28"/>
      <c r="Y254" s="26"/>
      <c r="Z254" s="29"/>
      <c r="AA254" s="28"/>
      <c r="AB254" s="26"/>
      <c r="AC254" s="29"/>
      <c r="AD254" s="25"/>
      <c r="AE254" s="29"/>
      <c r="AF254" s="25"/>
      <c r="AG254" s="25"/>
      <c r="AH254" s="25"/>
      <c r="AI254" s="25"/>
      <c r="AJ254" s="26"/>
      <c r="AK254" s="29"/>
      <c r="AL254" s="28"/>
      <c r="AM254" s="26"/>
      <c r="AN254" s="29"/>
      <c r="AO254" s="25"/>
      <c r="AP254" s="29"/>
      <c r="AQ254" s="25"/>
      <c r="AR254" s="25"/>
      <c r="AS254" s="25"/>
      <c r="AT254" s="25"/>
      <c r="AU254" s="26"/>
      <c r="AV254" s="26"/>
      <c r="AW254" s="26"/>
      <c r="AX254" s="26"/>
      <c r="AY254" s="26"/>
      <c r="AZ254" s="26"/>
      <c r="BA254" s="26"/>
    </row>
    <row r="255">
      <c r="A255" s="26"/>
      <c r="B255" s="26"/>
      <c r="C255" s="26"/>
      <c r="D255" s="27"/>
      <c r="E255" s="27"/>
      <c r="F255" s="26"/>
      <c r="G255" s="28"/>
      <c r="H255" s="28"/>
      <c r="I255" s="28"/>
      <c r="J255" s="28"/>
      <c r="K255" s="28"/>
      <c r="L255" s="28"/>
      <c r="M255" s="28"/>
      <c r="N255" s="26"/>
      <c r="O255" s="29"/>
      <c r="P255" s="27"/>
      <c r="Q255" s="26"/>
      <c r="R255" s="29"/>
      <c r="S255" s="28"/>
      <c r="T255" s="29"/>
      <c r="U255" s="28"/>
      <c r="V255" s="28"/>
      <c r="W255" s="28"/>
      <c r="X255" s="28"/>
      <c r="Y255" s="26"/>
      <c r="Z255" s="29"/>
      <c r="AA255" s="28"/>
      <c r="AB255" s="26"/>
      <c r="AC255" s="29"/>
      <c r="AD255" s="25"/>
      <c r="AE255" s="29"/>
      <c r="AF255" s="25"/>
      <c r="AG255" s="25"/>
      <c r="AH255" s="25"/>
      <c r="AI255" s="25"/>
      <c r="AJ255" s="26"/>
      <c r="AK255" s="29"/>
      <c r="AL255" s="28"/>
      <c r="AM255" s="26"/>
      <c r="AN255" s="29"/>
      <c r="AO255" s="25"/>
      <c r="AP255" s="29"/>
      <c r="AQ255" s="25"/>
      <c r="AR255" s="25"/>
      <c r="AS255" s="25"/>
      <c r="AT255" s="25"/>
      <c r="AU255" s="26"/>
      <c r="AV255" s="26"/>
      <c r="AW255" s="26"/>
      <c r="AX255" s="26"/>
      <c r="AY255" s="26"/>
      <c r="AZ255" s="26"/>
      <c r="BA255" s="26"/>
    </row>
    <row r="256">
      <c r="A256" s="26"/>
      <c r="B256" s="26"/>
      <c r="C256" s="26"/>
      <c r="D256" s="27"/>
      <c r="E256" s="27"/>
      <c r="F256" s="26"/>
      <c r="G256" s="28"/>
      <c r="H256" s="28"/>
      <c r="I256" s="28"/>
      <c r="J256" s="28"/>
      <c r="K256" s="28"/>
      <c r="L256" s="28"/>
      <c r="M256" s="28"/>
      <c r="N256" s="26"/>
      <c r="O256" s="29"/>
      <c r="P256" s="27"/>
      <c r="Q256" s="26"/>
      <c r="R256" s="29"/>
      <c r="S256" s="28"/>
      <c r="T256" s="29"/>
      <c r="U256" s="28"/>
      <c r="V256" s="28"/>
      <c r="W256" s="28"/>
      <c r="X256" s="28"/>
      <c r="Y256" s="26"/>
      <c r="Z256" s="29"/>
      <c r="AA256" s="28"/>
      <c r="AB256" s="26"/>
      <c r="AC256" s="29"/>
      <c r="AD256" s="25"/>
      <c r="AE256" s="29"/>
      <c r="AF256" s="25"/>
      <c r="AG256" s="25"/>
      <c r="AH256" s="25"/>
      <c r="AI256" s="25"/>
      <c r="AJ256" s="26"/>
      <c r="AK256" s="29"/>
      <c r="AL256" s="28"/>
      <c r="AM256" s="26"/>
      <c r="AN256" s="29"/>
      <c r="AO256" s="25"/>
      <c r="AP256" s="29"/>
      <c r="AQ256" s="25"/>
      <c r="AR256" s="25"/>
      <c r="AS256" s="25"/>
      <c r="AT256" s="25"/>
      <c r="AU256" s="26"/>
      <c r="AV256" s="26"/>
      <c r="AW256" s="26"/>
      <c r="AX256" s="26"/>
      <c r="AY256" s="26"/>
      <c r="AZ256" s="26"/>
      <c r="BA256" s="26"/>
    </row>
    <row r="257">
      <c r="A257" s="26"/>
      <c r="B257" s="26"/>
      <c r="C257" s="26"/>
      <c r="D257" s="27"/>
      <c r="E257" s="27"/>
      <c r="F257" s="26"/>
      <c r="G257" s="28"/>
      <c r="H257" s="28"/>
      <c r="I257" s="28"/>
      <c r="J257" s="28"/>
      <c r="K257" s="28"/>
      <c r="L257" s="28"/>
      <c r="M257" s="28"/>
      <c r="N257" s="26"/>
      <c r="O257" s="29"/>
      <c r="P257" s="27"/>
      <c r="Q257" s="26"/>
      <c r="R257" s="29"/>
      <c r="S257" s="28"/>
      <c r="T257" s="29"/>
      <c r="U257" s="28"/>
      <c r="V257" s="28"/>
      <c r="W257" s="28"/>
      <c r="X257" s="28"/>
      <c r="Y257" s="26"/>
      <c r="Z257" s="29"/>
      <c r="AA257" s="28"/>
      <c r="AB257" s="26"/>
      <c r="AC257" s="29"/>
      <c r="AD257" s="25"/>
      <c r="AE257" s="29"/>
      <c r="AF257" s="25"/>
      <c r="AG257" s="25"/>
      <c r="AH257" s="25"/>
      <c r="AI257" s="25"/>
      <c r="AJ257" s="26"/>
      <c r="AK257" s="29"/>
      <c r="AL257" s="28"/>
      <c r="AM257" s="26"/>
      <c r="AN257" s="29"/>
      <c r="AO257" s="25"/>
      <c r="AP257" s="29"/>
      <c r="AQ257" s="25"/>
      <c r="AR257" s="25"/>
      <c r="AS257" s="25"/>
      <c r="AT257" s="25"/>
      <c r="AU257" s="26"/>
      <c r="AV257" s="26"/>
      <c r="AW257" s="26"/>
      <c r="AX257" s="26"/>
      <c r="AY257" s="26"/>
      <c r="AZ257" s="26"/>
      <c r="BA257" s="26"/>
    </row>
    <row r="258">
      <c r="A258" s="26"/>
      <c r="B258" s="26"/>
      <c r="C258" s="26"/>
      <c r="D258" s="27"/>
      <c r="E258" s="27"/>
      <c r="F258" s="26"/>
      <c r="G258" s="28"/>
      <c r="H258" s="28"/>
      <c r="I258" s="28"/>
      <c r="J258" s="28"/>
      <c r="K258" s="28"/>
      <c r="L258" s="28"/>
      <c r="M258" s="28"/>
      <c r="N258" s="26"/>
      <c r="O258" s="29"/>
      <c r="P258" s="27"/>
      <c r="Q258" s="26"/>
      <c r="R258" s="29"/>
      <c r="S258" s="28"/>
      <c r="T258" s="29"/>
      <c r="U258" s="28"/>
      <c r="V258" s="28"/>
      <c r="W258" s="28"/>
      <c r="X258" s="28"/>
      <c r="Y258" s="26"/>
      <c r="Z258" s="29"/>
      <c r="AA258" s="28"/>
      <c r="AB258" s="26"/>
      <c r="AC258" s="29"/>
      <c r="AD258" s="25"/>
      <c r="AE258" s="29"/>
      <c r="AF258" s="25"/>
      <c r="AG258" s="25"/>
      <c r="AH258" s="25"/>
      <c r="AI258" s="25"/>
      <c r="AJ258" s="26"/>
      <c r="AK258" s="29"/>
      <c r="AL258" s="28"/>
      <c r="AM258" s="26"/>
      <c r="AN258" s="29"/>
      <c r="AO258" s="25"/>
      <c r="AP258" s="29"/>
      <c r="AQ258" s="25"/>
      <c r="AR258" s="25"/>
      <c r="AS258" s="25"/>
      <c r="AT258" s="25"/>
      <c r="AU258" s="26"/>
      <c r="AV258" s="26"/>
      <c r="AW258" s="26"/>
      <c r="AX258" s="26"/>
      <c r="AY258" s="26"/>
      <c r="AZ258" s="26"/>
      <c r="BA258" s="26"/>
    </row>
    <row r="259">
      <c r="A259" s="26"/>
      <c r="B259" s="26"/>
      <c r="C259" s="26"/>
      <c r="D259" s="27"/>
      <c r="E259" s="27"/>
      <c r="F259" s="26"/>
      <c r="G259" s="28"/>
      <c r="H259" s="28"/>
      <c r="I259" s="28"/>
      <c r="J259" s="28"/>
      <c r="K259" s="28"/>
      <c r="L259" s="28"/>
      <c r="M259" s="28"/>
      <c r="N259" s="26"/>
      <c r="O259" s="29"/>
      <c r="P259" s="27"/>
      <c r="Q259" s="26"/>
      <c r="R259" s="29"/>
      <c r="S259" s="28"/>
      <c r="T259" s="29"/>
      <c r="U259" s="28"/>
      <c r="V259" s="28"/>
      <c r="W259" s="28"/>
      <c r="X259" s="28"/>
      <c r="Y259" s="26"/>
      <c r="Z259" s="29"/>
      <c r="AA259" s="28"/>
      <c r="AB259" s="26"/>
      <c r="AC259" s="29"/>
      <c r="AD259" s="25"/>
      <c r="AE259" s="29"/>
      <c r="AF259" s="25"/>
      <c r="AG259" s="25"/>
      <c r="AH259" s="25"/>
      <c r="AI259" s="25"/>
      <c r="AJ259" s="26"/>
      <c r="AK259" s="29"/>
      <c r="AL259" s="28"/>
      <c r="AM259" s="26"/>
      <c r="AN259" s="29"/>
      <c r="AO259" s="25"/>
      <c r="AP259" s="29"/>
      <c r="AQ259" s="25"/>
      <c r="AR259" s="25"/>
      <c r="AS259" s="25"/>
      <c r="AT259" s="25"/>
      <c r="AU259" s="26"/>
      <c r="AV259" s="26"/>
      <c r="AW259" s="26"/>
      <c r="AX259" s="26"/>
      <c r="AY259" s="26"/>
      <c r="AZ259" s="26"/>
      <c r="BA259" s="26"/>
    </row>
    <row r="260">
      <c r="A260" s="26"/>
      <c r="B260" s="26"/>
      <c r="C260" s="26"/>
      <c r="D260" s="27"/>
      <c r="E260" s="27"/>
      <c r="F260" s="26"/>
      <c r="G260" s="28"/>
      <c r="H260" s="28"/>
      <c r="I260" s="28"/>
      <c r="J260" s="28"/>
      <c r="K260" s="28"/>
      <c r="L260" s="28"/>
      <c r="M260" s="28"/>
      <c r="N260" s="26"/>
      <c r="O260" s="29"/>
      <c r="P260" s="27"/>
      <c r="Q260" s="26"/>
      <c r="R260" s="29"/>
      <c r="S260" s="28"/>
      <c r="T260" s="29"/>
      <c r="U260" s="28"/>
      <c r="V260" s="28"/>
      <c r="W260" s="28"/>
      <c r="X260" s="28"/>
      <c r="Y260" s="26"/>
      <c r="Z260" s="29"/>
      <c r="AA260" s="28"/>
      <c r="AB260" s="26"/>
      <c r="AC260" s="29"/>
      <c r="AD260" s="25"/>
      <c r="AE260" s="29"/>
      <c r="AF260" s="25"/>
      <c r="AG260" s="25"/>
      <c r="AH260" s="25"/>
      <c r="AI260" s="25"/>
      <c r="AJ260" s="26"/>
      <c r="AK260" s="29"/>
      <c r="AL260" s="28"/>
      <c r="AM260" s="26"/>
      <c r="AN260" s="29"/>
      <c r="AO260" s="25"/>
      <c r="AP260" s="29"/>
      <c r="AQ260" s="25"/>
      <c r="AR260" s="25"/>
      <c r="AS260" s="25"/>
      <c r="AT260" s="25"/>
      <c r="AU260" s="26"/>
      <c r="AV260" s="26"/>
      <c r="AW260" s="26"/>
      <c r="AX260" s="26"/>
      <c r="AY260" s="26"/>
      <c r="AZ260" s="26"/>
      <c r="BA260" s="26"/>
    </row>
    <row r="261">
      <c r="A261" s="26"/>
      <c r="B261" s="26"/>
      <c r="C261" s="26"/>
      <c r="D261" s="27"/>
      <c r="E261" s="27"/>
      <c r="F261" s="26"/>
      <c r="G261" s="28"/>
      <c r="H261" s="28"/>
      <c r="I261" s="28"/>
      <c r="J261" s="28"/>
      <c r="K261" s="28"/>
      <c r="L261" s="28"/>
      <c r="M261" s="28"/>
      <c r="N261" s="26"/>
      <c r="O261" s="29"/>
      <c r="P261" s="27"/>
      <c r="Q261" s="26"/>
      <c r="R261" s="29"/>
      <c r="S261" s="28"/>
      <c r="T261" s="29"/>
      <c r="U261" s="28"/>
      <c r="V261" s="28"/>
      <c r="W261" s="28"/>
      <c r="X261" s="28"/>
      <c r="Y261" s="26"/>
      <c r="Z261" s="29"/>
      <c r="AA261" s="28"/>
      <c r="AB261" s="26"/>
      <c r="AC261" s="29"/>
      <c r="AD261" s="25"/>
      <c r="AE261" s="29"/>
      <c r="AF261" s="25"/>
      <c r="AG261" s="25"/>
      <c r="AH261" s="25"/>
      <c r="AI261" s="25"/>
      <c r="AJ261" s="26"/>
      <c r="AK261" s="29"/>
      <c r="AL261" s="28"/>
      <c r="AM261" s="26"/>
      <c r="AN261" s="29"/>
      <c r="AO261" s="25"/>
      <c r="AP261" s="29"/>
      <c r="AQ261" s="25"/>
      <c r="AR261" s="25"/>
      <c r="AS261" s="25"/>
      <c r="AT261" s="25"/>
      <c r="AU261" s="26"/>
      <c r="AV261" s="26"/>
      <c r="AW261" s="26"/>
      <c r="AX261" s="26"/>
      <c r="AY261" s="26"/>
      <c r="AZ261" s="26"/>
      <c r="BA261" s="26"/>
    </row>
    <row r="262">
      <c r="A262" s="26"/>
      <c r="B262" s="26"/>
      <c r="C262" s="26"/>
      <c r="D262" s="27"/>
      <c r="E262" s="27"/>
      <c r="F262" s="26"/>
      <c r="G262" s="28"/>
      <c r="H262" s="28"/>
      <c r="I262" s="28"/>
      <c r="J262" s="28"/>
      <c r="K262" s="28"/>
      <c r="L262" s="28"/>
      <c r="M262" s="28"/>
      <c r="N262" s="26"/>
      <c r="O262" s="29"/>
      <c r="P262" s="27"/>
      <c r="Q262" s="26"/>
      <c r="R262" s="29"/>
      <c r="S262" s="28"/>
      <c r="T262" s="29"/>
      <c r="U262" s="28"/>
      <c r="V262" s="28"/>
      <c r="W262" s="28"/>
      <c r="X262" s="28"/>
      <c r="Y262" s="26"/>
      <c r="Z262" s="29"/>
      <c r="AA262" s="28"/>
      <c r="AB262" s="26"/>
      <c r="AC262" s="29"/>
      <c r="AD262" s="25"/>
      <c r="AE262" s="29"/>
      <c r="AF262" s="25"/>
      <c r="AG262" s="25"/>
      <c r="AH262" s="25"/>
      <c r="AI262" s="25"/>
      <c r="AJ262" s="26"/>
      <c r="AK262" s="29"/>
      <c r="AL262" s="28"/>
      <c r="AM262" s="26"/>
      <c r="AN262" s="29"/>
      <c r="AO262" s="25"/>
      <c r="AP262" s="29"/>
      <c r="AQ262" s="25"/>
      <c r="AR262" s="25"/>
      <c r="AS262" s="25"/>
      <c r="AT262" s="25"/>
      <c r="AU262" s="26"/>
      <c r="AV262" s="26"/>
      <c r="AW262" s="26"/>
      <c r="AX262" s="26"/>
      <c r="AY262" s="26"/>
      <c r="AZ262" s="26"/>
      <c r="BA262" s="26"/>
    </row>
    <row r="263">
      <c r="A263" s="26"/>
      <c r="B263" s="26"/>
      <c r="C263" s="26"/>
      <c r="D263" s="27"/>
      <c r="E263" s="27"/>
      <c r="F263" s="26"/>
      <c r="G263" s="28"/>
      <c r="H263" s="28"/>
      <c r="I263" s="28"/>
      <c r="J263" s="28"/>
      <c r="K263" s="28"/>
      <c r="L263" s="28"/>
      <c r="M263" s="28"/>
      <c r="N263" s="26"/>
      <c r="O263" s="29"/>
      <c r="P263" s="27"/>
      <c r="Q263" s="26"/>
      <c r="R263" s="29"/>
      <c r="S263" s="28"/>
      <c r="T263" s="29"/>
      <c r="U263" s="28"/>
      <c r="V263" s="28"/>
      <c r="W263" s="28"/>
      <c r="X263" s="28"/>
      <c r="Y263" s="26"/>
      <c r="Z263" s="29"/>
      <c r="AA263" s="28"/>
      <c r="AB263" s="26"/>
      <c r="AC263" s="29"/>
      <c r="AD263" s="25"/>
      <c r="AE263" s="29"/>
      <c r="AF263" s="25"/>
      <c r="AG263" s="25"/>
      <c r="AH263" s="25"/>
      <c r="AI263" s="25"/>
      <c r="AJ263" s="26"/>
      <c r="AK263" s="29"/>
      <c r="AL263" s="28"/>
      <c r="AM263" s="26"/>
      <c r="AN263" s="29"/>
      <c r="AO263" s="25"/>
      <c r="AP263" s="29"/>
      <c r="AQ263" s="25"/>
      <c r="AR263" s="25"/>
      <c r="AS263" s="25"/>
      <c r="AT263" s="25"/>
      <c r="AU263" s="26"/>
      <c r="AV263" s="26"/>
      <c r="AW263" s="26"/>
      <c r="AX263" s="26"/>
      <c r="AY263" s="26"/>
      <c r="AZ263" s="26"/>
      <c r="BA263" s="26"/>
    </row>
    <row r="264">
      <c r="A264" s="26"/>
      <c r="B264" s="26"/>
      <c r="C264" s="26"/>
      <c r="D264" s="27"/>
      <c r="E264" s="27"/>
      <c r="F264" s="26"/>
      <c r="G264" s="28"/>
      <c r="H264" s="28"/>
      <c r="I264" s="28"/>
      <c r="J264" s="28"/>
      <c r="K264" s="28"/>
      <c r="L264" s="28"/>
      <c r="M264" s="28"/>
      <c r="N264" s="26"/>
      <c r="O264" s="29"/>
      <c r="P264" s="27"/>
      <c r="Q264" s="26"/>
      <c r="R264" s="29"/>
      <c r="S264" s="28"/>
      <c r="T264" s="29"/>
      <c r="U264" s="28"/>
      <c r="V264" s="28"/>
      <c r="W264" s="28"/>
      <c r="X264" s="28"/>
      <c r="Y264" s="26"/>
      <c r="Z264" s="29"/>
      <c r="AA264" s="28"/>
      <c r="AB264" s="26"/>
      <c r="AC264" s="29"/>
      <c r="AD264" s="25"/>
      <c r="AE264" s="29"/>
      <c r="AF264" s="25"/>
      <c r="AG264" s="25"/>
      <c r="AH264" s="25"/>
      <c r="AI264" s="25"/>
      <c r="AJ264" s="26"/>
      <c r="AK264" s="29"/>
      <c r="AL264" s="28"/>
      <c r="AM264" s="26"/>
      <c r="AN264" s="29"/>
      <c r="AO264" s="25"/>
      <c r="AP264" s="29"/>
      <c r="AQ264" s="25"/>
      <c r="AR264" s="25"/>
      <c r="AS264" s="25"/>
      <c r="AT264" s="25"/>
      <c r="AU264" s="26"/>
      <c r="AV264" s="26"/>
      <c r="AW264" s="26"/>
      <c r="AX264" s="26"/>
      <c r="AY264" s="26"/>
      <c r="AZ264" s="26"/>
      <c r="BA264" s="26"/>
    </row>
    <row r="265">
      <c r="A265" s="26"/>
      <c r="B265" s="26"/>
      <c r="C265" s="26"/>
      <c r="D265" s="27"/>
      <c r="E265" s="27"/>
      <c r="F265" s="26"/>
      <c r="G265" s="28"/>
      <c r="H265" s="28"/>
      <c r="I265" s="28"/>
      <c r="J265" s="28"/>
      <c r="K265" s="28"/>
      <c r="L265" s="28"/>
      <c r="M265" s="28"/>
      <c r="N265" s="26"/>
      <c r="O265" s="29"/>
      <c r="P265" s="27"/>
      <c r="Q265" s="26"/>
      <c r="R265" s="29"/>
      <c r="S265" s="28"/>
      <c r="T265" s="29"/>
      <c r="U265" s="28"/>
      <c r="V265" s="28"/>
      <c r="W265" s="28"/>
      <c r="X265" s="28"/>
      <c r="Y265" s="26"/>
      <c r="Z265" s="29"/>
      <c r="AA265" s="28"/>
      <c r="AB265" s="26"/>
      <c r="AC265" s="29"/>
      <c r="AD265" s="25"/>
      <c r="AE265" s="29"/>
      <c r="AF265" s="25"/>
      <c r="AG265" s="25"/>
      <c r="AH265" s="25"/>
      <c r="AI265" s="25"/>
      <c r="AJ265" s="26"/>
      <c r="AK265" s="29"/>
      <c r="AL265" s="28"/>
      <c r="AM265" s="26"/>
      <c r="AN265" s="29"/>
      <c r="AO265" s="25"/>
      <c r="AP265" s="29"/>
      <c r="AQ265" s="25"/>
      <c r="AR265" s="25"/>
      <c r="AS265" s="25"/>
      <c r="AT265" s="25"/>
      <c r="AU265" s="26"/>
      <c r="AV265" s="26"/>
      <c r="AW265" s="26"/>
      <c r="AX265" s="26"/>
      <c r="AY265" s="26"/>
      <c r="AZ265" s="26"/>
      <c r="BA265" s="26"/>
    </row>
    <row r="266">
      <c r="A266" s="26"/>
      <c r="B266" s="26"/>
      <c r="C266" s="26"/>
      <c r="D266" s="27"/>
      <c r="E266" s="27"/>
      <c r="F266" s="26"/>
      <c r="G266" s="28"/>
      <c r="H266" s="28"/>
      <c r="I266" s="28"/>
      <c r="J266" s="28"/>
      <c r="K266" s="28"/>
      <c r="L266" s="28"/>
      <c r="M266" s="28"/>
      <c r="N266" s="26"/>
      <c r="O266" s="29"/>
      <c r="P266" s="27"/>
      <c r="Q266" s="26"/>
      <c r="R266" s="29"/>
      <c r="S266" s="28"/>
      <c r="T266" s="29"/>
      <c r="U266" s="28"/>
      <c r="V266" s="28"/>
      <c r="W266" s="28"/>
      <c r="X266" s="28"/>
      <c r="Y266" s="26"/>
      <c r="Z266" s="29"/>
      <c r="AA266" s="28"/>
      <c r="AB266" s="26"/>
      <c r="AC266" s="29"/>
      <c r="AD266" s="25"/>
      <c r="AE266" s="29"/>
      <c r="AF266" s="25"/>
      <c r="AG266" s="25"/>
      <c r="AH266" s="25"/>
      <c r="AI266" s="25"/>
      <c r="AJ266" s="26"/>
      <c r="AK266" s="29"/>
      <c r="AL266" s="28"/>
      <c r="AM266" s="26"/>
      <c r="AN266" s="29"/>
      <c r="AO266" s="25"/>
      <c r="AP266" s="29"/>
      <c r="AQ266" s="25"/>
      <c r="AR266" s="25"/>
      <c r="AS266" s="25"/>
      <c r="AT266" s="25"/>
      <c r="AU266" s="26"/>
      <c r="AV266" s="26"/>
      <c r="AW266" s="26"/>
      <c r="AX266" s="26"/>
      <c r="AY266" s="26"/>
      <c r="AZ266" s="26"/>
      <c r="BA266" s="26"/>
    </row>
    <row r="267">
      <c r="A267" s="26"/>
      <c r="B267" s="26"/>
      <c r="C267" s="26"/>
      <c r="D267" s="27"/>
      <c r="E267" s="27"/>
      <c r="F267" s="26"/>
      <c r="G267" s="28"/>
      <c r="H267" s="28"/>
      <c r="I267" s="28"/>
      <c r="J267" s="28"/>
      <c r="K267" s="28"/>
      <c r="L267" s="28"/>
      <c r="M267" s="28"/>
      <c r="N267" s="26"/>
      <c r="O267" s="29"/>
      <c r="P267" s="27"/>
      <c r="Q267" s="26"/>
      <c r="R267" s="29"/>
      <c r="S267" s="28"/>
      <c r="T267" s="29"/>
      <c r="U267" s="28"/>
      <c r="V267" s="28"/>
      <c r="W267" s="28"/>
      <c r="X267" s="28"/>
      <c r="Y267" s="26"/>
      <c r="Z267" s="29"/>
      <c r="AA267" s="28"/>
      <c r="AB267" s="26"/>
      <c r="AC267" s="29"/>
      <c r="AD267" s="25"/>
      <c r="AE267" s="29"/>
      <c r="AF267" s="25"/>
      <c r="AG267" s="25"/>
      <c r="AH267" s="25"/>
      <c r="AI267" s="25"/>
      <c r="AJ267" s="26"/>
      <c r="AK267" s="29"/>
      <c r="AL267" s="28"/>
      <c r="AM267" s="26"/>
      <c r="AN267" s="29"/>
      <c r="AO267" s="25"/>
      <c r="AP267" s="29"/>
      <c r="AQ267" s="25"/>
      <c r="AR267" s="25"/>
      <c r="AS267" s="25"/>
      <c r="AT267" s="25"/>
      <c r="AU267" s="26"/>
      <c r="AV267" s="26"/>
      <c r="AW267" s="26"/>
      <c r="AX267" s="26"/>
      <c r="AY267" s="26"/>
      <c r="AZ267" s="26"/>
      <c r="BA267" s="26"/>
    </row>
    <row r="268">
      <c r="A268" s="26"/>
      <c r="B268" s="26"/>
      <c r="C268" s="26"/>
      <c r="D268" s="27"/>
      <c r="E268" s="27"/>
      <c r="F268" s="26"/>
      <c r="G268" s="28"/>
      <c r="H268" s="28"/>
      <c r="I268" s="28"/>
      <c r="J268" s="28"/>
      <c r="K268" s="28"/>
      <c r="L268" s="28"/>
      <c r="M268" s="28"/>
      <c r="N268" s="26"/>
      <c r="O268" s="29"/>
      <c r="P268" s="27"/>
      <c r="Q268" s="26"/>
      <c r="R268" s="29"/>
      <c r="S268" s="28"/>
      <c r="T268" s="29"/>
      <c r="U268" s="28"/>
      <c r="V268" s="28"/>
      <c r="W268" s="28"/>
      <c r="X268" s="28"/>
      <c r="Y268" s="26"/>
      <c r="Z268" s="29"/>
      <c r="AA268" s="28"/>
      <c r="AB268" s="26"/>
      <c r="AC268" s="29"/>
      <c r="AD268" s="25"/>
      <c r="AE268" s="29"/>
      <c r="AF268" s="25"/>
      <c r="AG268" s="25"/>
      <c r="AH268" s="25"/>
      <c r="AI268" s="25"/>
      <c r="AJ268" s="26"/>
      <c r="AK268" s="29"/>
      <c r="AL268" s="28"/>
      <c r="AM268" s="26"/>
      <c r="AN268" s="29"/>
      <c r="AO268" s="25"/>
      <c r="AP268" s="29"/>
      <c r="AQ268" s="25"/>
      <c r="AR268" s="25"/>
      <c r="AS268" s="25"/>
      <c r="AT268" s="25"/>
      <c r="AU268" s="26"/>
      <c r="AV268" s="26"/>
      <c r="AW268" s="26"/>
      <c r="AX268" s="26"/>
      <c r="AY268" s="26"/>
      <c r="AZ268" s="26"/>
      <c r="BA268" s="26"/>
    </row>
    <row r="269">
      <c r="A269" s="26"/>
      <c r="B269" s="26"/>
      <c r="C269" s="26"/>
      <c r="D269" s="27"/>
      <c r="E269" s="27"/>
      <c r="F269" s="26"/>
      <c r="G269" s="28"/>
      <c r="H269" s="28"/>
      <c r="I269" s="28"/>
      <c r="J269" s="28"/>
      <c r="K269" s="28"/>
      <c r="L269" s="28"/>
      <c r="M269" s="28"/>
      <c r="N269" s="26"/>
      <c r="O269" s="29"/>
      <c r="P269" s="27"/>
      <c r="Q269" s="26"/>
      <c r="R269" s="29"/>
      <c r="S269" s="28"/>
      <c r="T269" s="29"/>
      <c r="U269" s="28"/>
      <c r="V269" s="28"/>
      <c r="W269" s="28"/>
      <c r="X269" s="28"/>
      <c r="Y269" s="26"/>
      <c r="Z269" s="29"/>
      <c r="AA269" s="28"/>
      <c r="AB269" s="26"/>
      <c r="AC269" s="29"/>
      <c r="AD269" s="25"/>
      <c r="AE269" s="29"/>
      <c r="AF269" s="25"/>
      <c r="AG269" s="25"/>
      <c r="AH269" s="25"/>
      <c r="AI269" s="25"/>
      <c r="AJ269" s="26"/>
      <c r="AK269" s="29"/>
      <c r="AL269" s="28"/>
      <c r="AM269" s="26"/>
      <c r="AN269" s="29"/>
      <c r="AO269" s="25"/>
      <c r="AP269" s="29"/>
      <c r="AQ269" s="25"/>
      <c r="AR269" s="25"/>
      <c r="AS269" s="25"/>
      <c r="AT269" s="25"/>
      <c r="AU269" s="26"/>
      <c r="AV269" s="26"/>
      <c r="AW269" s="26"/>
      <c r="AX269" s="26"/>
      <c r="AY269" s="26"/>
      <c r="AZ269" s="26"/>
      <c r="BA269" s="26"/>
    </row>
    <row r="270">
      <c r="A270" s="26"/>
      <c r="B270" s="26"/>
      <c r="C270" s="26"/>
      <c r="D270" s="27"/>
      <c r="E270" s="27"/>
      <c r="F270" s="26"/>
      <c r="G270" s="28"/>
      <c r="H270" s="28"/>
      <c r="I270" s="28"/>
      <c r="J270" s="28"/>
      <c r="K270" s="28"/>
      <c r="L270" s="28"/>
      <c r="M270" s="28"/>
      <c r="N270" s="26"/>
      <c r="O270" s="29"/>
      <c r="P270" s="27"/>
      <c r="Q270" s="26"/>
      <c r="R270" s="29"/>
      <c r="S270" s="28"/>
      <c r="T270" s="29"/>
      <c r="U270" s="28"/>
      <c r="V270" s="28"/>
      <c r="W270" s="28"/>
      <c r="X270" s="28"/>
      <c r="Y270" s="26"/>
      <c r="Z270" s="29"/>
      <c r="AA270" s="28"/>
      <c r="AB270" s="26"/>
      <c r="AC270" s="29"/>
      <c r="AD270" s="25"/>
      <c r="AE270" s="29"/>
      <c r="AF270" s="25"/>
      <c r="AG270" s="25"/>
      <c r="AH270" s="25"/>
      <c r="AI270" s="25"/>
      <c r="AJ270" s="26"/>
      <c r="AK270" s="29"/>
      <c r="AL270" s="28"/>
      <c r="AM270" s="26"/>
      <c r="AN270" s="29"/>
      <c r="AO270" s="25"/>
      <c r="AP270" s="29"/>
      <c r="AQ270" s="25"/>
      <c r="AR270" s="25"/>
      <c r="AS270" s="25"/>
      <c r="AT270" s="25"/>
      <c r="AU270" s="26"/>
      <c r="AV270" s="26"/>
      <c r="AW270" s="26"/>
      <c r="AX270" s="26"/>
      <c r="AY270" s="26"/>
      <c r="AZ270" s="26"/>
      <c r="BA270" s="26"/>
    </row>
    <row r="271">
      <c r="A271" s="26"/>
      <c r="B271" s="26"/>
      <c r="C271" s="26"/>
      <c r="D271" s="27"/>
      <c r="E271" s="27"/>
      <c r="F271" s="26"/>
      <c r="G271" s="28"/>
      <c r="H271" s="28"/>
      <c r="I271" s="28"/>
      <c r="J271" s="28"/>
      <c r="K271" s="28"/>
      <c r="L271" s="28"/>
      <c r="M271" s="28"/>
      <c r="N271" s="26"/>
      <c r="O271" s="29"/>
      <c r="P271" s="27"/>
      <c r="Q271" s="26"/>
      <c r="R271" s="29"/>
      <c r="S271" s="28"/>
      <c r="T271" s="29"/>
      <c r="U271" s="28"/>
      <c r="V271" s="28"/>
      <c r="W271" s="28"/>
      <c r="X271" s="28"/>
      <c r="Y271" s="26"/>
      <c r="Z271" s="29"/>
      <c r="AA271" s="28"/>
      <c r="AB271" s="26"/>
      <c r="AC271" s="29"/>
      <c r="AD271" s="25"/>
      <c r="AE271" s="29"/>
      <c r="AF271" s="25"/>
      <c r="AG271" s="25"/>
      <c r="AH271" s="25"/>
      <c r="AI271" s="25"/>
      <c r="AJ271" s="26"/>
      <c r="AK271" s="29"/>
      <c r="AL271" s="28"/>
      <c r="AM271" s="26"/>
      <c r="AN271" s="29"/>
      <c r="AO271" s="25"/>
      <c r="AP271" s="29"/>
      <c r="AQ271" s="25"/>
      <c r="AR271" s="25"/>
      <c r="AS271" s="25"/>
      <c r="AT271" s="25"/>
      <c r="AU271" s="26"/>
      <c r="AV271" s="26"/>
      <c r="AW271" s="26"/>
      <c r="AX271" s="26"/>
      <c r="AY271" s="26"/>
      <c r="AZ271" s="26"/>
      <c r="BA271" s="26"/>
    </row>
    <row r="272">
      <c r="A272" s="26"/>
      <c r="B272" s="26"/>
      <c r="C272" s="26"/>
      <c r="D272" s="27"/>
      <c r="E272" s="27"/>
      <c r="F272" s="26"/>
      <c r="G272" s="28"/>
      <c r="H272" s="28"/>
      <c r="I272" s="28"/>
      <c r="J272" s="28"/>
      <c r="K272" s="28"/>
      <c r="L272" s="28"/>
      <c r="M272" s="28"/>
      <c r="N272" s="26"/>
      <c r="O272" s="29"/>
      <c r="P272" s="27"/>
      <c r="Q272" s="26"/>
      <c r="R272" s="29"/>
      <c r="S272" s="28"/>
      <c r="T272" s="29"/>
      <c r="U272" s="28"/>
      <c r="V272" s="28"/>
      <c r="W272" s="28"/>
      <c r="X272" s="28"/>
      <c r="Y272" s="26"/>
      <c r="Z272" s="29"/>
      <c r="AA272" s="28"/>
      <c r="AB272" s="26"/>
      <c r="AC272" s="29"/>
      <c r="AD272" s="25"/>
      <c r="AE272" s="29"/>
      <c r="AF272" s="25"/>
      <c r="AG272" s="25"/>
      <c r="AH272" s="25"/>
      <c r="AI272" s="25"/>
      <c r="AJ272" s="26"/>
      <c r="AK272" s="29"/>
      <c r="AL272" s="28"/>
      <c r="AM272" s="26"/>
      <c r="AN272" s="29"/>
      <c r="AO272" s="25"/>
      <c r="AP272" s="29"/>
      <c r="AQ272" s="25"/>
      <c r="AR272" s="25"/>
      <c r="AS272" s="25"/>
      <c r="AT272" s="25"/>
      <c r="AU272" s="26"/>
      <c r="AV272" s="26"/>
      <c r="AW272" s="26"/>
      <c r="AX272" s="26"/>
      <c r="AY272" s="26"/>
      <c r="AZ272" s="26"/>
      <c r="BA272" s="26"/>
    </row>
    <row r="273">
      <c r="A273" s="26"/>
      <c r="B273" s="26"/>
      <c r="C273" s="26"/>
      <c r="D273" s="27"/>
      <c r="E273" s="27"/>
      <c r="F273" s="26"/>
      <c r="G273" s="28"/>
      <c r="H273" s="28"/>
      <c r="I273" s="28"/>
      <c r="J273" s="28"/>
      <c r="K273" s="28"/>
      <c r="L273" s="28"/>
      <c r="M273" s="28"/>
      <c r="N273" s="26"/>
      <c r="O273" s="29"/>
      <c r="P273" s="27"/>
      <c r="Q273" s="26"/>
      <c r="R273" s="29"/>
      <c r="S273" s="28"/>
      <c r="T273" s="29"/>
      <c r="U273" s="28"/>
      <c r="V273" s="28"/>
      <c r="W273" s="28"/>
      <c r="X273" s="28"/>
      <c r="Y273" s="26"/>
      <c r="Z273" s="29"/>
      <c r="AA273" s="28"/>
      <c r="AB273" s="26"/>
      <c r="AC273" s="29"/>
      <c r="AD273" s="25"/>
      <c r="AE273" s="29"/>
      <c r="AF273" s="25"/>
      <c r="AG273" s="25"/>
      <c r="AH273" s="25"/>
      <c r="AI273" s="25"/>
      <c r="AJ273" s="26"/>
      <c r="AK273" s="29"/>
      <c r="AL273" s="28"/>
      <c r="AM273" s="26"/>
      <c r="AN273" s="29"/>
      <c r="AO273" s="25"/>
      <c r="AP273" s="29"/>
      <c r="AQ273" s="25"/>
      <c r="AR273" s="25"/>
      <c r="AS273" s="25"/>
      <c r="AT273" s="25"/>
      <c r="AU273" s="26"/>
      <c r="AV273" s="26"/>
      <c r="AW273" s="26"/>
      <c r="AX273" s="26"/>
      <c r="AY273" s="26"/>
      <c r="AZ273" s="26"/>
      <c r="BA273" s="26"/>
    </row>
    <row r="274">
      <c r="A274" s="26"/>
      <c r="B274" s="26"/>
      <c r="C274" s="26"/>
      <c r="D274" s="27"/>
      <c r="E274" s="27"/>
      <c r="F274" s="26"/>
      <c r="G274" s="28"/>
      <c r="H274" s="28"/>
      <c r="I274" s="28"/>
      <c r="J274" s="28"/>
      <c r="K274" s="28"/>
      <c r="L274" s="28"/>
      <c r="M274" s="28"/>
      <c r="N274" s="26"/>
      <c r="O274" s="29"/>
      <c r="P274" s="27"/>
      <c r="Q274" s="26"/>
      <c r="R274" s="29"/>
      <c r="S274" s="28"/>
      <c r="T274" s="29"/>
      <c r="U274" s="28"/>
      <c r="V274" s="28"/>
      <c r="W274" s="28"/>
      <c r="X274" s="28"/>
      <c r="Y274" s="26"/>
      <c r="Z274" s="29"/>
      <c r="AA274" s="28"/>
      <c r="AB274" s="26"/>
      <c r="AC274" s="29"/>
      <c r="AD274" s="25"/>
      <c r="AE274" s="29"/>
      <c r="AF274" s="25"/>
      <c r="AG274" s="25"/>
      <c r="AH274" s="25"/>
      <c r="AI274" s="25"/>
      <c r="AJ274" s="26"/>
      <c r="AK274" s="29"/>
      <c r="AL274" s="28"/>
      <c r="AM274" s="26"/>
      <c r="AN274" s="29"/>
      <c r="AO274" s="25"/>
      <c r="AP274" s="29"/>
      <c r="AQ274" s="25"/>
      <c r="AR274" s="25"/>
      <c r="AS274" s="25"/>
      <c r="AT274" s="25"/>
      <c r="AU274" s="26"/>
      <c r="AV274" s="26"/>
      <c r="AW274" s="26"/>
      <c r="AX274" s="26"/>
      <c r="AY274" s="26"/>
      <c r="AZ274" s="26"/>
      <c r="BA274" s="26"/>
    </row>
    <row r="275">
      <c r="A275" s="26"/>
      <c r="B275" s="26"/>
      <c r="C275" s="26"/>
      <c r="D275" s="27"/>
      <c r="E275" s="27"/>
      <c r="F275" s="26"/>
      <c r="G275" s="28"/>
      <c r="H275" s="28"/>
      <c r="I275" s="28"/>
      <c r="J275" s="28"/>
      <c r="K275" s="28"/>
      <c r="L275" s="28"/>
      <c r="M275" s="28"/>
      <c r="N275" s="26"/>
      <c r="O275" s="29"/>
      <c r="P275" s="27"/>
      <c r="Q275" s="26"/>
      <c r="R275" s="29"/>
      <c r="S275" s="28"/>
      <c r="T275" s="29"/>
      <c r="U275" s="28"/>
      <c r="V275" s="28"/>
      <c r="W275" s="28"/>
      <c r="X275" s="28"/>
      <c r="Y275" s="26"/>
      <c r="Z275" s="29"/>
      <c r="AA275" s="28"/>
      <c r="AB275" s="26"/>
      <c r="AC275" s="29"/>
      <c r="AD275" s="25"/>
      <c r="AE275" s="29"/>
      <c r="AF275" s="25"/>
      <c r="AG275" s="25"/>
      <c r="AH275" s="25"/>
      <c r="AI275" s="25"/>
      <c r="AJ275" s="26"/>
      <c r="AK275" s="29"/>
      <c r="AL275" s="28"/>
      <c r="AM275" s="26"/>
      <c r="AN275" s="29"/>
      <c r="AO275" s="25"/>
      <c r="AP275" s="29"/>
      <c r="AQ275" s="25"/>
      <c r="AR275" s="25"/>
      <c r="AS275" s="25"/>
      <c r="AT275" s="25"/>
      <c r="AU275" s="26"/>
      <c r="AV275" s="26"/>
      <c r="AW275" s="26"/>
      <c r="AX275" s="26"/>
      <c r="AY275" s="26"/>
      <c r="AZ275" s="26"/>
      <c r="BA275" s="26"/>
    </row>
    <row r="276">
      <c r="A276" s="26"/>
      <c r="B276" s="26"/>
      <c r="C276" s="26"/>
      <c r="D276" s="27"/>
      <c r="E276" s="27"/>
      <c r="F276" s="26"/>
      <c r="G276" s="28"/>
      <c r="H276" s="28"/>
      <c r="I276" s="28"/>
      <c r="J276" s="28"/>
      <c r="K276" s="28"/>
      <c r="L276" s="28"/>
      <c r="M276" s="28"/>
      <c r="N276" s="26"/>
      <c r="O276" s="29"/>
      <c r="P276" s="27"/>
      <c r="Q276" s="26"/>
      <c r="R276" s="29"/>
      <c r="S276" s="28"/>
      <c r="T276" s="29"/>
      <c r="U276" s="28"/>
      <c r="V276" s="28"/>
      <c r="W276" s="28"/>
      <c r="X276" s="28"/>
      <c r="Y276" s="26"/>
      <c r="Z276" s="29"/>
      <c r="AA276" s="28"/>
      <c r="AB276" s="26"/>
      <c r="AC276" s="29"/>
      <c r="AD276" s="25"/>
      <c r="AE276" s="29"/>
      <c r="AF276" s="25"/>
      <c r="AG276" s="25"/>
      <c r="AH276" s="25"/>
      <c r="AI276" s="25"/>
      <c r="AJ276" s="26"/>
      <c r="AK276" s="29"/>
      <c r="AL276" s="28"/>
      <c r="AM276" s="26"/>
      <c r="AN276" s="29"/>
      <c r="AO276" s="25"/>
      <c r="AP276" s="29"/>
      <c r="AQ276" s="25"/>
      <c r="AR276" s="25"/>
      <c r="AS276" s="25"/>
      <c r="AT276" s="25"/>
      <c r="AU276" s="26"/>
      <c r="AV276" s="26"/>
      <c r="AW276" s="26"/>
      <c r="AX276" s="26"/>
      <c r="AY276" s="26"/>
      <c r="AZ276" s="26"/>
      <c r="BA276" s="26"/>
    </row>
    <row r="277">
      <c r="A277" s="26"/>
      <c r="B277" s="26"/>
      <c r="C277" s="26"/>
      <c r="D277" s="27"/>
      <c r="E277" s="27"/>
      <c r="F277" s="26"/>
      <c r="G277" s="28"/>
      <c r="H277" s="28"/>
      <c r="I277" s="28"/>
      <c r="J277" s="28"/>
      <c r="K277" s="28"/>
      <c r="L277" s="28"/>
      <c r="M277" s="28"/>
      <c r="N277" s="26"/>
      <c r="O277" s="29"/>
      <c r="P277" s="27"/>
      <c r="Q277" s="26"/>
      <c r="R277" s="29"/>
      <c r="S277" s="28"/>
      <c r="T277" s="29"/>
      <c r="U277" s="28"/>
      <c r="V277" s="28"/>
      <c r="W277" s="28"/>
      <c r="X277" s="28"/>
      <c r="Y277" s="26"/>
      <c r="Z277" s="29"/>
      <c r="AA277" s="28"/>
      <c r="AB277" s="26"/>
      <c r="AC277" s="29"/>
      <c r="AD277" s="25"/>
      <c r="AE277" s="29"/>
      <c r="AF277" s="25"/>
      <c r="AG277" s="25"/>
      <c r="AH277" s="25"/>
      <c r="AI277" s="25"/>
      <c r="AJ277" s="26"/>
      <c r="AK277" s="29"/>
      <c r="AL277" s="28"/>
      <c r="AM277" s="26"/>
      <c r="AN277" s="29"/>
      <c r="AO277" s="25"/>
      <c r="AP277" s="29"/>
      <c r="AQ277" s="25"/>
      <c r="AR277" s="25"/>
      <c r="AS277" s="25"/>
      <c r="AT277" s="25"/>
      <c r="AU277" s="26"/>
      <c r="AV277" s="26"/>
      <c r="AW277" s="26"/>
      <c r="AX277" s="26"/>
      <c r="AY277" s="26"/>
      <c r="AZ277" s="26"/>
      <c r="BA277" s="26"/>
    </row>
    <row r="278">
      <c r="A278" s="26"/>
      <c r="B278" s="26"/>
      <c r="C278" s="26"/>
      <c r="D278" s="27"/>
      <c r="E278" s="27"/>
      <c r="F278" s="26"/>
      <c r="G278" s="28"/>
      <c r="H278" s="28"/>
      <c r="I278" s="28"/>
      <c r="J278" s="28"/>
      <c r="K278" s="28"/>
      <c r="L278" s="28"/>
      <c r="M278" s="28"/>
      <c r="N278" s="26"/>
      <c r="O278" s="29"/>
      <c r="P278" s="27"/>
      <c r="Q278" s="26"/>
      <c r="R278" s="29"/>
      <c r="S278" s="28"/>
      <c r="T278" s="29"/>
      <c r="U278" s="28"/>
      <c r="V278" s="28"/>
      <c r="W278" s="28"/>
      <c r="X278" s="28"/>
      <c r="Y278" s="26"/>
      <c r="Z278" s="29"/>
      <c r="AA278" s="28"/>
      <c r="AB278" s="26"/>
      <c r="AC278" s="29"/>
      <c r="AD278" s="25"/>
      <c r="AE278" s="29"/>
      <c r="AF278" s="25"/>
      <c r="AG278" s="25"/>
      <c r="AH278" s="25"/>
      <c r="AI278" s="25"/>
      <c r="AJ278" s="26"/>
      <c r="AK278" s="29"/>
      <c r="AL278" s="28"/>
      <c r="AM278" s="26"/>
      <c r="AN278" s="29"/>
      <c r="AO278" s="25"/>
      <c r="AP278" s="29"/>
      <c r="AQ278" s="25"/>
      <c r="AR278" s="25"/>
      <c r="AS278" s="25"/>
      <c r="AT278" s="25"/>
      <c r="AU278" s="26"/>
      <c r="AV278" s="26"/>
      <c r="AW278" s="26"/>
      <c r="AX278" s="26"/>
      <c r="AY278" s="26"/>
      <c r="AZ278" s="26"/>
      <c r="BA278" s="26"/>
    </row>
    <row r="279">
      <c r="A279" s="26"/>
      <c r="B279" s="26"/>
      <c r="C279" s="26"/>
      <c r="D279" s="27"/>
      <c r="E279" s="27"/>
      <c r="F279" s="26"/>
      <c r="G279" s="28"/>
      <c r="H279" s="28"/>
      <c r="I279" s="28"/>
      <c r="J279" s="28"/>
      <c r="K279" s="28"/>
      <c r="L279" s="28"/>
      <c r="M279" s="28"/>
      <c r="N279" s="26"/>
      <c r="O279" s="29"/>
      <c r="P279" s="27"/>
      <c r="Q279" s="26"/>
      <c r="R279" s="29"/>
      <c r="S279" s="28"/>
      <c r="T279" s="29"/>
      <c r="U279" s="28"/>
      <c r="V279" s="28"/>
      <c r="W279" s="28"/>
      <c r="X279" s="28"/>
      <c r="Y279" s="26"/>
      <c r="Z279" s="29"/>
      <c r="AA279" s="28"/>
      <c r="AB279" s="26"/>
      <c r="AC279" s="29"/>
      <c r="AD279" s="25"/>
      <c r="AE279" s="29"/>
      <c r="AF279" s="25"/>
      <c r="AG279" s="25"/>
      <c r="AH279" s="25"/>
      <c r="AI279" s="25"/>
      <c r="AJ279" s="26"/>
      <c r="AK279" s="29"/>
      <c r="AL279" s="28"/>
      <c r="AM279" s="26"/>
      <c r="AN279" s="29"/>
      <c r="AO279" s="25"/>
      <c r="AP279" s="29"/>
      <c r="AQ279" s="25"/>
      <c r="AR279" s="25"/>
      <c r="AS279" s="25"/>
      <c r="AT279" s="25"/>
      <c r="AU279" s="26"/>
      <c r="AV279" s="26"/>
      <c r="AW279" s="26"/>
      <c r="AX279" s="26"/>
      <c r="AY279" s="26"/>
      <c r="AZ279" s="26"/>
      <c r="BA279" s="26"/>
    </row>
    <row r="280">
      <c r="A280" s="26"/>
      <c r="B280" s="26"/>
      <c r="C280" s="26"/>
      <c r="D280" s="27"/>
      <c r="E280" s="27"/>
      <c r="F280" s="26"/>
      <c r="G280" s="28"/>
      <c r="H280" s="28"/>
      <c r="I280" s="28"/>
      <c r="J280" s="28"/>
      <c r="K280" s="28"/>
      <c r="L280" s="28"/>
      <c r="M280" s="28"/>
      <c r="N280" s="26"/>
      <c r="O280" s="29"/>
      <c r="P280" s="27"/>
      <c r="Q280" s="26"/>
      <c r="R280" s="29"/>
      <c r="S280" s="28"/>
      <c r="T280" s="29"/>
      <c r="U280" s="28"/>
      <c r="V280" s="28"/>
      <c r="W280" s="28"/>
      <c r="X280" s="28"/>
      <c r="Y280" s="26"/>
      <c r="Z280" s="29"/>
      <c r="AA280" s="28"/>
      <c r="AB280" s="26"/>
      <c r="AC280" s="29"/>
      <c r="AD280" s="25"/>
      <c r="AE280" s="29"/>
      <c r="AF280" s="25"/>
      <c r="AG280" s="25"/>
      <c r="AH280" s="25"/>
      <c r="AI280" s="25"/>
      <c r="AJ280" s="26"/>
      <c r="AK280" s="29"/>
      <c r="AL280" s="28"/>
      <c r="AM280" s="26"/>
      <c r="AN280" s="29"/>
      <c r="AO280" s="25"/>
      <c r="AP280" s="29"/>
      <c r="AQ280" s="25"/>
      <c r="AR280" s="25"/>
      <c r="AS280" s="25"/>
      <c r="AT280" s="25"/>
      <c r="AU280" s="26"/>
      <c r="AV280" s="26"/>
      <c r="AW280" s="26"/>
      <c r="AX280" s="26"/>
      <c r="AY280" s="26"/>
      <c r="AZ280" s="26"/>
      <c r="BA280" s="26"/>
    </row>
    <row r="281">
      <c r="A281" s="26"/>
      <c r="B281" s="26"/>
      <c r="C281" s="26"/>
      <c r="D281" s="27"/>
      <c r="E281" s="27"/>
      <c r="F281" s="26"/>
      <c r="G281" s="28"/>
      <c r="H281" s="28"/>
      <c r="I281" s="28"/>
      <c r="J281" s="28"/>
      <c r="K281" s="28"/>
      <c r="L281" s="28"/>
      <c r="M281" s="28"/>
      <c r="N281" s="26"/>
      <c r="O281" s="29"/>
      <c r="P281" s="27"/>
      <c r="Q281" s="26"/>
      <c r="R281" s="29"/>
      <c r="S281" s="28"/>
      <c r="T281" s="29"/>
      <c r="U281" s="28"/>
      <c r="V281" s="28"/>
      <c r="W281" s="28"/>
      <c r="X281" s="28"/>
      <c r="Y281" s="26"/>
      <c r="Z281" s="29"/>
      <c r="AA281" s="28"/>
      <c r="AB281" s="26"/>
      <c r="AC281" s="29"/>
      <c r="AD281" s="25"/>
      <c r="AE281" s="29"/>
      <c r="AF281" s="25"/>
      <c r="AG281" s="25"/>
      <c r="AH281" s="25"/>
      <c r="AI281" s="25"/>
      <c r="AJ281" s="26"/>
      <c r="AK281" s="29"/>
      <c r="AL281" s="28"/>
      <c r="AM281" s="26"/>
      <c r="AN281" s="29"/>
      <c r="AO281" s="25"/>
      <c r="AP281" s="29"/>
      <c r="AQ281" s="25"/>
      <c r="AR281" s="25"/>
      <c r="AS281" s="25"/>
      <c r="AT281" s="25"/>
      <c r="AU281" s="26"/>
      <c r="AV281" s="26"/>
      <c r="AW281" s="26"/>
      <c r="AX281" s="26"/>
      <c r="AY281" s="26"/>
      <c r="AZ281" s="26"/>
      <c r="BA281" s="26"/>
    </row>
    <row r="282">
      <c r="A282" s="26"/>
      <c r="B282" s="26"/>
      <c r="C282" s="26"/>
      <c r="D282" s="27"/>
      <c r="E282" s="27"/>
      <c r="F282" s="26"/>
      <c r="G282" s="28"/>
      <c r="H282" s="28"/>
      <c r="I282" s="28"/>
      <c r="J282" s="28"/>
      <c r="K282" s="28"/>
      <c r="L282" s="28"/>
      <c r="M282" s="28"/>
      <c r="N282" s="26"/>
      <c r="O282" s="29"/>
      <c r="P282" s="27"/>
      <c r="Q282" s="26"/>
      <c r="R282" s="29"/>
      <c r="S282" s="28"/>
      <c r="T282" s="29"/>
      <c r="U282" s="28"/>
      <c r="V282" s="28"/>
      <c r="W282" s="28"/>
      <c r="X282" s="28"/>
      <c r="Y282" s="26"/>
      <c r="Z282" s="29"/>
      <c r="AA282" s="28"/>
      <c r="AB282" s="26"/>
      <c r="AC282" s="29"/>
      <c r="AD282" s="25"/>
      <c r="AE282" s="29"/>
      <c r="AF282" s="25"/>
      <c r="AG282" s="25"/>
      <c r="AH282" s="25"/>
      <c r="AI282" s="25"/>
      <c r="AJ282" s="26"/>
      <c r="AK282" s="29"/>
      <c r="AL282" s="28"/>
      <c r="AM282" s="26"/>
      <c r="AN282" s="29"/>
      <c r="AO282" s="25"/>
      <c r="AP282" s="29"/>
      <c r="AQ282" s="25"/>
      <c r="AR282" s="25"/>
      <c r="AS282" s="25"/>
      <c r="AT282" s="25"/>
      <c r="AU282" s="26"/>
      <c r="AV282" s="26"/>
      <c r="AW282" s="26"/>
      <c r="AX282" s="26"/>
      <c r="AY282" s="26"/>
      <c r="AZ282" s="26"/>
      <c r="BA282" s="26"/>
    </row>
    <row r="283">
      <c r="A283" s="26"/>
      <c r="B283" s="26"/>
      <c r="C283" s="26"/>
      <c r="D283" s="27"/>
      <c r="E283" s="27"/>
      <c r="F283" s="26"/>
      <c r="G283" s="28"/>
      <c r="H283" s="28"/>
      <c r="I283" s="28"/>
      <c r="J283" s="28"/>
      <c r="K283" s="28"/>
      <c r="L283" s="28"/>
      <c r="M283" s="28"/>
      <c r="N283" s="26"/>
      <c r="O283" s="29"/>
      <c r="P283" s="27"/>
      <c r="Q283" s="26"/>
      <c r="R283" s="29"/>
      <c r="S283" s="28"/>
      <c r="T283" s="29"/>
      <c r="U283" s="28"/>
      <c r="V283" s="28"/>
      <c r="W283" s="28"/>
      <c r="X283" s="28"/>
      <c r="Y283" s="26"/>
      <c r="Z283" s="29"/>
      <c r="AA283" s="28"/>
      <c r="AB283" s="26"/>
      <c r="AC283" s="29"/>
      <c r="AD283" s="25"/>
      <c r="AE283" s="29"/>
      <c r="AF283" s="25"/>
      <c r="AG283" s="25"/>
      <c r="AH283" s="25"/>
      <c r="AI283" s="25"/>
      <c r="AJ283" s="26"/>
      <c r="AK283" s="29"/>
      <c r="AL283" s="28"/>
      <c r="AM283" s="26"/>
      <c r="AN283" s="29"/>
      <c r="AO283" s="25"/>
      <c r="AP283" s="29"/>
      <c r="AQ283" s="25"/>
      <c r="AR283" s="25"/>
      <c r="AS283" s="25"/>
      <c r="AT283" s="25"/>
      <c r="AU283" s="26"/>
      <c r="AV283" s="26"/>
      <c r="AW283" s="26"/>
      <c r="AX283" s="26"/>
      <c r="AY283" s="26"/>
      <c r="AZ283" s="26"/>
      <c r="BA283" s="26"/>
    </row>
    <row r="284">
      <c r="A284" s="26"/>
      <c r="B284" s="26"/>
      <c r="C284" s="26"/>
      <c r="D284" s="27"/>
      <c r="E284" s="27"/>
      <c r="F284" s="26"/>
      <c r="G284" s="28"/>
      <c r="H284" s="28"/>
      <c r="I284" s="28"/>
      <c r="J284" s="28"/>
      <c r="K284" s="28"/>
      <c r="L284" s="28"/>
      <c r="M284" s="28"/>
      <c r="N284" s="26"/>
      <c r="O284" s="29"/>
      <c r="P284" s="27"/>
      <c r="Q284" s="26"/>
      <c r="R284" s="29"/>
      <c r="S284" s="28"/>
      <c r="T284" s="29"/>
      <c r="U284" s="28"/>
      <c r="V284" s="28"/>
      <c r="W284" s="28"/>
      <c r="X284" s="28"/>
      <c r="Y284" s="26"/>
      <c r="Z284" s="29"/>
      <c r="AA284" s="28"/>
      <c r="AB284" s="26"/>
      <c r="AC284" s="29"/>
      <c r="AD284" s="25"/>
      <c r="AE284" s="29"/>
      <c r="AF284" s="25"/>
      <c r="AG284" s="25"/>
      <c r="AH284" s="25"/>
      <c r="AI284" s="25"/>
      <c r="AJ284" s="26"/>
      <c r="AK284" s="29"/>
      <c r="AL284" s="28"/>
      <c r="AM284" s="26"/>
      <c r="AN284" s="29"/>
      <c r="AO284" s="25"/>
      <c r="AP284" s="29"/>
      <c r="AQ284" s="25"/>
      <c r="AR284" s="25"/>
      <c r="AS284" s="25"/>
      <c r="AT284" s="25"/>
      <c r="AU284" s="26"/>
      <c r="AV284" s="26"/>
      <c r="AW284" s="26"/>
      <c r="AX284" s="26"/>
      <c r="AY284" s="26"/>
      <c r="AZ284" s="26"/>
      <c r="BA284" s="26"/>
    </row>
    <row r="285">
      <c r="A285" s="26"/>
      <c r="B285" s="26"/>
      <c r="C285" s="26"/>
      <c r="D285" s="27"/>
      <c r="E285" s="27"/>
      <c r="F285" s="26"/>
      <c r="G285" s="28"/>
      <c r="H285" s="28"/>
      <c r="I285" s="28"/>
      <c r="J285" s="28"/>
      <c r="K285" s="28"/>
      <c r="L285" s="28"/>
      <c r="M285" s="28"/>
      <c r="N285" s="26"/>
      <c r="O285" s="29"/>
      <c r="P285" s="27"/>
      <c r="Q285" s="26"/>
      <c r="R285" s="29"/>
      <c r="S285" s="28"/>
      <c r="T285" s="29"/>
      <c r="U285" s="28"/>
      <c r="V285" s="28"/>
      <c r="W285" s="28"/>
      <c r="X285" s="28"/>
      <c r="Y285" s="26"/>
      <c r="Z285" s="29"/>
      <c r="AA285" s="28"/>
      <c r="AB285" s="26"/>
      <c r="AC285" s="29"/>
      <c r="AD285" s="25"/>
      <c r="AE285" s="29"/>
      <c r="AF285" s="25"/>
      <c r="AG285" s="25"/>
      <c r="AH285" s="25"/>
      <c r="AI285" s="25"/>
      <c r="AJ285" s="26"/>
      <c r="AK285" s="29"/>
      <c r="AL285" s="28"/>
      <c r="AM285" s="26"/>
      <c r="AN285" s="29"/>
      <c r="AO285" s="25"/>
      <c r="AP285" s="29"/>
      <c r="AQ285" s="25"/>
      <c r="AR285" s="25"/>
      <c r="AS285" s="25"/>
      <c r="AT285" s="25"/>
      <c r="AU285" s="26"/>
      <c r="AV285" s="26"/>
      <c r="AW285" s="26"/>
      <c r="AX285" s="26"/>
      <c r="AY285" s="26"/>
      <c r="AZ285" s="26"/>
      <c r="BA285" s="26"/>
    </row>
    <row r="286">
      <c r="A286" s="26"/>
      <c r="B286" s="26"/>
      <c r="C286" s="26"/>
      <c r="D286" s="27"/>
      <c r="E286" s="27"/>
      <c r="F286" s="26"/>
      <c r="G286" s="28"/>
      <c r="H286" s="28"/>
      <c r="I286" s="28"/>
      <c r="J286" s="28"/>
      <c r="K286" s="28"/>
      <c r="L286" s="28"/>
      <c r="M286" s="28"/>
      <c r="N286" s="26"/>
      <c r="O286" s="29"/>
      <c r="P286" s="27"/>
      <c r="Q286" s="26"/>
      <c r="R286" s="29"/>
      <c r="S286" s="28"/>
      <c r="T286" s="29"/>
      <c r="U286" s="28"/>
      <c r="V286" s="28"/>
      <c r="W286" s="28"/>
      <c r="X286" s="28"/>
      <c r="Y286" s="26"/>
      <c r="Z286" s="29"/>
      <c r="AA286" s="28"/>
      <c r="AB286" s="26"/>
      <c r="AC286" s="29"/>
      <c r="AD286" s="25"/>
      <c r="AE286" s="29"/>
      <c r="AF286" s="25"/>
      <c r="AG286" s="25"/>
      <c r="AH286" s="25"/>
      <c r="AI286" s="25"/>
      <c r="AJ286" s="26"/>
      <c r="AK286" s="29"/>
      <c r="AL286" s="28"/>
      <c r="AM286" s="26"/>
      <c r="AN286" s="29"/>
      <c r="AO286" s="25"/>
      <c r="AP286" s="29"/>
      <c r="AQ286" s="25"/>
      <c r="AR286" s="25"/>
      <c r="AS286" s="25"/>
      <c r="AT286" s="25"/>
      <c r="AU286" s="26"/>
      <c r="AV286" s="26"/>
      <c r="AW286" s="26"/>
      <c r="AX286" s="26"/>
      <c r="AY286" s="26"/>
      <c r="AZ286" s="26"/>
      <c r="BA286" s="26"/>
    </row>
    <row r="287">
      <c r="A287" s="26"/>
      <c r="B287" s="26"/>
      <c r="C287" s="26"/>
      <c r="D287" s="27"/>
      <c r="E287" s="27"/>
      <c r="F287" s="26"/>
      <c r="G287" s="28"/>
      <c r="H287" s="28"/>
      <c r="I287" s="28"/>
      <c r="J287" s="28"/>
      <c r="K287" s="28"/>
      <c r="L287" s="28"/>
      <c r="M287" s="28"/>
      <c r="N287" s="26"/>
      <c r="O287" s="29"/>
      <c r="P287" s="27"/>
      <c r="Q287" s="26"/>
      <c r="R287" s="29"/>
      <c r="S287" s="28"/>
      <c r="T287" s="29"/>
      <c r="U287" s="28"/>
      <c r="V287" s="28"/>
      <c r="W287" s="28"/>
      <c r="X287" s="28"/>
      <c r="Y287" s="26"/>
      <c r="Z287" s="29"/>
      <c r="AA287" s="28"/>
      <c r="AB287" s="26"/>
      <c r="AC287" s="29"/>
      <c r="AD287" s="25"/>
      <c r="AE287" s="29"/>
      <c r="AF287" s="25"/>
      <c r="AG287" s="25"/>
      <c r="AH287" s="25"/>
      <c r="AI287" s="25"/>
      <c r="AJ287" s="26"/>
      <c r="AK287" s="29"/>
      <c r="AL287" s="28"/>
      <c r="AM287" s="26"/>
      <c r="AN287" s="29"/>
      <c r="AO287" s="25"/>
      <c r="AP287" s="29"/>
      <c r="AQ287" s="25"/>
      <c r="AR287" s="25"/>
      <c r="AS287" s="25"/>
      <c r="AT287" s="25"/>
      <c r="AU287" s="26"/>
      <c r="AV287" s="26"/>
      <c r="AW287" s="26"/>
      <c r="AX287" s="26"/>
      <c r="AY287" s="26"/>
      <c r="AZ287" s="26"/>
      <c r="BA287" s="26"/>
    </row>
    <row r="288">
      <c r="A288" s="26"/>
      <c r="B288" s="26"/>
      <c r="C288" s="26"/>
      <c r="D288" s="27"/>
      <c r="E288" s="27"/>
      <c r="F288" s="26"/>
      <c r="G288" s="28"/>
      <c r="H288" s="28"/>
      <c r="I288" s="28"/>
      <c r="J288" s="28"/>
      <c r="K288" s="28"/>
      <c r="L288" s="28"/>
      <c r="M288" s="28"/>
      <c r="N288" s="26"/>
      <c r="O288" s="29"/>
      <c r="P288" s="27"/>
      <c r="Q288" s="26"/>
      <c r="R288" s="29"/>
      <c r="S288" s="28"/>
      <c r="T288" s="29"/>
      <c r="U288" s="28"/>
      <c r="V288" s="28"/>
      <c r="W288" s="28"/>
      <c r="X288" s="28"/>
      <c r="Y288" s="26"/>
      <c r="Z288" s="29"/>
      <c r="AA288" s="28"/>
      <c r="AB288" s="26"/>
      <c r="AC288" s="29"/>
      <c r="AD288" s="25"/>
      <c r="AE288" s="29"/>
      <c r="AF288" s="25"/>
      <c r="AG288" s="25"/>
      <c r="AH288" s="25"/>
      <c r="AI288" s="25"/>
      <c r="AJ288" s="26"/>
      <c r="AK288" s="29"/>
      <c r="AL288" s="28"/>
      <c r="AM288" s="26"/>
      <c r="AN288" s="29"/>
      <c r="AO288" s="25"/>
      <c r="AP288" s="29"/>
      <c r="AQ288" s="25"/>
      <c r="AR288" s="25"/>
      <c r="AS288" s="25"/>
      <c r="AT288" s="25"/>
      <c r="AU288" s="26"/>
      <c r="AV288" s="26"/>
      <c r="AW288" s="26"/>
      <c r="AX288" s="26"/>
      <c r="AY288" s="26"/>
      <c r="AZ288" s="26"/>
      <c r="BA288" s="26"/>
    </row>
    <row r="289">
      <c r="A289" s="26"/>
      <c r="B289" s="26"/>
      <c r="C289" s="26"/>
      <c r="D289" s="27"/>
      <c r="E289" s="27"/>
      <c r="F289" s="26"/>
      <c r="G289" s="28"/>
      <c r="H289" s="28"/>
      <c r="I289" s="28"/>
      <c r="J289" s="28"/>
      <c r="K289" s="28"/>
      <c r="L289" s="28"/>
      <c r="M289" s="28"/>
      <c r="N289" s="26"/>
      <c r="O289" s="29"/>
      <c r="P289" s="27"/>
      <c r="Q289" s="26"/>
      <c r="R289" s="29"/>
      <c r="S289" s="28"/>
      <c r="T289" s="29"/>
      <c r="U289" s="28"/>
      <c r="V289" s="28"/>
      <c r="W289" s="28"/>
      <c r="X289" s="28"/>
      <c r="Y289" s="26"/>
      <c r="Z289" s="29"/>
      <c r="AA289" s="28"/>
      <c r="AB289" s="26"/>
      <c r="AC289" s="29"/>
      <c r="AD289" s="25"/>
      <c r="AE289" s="29"/>
      <c r="AF289" s="25"/>
      <c r="AG289" s="25"/>
      <c r="AH289" s="25"/>
      <c r="AI289" s="25"/>
      <c r="AJ289" s="26"/>
      <c r="AK289" s="29"/>
      <c r="AL289" s="28"/>
      <c r="AM289" s="26"/>
      <c r="AN289" s="29"/>
      <c r="AO289" s="25"/>
      <c r="AP289" s="29"/>
      <c r="AQ289" s="25"/>
      <c r="AR289" s="25"/>
      <c r="AS289" s="25"/>
      <c r="AT289" s="25"/>
      <c r="AU289" s="26"/>
      <c r="AV289" s="26"/>
      <c r="AW289" s="26"/>
      <c r="AX289" s="26"/>
      <c r="AY289" s="26"/>
      <c r="AZ289" s="26"/>
      <c r="BA289" s="26"/>
    </row>
    <row r="290">
      <c r="A290" s="26"/>
      <c r="B290" s="26"/>
      <c r="C290" s="26"/>
      <c r="D290" s="27"/>
      <c r="E290" s="27"/>
      <c r="F290" s="26"/>
      <c r="G290" s="28"/>
      <c r="H290" s="28"/>
      <c r="I290" s="28"/>
      <c r="J290" s="28"/>
      <c r="K290" s="28"/>
      <c r="L290" s="28"/>
      <c r="M290" s="28"/>
      <c r="N290" s="26"/>
      <c r="O290" s="29"/>
      <c r="P290" s="27"/>
      <c r="Q290" s="26"/>
      <c r="R290" s="29"/>
      <c r="S290" s="28"/>
      <c r="T290" s="29"/>
      <c r="U290" s="28"/>
      <c r="V290" s="28"/>
      <c r="W290" s="28"/>
      <c r="X290" s="28"/>
      <c r="Y290" s="26"/>
      <c r="Z290" s="29"/>
      <c r="AA290" s="28"/>
      <c r="AB290" s="26"/>
      <c r="AC290" s="29"/>
      <c r="AD290" s="25"/>
      <c r="AE290" s="29"/>
      <c r="AF290" s="25"/>
      <c r="AG290" s="25"/>
      <c r="AH290" s="25"/>
      <c r="AI290" s="25"/>
      <c r="AJ290" s="26"/>
      <c r="AK290" s="29"/>
      <c r="AL290" s="28"/>
      <c r="AM290" s="26"/>
      <c r="AN290" s="29"/>
      <c r="AO290" s="25"/>
      <c r="AP290" s="29"/>
      <c r="AQ290" s="25"/>
      <c r="AR290" s="25"/>
      <c r="AS290" s="25"/>
      <c r="AT290" s="25"/>
      <c r="AU290" s="26"/>
      <c r="AV290" s="26"/>
      <c r="AW290" s="26"/>
      <c r="AX290" s="26"/>
      <c r="AY290" s="26"/>
      <c r="AZ290" s="26"/>
      <c r="BA290" s="26"/>
    </row>
    <row r="291">
      <c r="A291" s="26"/>
      <c r="B291" s="26"/>
      <c r="C291" s="26"/>
      <c r="D291" s="27"/>
      <c r="E291" s="27"/>
      <c r="F291" s="26"/>
      <c r="G291" s="28"/>
      <c r="H291" s="28"/>
      <c r="I291" s="28"/>
      <c r="J291" s="28"/>
      <c r="K291" s="28"/>
      <c r="L291" s="28"/>
      <c r="M291" s="28"/>
      <c r="N291" s="26"/>
      <c r="O291" s="29"/>
      <c r="P291" s="27"/>
      <c r="Q291" s="26"/>
      <c r="R291" s="29"/>
      <c r="S291" s="28"/>
      <c r="T291" s="29"/>
      <c r="U291" s="28"/>
      <c r="V291" s="28"/>
      <c r="W291" s="28"/>
      <c r="X291" s="28"/>
      <c r="Y291" s="26"/>
      <c r="Z291" s="29"/>
      <c r="AA291" s="28"/>
      <c r="AB291" s="26"/>
      <c r="AC291" s="29"/>
      <c r="AD291" s="25"/>
      <c r="AE291" s="29"/>
      <c r="AF291" s="25"/>
      <c r="AG291" s="25"/>
      <c r="AH291" s="25"/>
      <c r="AI291" s="25"/>
      <c r="AJ291" s="26"/>
      <c r="AK291" s="29"/>
      <c r="AL291" s="28"/>
      <c r="AM291" s="26"/>
      <c r="AN291" s="29"/>
      <c r="AO291" s="25"/>
      <c r="AP291" s="29"/>
      <c r="AQ291" s="25"/>
      <c r="AR291" s="25"/>
      <c r="AS291" s="25"/>
      <c r="AT291" s="25"/>
      <c r="AU291" s="26"/>
      <c r="AV291" s="26"/>
      <c r="AW291" s="26"/>
      <c r="AX291" s="26"/>
      <c r="AY291" s="26"/>
      <c r="AZ291" s="26"/>
      <c r="BA291" s="26"/>
    </row>
    <row r="292">
      <c r="A292" s="26"/>
      <c r="B292" s="26"/>
      <c r="C292" s="26"/>
      <c r="D292" s="27"/>
      <c r="E292" s="27"/>
      <c r="F292" s="26"/>
      <c r="G292" s="28"/>
      <c r="H292" s="28"/>
      <c r="I292" s="28"/>
      <c r="J292" s="28"/>
      <c r="K292" s="28"/>
      <c r="L292" s="28"/>
      <c r="M292" s="28"/>
      <c r="N292" s="26"/>
      <c r="O292" s="29"/>
      <c r="P292" s="27"/>
      <c r="Q292" s="26"/>
      <c r="R292" s="29"/>
      <c r="S292" s="28"/>
      <c r="T292" s="29"/>
      <c r="U292" s="28"/>
      <c r="V292" s="28"/>
      <c r="W292" s="28"/>
      <c r="X292" s="28"/>
      <c r="Y292" s="26"/>
      <c r="Z292" s="29"/>
      <c r="AA292" s="28"/>
      <c r="AB292" s="26"/>
      <c r="AC292" s="29"/>
      <c r="AD292" s="25"/>
      <c r="AE292" s="29"/>
      <c r="AF292" s="25"/>
      <c r="AG292" s="25"/>
      <c r="AH292" s="25"/>
      <c r="AI292" s="25"/>
      <c r="AJ292" s="26"/>
      <c r="AK292" s="29"/>
      <c r="AL292" s="28"/>
      <c r="AM292" s="26"/>
      <c r="AN292" s="29"/>
      <c r="AO292" s="25"/>
      <c r="AP292" s="29"/>
      <c r="AQ292" s="25"/>
      <c r="AR292" s="25"/>
      <c r="AS292" s="25"/>
      <c r="AT292" s="25"/>
      <c r="AU292" s="26"/>
      <c r="AV292" s="26"/>
      <c r="AW292" s="26"/>
      <c r="AX292" s="26"/>
      <c r="AY292" s="26"/>
      <c r="AZ292" s="26"/>
      <c r="BA292" s="26"/>
    </row>
    <row r="293">
      <c r="A293" s="26"/>
      <c r="B293" s="26"/>
      <c r="C293" s="26"/>
      <c r="D293" s="27"/>
      <c r="E293" s="27"/>
      <c r="F293" s="26"/>
      <c r="G293" s="28"/>
      <c r="H293" s="28"/>
      <c r="I293" s="28"/>
      <c r="J293" s="28"/>
      <c r="K293" s="28"/>
      <c r="L293" s="28"/>
      <c r="M293" s="28"/>
      <c r="N293" s="26"/>
      <c r="O293" s="29"/>
      <c r="P293" s="27"/>
      <c r="Q293" s="26"/>
      <c r="R293" s="29"/>
      <c r="S293" s="28"/>
      <c r="T293" s="29"/>
      <c r="U293" s="28"/>
      <c r="V293" s="28"/>
      <c r="W293" s="28"/>
      <c r="X293" s="28"/>
      <c r="Y293" s="26"/>
      <c r="Z293" s="29"/>
      <c r="AA293" s="28"/>
      <c r="AB293" s="26"/>
      <c r="AC293" s="29"/>
      <c r="AD293" s="25"/>
      <c r="AE293" s="29"/>
      <c r="AF293" s="25"/>
      <c r="AG293" s="25"/>
      <c r="AH293" s="25"/>
      <c r="AI293" s="25"/>
      <c r="AJ293" s="26"/>
      <c r="AK293" s="29"/>
      <c r="AL293" s="28"/>
      <c r="AM293" s="26"/>
      <c r="AN293" s="29"/>
      <c r="AO293" s="25"/>
      <c r="AP293" s="29"/>
      <c r="AQ293" s="25"/>
      <c r="AR293" s="25"/>
      <c r="AS293" s="25"/>
      <c r="AT293" s="25"/>
      <c r="AU293" s="26"/>
      <c r="AV293" s="26"/>
      <c r="AW293" s="26"/>
      <c r="AX293" s="26"/>
      <c r="AY293" s="26"/>
      <c r="AZ293" s="26"/>
      <c r="BA293" s="26"/>
    </row>
    <row r="294">
      <c r="A294" s="26"/>
      <c r="B294" s="26"/>
      <c r="C294" s="26"/>
      <c r="D294" s="27"/>
      <c r="E294" s="27"/>
      <c r="F294" s="26"/>
      <c r="G294" s="28"/>
      <c r="H294" s="28"/>
      <c r="I294" s="28"/>
      <c r="J294" s="28"/>
      <c r="K294" s="28"/>
      <c r="L294" s="28"/>
      <c r="M294" s="28"/>
      <c r="N294" s="26"/>
      <c r="O294" s="29"/>
      <c r="P294" s="27"/>
      <c r="Q294" s="26"/>
      <c r="R294" s="29"/>
      <c r="S294" s="28"/>
      <c r="T294" s="29"/>
      <c r="U294" s="28"/>
      <c r="V294" s="28"/>
      <c r="W294" s="28"/>
      <c r="X294" s="28"/>
      <c r="Y294" s="26"/>
      <c r="Z294" s="29"/>
      <c r="AA294" s="28"/>
      <c r="AB294" s="26"/>
      <c r="AC294" s="29"/>
      <c r="AD294" s="25"/>
      <c r="AE294" s="29"/>
      <c r="AF294" s="25"/>
      <c r="AG294" s="25"/>
      <c r="AH294" s="25"/>
      <c r="AI294" s="25"/>
      <c r="AJ294" s="26"/>
      <c r="AK294" s="29"/>
      <c r="AL294" s="28"/>
      <c r="AM294" s="26"/>
      <c r="AN294" s="29"/>
      <c r="AO294" s="25"/>
      <c r="AP294" s="29"/>
      <c r="AQ294" s="25"/>
      <c r="AR294" s="25"/>
      <c r="AS294" s="25"/>
      <c r="AT294" s="25"/>
      <c r="AU294" s="26"/>
      <c r="AV294" s="26"/>
      <c r="AW294" s="26"/>
      <c r="AX294" s="26"/>
      <c r="AY294" s="26"/>
      <c r="AZ294" s="26"/>
      <c r="BA294" s="26"/>
    </row>
    <row r="295">
      <c r="A295" s="26"/>
      <c r="B295" s="26"/>
      <c r="C295" s="26"/>
      <c r="D295" s="27"/>
      <c r="E295" s="27"/>
      <c r="F295" s="26"/>
      <c r="G295" s="28"/>
      <c r="H295" s="28"/>
      <c r="I295" s="28"/>
      <c r="J295" s="28"/>
      <c r="K295" s="28"/>
      <c r="L295" s="28"/>
      <c r="M295" s="28"/>
      <c r="N295" s="26"/>
      <c r="O295" s="29"/>
      <c r="P295" s="27"/>
      <c r="Q295" s="26"/>
      <c r="R295" s="29"/>
      <c r="S295" s="28"/>
      <c r="T295" s="29"/>
      <c r="U295" s="28"/>
      <c r="V295" s="28"/>
      <c r="W295" s="28"/>
      <c r="X295" s="28"/>
      <c r="Y295" s="26"/>
      <c r="Z295" s="29"/>
      <c r="AA295" s="28"/>
      <c r="AB295" s="26"/>
      <c r="AC295" s="29"/>
      <c r="AD295" s="25"/>
      <c r="AE295" s="29"/>
      <c r="AF295" s="25"/>
      <c r="AG295" s="25"/>
      <c r="AH295" s="25"/>
      <c r="AI295" s="25"/>
      <c r="AJ295" s="26"/>
      <c r="AK295" s="29"/>
      <c r="AL295" s="28"/>
      <c r="AM295" s="26"/>
      <c r="AN295" s="29"/>
      <c r="AO295" s="25"/>
      <c r="AP295" s="29"/>
      <c r="AQ295" s="25"/>
      <c r="AR295" s="25"/>
      <c r="AS295" s="25"/>
      <c r="AT295" s="25"/>
      <c r="AU295" s="26"/>
      <c r="AV295" s="26"/>
      <c r="AW295" s="26"/>
      <c r="AX295" s="26"/>
      <c r="AY295" s="26"/>
      <c r="AZ295" s="26"/>
      <c r="BA295" s="26"/>
    </row>
    <row r="296">
      <c r="A296" s="26"/>
      <c r="B296" s="26"/>
      <c r="C296" s="26"/>
      <c r="D296" s="27"/>
      <c r="E296" s="27"/>
      <c r="F296" s="26"/>
      <c r="G296" s="28"/>
      <c r="H296" s="28"/>
      <c r="I296" s="28"/>
      <c r="J296" s="28"/>
      <c r="K296" s="28"/>
      <c r="L296" s="28"/>
      <c r="M296" s="28"/>
      <c r="N296" s="26"/>
      <c r="O296" s="29"/>
      <c r="P296" s="27"/>
      <c r="Q296" s="26"/>
      <c r="R296" s="29"/>
      <c r="S296" s="28"/>
      <c r="T296" s="29"/>
      <c r="U296" s="28"/>
      <c r="V296" s="28"/>
      <c r="W296" s="28"/>
      <c r="X296" s="28"/>
      <c r="Y296" s="26"/>
      <c r="Z296" s="29"/>
      <c r="AA296" s="28"/>
      <c r="AB296" s="26"/>
      <c r="AC296" s="29"/>
      <c r="AD296" s="25"/>
      <c r="AE296" s="29"/>
      <c r="AF296" s="25"/>
      <c r="AG296" s="25"/>
      <c r="AH296" s="25"/>
      <c r="AI296" s="25"/>
      <c r="AJ296" s="26"/>
      <c r="AK296" s="29"/>
      <c r="AL296" s="28"/>
      <c r="AM296" s="26"/>
      <c r="AN296" s="29"/>
      <c r="AO296" s="25"/>
      <c r="AP296" s="29"/>
      <c r="AQ296" s="25"/>
      <c r="AR296" s="25"/>
      <c r="AS296" s="25"/>
      <c r="AT296" s="25"/>
      <c r="AU296" s="26"/>
      <c r="AV296" s="26"/>
      <c r="AW296" s="26"/>
      <c r="AX296" s="26"/>
      <c r="AY296" s="26"/>
      <c r="AZ296" s="26"/>
      <c r="BA296" s="26"/>
    </row>
    <row r="297">
      <c r="A297" s="26"/>
      <c r="B297" s="26"/>
      <c r="C297" s="26"/>
      <c r="D297" s="27"/>
      <c r="E297" s="27"/>
      <c r="F297" s="26"/>
      <c r="G297" s="28"/>
      <c r="H297" s="28"/>
      <c r="I297" s="28"/>
      <c r="J297" s="28"/>
      <c r="K297" s="28"/>
      <c r="L297" s="28"/>
      <c r="M297" s="28"/>
      <c r="N297" s="26"/>
      <c r="O297" s="29"/>
      <c r="P297" s="27"/>
      <c r="Q297" s="26"/>
      <c r="R297" s="29"/>
      <c r="S297" s="28"/>
      <c r="T297" s="29"/>
      <c r="U297" s="28"/>
      <c r="V297" s="28"/>
      <c r="W297" s="28"/>
      <c r="X297" s="28"/>
      <c r="Y297" s="26"/>
      <c r="Z297" s="29"/>
      <c r="AA297" s="28"/>
      <c r="AB297" s="26"/>
      <c r="AC297" s="29"/>
      <c r="AD297" s="25"/>
      <c r="AE297" s="29"/>
      <c r="AF297" s="25"/>
      <c r="AG297" s="25"/>
      <c r="AH297" s="25"/>
      <c r="AI297" s="25"/>
      <c r="AJ297" s="26"/>
      <c r="AK297" s="29"/>
      <c r="AL297" s="28"/>
      <c r="AM297" s="26"/>
      <c r="AN297" s="29"/>
      <c r="AO297" s="25"/>
      <c r="AP297" s="29"/>
      <c r="AQ297" s="25"/>
      <c r="AR297" s="25"/>
      <c r="AS297" s="25"/>
      <c r="AT297" s="25"/>
      <c r="AU297" s="26"/>
      <c r="AV297" s="26"/>
      <c r="AW297" s="26"/>
      <c r="AX297" s="26"/>
      <c r="AY297" s="26"/>
      <c r="AZ297" s="26"/>
      <c r="BA297" s="26"/>
    </row>
    <row r="298">
      <c r="A298" s="26"/>
      <c r="B298" s="26"/>
      <c r="C298" s="26"/>
      <c r="D298" s="27"/>
      <c r="E298" s="27"/>
      <c r="F298" s="26"/>
      <c r="G298" s="28"/>
      <c r="H298" s="28"/>
      <c r="I298" s="28"/>
      <c r="J298" s="28"/>
      <c r="K298" s="28"/>
      <c r="L298" s="28"/>
      <c r="M298" s="28"/>
      <c r="N298" s="26"/>
      <c r="O298" s="29"/>
      <c r="P298" s="27"/>
      <c r="Q298" s="26"/>
      <c r="R298" s="29"/>
      <c r="S298" s="28"/>
      <c r="T298" s="29"/>
      <c r="U298" s="28"/>
      <c r="V298" s="28"/>
      <c r="W298" s="28"/>
      <c r="X298" s="28"/>
      <c r="Y298" s="26"/>
      <c r="Z298" s="29"/>
      <c r="AA298" s="28"/>
      <c r="AB298" s="26"/>
      <c r="AC298" s="29"/>
      <c r="AD298" s="25"/>
      <c r="AE298" s="29"/>
      <c r="AF298" s="25"/>
      <c r="AG298" s="25"/>
      <c r="AH298" s="25"/>
      <c r="AI298" s="25"/>
      <c r="AJ298" s="26"/>
      <c r="AK298" s="29"/>
      <c r="AL298" s="28"/>
      <c r="AM298" s="26"/>
      <c r="AN298" s="29"/>
      <c r="AO298" s="25"/>
      <c r="AP298" s="29"/>
      <c r="AQ298" s="25"/>
      <c r="AR298" s="25"/>
      <c r="AS298" s="25"/>
      <c r="AT298" s="25"/>
      <c r="AU298" s="26"/>
      <c r="AV298" s="26"/>
      <c r="AW298" s="26"/>
      <c r="AX298" s="26"/>
      <c r="AY298" s="26"/>
      <c r="AZ298" s="26"/>
      <c r="BA298" s="26"/>
    </row>
    <row r="299">
      <c r="A299" s="26"/>
      <c r="B299" s="26"/>
      <c r="C299" s="26"/>
      <c r="D299" s="27"/>
      <c r="E299" s="27"/>
      <c r="F299" s="26"/>
      <c r="G299" s="28"/>
      <c r="H299" s="28"/>
      <c r="I299" s="28"/>
      <c r="J299" s="28"/>
      <c r="K299" s="28"/>
      <c r="L299" s="28"/>
      <c r="M299" s="28"/>
      <c r="N299" s="26"/>
      <c r="O299" s="29"/>
      <c r="P299" s="27"/>
      <c r="Q299" s="26"/>
      <c r="R299" s="29"/>
      <c r="S299" s="28"/>
      <c r="T299" s="29"/>
      <c r="U299" s="28"/>
      <c r="V299" s="28"/>
      <c r="W299" s="28"/>
      <c r="X299" s="28"/>
      <c r="Y299" s="26"/>
      <c r="Z299" s="29"/>
      <c r="AA299" s="28"/>
      <c r="AB299" s="26"/>
      <c r="AC299" s="29"/>
      <c r="AD299" s="25"/>
      <c r="AE299" s="29"/>
      <c r="AF299" s="25"/>
      <c r="AG299" s="25"/>
      <c r="AH299" s="25"/>
      <c r="AI299" s="25"/>
      <c r="AJ299" s="26"/>
      <c r="AK299" s="29"/>
      <c r="AL299" s="28"/>
      <c r="AM299" s="26"/>
      <c r="AN299" s="29"/>
      <c r="AO299" s="25"/>
      <c r="AP299" s="29"/>
      <c r="AQ299" s="25"/>
      <c r="AR299" s="25"/>
      <c r="AS299" s="25"/>
      <c r="AT299" s="25"/>
      <c r="AU299" s="26"/>
      <c r="AV299" s="26"/>
      <c r="AW299" s="26"/>
      <c r="AX299" s="26"/>
      <c r="AY299" s="26"/>
      <c r="AZ299" s="26"/>
      <c r="BA299" s="26"/>
    </row>
    <row r="300">
      <c r="A300" s="26"/>
      <c r="B300" s="26"/>
      <c r="C300" s="26"/>
      <c r="D300" s="27"/>
      <c r="E300" s="27"/>
      <c r="F300" s="26"/>
      <c r="G300" s="28"/>
      <c r="H300" s="28"/>
      <c r="I300" s="28"/>
      <c r="J300" s="28"/>
      <c r="K300" s="28"/>
      <c r="L300" s="28"/>
      <c r="M300" s="28"/>
      <c r="N300" s="26"/>
      <c r="O300" s="29"/>
      <c r="P300" s="27"/>
      <c r="Q300" s="26"/>
      <c r="R300" s="29"/>
      <c r="S300" s="28"/>
      <c r="T300" s="29"/>
      <c r="U300" s="28"/>
      <c r="V300" s="28"/>
      <c r="W300" s="28"/>
      <c r="X300" s="28"/>
      <c r="Y300" s="26"/>
      <c r="Z300" s="29"/>
      <c r="AA300" s="28"/>
      <c r="AB300" s="26"/>
      <c r="AC300" s="29"/>
      <c r="AD300" s="25"/>
      <c r="AE300" s="29"/>
      <c r="AF300" s="25"/>
      <c r="AG300" s="25"/>
      <c r="AH300" s="25"/>
      <c r="AI300" s="25"/>
      <c r="AJ300" s="26"/>
      <c r="AK300" s="29"/>
      <c r="AL300" s="28"/>
      <c r="AM300" s="26"/>
      <c r="AN300" s="29"/>
      <c r="AO300" s="25"/>
      <c r="AP300" s="29"/>
      <c r="AQ300" s="25"/>
      <c r="AR300" s="25"/>
      <c r="AS300" s="25"/>
      <c r="AT300" s="25"/>
      <c r="AU300" s="26"/>
      <c r="AV300" s="26"/>
      <c r="AW300" s="26"/>
      <c r="AX300" s="26"/>
      <c r="AY300" s="26"/>
      <c r="AZ300" s="26"/>
      <c r="BA300" s="26"/>
    </row>
    <row r="301">
      <c r="A301" s="26"/>
      <c r="B301" s="26"/>
      <c r="C301" s="26"/>
      <c r="D301" s="27"/>
      <c r="E301" s="27"/>
      <c r="F301" s="26"/>
      <c r="G301" s="28"/>
      <c r="H301" s="28"/>
      <c r="I301" s="28"/>
      <c r="J301" s="28"/>
      <c r="K301" s="28"/>
      <c r="L301" s="28"/>
      <c r="M301" s="28"/>
      <c r="N301" s="26"/>
      <c r="O301" s="29"/>
      <c r="P301" s="27"/>
      <c r="Q301" s="26"/>
      <c r="R301" s="29"/>
      <c r="S301" s="28"/>
      <c r="T301" s="29"/>
      <c r="U301" s="28"/>
      <c r="V301" s="28"/>
      <c r="W301" s="28"/>
      <c r="X301" s="28"/>
      <c r="Y301" s="26"/>
      <c r="Z301" s="29"/>
      <c r="AA301" s="28"/>
      <c r="AB301" s="26"/>
      <c r="AC301" s="29"/>
      <c r="AD301" s="25"/>
      <c r="AE301" s="29"/>
      <c r="AF301" s="25"/>
      <c r="AG301" s="25"/>
      <c r="AH301" s="25"/>
      <c r="AI301" s="25"/>
      <c r="AJ301" s="26"/>
      <c r="AK301" s="29"/>
      <c r="AL301" s="28"/>
      <c r="AM301" s="26"/>
      <c r="AN301" s="29"/>
      <c r="AO301" s="25"/>
      <c r="AP301" s="29"/>
      <c r="AQ301" s="25"/>
      <c r="AR301" s="25"/>
      <c r="AS301" s="25"/>
      <c r="AT301" s="25"/>
      <c r="AU301" s="26"/>
      <c r="AV301" s="26"/>
      <c r="AW301" s="26"/>
      <c r="AX301" s="26"/>
      <c r="AY301" s="26"/>
      <c r="AZ301" s="26"/>
      <c r="BA301" s="26"/>
    </row>
    <row r="302">
      <c r="A302" s="26"/>
      <c r="B302" s="26"/>
      <c r="C302" s="26"/>
      <c r="D302" s="27"/>
      <c r="E302" s="27"/>
      <c r="F302" s="26"/>
      <c r="G302" s="28"/>
      <c r="H302" s="28"/>
      <c r="I302" s="28"/>
      <c r="J302" s="28"/>
      <c r="K302" s="28"/>
      <c r="L302" s="28"/>
      <c r="M302" s="28"/>
      <c r="N302" s="26"/>
      <c r="O302" s="29"/>
      <c r="P302" s="27"/>
      <c r="Q302" s="26"/>
      <c r="R302" s="29"/>
      <c r="S302" s="28"/>
      <c r="T302" s="29"/>
      <c r="U302" s="28"/>
      <c r="V302" s="28"/>
      <c r="W302" s="28"/>
      <c r="X302" s="28"/>
      <c r="Y302" s="26"/>
      <c r="Z302" s="29"/>
      <c r="AA302" s="28"/>
      <c r="AB302" s="26"/>
      <c r="AC302" s="29"/>
      <c r="AD302" s="25"/>
      <c r="AE302" s="29"/>
      <c r="AF302" s="25"/>
      <c r="AG302" s="25"/>
      <c r="AH302" s="25"/>
      <c r="AI302" s="25"/>
      <c r="AJ302" s="26"/>
      <c r="AK302" s="29"/>
      <c r="AL302" s="28"/>
      <c r="AM302" s="26"/>
      <c r="AN302" s="29"/>
      <c r="AO302" s="25"/>
      <c r="AP302" s="29"/>
      <c r="AQ302" s="25"/>
      <c r="AR302" s="25"/>
      <c r="AS302" s="25"/>
      <c r="AT302" s="25"/>
      <c r="AU302" s="26"/>
      <c r="AV302" s="26"/>
      <c r="AW302" s="26"/>
      <c r="AX302" s="26"/>
      <c r="AY302" s="26"/>
      <c r="AZ302" s="26"/>
      <c r="BA302" s="26"/>
    </row>
    <row r="303">
      <c r="A303" s="26"/>
      <c r="B303" s="26"/>
      <c r="C303" s="26"/>
      <c r="D303" s="27"/>
      <c r="E303" s="27"/>
      <c r="F303" s="26"/>
      <c r="G303" s="28"/>
      <c r="H303" s="28"/>
      <c r="I303" s="28"/>
      <c r="J303" s="28"/>
      <c r="K303" s="28"/>
      <c r="L303" s="28"/>
      <c r="M303" s="28"/>
      <c r="N303" s="26"/>
      <c r="O303" s="29"/>
      <c r="P303" s="27"/>
      <c r="Q303" s="26"/>
      <c r="R303" s="29"/>
      <c r="S303" s="28"/>
      <c r="T303" s="29"/>
      <c r="U303" s="28"/>
      <c r="V303" s="28"/>
      <c r="W303" s="28"/>
      <c r="X303" s="28"/>
      <c r="Y303" s="26"/>
      <c r="Z303" s="29"/>
      <c r="AA303" s="28"/>
      <c r="AB303" s="26"/>
      <c r="AC303" s="29"/>
      <c r="AD303" s="25"/>
      <c r="AE303" s="29"/>
      <c r="AF303" s="25"/>
      <c r="AG303" s="25"/>
      <c r="AH303" s="25"/>
      <c r="AI303" s="25"/>
      <c r="AJ303" s="26"/>
      <c r="AK303" s="29"/>
      <c r="AL303" s="28"/>
      <c r="AM303" s="26"/>
      <c r="AN303" s="29"/>
      <c r="AO303" s="25"/>
      <c r="AP303" s="29"/>
      <c r="AQ303" s="25"/>
      <c r="AR303" s="25"/>
      <c r="AS303" s="25"/>
      <c r="AT303" s="25"/>
      <c r="AU303" s="26"/>
      <c r="AV303" s="26"/>
      <c r="AW303" s="26"/>
      <c r="AX303" s="26"/>
      <c r="AY303" s="26"/>
      <c r="AZ303" s="26"/>
      <c r="BA303" s="26"/>
    </row>
    <row r="304">
      <c r="A304" s="26"/>
      <c r="B304" s="26"/>
      <c r="C304" s="26"/>
      <c r="D304" s="27"/>
      <c r="E304" s="27"/>
      <c r="F304" s="26"/>
      <c r="G304" s="28"/>
      <c r="H304" s="28"/>
      <c r="I304" s="28"/>
      <c r="J304" s="28"/>
      <c r="K304" s="28"/>
      <c r="L304" s="28"/>
      <c r="M304" s="28"/>
      <c r="N304" s="26"/>
      <c r="O304" s="29"/>
      <c r="P304" s="27"/>
      <c r="Q304" s="26"/>
      <c r="R304" s="29"/>
      <c r="S304" s="28"/>
      <c r="T304" s="29"/>
      <c r="U304" s="28"/>
      <c r="V304" s="28"/>
      <c r="W304" s="28"/>
      <c r="X304" s="28"/>
      <c r="Y304" s="26"/>
      <c r="Z304" s="29"/>
      <c r="AA304" s="28"/>
      <c r="AB304" s="26"/>
      <c r="AC304" s="29"/>
      <c r="AD304" s="25"/>
      <c r="AE304" s="29"/>
      <c r="AF304" s="25"/>
      <c r="AG304" s="25"/>
      <c r="AH304" s="25"/>
      <c r="AI304" s="25"/>
      <c r="AJ304" s="26"/>
      <c r="AK304" s="29"/>
      <c r="AL304" s="28"/>
      <c r="AM304" s="26"/>
      <c r="AN304" s="29"/>
      <c r="AO304" s="25"/>
      <c r="AP304" s="29"/>
      <c r="AQ304" s="25"/>
      <c r="AR304" s="25"/>
      <c r="AS304" s="25"/>
      <c r="AT304" s="25"/>
      <c r="AU304" s="26"/>
      <c r="AV304" s="26"/>
      <c r="AW304" s="26"/>
      <c r="AX304" s="26"/>
      <c r="AY304" s="26"/>
      <c r="AZ304" s="26"/>
      <c r="BA304" s="26"/>
    </row>
    <row r="305">
      <c r="A305" s="26"/>
      <c r="B305" s="26"/>
      <c r="C305" s="26"/>
      <c r="D305" s="27"/>
      <c r="E305" s="27"/>
      <c r="F305" s="26"/>
      <c r="G305" s="28"/>
      <c r="H305" s="28"/>
      <c r="I305" s="28"/>
      <c r="J305" s="28"/>
      <c r="K305" s="28"/>
      <c r="L305" s="28"/>
      <c r="M305" s="28"/>
      <c r="N305" s="26"/>
      <c r="O305" s="29"/>
      <c r="P305" s="27"/>
      <c r="Q305" s="26"/>
      <c r="R305" s="29"/>
      <c r="S305" s="28"/>
      <c r="T305" s="29"/>
      <c r="U305" s="28"/>
      <c r="V305" s="28"/>
      <c r="W305" s="28"/>
      <c r="X305" s="28"/>
      <c r="Y305" s="26"/>
      <c r="Z305" s="29"/>
      <c r="AA305" s="28"/>
      <c r="AB305" s="26"/>
      <c r="AC305" s="29"/>
      <c r="AD305" s="25"/>
      <c r="AE305" s="29"/>
      <c r="AF305" s="25"/>
      <c r="AG305" s="25"/>
      <c r="AH305" s="25"/>
      <c r="AI305" s="25"/>
      <c r="AJ305" s="26"/>
      <c r="AK305" s="29"/>
      <c r="AL305" s="28"/>
      <c r="AM305" s="26"/>
      <c r="AN305" s="29"/>
      <c r="AO305" s="25"/>
      <c r="AP305" s="29"/>
      <c r="AQ305" s="25"/>
      <c r="AR305" s="25"/>
      <c r="AS305" s="25"/>
      <c r="AT305" s="25"/>
      <c r="AU305" s="26"/>
      <c r="AV305" s="26"/>
      <c r="AW305" s="26"/>
      <c r="AX305" s="26"/>
      <c r="AY305" s="26"/>
      <c r="AZ305" s="26"/>
      <c r="BA305" s="26"/>
    </row>
    <row r="306">
      <c r="A306" s="26"/>
      <c r="B306" s="26"/>
      <c r="C306" s="26"/>
      <c r="D306" s="27"/>
      <c r="E306" s="27"/>
      <c r="F306" s="26"/>
      <c r="G306" s="28"/>
      <c r="H306" s="28"/>
      <c r="I306" s="28"/>
      <c r="J306" s="28"/>
      <c r="K306" s="28"/>
      <c r="L306" s="28"/>
      <c r="M306" s="28"/>
      <c r="N306" s="26"/>
      <c r="O306" s="29"/>
      <c r="P306" s="27"/>
      <c r="Q306" s="26"/>
      <c r="R306" s="29"/>
      <c r="S306" s="28"/>
      <c r="T306" s="29"/>
      <c r="U306" s="28"/>
      <c r="V306" s="28"/>
      <c r="W306" s="28"/>
      <c r="X306" s="28"/>
      <c r="Y306" s="26"/>
      <c r="Z306" s="29"/>
      <c r="AA306" s="28"/>
      <c r="AB306" s="26"/>
      <c r="AC306" s="29"/>
      <c r="AD306" s="25"/>
      <c r="AE306" s="29"/>
      <c r="AF306" s="25"/>
      <c r="AG306" s="25"/>
      <c r="AH306" s="25"/>
      <c r="AI306" s="25"/>
      <c r="AJ306" s="26"/>
      <c r="AK306" s="29"/>
      <c r="AL306" s="28"/>
      <c r="AM306" s="26"/>
      <c r="AN306" s="29"/>
      <c r="AO306" s="25"/>
      <c r="AP306" s="29"/>
      <c r="AQ306" s="25"/>
      <c r="AR306" s="25"/>
      <c r="AS306" s="25"/>
      <c r="AT306" s="25"/>
      <c r="AU306" s="26"/>
      <c r="AV306" s="26"/>
      <c r="AW306" s="26"/>
      <c r="AX306" s="26"/>
      <c r="AY306" s="26"/>
      <c r="AZ306" s="26"/>
      <c r="BA306" s="26"/>
    </row>
    <row r="307">
      <c r="A307" s="26"/>
      <c r="B307" s="26"/>
      <c r="C307" s="26"/>
      <c r="D307" s="27"/>
      <c r="E307" s="27"/>
      <c r="F307" s="26"/>
      <c r="G307" s="28"/>
      <c r="H307" s="28"/>
      <c r="I307" s="28"/>
      <c r="J307" s="28"/>
      <c r="K307" s="28"/>
      <c r="L307" s="28"/>
      <c r="M307" s="28"/>
      <c r="N307" s="26"/>
      <c r="O307" s="29"/>
      <c r="P307" s="27"/>
      <c r="Q307" s="26"/>
      <c r="R307" s="29"/>
      <c r="S307" s="28"/>
      <c r="T307" s="29"/>
      <c r="U307" s="28"/>
      <c r="V307" s="28"/>
      <c r="W307" s="28"/>
      <c r="X307" s="28"/>
      <c r="Y307" s="26"/>
      <c r="Z307" s="29"/>
      <c r="AA307" s="28"/>
      <c r="AB307" s="26"/>
      <c r="AC307" s="29"/>
      <c r="AD307" s="25"/>
      <c r="AE307" s="29"/>
      <c r="AF307" s="25"/>
      <c r="AG307" s="25"/>
      <c r="AH307" s="25"/>
      <c r="AI307" s="25"/>
      <c r="AJ307" s="26"/>
      <c r="AK307" s="29"/>
      <c r="AL307" s="28"/>
      <c r="AM307" s="26"/>
      <c r="AN307" s="29"/>
      <c r="AO307" s="25"/>
      <c r="AP307" s="29"/>
      <c r="AQ307" s="25"/>
      <c r="AR307" s="25"/>
      <c r="AS307" s="25"/>
      <c r="AT307" s="25"/>
      <c r="AU307" s="26"/>
      <c r="AV307" s="26"/>
      <c r="AW307" s="26"/>
      <c r="AX307" s="26"/>
      <c r="AY307" s="26"/>
      <c r="AZ307" s="26"/>
      <c r="BA307" s="26"/>
    </row>
    <row r="308">
      <c r="A308" s="26"/>
      <c r="B308" s="26"/>
      <c r="C308" s="26"/>
      <c r="D308" s="27"/>
      <c r="E308" s="27"/>
      <c r="F308" s="26"/>
      <c r="G308" s="28"/>
      <c r="H308" s="28"/>
      <c r="I308" s="28"/>
      <c r="J308" s="28"/>
      <c r="K308" s="28"/>
      <c r="L308" s="28"/>
      <c r="M308" s="28"/>
      <c r="N308" s="26"/>
      <c r="O308" s="29"/>
      <c r="P308" s="27"/>
      <c r="Q308" s="26"/>
      <c r="R308" s="29"/>
      <c r="S308" s="28"/>
      <c r="T308" s="29"/>
      <c r="U308" s="28"/>
      <c r="V308" s="28"/>
      <c r="W308" s="28"/>
      <c r="X308" s="28"/>
      <c r="Y308" s="26"/>
      <c r="Z308" s="29"/>
      <c r="AA308" s="28"/>
      <c r="AB308" s="26"/>
      <c r="AC308" s="29"/>
      <c r="AD308" s="25"/>
      <c r="AE308" s="29"/>
      <c r="AF308" s="25"/>
      <c r="AG308" s="25"/>
      <c r="AH308" s="25"/>
      <c r="AI308" s="25"/>
      <c r="AJ308" s="26"/>
      <c r="AK308" s="29"/>
      <c r="AL308" s="28"/>
      <c r="AM308" s="26"/>
      <c r="AN308" s="29"/>
      <c r="AO308" s="25"/>
      <c r="AP308" s="29"/>
      <c r="AQ308" s="25"/>
      <c r="AR308" s="25"/>
      <c r="AS308" s="25"/>
      <c r="AT308" s="25"/>
      <c r="AU308" s="26"/>
      <c r="AV308" s="26"/>
      <c r="AW308" s="26"/>
      <c r="AX308" s="26"/>
      <c r="AY308" s="26"/>
      <c r="AZ308" s="26"/>
      <c r="BA308" s="26"/>
    </row>
    <row r="309">
      <c r="A309" s="26"/>
      <c r="B309" s="26"/>
      <c r="C309" s="26"/>
      <c r="D309" s="27"/>
      <c r="E309" s="27"/>
      <c r="F309" s="26"/>
      <c r="G309" s="28"/>
      <c r="H309" s="28"/>
      <c r="I309" s="28"/>
      <c r="J309" s="28"/>
      <c r="K309" s="28"/>
      <c r="L309" s="28"/>
      <c r="M309" s="28"/>
      <c r="N309" s="26"/>
      <c r="O309" s="29"/>
      <c r="P309" s="27"/>
      <c r="Q309" s="26"/>
      <c r="R309" s="29"/>
      <c r="S309" s="28"/>
      <c r="T309" s="29"/>
      <c r="U309" s="28"/>
      <c r="V309" s="28"/>
      <c r="W309" s="28"/>
      <c r="X309" s="28"/>
      <c r="Y309" s="26"/>
      <c r="Z309" s="29"/>
      <c r="AA309" s="28"/>
      <c r="AB309" s="26"/>
      <c r="AC309" s="29"/>
      <c r="AD309" s="25"/>
      <c r="AE309" s="29"/>
      <c r="AF309" s="25"/>
      <c r="AG309" s="25"/>
      <c r="AH309" s="25"/>
      <c r="AI309" s="25"/>
      <c r="AJ309" s="26"/>
      <c r="AK309" s="29"/>
      <c r="AL309" s="28"/>
      <c r="AM309" s="26"/>
      <c r="AN309" s="29"/>
      <c r="AO309" s="25"/>
      <c r="AP309" s="29"/>
      <c r="AQ309" s="25"/>
      <c r="AR309" s="25"/>
      <c r="AS309" s="25"/>
      <c r="AT309" s="25"/>
      <c r="AU309" s="26"/>
      <c r="AV309" s="26"/>
      <c r="AW309" s="26"/>
      <c r="AX309" s="26"/>
      <c r="AY309" s="26"/>
      <c r="AZ309" s="26"/>
      <c r="BA309" s="26"/>
    </row>
    <row r="310">
      <c r="A310" s="26"/>
      <c r="B310" s="26"/>
      <c r="C310" s="26"/>
      <c r="D310" s="27"/>
      <c r="E310" s="27"/>
      <c r="F310" s="26"/>
      <c r="G310" s="28"/>
      <c r="H310" s="28"/>
      <c r="I310" s="28"/>
      <c r="J310" s="28"/>
      <c r="K310" s="28"/>
      <c r="L310" s="28"/>
      <c r="M310" s="28"/>
      <c r="N310" s="26"/>
      <c r="O310" s="29"/>
      <c r="P310" s="27"/>
      <c r="Q310" s="26"/>
      <c r="R310" s="29"/>
      <c r="S310" s="28"/>
      <c r="T310" s="29"/>
      <c r="U310" s="28"/>
      <c r="V310" s="28"/>
      <c r="W310" s="28"/>
      <c r="X310" s="28"/>
      <c r="Y310" s="26"/>
      <c r="Z310" s="29"/>
      <c r="AA310" s="28"/>
      <c r="AB310" s="26"/>
      <c r="AC310" s="29"/>
      <c r="AD310" s="25"/>
      <c r="AE310" s="29"/>
      <c r="AF310" s="25"/>
      <c r="AG310" s="25"/>
      <c r="AH310" s="25"/>
      <c r="AI310" s="25"/>
      <c r="AJ310" s="26"/>
      <c r="AK310" s="29"/>
      <c r="AL310" s="28"/>
      <c r="AM310" s="26"/>
      <c r="AN310" s="29"/>
      <c r="AO310" s="25"/>
      <c r="AP310" s="29"/>
      <c r="AQ310" s="25"/>
      <c r="AR310" s="25"/>
      <c r="AS310" s="25"/>
      <c r="AT310" s="25"/>
      <c r="AU310" s="26"/>
      <c r="AV310" s="26"/>
      <c r="AW310" s="26"/>
      <c r="AX310" s="26"/>
      <c r="AY310" s="26"/>
      <c r="AZ310" s="26"/>
      <c r="BA310" s="26"/>
    </row>
    <row r="311">
      <c r="A311" s="26"/>
      <c r="B311" s="26"/>
      <c r="C311" s="26"/>
      <c r="D311" s="27"/>
      <c r="E311" s="27"/>
      <c r="F311" s="26"/>
      <c r="G311" s="28"/>
      <c r="H311" s="28"/>
      <c r="I311" s="28"/>
      <c r="J311" s="28"/>
      <c r="K311" s="28"/>
      <c r="L311" s="28"/>
      <c r="M311" s="28"/>
      <c r="N311" s="26"/>
      <c r="O311" s="29"/>
      <c r="P311" s="27"/>
      <c r="Q311" s="26"/>
      <c r="R311" s="29"/>
      <c r="S311" s="28"/>
      <c r="T311" s="29"/>
      <c r="U311" s="28"/>
      <c r="V311" s="28"/>
      <c r="W311" s="28"/>
      <c r="X311" s="28"/>
      <c r="Y311" s="26"/>
      <c r="Z311" s="29"/>
      <c r="AA311" s="28"/>
      <c r="AB311" s="26"/>
      <c r="AC311" s="29"/>
      <c r="AD311" s="25"/>
      <c r="AE311" s="29"/>
      <c r="AF311" s="25"/>
      <c r="AG311" s="25"/>
      <c r="AH311" s="25"/>
      <c r="AI311" s="25"/>
      <c r="AJ311" s="26"/>
      <c r="AK311" s="29"/>
      <c r="AL311" s="28"/>
      <c r="AM311" s="26"/>
      <c r="AN311" s="29"/>
      <c r="AO311" s="25"/>
      <c r="AP311" s="29"/>
      <c r="AQ311" s="25"/>
      <c r="AR311" s="25"/>
      <c r="AS311" s="25"/>
      <c r="AT311" s="25"/>
      <c r="AU311" s="26"/>
      <c r="AV311" s="26"/>
      <c r="AW311" s="26"/>
      <c r="AX311" s="26"/>
      <c r="AY311" s="26"/>
      <c r="AZ311" s="26"/>
      <c r="BA311" s="26"/>
    </row>
    <row r="312">
      <c r="A312" s="26"/>
      <c r="B312" s="26"/>
      <c r="C312" s="26"/>
      <c r="D312" s="27"/>
      <c r="E312" s="27"/>
      <c r="F312" s="26"/>
      <c r="G312" s="28"/>
      <c r="H312" s="28"/>
      <c r="I312" s="28"/>
      <c r="J312" s="28"/>
      <c r="K312" s="28"/>
      <c r="L312" s="28"/>
      <c r="M312" s="28"/>
      <c r="N312" s="26"/>
      <c r="O312" s="29"/>
      <c r="P312" s="27"/>
      <c r="Q312" s="26"/>
      <c r="R312" s="29"/>
      <c r="S312" s="28"/>
      <c r="T312" s="29"/>
      <c r="U312" s="28"/>
      <c r="V312" s="28"/>
      <c r="W312" s="28"/>
      <c r="X312" s="28"/>
      <c r="Y312" s="26"/>
      <c r="Z312" s="29"/>
      <c r="AA312" s="28"/>
      <c r="AB312" s="26"/>
      <c r="AC312" s="29"/>
      <c r="AD312" s="25"/>
      <c r="AE312" s="29"/>
      <c r="AF312" s="25"/>
      <c r="AG312" s="25"/>
      <c r="AH312" s="25"/>
      <c r="AI312" s="25"/>
      <c r="AJ312" s="26"/>
      <c r="AK312" s="29"/>
      <c r="AL312" s="28"/>
      <c r="AM312" s="26"/>
      <c r="AN312" s="29"/>
      <c r="AO312" s="25"/>
      <c r="AP312" s="29"/>
      <c r="AQ312" s="25"/>
      <c r="AR312" s="25"/>
      <c r="AS312" s="25"/>
      <c r="AT312" s="25"/>
      <c r="AU312" s="26"/>
      <c r="AV312" s="26"/>
      <c r="AW312" s="26"/>
      <c r="AX312" s="26"/>
      <c r="AY312" s="26"/>
      <c r="AZ312" s="26"/>
      <c r="BA312" s="26"/>
    </row>
    <row r="313">
      <c r="A313" s="26"/>
      <c r="B313" s="26"/>
      <c r="C313" s="26"/>
      <c r="D313" s="27"/>
      <c r="E313" s="27"/>
      <c r="F313" s="26"/>
      <c r="G313" s="28"/>
      <c r="H313" s="28"/>
      <c r="I313" s="28"/>
      <c r="J313" s="28"/>
      <c r="K313" s="28"/>
      <c r="L313" s="28"/>
      <c r="M313" s="28"/>
      <c r="N313" s="26"/>
      <c r="O313" s="29"/>
      <c r="P313" s="27"/>
      <c r="Q313" s="26"/>
      <c r="R313" s="29"/>
      <c r="S313" s="28"/>
      <c r="T313" s="29"/>
      <c r="U313" s="28"/>
      <c r="V313" s="28"/>
      <c r="W313" s="28"/>
      <c r="X313" s="28"/>
      <c r="Y313" s="26"/>
      <c r="Z313" s="29"/>
      <c r="AA313" s="28"/>
      <c r="AB313" s="26"/>
      <c r="AC313" s="29"/>
      <c r="AD313" s="25"/>
      <c r="AE313" s="29"/>
      <c r="AF313" s="25"/>
      <c r="AG313" s="25"/>
      <c r="AH313" s="25"/>
      <c r="AI313" s="25"/>
      <c r="AJ313" s="26"/>
      <c r="AK313" s="29"/>
      <c r="AL313" s="28"/>
      <c r="AM313" s="26"/>
      <c r="AN313" s="29"/>
      <c r="AO313" s="25"/>
      <c r="AP313" s="29"/>
      <c r="AQ313" s="25"/>
      <c r="AR313" s="25"/>
      <c r="AS313" s="25"/>
      <c r="AT313" s="25"/>
      <c r="AU313" s="26"/>
      <c r="AV313" s="26"/>
      <c r="AW313" s="26"/>
      <c r="AX313" s="26"/>
      <c r="AY313" s="26"/>
      <c r="AZ313" s="26"/>
      <c r="BA313" s="26"/>
    </row>
    <row r="314">
      <c r="A314" s="26"/>
      <c r="B314" s="26"/>
      <c r="C314" s="26"/>
      <c r="D314" s="27"/>
      <c r="E314" s="27"/>
      <c r="F314" s="26"/>
      <c r="G314" s="28"/>
      <c r="H314" s="28"/>
      <c r="I314" s="28"/>
      <c r="J314" s="28"/>
      <c r="K314" s="28"/>
      <c r="L314" s="28"/>
      <c r="M314" s="28"/>
      <c r="N314" s="26"/>
      <c r="O314" s="29"/>
      <c r="P314" s="27"/>
      <c r="Q314" s="26"/>
      <c r="R314" s="29"/>
      <c r="S314" s="28"/>
      <c r="T314" s="29"/>
      <c r="U314" s="28"/>
      <c r="V314" s="28"/>
      <c r="W314" s="28"/>
      <c r="X314" s="28"/>
      <c r="Y314" s="26"/>
      <c r="Z314" s="29"/>
      <c r="AA314" s="28"/>
      <c r="AB314" s="26"/>
      <c r="AC314" s="29"/>
      <c r="AD314" s="25"/>
      <c r="AE314" s="29"/>
      <c r="AF314" s="25"/>
      <c r="AG314" s="25"/>
      <c r="AH314" s="25"/>
      <c r="AI314" s="25"/>
      <c r="AJ314" s="26"/>
      <c r="AK314" s="29"/>
      <c r="AL314" s="28"/>
      <c r="AM314" s="26"/>
      <c r="AN314" s="29"/>
      <c r="AO314" s="25"/>
      <c r="AP314" s="29"/>
      <c r="AQ314" s="25"/>
      <c r="AR314" s="25"/>
      <c r="AS314" s="25"/>
      <c r="AT314" s="25"/>
      <c r="AU314" s="26"/>
      <c r="AV314" s="26"/>
      <c r="AW314" s="26"/>
      <c r="AX314" s="26"/>
      <c r="AY314" s="26"/>
      <c r="AZ314" s="26"/>
      <c r="BA314" s="26"/>
    </row>
    <row r="315">
      <c r="A315" s="26"/>
      <c r="B315" s="26"/>
      <c r="C315" s="26"/>
      <c r="D315" s="27"/>
      <c r="E315" s="27"/>
      <c r="F315" s="26"/>
      <c r="G315" s="28"/>
      <c r="H315" s="28"/>
      <c r="I315" s="28"/>
      <c r="J315" s="28"/>
      <c r="K315" s="28"/>
      <c r="L315" s="28"/>
      <c r="M315" s="28"/>
      <c r="N315" s="26"/>
      <c r="O315" s="29"/>
      <c r="P315" s="27"/>
      <c r="Q315" s="26"/>
      <c r="R315" s="29"/>
      <c r="S315" s="28"/>
      <c r="T315" s="29"/>
      <c r="U315" s="28"/>
      <c r="V315" s="28"/>
      <c r="W315" s="28"/>
      <c r="X315" s="28"/>
      <c r="Y315" s="26"/>
      <c r="Z315" s="29"/>
      <c r="AA315" s="28"/>
      <c r="AB315" s="26"/>
      <c r="AC315" s="29"/>
      <c r="AD315" s="25"/>
      <c r="AE315" s="29"/>
      <c r="AF315" s="25"/>
      <c r="AG315" s="25"/>
      <c r="AH315" s="25"/>
      <c r="AI315" s="25"/>
      <c r="AJ315" s="26"/>
      <c r="AK315" s="29"/>
      <c r="AL315" s="28"/>
      <c r="AM315" s="26"/>
      <c r="AN315" s="29"/>
      <c r="AO315" s="25"/>
      <c r="AP315" s="29"/>
      <c r="AQ315" s="25"/>
      <c r="AR315" s="25"/>
      <c r="AS315" s="25"/>
      <c r="AT315" s="25"/>
      <c r="AU315" s="26"/>
      <c r="AV315" s="26"/>
      <c r="AW315" s="26"/>
      <c r="AX315" s="26"/>
      <c r="AY315" s="26"/>
      <c r="AZ315" s="26"/>
      <c r="BA315" s="26"/>
    </row>
    <row r="316">
      <c r="A316" s="26"/>
      <c r="B316" s="26"/>
      <c r="C316" s="26"/>
      <c r="D316" s="27"/>
      <c r="E316" s="27"/>
      <c r="F316" s="26"/>
      <c r="G316" s="28"/>
      <c r="H316" s="28"/>
      <c r="I316" s="28"/>
      <c r="J316" s="28"/>
      <c r="K316" s="28"/>
      <c r="L316" s="28"/>
      <c r="M316" s="28"/>
      <c r="N316" s="26"/>
      <c r="O316" s="29"/>
      <c r="P316" s="27"/>
      <c r="Q316" s="26"/>
      <c r="R316" s="29"/>
      <c r="S316" s="28"/>
      <c r="T316" s="29"/>
      <c r="U316" s="28"/>
      <c r="V316" s="28"/>
      <c r="W316" s="28"/>
      <c r="X316" s="28"/>
      <c r="Y316" s="26"/>
      <c r="Z316" s="29"/>
      <c r="AA316" s="28"/>
      <c r="AB316" s="26"/>
      <c r="AC316" s="29"/>
      <c r="AD316" s="25"/>
      <c r="AE316" s="29"/>
      <c r="AF316" s="25"/>
      <c r="AG316" s="25"/>
      <c r="AH316" s="25"/>
      <c r="AI316" s="25"/>
      <c r="AJ316" s="26"/>
      <c r="AK316" s="29"/>
      <c r="AL316" s="28"/>
      <c r="AM316" s="26"/>
      <c r="AN316" s="29"/>
      <c r="AO316" s="25"/>
      <c r="AP316" s="29"/>
      <c r="AQ316" s="25"/>
      <c r="AR316" s="25"/>
      <c r="AS316" s="25"/>
      <c r="AT316" s="25"/>
      <c r="AU316" s="26"/>
      <c r="AV316" s="26"/>
      <c r="AW316" s="26"/>
      <c r="AX316" s="26"/>
      <c r="AY316" s="26"/>
      <c r="AZ316" s="26"/>
      <c r="BA316" s="26"/>
    </row>
    <row r="317">
      <c r="A317" s="26"/>
      <c r="B317" s="26"/>
      <c r="C317" s="26"/>
      <c r="D317" s="27"/>
      <c r="E317" s="27"/>
      <c r="F317" s="26"/>
      <c r="G317" s="28"/>
      <c r="H317" s="28"/>
      <c r="I317" s="28"/>
      <c r="J317" s="28"/>
      <c r="K317" s="28"/>
      <c r="L317" s="28"/>
      <c r="M317" s="28"/>
      <c r="N317" s="26"/>
      <c r="O317" s="29"/>
      <c r="P317" s="27"/>
      <c r="Q317" s="26"/>
      <c r="R317" s="29"/>
      <c r="S317" s="28"/>
      <c r="T317" s="29"/>
      <c r="U317" s="28"/>
      <c r="V317" s="28"/>
      <c r="W317" s="28"/>
      <c r="X317" s="28"/>
      <c r="Y317" s="26"/>
      <c r="Z317" s="29"/>
      <c r="AA317" s="28"/>
      <c r="AB317" s="26"/>
      <c r="AC317" s="29"/>
      <c r="AD317" s="25"/>
      <c r="AE317" s="29"/>
      <c r="AF317" s="25"/>
      <c r="AG317" s="25"/>
      <c r="AH317" s="25"/>
      <c r="AI317" s="25"/>
      <c r="AJ317" s="26"/>
      <c r="AK317" s="29"/>
      <c r="AL317" s="28"/>
      <c r="AM317" s="26"/>
      <c r="AN317" s="29"/>
      <c r="AO317" s="25"/>
      <c r="AP317" s="29"/>
      <c r="AQ317" s="25"/>
      <c r="AR317" s="25"/>
      <c r="AS317" s="25"/>
      <c r="AT317" s="25"/>
      <c r="AU317" s="26"/>
      <c r="AV317" s="26"/>
      <c r="AW317" s="26"/>
      <c r="AX317" s="26"/>
      <c r="AY317" s="26"/>
      <c r="AZ317" s="26"/>
      <c r="BA317" s="26"/>
    </row>
    <row r="318">
      <c r="A318" s="26"/>
      <c r="B318" s="26"/>
      <c r="C318" s="26"/>
      <c r="D318" s="27"/>
      <c r="E318" s="27"/>
      <c r="F318" s="26"/>
      <c r="G318" s="28"/>
      <c r="H318" s="28"/>
      <c r="I318" s="28"/>
      <c r="J318" s="28"/>
      <c r="K318" s="28"/>
      <c r="L318" s="28"/>
      <c r="M318" s="28"/>
      <c r="N318" s="26"/>
      <c r="O318" s="29"/>
      <c r="P318" s="27"/>
      <c r="Q318" s="26"/>
      <c r="R318" s="29"/>
      <c r="S318" s="28"/>
      <c r="T318" s="29"/>
      <c r="U318" s="28"/>
      <c r="V318" s="28"/>
      <c r="W318" s="28"/>
      <c r="X318" s="28"/>
      <c r="Y318" s="26"/>
      <c r="Z318" s="29"/>
      <c r="AA318" s="28"/>
      <c r="AB318" s="26"/>
      <c r="AC318" s="29"/>
      <c r="AD318" s="25"/>
      <c r="AE318" s="29"/>
      <c r="AF318" s="25"/>
      <c r="AG318" s="25"/>
      <c r="AH318" s="25"/>
      <c r="AI318" s="25"/>
      <c r="AJ318" s="26"/>
      <c r="AK318" s="29"/>
      <c r="AL318" s="28"/>
      <c r="AM318" s="26"/>
      <c r="AN318" s="29"/>
      <c r="AO318" s="25"/>
      <c r="AP318" s="29"/>
      <c r="AQ318" s="25"/>
      <c r="AR318" s="25"/>
      <c r="AS318" s="25"/>
      <c r="AT318" s="25"/>
      <c r="AU318" s="26"/>
      <c r="AV318" s="26"/>
      <c r="AW318" s="26"/>
      <c r="AX318" s="26"/>
      <c r="AY318" s="26"/>
      <c r="AZ318" s="26"/>
      <c r="BA318" s="26"/>
    </row>
    <row r="319">
      <c r="A319" s="26"/>
      <c r="B319" s="26"/>
      <c r="C319" s="26"/>
      <c r="D319" s="27"/>
      <c r="E319" s="27"/>
      <c r="F319" s="26"/>
      <c r="G319" s="28"/>
      <c r="H319" s="28"/>
      <c r="I319" s="28"/>
      <c r="J319" s="28"/>
      <c r="K319" s="28"/>
      <c r="L319" s="28"/>
      <c r="M319" s="28"/>
      <c r="N319" s="26"/>
      <c r="O319" s="29"/>
      <c r="P319" s="27"/>
      <c r="Q319" s="26"/>
      <c r="R319" s="29"/>
      <c r="S319" s="28"/>
      <c r="T319" s="29"/>
      <c r="U319" s="28"/>
      <c r="V319" s="28"/>
      <c r="W319" s="28"/>
      <c r="X319" s="28"/>
      <c r="Y319" s="26"/>
      <c r="Z319" s="29"/>
      <c r="AA319" s="28"/>
      <c r="AB319" s="26"/>
      <c r="AC319" s="29"/>
      <c r="AD319" s="25"/>
      <c r="AE319" s="29"/>
      <c r="AF319" s="25"/>
      <c r="AG319" s="25"/>
      <c r="AH319" s="25"/>
      <c r="AI319" s="25"/>
      <c r="AJ319" s="26"/>
      <c r="AK319" s="29"/>
      <c r="AL319" s="28"/>
      <c r="AM319" s="26"/>
      <c r="AN319" s="29"/>
      <c r="AO319" s="25"/>
      <c r="AP319" s="29"/>
      <c r="AQ319" s="25"/>
      <c r="AR319" s="25"/>
      <c r="AS319" s="25"/>
      <c r="AT319" s="25"/>
      <c r="AU319" s="26"/>
      <c r="AV319" s="26"/>
      <c r="AW319" s="26"/>
      <c r="AX319" s="26"/>
      <c r="AY319" s="26"/>
      <c r="AZ319" s="26"/>
      <c r="BA319" s="26"/>
    </row>
    <row r="320">
      <c r="A320" s="26"/>
      <c r="B320" s="26"/>
      <c r="C320" s="26"/>
      <c r="D320" s="27"/>
      <c r="E320" s="27"/>
      <c r="F320" s="26"/>
      <c r="G320" s="28"/>
      <c r="H320" s="28"/>
      <c r="I320" s="28"/>
      <c r="J320" s="28"/>
      <c r="K320" s="28"/>
      <c r="L320" s="28"/>
      <c r="M320" s="28"/>
      <c r="N320" s="26"/>
      <c r="O320" s="29"/>
      <c r="P320" s="27"/>
      <c r="Q320" s="26"/>
      <c r="R320" s="29"/>
      <c r="S320" s="28"/>
      <c r="T320" s="29"/>
      <c r="U320" s="28"/>
      <c r="V320" s="28"/>
      <c r="W320" s="28"/>
      <c r="X320" s="28"/>
      <c r="Y320" s="26"/>
      <c r="Z320" s="29"/>
      <c r="AA320" s="28"/>
      <c r="AB320" s="26"/>
      <c r="AC320" s="29"/>
      <c r="AD320" s="25"/>
      <c r="AE320" s="29"/>
      <c r="AF320" s="25"/>
      <c r="AG320" s="25"/>
      <c r="AH320" s="25"/>
      <c r="AI320" s="25"/>
      <c r="AJ320" s="26"/>
      <c r="AK320" s="29"/>
      <c r="AL320" s="28"/>
      <c r="AM320" s="26"/>
      <c r="AN320" s="29"/>
      <c r="AO320" s="25"/>
      <c r="AP320" s="29"/>
      <c r="AQ320" s="25"/>
      <c r="AR320" s="25"/>
      <c r="AS320" s="25"/>
      <c r="AT320" s="25"/>
      <c r="AU320" s="26"/>
      <c r="AV320" s="26"/>
      <c r="AW320" s="26"/>
      <c r="AX320" s="26"/>
      <c r="AY320" s="26"/>
      <c r="AZ320" s="26"/>
      <c r="BA320" s="26"/>
    </row>
    <row r="321">
      <c r="A321" s="26"/>
      <c r="B321" s="26"/>
      <c r="C321" s="26"/>
      <c r="D321" s="27"/>
      <c r="E321" s="27"/>
      <c r="F321" s="26"/>
      <c r="G321" s="28"/>
      <c r="H321" s="28"/>
      <c r="I321" s="28"/>
      <c r="J321" s="28"/>
      <c r="K321" s="28"/>
      <c r="L321" s="28"/>
      <c r="M321" s="28"/>
      <c r="N321" s="26"/>
      <c r="O321" s="29"/>
      <c r="P321" s="27"/>
      <c r="Q321" s="26"/>
      <c r="R321" s="29"/>
      <c r="S321" s="28"/>
      <c r="T321" s="29"/>
      <c r="U321" s="28"/>
      <c r="V321" s="28"/>
      <c r="W321" s="28"/>
      <c r="X321" s="28"/>
      <c r="Y321" s="26"/>
      <c r="Z321" s="29"/>
      <c r="AA321" s="28"/>
      <c r="AB321" s="26"/>
      <c r="AC321" s="29"/>
      <c r="AD321" s="25"/>
      <c r="AE321" s="29"/>
      <c r="AF321" s="25"/>
      <c r="AG321" s="25"/>
      <c r="AH321" s="25"/>
      <c r="AI321" s="25"/>
      <c r="AJ321" s="26"/>
      <c r="AK321" s="29"/>
      <c r="AL321" s="28"/>
      <c r="AM321" s="26"/>
      <c r="AN321" s="29"/>
      <c r="AO321" s="25"/>
      <c r="AP321" s="29"/>
      <c r="AQ321" s="25"/>
      <c r="AR321" s="25"/>
      <c r="AS321" s="25"/>
      <c r="AT321" s="25"/>
      <c r="AU321" s="26"/>
      <c r="AV321" s="26"/>
      <c r="AW321" s="26"/>
      <c r="AX321" s="26"/>
      <c r="AY321" s="26"/>
      <c r="AZ321" s="26"/>
      <c r="BA321" s="26"/>
    </row>
    <row r="322">
      <c r="A322" s="26"/>
      <c r="B322" s="26"/>
      <c r="C322" s="26"/>
      <c r="D322" s="27"/>
      <c r="E322" s="27"/>
      <c r="F322" s="26"/>
      <c r="G322" s="28"/>
      <c r="H322" s="28"/>
      <c r="I322" s="28"/>
      <c r="J322" s="28"/>
      <c r="K322" s="28"/>
      <c r="L322" s="28"/>
      <c r="M322" s="28"/>
      <c r="N322" s="26"/>
      <c r="O322" s="29"/>
      <c r="P322" s="27"/>
      <c r="Q322" s="26"/>
      <c r="R322" s="29"/>
      <c r="S322" s="28"/>
      <c r="T322" s="29"/>
      <c r="U322" s="28"/>
      <c r="V322" s="28"/>
      <c r="W322" s="28"/>
      <c r="X322" s="28"/>
      <c r="Y322" s="26"/>
      <c r="Z322" s="29"/>
      <c r="AA322" s="28"/>
      <c r="AB322" s="26"/>
      <c r="AC322" s="29"/>
      <c r="AD322" s="25"/>
      <c r="AE322" s="29"/>
      <c r="AF322" s="25"/>
      <c r="AG322" s="25"/>
      <c r="AH322" s="25"/>
      <c r="AI322" s="25"/>
      <c r="AJ322" s="26"/>
      <c r="AK322" s="29"/>
      <c r="AL322" s="28"/>
      <c r="AM322" s="26"/>
      <c r="AN322" s="29"/>
      <c r="AO322" s="25"/>
      <c r="AP322" s="29"/>
      <c r="AQ322" s="25"/>
      <c r="AR322" s="25"/>
      <c r="AS322" s="25"/>
      <c r="AT322" s="25"/>
      <c r="AU322" s="26"/>
      <c r="AV322" s="26"/>
      <c r="AW322" s="26"/>
      <c r="AX322" s="26"/>
      <c r="AY322" s="26"/>
      <c r="AZ322" s="26"/>
      <c r="BA322" s="26"/>
    </row>
    <row r="323">
      <c r="A323" s="26"/>
      <c r="B323" s="26"/>
      <c r="C323" s="26"/>
      <c r="D323" s="27"/>
      <c r="E323" s="27"/>
      <c r="F323" s="26"/>
      <c r="G323" s="28"/>
      <c r="H323" s="28"/>
      <c r="I323" s="28"/>
      <c r="J323" s="28"/>
      <c r="K323" s="28"/>
      <c r="L323" s="28"/>
      <c r="M323" s="28"/>
      <c r="N323" s="26"/>
      <c r="O323" s="29"/>
      <c r="P323" s="27"/>
      <c r="Q323" s="26"/>
      <c r="R323" s="29"/>
      <c r="S323" s="28"/>
      <c r="T323" s="29"/>
      <c r="U323" s="28"/>
      <c r="V323" s="28"/>
      <c r="W323" s="28"/>
      <c r="X323" s="28"/>
      <c r="Y323" s="26"/>
      <c r="Z323" s="29"/>
      <c r="AA323" s="28"/>
      <c r="AB323" s="26"/>
      <c r="AC323" s="29"/>
      <c r="AD323" s="25"/>
      <c r="AE323" s="29"/>
      <c r="AF323" s="25"/>
      <c r="AG323" s="25"/>
      <c r="AH323" s="25"/>
      <c r="AI323" s="25"/>
      <c r="AJ323" s="26"/>
      <c r="AK323" s="29"/>
      <c r="AL323" s="28"/>
      <c r="AM323" s="26"/>
      <c r="AN323" s="29"/>
      <c r="AO323" s="25"/>
      <c r="AP323" s="29"/>
      <c r="AQ323" s="25"/>
      <c r="AR323" s="25"/>
      <c r="AS323" s="25"/>
      <c r="AT323" s="25"/>
      <c r="AU323" s="26"/>
      <c r="AV323" s="26"/>
      <c r="AW323" s="26"/>
      <c r="AX323" s="26"/>
      <c r="AY323" s="26"/>
      <c r="AZ323" s="26"/>
      <c r="BA323" s="26"/>
    </row>
    <row r="324">
      <c r="A324" s="26"/>
      <c r="B324" s="26"/>
      <c r="C324" s="26"/>
      <c r="D324" s="27"/>
      <c r="E324" s="27"/>
      <c r="F324" s="26"/>
      <c r="G324" s="28"/>
      <c r="H324" s="28"/>
      <c r="I324" s="28"/>
      <c r="J324" s="28"/>
      <c r="K324" s="28"/>
      <c r="L324" s="28"/>
      <c r="M324" s="28"/>
      <c r="N324" s="26"/>
      <c r="O324" s="29"/>
      <c r="P324" s="27"/>
      <c r="Q324" s="26"/>
      <c r="R324" s="29"/>
      <c r="S324" s="28"/>
      <c r="T324" s="29"/>
      <c r="U324" s="28"/>
      <c r="V324" s="28"/>
      <c r="W324" s="28"/>
      <c r="X324" s="28"/>
      <c r="Y324" s="26"/>
      <c r="Z324" s="29"/>
      <c r="AA324" s="28"/>
      <c r="AB324" s="26"/>
      <c r="AC324" s="29"/>
      <c r="AD324" s="25"/>
      <c r="AE324" s="29"/>
      <c r="AF324" s="25"/>
      <c r="AG324" s="25"/>
      <c r="AH324" s="25"/>
      <c r="AI324" s="25"/>
      <c r="AJ324" s="26"/>
      <c r="AK324" s="29"/>
      <c r="AL324" s="28"/>
      <c r="AM324" s="26"/>
      <c r="AN324" s="29"/>
      <c r="AO324" s="25"/>
      <c r="AP324" s="29"/>
      <c r="AQ324" s="25"/>
      <c r="AR324" s="25"/>
      <c r="AS324" s="25"/>
      <c r="AT324" s="25"/>
      <c r="AU324" s="26"/>
      <c r="AV324" s="26"/>
      <c r="AW324" s="26"/>
      <c r="AX324" s="26"/>
      <c r="AY324" s="26"/>
      <c r="AZ324" s="26"/>
      <c r="BA324" s="26"/>
    </row>
    <row r="325">
      <c r="A325" s="26"/>
      <c r="B325" s="26"/>
      <c r="C325" s="26"/>
      <c r="D325" s="27"/>
      <c r="E325" s="27"/>
      <c r="F325" s="26"/>
      <c r="G325" s="28"/>
      <c r="H325" s="28"/>
      <c r="I325" s="28"/>
      <c r="J325" s="28"/>
      <c r="K325" s="28"/>
      <c r="L325" s="28"/>
      <c r="M325" s="28"/>
      <c r="N325" s="26"/>
      <c r="O325" s="29"/>
      <c r="P325" s="27"/>
      <c r="Q325" s="26"/>
      <c r="R325" s="29"/>
      <c r="S325" s="28"/>
      <c r="T325" s="29"/>
      <c r="U325" s="28"/>
      <c r="V325" s="28"/>
      <c r="W325" s="28"/>
      <c r="X325" s="28"/>
      <c r="Y325" s="26"/>
      <c r="Z325" s="29"/>
      <c r="AA325" s="28"/>
      <c r="AB325" s="26"/>
      <c r="AC325" s="29"/>
      <c r="AD325" s="25"/>
      <c r="AE325" s="29"/>
      <c r="AF325" s="25"/>
      <c r="AG325" s="25"/>
      <c r="AH325" s="25"/>
      <c r="AI325" s="25"/>
      <c r="AJ325" s="26"/>
      <c r="AK325" s="29"/>
      <c r="AL325" s="28"/>
      <c r="AM325" s="26"/>
      <c r="AN325" s="29"/>
      <c r="AO325" s="25"/>
      <c r="AP325" s="29"/>
      <c r="AQ325" s="25"/>
      <c r="AR325" s="25"/>
      <c r="AS325" s="25"/>
      <c r="AT325" s="25"/>
      <c r="AU325" s="26"/>
      <c r="AV325" s="26"/>
      <c r="AW325" s="26"/>
      <c r="AX325" s="26"/>
      <c r="AY325" s="26"/>
      <c r="AZ325" s="26"/>
      <c r="BA325" s="26"/>
    </row>
    <row r="326">
      <c r="A326" s="26"/>
      <c r="B326" s="26"/>
      <c r="C326" s="26"/>
      <c r="D326" s="27"/>
      <c r="E326" s="27"/>
      <c r="F326" s="26"/>
      <c r="G326" s="28"/>
      <c r="H326" s="28"/>
      <c r="I326" s="28"/>
      <c r="J326" s="28"/>
      <c r="K326" s="28"/>
      <c r="L326" s="28"/>
      <c r="M326" s="28"/>
      <c r="N326" s="26"/>
      <c r="O326" s="29"/>
      <c r="P326" s="27"/>
      <c r="Q326" s="26"/>
      <c r="R326" s="29"/>
      <c r="S326" s="28"/>
      <c r="T326" s="29"/>
      <c r="U326" s="28"/>
      <c r="V326" s="28"/>
      <c r="W326" s="28"/>
      <c r="X326" s="28"/>
      <c r="Y326" s="26"/>
      <c r="Z326" s="29"/>
      <c r="AA326" s="28"/>
      <c r="AB326" s="26"/>
      <c r="AC326" s="29"/>
      <c r="AD326" s="25"/>
      <c r="AE326" s="29"/>
      <c r="AF326" s="25"/>
      <c r="AG326" s="25"/>
      <c r="AH326" s="25"/>
      <c r="AI326" s="25"/>
      <c r="AJ326" s="26"/>
      <c r="AK326" s="29"/>
      <c r="AL326" s="28"/>
      <c r="AM326" s="26"/>
      <c r="AN326" s="29"/>
      <c r="AO326" s="25"/>
      <c r="AP326" s="29"/>
      <c r="AQ326" s="25"/>
      <c r="AR326" s="25"/>
      <c r="AS326" s="25"/>
      <c r="AT326" s="25"/>
      <c r="AU326" s="26"/>
      <c r="AV326" s="26"/>
      <c r="AW326" s="26"/>
      <c r="AX326" s="26"/>
      <c r="AY326" s="26"/>
      <c r="AZ326" s="26"/>
      <c r="BA326" s="26"/>
    </row>
    <row r="327">
      <c r="A327" s="26"/>
      <c r="B327" s="26"/>
      <c r="C327" s="26"/>
      <c r="D327" s="27"/>
      <c r="E327" s="27"/>
      <c r="F327" s="26"/>
      <c r="G327" s="28"/>
      <c r="H327" s="28"/>
      <c r="I327" s="28"/>
      <c r="J327" s="28"/>
      <c r="K327" s="28"/>
      <c r="L327" s="28"/>
      <c r="M327" s="28"/>
      <c r="N327" s="26"/>
      <c r="O327" s="29"/>
      <c r="P327" s="27"/>
      <c r="Q327" s="26"/>
      <c r="R327" s="29"/>
      <c r="S327" s="28"/>
      <c r="T327" s="29"/>
      <c r="U327" s="28"/>
      <c r="V327" s="28"/>
      <c r="W327" s="28"/>
      <c r="X327" s="28"/>
      <c r="Y327" s="26"/>
      <c r="Z327" s="29"/>
      <c r="AA327" s="28"/>
      <c r="AB327" s="26"/>
      <c r="AC327" s="29"/>
      <c r="AD327" s="25"/>
      <c r="AE327" s="29"/>
      <c r="AF327" s="25"/>
      <c r="AG327" s="25"/>
      <c r="AH327" s="25"/>
      <c r="AI327" s="25"/>
      <c r="AJ327" s="26"/>
      <c r="AK327" s="29"/>
      <c r="AL327" s="28"/>
      <c r="AM327" s="26"/>
      <c r="AN327" s="29"/>
      <c r="AO327" s="25"/>
      <c r="AP327" s="29"/>
      <c r="AQ327" s="25"/>
      <c r="AR327" s="25"/>
      <c r="AS327" s="25"/>
      <c r="AT327" s="25"/>
      <c r="AU327" s="26"/>
      <c r="AV327" s="26"/>
      <c r="AW327" s="26"/>
      <c r="AX327" s="26"/>
      <c r="AY327" s="26"/>
      <c r="AZ327" s="26"/>
      <c r="BA327" s="26"/>
    </row>
    <row r="328">
      <c r="A328" s="26"/>
      <c r="B328" s="26"/>
      <c r="C328" s="26"/>
      <c r="D328" s="27"/>
      <c r="E328" s="27"/>
      <c r="F328" s="26"/>
      <c r="G328" s="28"/>
      <c r="H328" s="28"/>
      <c r="I328" s="28"/>
      <c r="J328" s="28"/>
      <c r="K328" s="28"/>
      <c r="L328" s="28"/>
      <c r="M328" s="28"/>
      <c r="N328" s="26"/>
      <c r="O328" s="29"/>
      <c r="P328" s="27"/>
      <c r="Q328" s="26"/>
      <c r="R328" s="29"/>
      <c r="S328" s="28"/>
      <c r="T328" s="29"/>
      <c r="U328" s="28"/>
      <c r="V328" s="28"/>
      <c r="W328" s="28"/>
      <c r="X328" s="28"/>
      <c r="Y328" s="26"/>
      <c r="Z328" s="29"/>
      <c r="AA328" s="28"/>
      <c r="AB328" s="26"/>
      <c r="AC328" s="29"/>
      <c r="AD328" s="25"/>
      <c r="AE328" s="29"/>
      <c r="AF328" s="25"/>
      <c r="AG328" s="25"/>
      <c r="AH328" s="25"/>
      <c r="AI328" s="25"/>
      <c r="AJ328" s="26"/>
      <c r="AK328" s="29"/>
      <c r="AL328" s="28"/>
      <c r="AM328" s="26"/>
      <c r="AN328" s="29"/>
      <c r="AO328" s="25"/>
      <c r="AP328" s="29"/>
      <c r="AQ328" s="25"/>
      <c r="AR328" s="25"/>
      <c r="AS328" s="25"/>
      <c r="AT328" s="25"/>
      <c r="AU328" s="26"/>
      <c r="AV328" s="26"/>
      <c r="AW328" s="26"/>
      <c r="AX328" s="26"/>
      <c r="AY328" s="26"/>
      <c r="AZ328" s="26"/>
      <c r="BA328" s="26"/>
    </row>
    <row r="329">
      <c r="A329" s="26"/>
      <c r="B329" s="26"/>
      <c r="C329" s="26"/>
      <c r="D329" s="27"/>
      <c r="E329" s="27"/>
      <c r="F329" s="26"/>
      <c r="G329" s="28"/>
      <c r="H329" s="28"/>
      <c r="I329" s="28"/>
      <c r="J329" s="28"/>
      <c r="K329" s="28"/>
      <c r="L329" s="28"/>
      <c r="M329" s="28"/>
      <c r="N329" s="26"/>
      <c r="O329" s="29"/>
      <c r="P329" s="27"/>
      <c r="Q329" s="26"/>
      <c r="R329" s="29"/>
      <c r="S329" s="28"/>
      <c r="T329" s="29"/>
      <c r="U329" s="28"/>
      <c r="V329" s="28"/>
      <c r="W329" s="28"/>
      <c r="X329" s="28"/>
      <c r="Y329" s="26"/>
      <c r="Z329" s="29"/>
      <c r="AA329" s="28"/>
      <c r="AB329" s="26"/>
      <c r="AC329" s="29"/>
      <c r="AD329" s="25"/>
      <c r="AE329" s="29"/>
      <c r="AF329" s="25"/>
      <c r="AG329" s="25"/>
      <c r="AH329" s="25"/>
      <c r="AI329" s="25"/>
      <c r="AJ329" s="26"/>
      <c r="AK329" s="29"/>
      <c r="AL329" s="28"/>
      <c r="AM329" s="26"/>
      <c r="AN329" s="29"/>
      <c r="AO329" s="25"/>
      <c r="AP329" s="29"/>
      <c r="AQ329" s="25"/>
      <c r="AR329" s="25"/>
      <c r="AS329" s="25"/>
      <c r="AT329" s="25"/>
      <c r="AU329" s="26"/>
      <c r="AV329" s="26"/>
      <c r="AW329" s="26"/>
      <c r="AX329" s="26"/>
      <c r="AY329" s="26"/>
      <c r="AZ329" s="26"/>
      <c r="BA329" s="26"/>
    </row>
    <row r="330">
      <c r="A330" s="26"/>
      <c r="B330" s="26"/>
      <c r="C330" s="26"/>
      <c r="D330" s="27"/>
      <c r="E330" s="27"/>
      <c r="F330" s="26"/>
      <c r="G330" s="28"/>
      <c r="H330" s="28"/>
      <c r="I330" s="28"/>
      <c r="J330" s="28"/>
      <c r="K330" s="28"/>
      <c r="L330" s="28"/>
      <c r="M330" s="28"/>
      <c r="N330" s="26"/>
      <c r="O330" s="29"/>
      <c r="P330" s="27"/>
      <c r="Q330" s="26"/>
      <c r="R330" s="29"/>
      <c r="S330" s="28"/>
      <c r="T330" s="29"/>
      <c r="U330" s="28"/>
      <c r="V330" s="28"/>
      <c r="W330" s="28"/>
      <c r="X330" s="28"/>
      <c r="Y330" s="26"/>
      <c r="Z330" s="29"/>
      <c r="AA330" s="28"/>
      <c r="AB330" s="26"/>
      <c r="AC330" s="29"/>
      <c r="AD330" s="25"/>
      <c r="AE330" s="29"/>
      <c r="AF330" s="25"/>
      <c r="AG330" s="25"/>
      <c r="AH330" s="25"/>
      <c r="AI330" s="25"/>
      <c r="AJ330" s="26"/>
      <c r="AK330" s="29"/>
      <c r="AL330" s="28"/>
      <c r="AM330" s="26"/>
      <c r="AN330" s="29"/>
      <c r="AO330" s="25"/>
      <c r="AP330" s="29"/>
      <c r="AQ330" s="25"/>
      <c r="AR330" s="25"/>
      <c r="AS330" s="25"/>
      <c r="AT330" s="25"/>
      <c r="AU330" s="26"/>
      <c r="AV330" s="26"/>
      <c r="AW330" s="26"/>
      <c r="AX330" s="26"/>
      <c r="AY330" s="26"/>
      <c r="AZ330" s="26"/>
      <c r="BA330" s="26"/>
    </row>
    <row r="331">
      <c r="A331" s="26"/>
      <c r="B331" s="26"/>
      <c r="C331" s="26"/>
      <c r="D331" s="27"/>
      <c r="E331" s="27"/>
      <c r="F331" s="26"/>
      <c r="G331" s="28"/>
      <c r="H331" s="28"/>
      <c r="I331" s="28"/>
      <c r="J331" s="28"/>
      <c r="K331" s="28"/>
      <c r="L331" s="28"/>
      <c r="M331" s="28"/>
      <c r="N331" s="26"/>
      <c r="O331" s="29"/>
      <c r="P331" s="27"/>
      <c r="Q331" s="26"/>
      <c r="R331" s="29"/>
      <c r="S331" s="28"/>
      <c r="T331" s="29"/>
      <c r="U331" s="28"/>
      <c r="V331" s="28"/>
      <c r="W331" s="28"/>
      <c r="X331" s="28"/>
      <c r="Y331" s="26"/>
      <c r="Z331" s="29"/>
      <c r="AA331" s="28"/>
      <c r="AB331" s="26"/>
      <c r="AC331" s="29"/>
      <c r="AD331" s="25"/>
      <c r="AE331" s="29"/>
      <c r="AF331" s="25"/>
      <c r="AG331" s="25"/>
      <c r="AH331" s="25"/>
      <c r="AI331" s="25"/>
      <c r="AJ331" s="26"/>
      <c r="AK331" s="29"/>
      <c r="AL331" s="28"/>
      <c r="AM331" s="26"/>
      <c r="AN331" s="29"/>
      <c r="AO331" s="25"/>
      <c r="AP331" s="29"/>
      <c r="AQ331" s="25"/>
      <c r="AR331" s="25"/>
      <c r="AS331" s="25"/>
      <c r="AT331" s="25"/>
      <c r="AU331" s="26"/>
      <c r="AV331" s="26"/>
      <c r="AW331" s="26"/>
      <c r="AX331" s="26"/>
      <c r="AY331" s="26"/>
      <c r="AZ331" s="26"/>
      <c r="BA331" s="26"/>
    </row>
    <row r="332">
      <c r="A332" s="26"/>
      <c r="B332" s="26"/>
      <c r="C332" s="26"/>
      <c r="D332" s="27"/>
      <c r="E332" s="27"/>
      <c r="F332" s="26"/>
      <c r="G332" s="28"/>
      <c r="H332" s="28"/>
      <c r="I332" s="28"/>
      <c r="J332" s="28"/>
      <c r="K332" s="28"/>
      <c r="L332" s="28"/>
      <c r="M332" s="28"/>
      <c r="N332" s="26"/>
      <c r="O332" s="29"/>
      <c r="P332" s="27"/>
      <c r="Q332" s="26"/>
      <c r="R332" s="29"/>
      <c r="S332" s="28"/>
      <c r="T332" s="29"/>
      <c r="U332" s="28"/>
      <c r="V332" s="28"/>
      <c r="W332" s="28"/>
      <c r="X332" s="28"/>
      <c r="Y332" s="26"/>
      <c r="Z332" s="29"/>
      <c r="AA332" s="28"/>
      <c r="AB332" s="26"/>
      <c r="AC332" s="29"/>
      <c r="AD332" s="25"/>
      <c r="AE332" s="29"/>
      <c r="AF332" s="25"/>
      <c r="AG332" s="25"/>
      <c r="AH332" s="25"/>
      <c r="AI332" s="25"/>
      <c r="AJ332" s="26"/>
      <c r="AK332" s="29"/>
      <c r="AL332" s="28"/>
      <c r="AM332" s="26"/>
      <c r="AN332" s="29"/>
      <c r="AO332" s="25"/>
      <c r="AP332" s="29"/>
      <c r="AQ332" s="25"/>
      <c r="AR332" s="25"/>
      <c r="AS332" s="25"/>
      <c r="AT332" s="25"/>
      <c r="AU332" s="26"/>
      <c r="AV332" s="26"/>
      <c r="AW332" s="26"/>
      <c r="AX332" s="26"/>
      <c r="AY332" s="26"/>
      <c r="AZ332" s="26"/>
      <c r="BA332" s="26"/>
    </row>
    <row r="333">
      <c r="A333" s="26"/>
      <c r="B333" s="26"/>
      <c r="C333" s="26"/>
      <c r="D333" s="27"/>
      <c r="E333" s="27"/>
      <c r="F333" s="26"/>
      <c r="G333" s="28"/>
      <c r="H333" s="28"/>
      <c r="I333" s="28"/>
      <c r="J333" s="28"/>
      <c r="K333" s="28"/>
      <c r="L333" s="28"/>
      <c r="M333" s="28"/>
      <c r="N333" s="26"/>
      <c r="O333" s="29"/>
      <c r="P333" s="27"/>
      <c r="Q333" s="26"/>
      <c r="R333" s="29"/>
      <c r="S333" s="28"/>
      <c r="T333" s="29"/>
      <c r="U333" s="28"/>
      <c r="V333" s="28"/>
      <c r="W333" s="28"/>
      <c r="X333" s="28"/>
      <c r="Y333" s="26"/>
      <c r="Z333" s="29"/>
      <c r="AA333" s="28"/>
      <c r="AB333" s="26"/>
      <c r="AC333" s="29"/>
      <c r="AD333" s="25"/>
      <c r="AE333" s="29"/>
      <c r="AF333" s="25"/>
      <c r="AG333" s="25"/>
      <c r="AH333" s="25"/>
      <c r="AI333" s="25"/>
      <c r="AJ333" s="26"/>
      <c r="AK333" s="29"/>
      <c r="AL333" s="28"/>
      <c r="AM333" s="26"/>
      <c r="AN333" s="29"/>
      <c r="AO333" s="25"/>
      <c r="AP333" s="29"/>
      <c r="AQ333" s="25"/>
      <c r="AR333" s="25"/>
      <c r="AS333" s="25"/>
      <c r="AT333" s="25"/>
      <c r="AU333" s="26"/>
      <c r="AV333" s="26"/>
      <c r="AW333" s="26"/>
      <c r="AX333" s="26"/>
      <c r="AY333" s="26"/>
      <c r="AZ333" s="26"/>
      <c r="BA333" s="26"/>
    </row>
    <row r="334">
      <c r="A334" s="26"/>
      <c r="B334" s="26"/>
      <c r="C334" s="26"/>
      <c r="D334" s="27"/>
      <c r="E334" s="27"/>
      <c r="F334" s="26"/>
      <c r="G334" s="28"/>
      <c r="H334" s="28"/>
      <c r="I334" s="28"/>
      <c r="J334" s="28"/>
      <c r="K334" s="28"/>
      <c r="L334" s="28"/>
      <c r="M334" s="28"/>
      <c r="N334" s="26"/>
      <c r="O334" s="29"/>
      <c r="P334" s="27"/>
      <c r="Q334" s="26"/>
      <c r="R334" s="29"/>
      <c r="S334" s="28"/>
      <c r="T334" s="29"/>
      <c r="U334" s="28"/>
      <c r="V334" s="28"/>
      <c r="W334" s="28"/>
      <c r="X334" s="28"/>
      <c r="Y334" s="26"/>
      <c r="Z334" s="29"/>
      <c r="AA334" s="28"/>
      <c r="AB334" s="26"/>
      <c r="AC334" s="29"/>
      <c r="AD334" s="25"/>
      <c r="AE334" s="29"/>
      <c r="AF334" s="25"/>
      <c r="AG334" s="25"/>
      <c r="AH334" s="25"/>
      <c r="AI334" s="25"/>
      <c r="AJ334" s="26"/>
      <c r="AK334" s="29"/>
      <c r="AL334" s="28"/>
      <c r="AM334" s="26"/>
      <c r="AN334" s="29"/>
      <c r="AO334" s="25"/>
      <c r="AP334" s="29"/>
      <c r="AQ334" s="25"/>
      <c r="AR334" s="25"/>
      <c r="AS334" s="25"/>
      <c r="AT334" s="25"/>
      <c r="AU334" s="26"/>
      <c r="AV334" s="26"/>
      <c r="AW334" s="26"/>
      <c r="AX334" s="26"/>
      <c r="AY334" s="26"/>
      <c r="AZ334" s="26"/>
      <c r="BA334" s="26"/>
    </row>
    <row r="335">
      <c r="A335" s="26"/>
      <c r="B335" s="26"/>
      <c r="C335" s="26"/>
      <c r="D335" s="27"/>
      <c r="E335" s="27"/>
      <c r="F335" s="26"/>
      <c r="G335" s="28"/>
      <c r="H335" s="28"/>
      <c r="I335" s="28"/>
      <c r="J335" s="28"/>
      <c r="K335" s="28"/>
      <c r="L335" s="28"/>
      <c r="M335" s="28"/>
      <c r="N335" s="26"/>
      <c r="O335" s="29"/>
      <c r="P335" s="27"/>
      <c r="Q335" s="26"/>
      <c r="R335" s="29"/>
      <c r="S335" s="28"/>
      <c r="T335" s="29"/>
      <c r="U335" s="28"/>
      <c r="V335" s="28"/>
      <c r="W335" s="28"/>
      <c r="X335" s="28"/>
      <c r="Y335" s="26"/>
      <c r="Z335" s="29"/>
      <c r="AA335" s="28"/>
      <c r="AB335" s="26"/>
      <c r="AC335" s="29"/>
      <c r="AD335" s="25"/>
      <c r="AE335" s="29"/>
      <c r="AF335" s="25"/>
      <c r="AG335" s="25"/>
      <c r="AH335" s="25"/>
      <c r="AI335" s="25"/>
      <c r="AJ335" s="26"/>
      <c r="AK335" s="29"/>
      <c r="AL335" s="28"/>
      <c r="AM335" s="26"/>
      <c r="AN335" s="29"/>
      <c r="AO335" s="25"/>
      <c r="AP335" s="29"/>
      <c r="AQ335" s="25"/>
      <c r="AR335" s="25"/>
      <c r="AS335" s="25"/>
      <c r="AT335" s="25"/>
      <c r="AU335" s="26"/>
      <c r="AV335" s="26"/>
      <c r="AW335" s="26"/>
      <c r="AX335" s="26"/>
      <c r="AY335" s="26"/>
      <c r="AZ335" s="26"/>
      <c r="BA335" s="26"/>
    </row>
    <row r="336">
      <c r="A336" s="26"/>
      <c r="B336" s="26"/>
      <c r="C336" s="26"/>
      <c r="D336" s="27"/>
      <c r="E336" s="27"/>
      <c r="F336" s="26"/>
      <c r="G336" s="28"/>
      <c r="H336" s="28"/>
      <c r="I336" s="28"/>
      <c r="J336" s="28"/>
      <c r="K336" s="28"/>
      <c r="L336" s="28"/>
      <c r="M336" s="28"/>
      <c r="N336" s="26"/>
      <c r="O336" s="29"/>
      <c r="P336" s="27"/>
      <c r="Q336" s="26"/>
      <c r="R336" s="29"/>
      <c r="S336" s="28"/>
      <c r="T336" s="29"/>
      <c r="U336" s="28"/>
      <c r="V336" s="28"/>
      <c r="W336" s="28"/>
      <c r="X336" s="28"/>
      <c r="Y336" s="26"/>
      <c r="Z336" s="29"/>
      <c r="AA336" s="28"/>
      <c r="AB336" s="26"/>
      <c r="AC336" s="29"/>
      <c r="AD336" s="25"/>
      <c r="AE336" s="29"/>
      <c r="AF336" s="25"/>
      <c r="AG336" s="25"/>
      <c r="AH336" s="25"/>
      <c r="AI336" s="25"/>
      <c r="AJ336" s="26"/>
      <c r="AK336" s="29"/>
      <c r="AL336" s="28"/>
      <c r="AM336" s="26"/>
      <c r="AN336" s="29"/>
      <c r="AO336" s="25"/>
      <c r="AP336" s="29"/>
      <c r="AQ336" s="25"/>
      <c r="AR336" s="25"/>
      <c r="AS336" s="25"/>
      <c r="AT336" s="25"/>
      <c r="AU336" s="26"/>
      <c r="AV336" s="26"/>
      <c r="AW336" s="26"/>
      <c r="AX336" s="26"/>
      <c r="AY336" s="26"/>
      <c r="AZ336" s="26"/>
      <c r="BA336" s="26"/>
    </row>
    <row r="337">
      <c r="A337" s="26"/>
      <c r="B337" s="26"/>
      <c r="C337" s="26"/>
      <c r="D337" s="27"/>
      <c r="E337" s="27"/>
      <c r="F337" s="26"/>
      <c r="G337" s="28"/>
      <c r="H337" s="28"/>
      <c r="I337" s="28"/>
      <c r="J337" s="28"/>
      <c r="K337" s="28"/>
      <c r="L337" s="28"/>
      <c r="M337" s="28"/>
      <c r="N337" s="26"/>
      <c r="O337" s="29"/>
      <c r="P337" s="27"/>
      <c r="Q337" s="26"/>
      <c r="R337" s="29"/>
      <c r="S337" s="28"/>
      <c r="T337" s="29"/>
      <c r="U337" s="28"/>
      <c r="V337" s="28"/>
      <c r="W337" s="28"/>
      <c r="X337" s="28"/>
      <c r="Y337" s="26"/>
      <c r="Z337" s="29"/>
      <c r="AA337" s="28"/>
      <c r="AB337" s="26"/>
      <c r="AC337" s="29"/>
      <c r="AD337" s="25"/>
      <c r="AE337" s="29"/>
      <c r="AF337" s="25"/>
      <c r="AG337" s="25"/>
      <c r="AH337" s="25"/>
      <c r="AI337" s="25"/>
      <c r="AJ337" s="26"/>
      <c r="AK337" s="29"/>
      <c r="AL337" s="28"/>
      <c r="AM337" s="26"/>
      <c r="AN337" s="29"/>
      <c r="AO337" s="25"/>
      <c r="AP337" s="29"/>
      <c r="AQ337" s="25"/>
      <c r="AR337" s="25"/>
      <c r="AS337" s="25"/>
      <c r="AT337" s="25"/>
      <c r="AU337" s="26"/>
      <c r="AV337" s="26"/>
      <c r="AW337" s="26"/>
      <c r="AX337" s="26"/>
      <c r="AY337" s="26"/>
      <c r="AZ337" s="26"/>
      <c r="BA337" s="26"/>
    </row>
    <row r="338">
      <c r="A338" s="26"/>
      <c r="B338" s="26"/>
      <c r="C338" s="26"/>
      <c r="D338" s="27"/>
      <c r="E338" s="27"/>
      <c r="F338" s="26"/>
      <c r="G338" s="28"/>
      <c r="H338" s="28"/>
      <c r="I338" s="28"/>
      <c r="J338" s="28"/>
      <c r="K338" s="28"/>
      <c r="L338" s="28"/>
      <c r="M338" s="28"/>
      <c r="N338" s="26"/>
      <c r="O338" s="29"/>
      <c r="P338" s="27"/>
      <c r="Q338" s="26"/>
      <c r="R338" s="29"/>
      <c r="S338" s="28"/>
      <c r="T338" s="29"/>
      <c r="U338" s="28"/>
      <c r="V338" s="28"/>
      <c r="W338" s="28"/>
      <c r="X338" s="28"/>
      <c r="Y338" s="26"/>
      <c r="Z338" s="29"/>
      <c r="AA338" s="28"/>
      <c r="AB338" s="26"/>
      <c r="AC338" s="29"/>
      <c r="AD338" s="25"/>
      <c r="AE338" s="29"/>
      <c r="AF338" s="25"/>
      <c r="AG338" s="25"/>
      <c r="AH338" s="25"/>
      <c r="AI338" s="25"/>
      <c r="AJ338" s="26"/>
      <c r="AK338" s="29"/>
      <c r="AL338" s="28"/>
      <c r="AM338" s="26"/>
      <c r="AN338" s="29"/>
      <c r="AO338" s="25"/>
      <c r="AP338" s="29"/>
      <c r="AQ338" s="25"/>
      <c r="AR338" s="25"/>
      <c r="AS338" s="25"/>
      <c r="AT338" s="25"/>
      <c r="AU338" s="26"/>
      <c r="AV338" s="26"/>
      <c r="AW338" s="26"/>
      <c r="AX338" s="26"/>
      <c r="AY338" s="26"/>
      <c r="AZ338" s="26"/>
      <c r="BA338" s="26"/>
    </row>
    <row r="339">
      <c r="A339" s="26"/>
      <c r="B339" s="26"/>
      <c r="C339" s="26"/>
      <c r="D339" s="27"/>
      <c r="E339" s="27"/>
      <c r="F339" s="26"/>
      <c r="G339" s="28"/>
      <c r="H339" s="28"/>
      <c r="I339" s="28"/>
      <c r="J339" s="28"/>
      <c r="K339" s="28"/>
      <c r="L339" s="28"/>
      <c r="M339" s="28"/>
      <c r="N339" s="26"/>
      <c r="O339" s="29"/>
      <c r="P339" s="27"/>
      <c r="Q339" s="26"/>
      <c r="R339" s="29"/>
      <c r="S339" s="28"/>
      <c r="T339" s="29"/>
      <c r="U339" s="28"/>
      <c r="V339" s="28"/>
      <c r="W339" s="28"/>
      <c r="X339" s="28"/>
      <c r="Y339" s="26"/>
      <c r="Z339" s="29"/>
      <c r="AA339" s="28"/>
      <c r="AB339" s="26"/>
      <c r="AC339" s="29"/>
      <c r="AD339" s="25"/>
      <c r="AE339" s="29"/>
      <c r="AF339" s="25"/>
      <c r="AG339" s="25"/>
      <c r="AH339" s="25"/>
      <c r="AI339" s="25"/>
      <c r="AJ339" s="26"/>
      <c r="AK339" s="29"/>
      <c r="AL339" s="28"/>
      <c r="AM339" s="26"/>
      <c r="AN339" s="29"/>
      <c r="AO339" s="25"/>
      <c r="AP339" s="29"/>
      <c r="AQ339" s="25"/>
      <c r="AR339" s="25"/>
      <c r="AS339" s="25"/>
      <c r="AT339" s="25"/>
      <c r="AU339" s="26"/>
      <c r="AV339" s="26"/>
      <c r="AW339" s="26"/>
      <c r="AX339" s="26"/>
      <c r="AY339" s="26"/>
      <c r="AZ339" s="26"/>
      <c r="BA339" s="26"/>
    </row>
    <row r="340">
      <c r="A340" s="26"/>
      <c r="B340" s="26"/>
      <c r="C340" s="26"/>
      <c r="D340" s="27"/>
      <c r="E340" s="27"/>
      <c r="F340" s="26"/>
      <c r="G340" s="28"/>
      <c r="H340" s="28"/>
      <c r="I340" s="28"/>
      <c r="J340" s="28"/>
      <c r="K340" s="28"/>
      <c r="L340" s="28"/>
      <c r="M340" s="28"/>
      <c r="N340" s="26"/>
      <c r="O340" s="29"/>
      <c r="P340" s="27"/>
      <c r="Q340" s="26"/>
      <c r="R340" s="29"/>
      <c r="S340" s="28"/>
      <c r="T340" s="29"/>
      <c r="U340" s="28"/>
      <c r="V340" s="28"/>
      <c r="W340" s="28"/>
      <c r="X340" s="28"/>
      <c r="Y340" s="26"/>
      <c r="Z340" s="29"/>
      <c r="AA340" s="28"/>
      <c r="AB340" s="26"/>
      <c r="AC340" s="29"/>
      <c r="AD340" s="25"/>
      <c r="AE340" s="29"/>
      <c r="AF340" s="25"/>
      <c r="AG340" s="25"/>
      <c r="AH340" s="25"/>
      <c r="AI340" s="25"/>
      <c r="AJ340" s="26"/>
      <c r="AK340" s="29"/>
      <c r="AL340" s="28"/>
      <c r="AM340" s="26"/>
      <c r="AN340" s="29"/>
      <c r="AO340" s="25"/>
      <c r="AP340" s="29"/>
      <c r="AQ340" s="25"/>
      <c r="AR340" s="25"/>
      <c r="AS340" s="25"/>
      <c r="AT340" s="25"/>
      <c r="AU340" s="26"/>
      <c r="AV340" s="26"/>
      <c r="AW340" s="26"/>
      <c r="AX340" s="26"/>
      <c r="AY340" s="26"/>
      <c r="AZ340" s="26"/>
      <c r="BA340" s="26"/>
    </row>
    <row r="341">
      <c r="A341" s="26"/>
      <c r="B341" s="26"/>
      <c r="C341" s="26"/>
      <c r="D341" s="27"/>
      <c r="E341" s="27"/>
      <c r="F341" s="26"/>
      <c r="G341" s="28"/>
      <c r="H341" s="28"/>
      <c r="I341" s="28"/>
      <c r="J341" s="28"/>
      <c r="K341" s="28"/>
      <c r="L341" s="28"/>
      <c r="M341" s="28"/>
      <c r="N341" s="26"/>
      <c r="O341" s="29"/>
      <c r="P341" s="27"/>
      <c r="Q341" s="26"/>
      <c r="R341" s="29"/>
      <c r="S341" s="28"/>
      <c r="T341" s="29"/>
      <c r="U341" s="28"/>
      <c r="V341" s="28"/>
      <c r="W341" s="28"/>
      <c r="X341" s="28"/>
      <c r="Y341" s="26"/>
      <c r="Z341" s="29"/>
      <c r="AA341" s="28"/>
      <c r="AB341" s="26"/>
      <c r="AC341" s="29"/>
      <c r="AD341" s="25"/>
      <c r="AE341" s="29"/>
      <c r="AF341" s="25"/>
      <c r="AG341" s="25"/>
      <c r="AH341" s="25"/>
      <c r="AI341" s="25"/>
      <c r="AJ341" s="26"/>
      <c r="AK341" s="29"/>
      <c r="AL341" s="28"/>
      <c r="AM341" s="26"/>
      <c r="AN341" s="29"/>
      <c r="AO341" s="25"/>
      <c r="AP341" s="29"/>
      <c r="AQ341" s="25"/>
      <c r="AR341" s="25"/>
      <c r="AS341" s="25"/>
      <c r="AT341" s="25"/>
      <c r="AU341" s="26"/>
      <c r="AV341" s="26"/>
      <c r="AW341" s="26"/>
      <c r="AX341" s="26"/>
      <c r="AY341" s="26"/>
      <c r="AZ341" s="26"/>
      <c r="BA341" s="26"/>
    </row>
    <row r="342">
      <c r="A342" s="26"/>
      <c r="B342" s="26"/>
      <c r="C342" s="26"/>
      <c r="D342" s="27"/>
      <c r="E342" s="27"/>
      <c r="F342" s="26"/>
      <c r="G342" s="28"/>
      <c r="H342" s="28"/>
      <c r="I342" s="28"/>
      <c r="J342" s="28"/>
      <c r="K342" s="28"/>
      <c r="L342" s="28"/>
      <c r="M342" s="28"/>
      <c r="N342" s="26"/>
      <c r="O342" s="29"/>
      <c r="P342" s="27"/>
      <c r="Q342" s="26"/>
      <c r="R342" s="29"/>
      <c r="S342" s="28"/>
      <c r="T342" s="29"/>
      <c r="U342" s="28"/>
      <c r="V342" s="28"/>
      <c r="W342" s="28"/>
      <c r="X342" s="28"/>
      <c r="Y342" s="26"/>
      <c r="Z342" s="29"/>
      <c r="AA342" s="28"/>
      <c r="AB342" s="26"/>
      <c r="AC342" s="29"/>
      <c r="AD342" s="25"/>
      <c r="AE342" s="29"/>
      <c r="AF342" s="25"/>
      <c r="AG342" s="25"/>
      <c r="AH342" s="25"/>
      <c r="AI342" s="25"/>
      <c r="AJ342" s="26"/>
      <c r="AK342" s="29"/>
      <c r="AL342" s="28"/>
      <c r="AM342" s="26"/>
      <c r="AN342" s="29"/>
      <c r="AO342" s="25"/>
      <c r="AP342" s="29"/>
      <c r="AQ342" s="25"/>
      <c r="AR342" s="25"/>
      <c r="AS342" s="25"/>
      <c r="AT342" s="25"/>
      <c r="AU342" s="26"/>
      <c r="AV342" s="26"/>
      <c r="AW342" s="26"/>
      <c r="AX342" s="26"/>
      <c r="AY342" s="26"/>
      <c r="AZ342" s="26"/>
      <c r="BA342" s="26"/>
    </row>
    <row r="343">
      <c r="A343" s="26"/>
      <c r="B343" s="26"/>
      <c r="C343" s="26"/>
      <c r="D343" s="27"/>
      <c r="E343" s="27"/>
      <c r="F343" s="26"/>
      <c r="G343" s="28"/>
      <c r="H343" s="28"/>
      <c r="I343" s="28"/>
      <c r="J343" s="28"/>
      <c r="K343" s="28"/>
      <c r="L343" s="28"/>
      <c r="M343" s="28"/>
      <c r="N343" s="26"/>
      <c r="O343" s="29"/>
      <c r="P343" s="27"/>
      <c r="Q343" s="26"/>
      <c r="R343" s="29"/>
      <c r="S343" s="28"/>
      <c r="T343" s="29"/>
      <c r="U343" s="28"/>
      <c r="V343" s="28"/>
      <c r="W343" s="28"/>
      <c r="X343" s="28"/>
      <c r="Y343" s="26"/>
      <c r="Z343" s="29"/>
      <c r="AA343" s="28"/>
      <c r="AB343" s="26"/>
      <c r="AC343" s="29"/>
      <c r="AD343" s="25"/>
      <c r="AE343" s="29"/>
      <c r="AF343" s="25"/>
      <c r="AG343" s="25"/>
      <c r="AH343" s="25"/>
      <c r="AI343" s="25"/>
      <c r="AJ343" s="26"/>
      <c r="AK343" s="29"/>
      <c r="AL343" s="28"/>
      <c r="AM343" s="26"/>
      <c r="AN343" s="29"/>
      <c r="AO343" s="25"/>
      <c r="AP343" s="29"/>
      <c r="AQ343" s="25"/>
      <c r="AR343" s="25"/>
      <c r="AS343" s="25"/>
      <c r="AT343" s="25"/>
      <c r="AU343" s="26"/>
      <c r="AV343" s="26"/>
      <c r="AW343" s="26"/>
      <c r="AX343" s="26"/>
      <c r="AY343" s="26"/>
      <c r="AZ343" s="26"/>
      <c r="BA343" s="26"/>
    </row>
    <row r="344">
      <c r="A344" s="26"/>
      <c r="B344" s="26"/>
      <c r="C344" s="26"/>
      <c r="D344" s="27"/>
      <c r="E344" s="27"/>
      <c r="F344" s="26"/>
      <c r="G344" s="28"/>
      <c r="H344" s="28"/>
      <c r="I344" s="28"/>
      <c r="J344" s="28"/>
      <c r="K344" s="28"/>
      <c r="L344" s="28"/>
      <c r="M344" s="28"/>
      <c r="N344" s="26"/>
      <c r="O344" s="29"/>
      <c r="P344" s="27"/>
      <c r="Q344" s="26"/>
      <c r="R344" s="29"/>
      <c r="S344" s="28"/>
      <c r="T344" s="29"/>
      <c r="U344" s="28"/>
      <c r="V344" s="28"/>
      <c r="W344" s="28"/>
      <c r="X344" s="28"/>
      <c r="Y344" s="26"/>
      <c r="Z344" s="29"/>
      <c r="AA344" s="28"/>
      <c r="AB344" s="26"/>
      <c r="AC344" s="29"/>
      <c r="AD344" s="25"/>
      <c r="AE344" s="29"/>
      <c r="AF344" s="25"/>
      <c r="AG344" s="25"/>
      <c r="AH344" s="25"/>
      <c r="AI344" s="25"/>
      <c r="AJ344" s="26"/>
      <c r="AK344" s="29"/>
      <c r="AL344" s="28"/>
      <c r="AM344" s="26"/>
      <c r="AN344" s="29"/>
      <c r="AO344" s="25"/>
      <c r="AP344" s="29"/>
      <c r="AQ344" s="25"/>
      <c r="AR344" s="25"/>
      <c r="AS344" s="25"/>
      <c r="AT344" s="25"/>
      <c r="AU344" s="26"/>
      <c r="AV344" s="26"/>
      <c r="AW344" s="26"/>
      <c r="AX344" s="26"/>
      <c r="AY344" s="26"/>
      <c r="AZ344" s="26"/>
      <c r="BA344" s="26"/>
    </row>
    <row r="345">
      <c r="A345" s="26"/>
      <c r="B345" s="26"/>
      <c r="C345" s="26"/>
      <c r="D345" s="27"/>
      <c r="E345" s="27"/>
      <c r="F345" s="26"/>
      <c r="G345" s="28"/>
      <c r="H345" s="28"/>
      <c r="I345" s="28"/>
      <c r="J345" s="28"/>
      <c r="K345" s="28"/>
      <c r="L345" s="28"/>
      <c r="M345" s="28"/>
      <c r="N345" s="26"/>
      <c r="O345" s="29"/>
      <c r="P345" s="27"/>
      <c r="Q345" s="26"/>
      <c r="R345" s="29"/>
      <c r="S345" s="28"/>
      <c r="T345" s="29"/>
      <c r="U345" s="28"/>
      <c r="V345" s="28"/>
      <c r="W345" s="28"/>
      <c r="X345" s="28"/>
      <c r="Y345" s="26"/>
      <c r="Z345" s="29"/>
      <c r="AA345" s="28"/>
      <c r="AB345" s="26"/>
      <c r="AC345" s="29"/>
      <c r="AD345" s="25"/>
      <c r="AE345" s="29"/>
      <c r="AF345" s="25"/>
      <c r="AG345" s="25"/>
      <c r="AH345" s="25"/>
      <c r="AI345" s="25"/>
      <c r="AJ345" s="26"/>
      <c r="AK345" s="29"/>
      <c r="AL345" s="28"/>
      <c r="AM345" s="26"/>
      <c r="AN345" s="29"/>
      <c r="AO345" s="25"/>
      <c r="AP345" s="29"/>
      <c r="AQ345" s="25"/>
      <c r="AR345" s="25"/>
      <c r="AS345" s="25"/>
      <c r="AT345" s="25"/>
      <c r="AU345" s="26"/>
      <c r="AV345" s="26"/>
      <c r="AW345" s="26"/>
      <c r="AX345" s="26"/>
      <c r="AY345" s="26"/>
      <c r="AZ345" s="26"/>
      <c r="BA345" s="26"/>
    </row>
    <row r="346">
      <c r="A346" s="26"/>
      <c r="B346" s="26"/>
      <c r="C346" s="26"/>
      <c r="D346" s="27"/>
      <c r="E346" s="27"/>
      <c r="F346" s="26"/>
      <c r="G346" s="28"/>
      <c r="H346" s="28"/>
      <c r="I346" s="28"/>
      <c r="J346" s="28"/>
      <c r="K346" s="28"/>
      <c r="L346" s="28"/>
      <c r="M346" s="28"/>
      <c r="N346" s="26"/>
      <c r="O346" s="29"/>
      <c r="P346" s="27"/>
      <c r="Q346" s="26"/>
      <c r="R346" s="29"/>
      <c r="S346" s="28"/>
      <c r="T346" s="29"/>
      <c r="U346" s="28"/>
      <c r="V346" s="28"/>
      <c r="W346" s="28"/>
      <c r="X346" s="28"/>
      <c r="Y346" s="26"/>
      <c r="Z346" s="29"/>
      <c r="AA346" s="28"/>
      <c r="AB346" s="26"/>
      <c r="AC346" s="29"/>
      <c r="AD346" s="25"/>
      <c r="AE346" s="29"/>
      <c r="AF346" s="25"/>
      <c r="AG346" s="25"/>
      <c r="AH346" s="25"/>
      <c r="AI346" s="25"/>
      <c r="AJ346" s="26"/>
      <c r="AK346" s="29"/>
      <c r="AL346" s="28"/>
      <c r="AM346" s="26"/>
      <c r="AN346" s="29"/>
      <c r="AO346" s="25"/>
      <c r="AP346" s="29"/>
      <c r="AQ346" s="25"/>
      <c r="AR346" s="25"/>
      <c r="AS346" s="25"/>
      <c r="AT346" s="25"/>
      <c r="AU346" s="26"/>
      <c r="AV346" s="26"/>
      <c r="AW346" s="26"/>
      <c r="AX346" s="26"/>
      <c r="AY346" s="26"/>
      <c r="AZ346" s="26"/>
      <c r="BA346" s="26"/>
    </row>
    <row r="347">
      <c r="A347" s="26"/>
      <c r="B347" s="26"/>
      <c r="C347" s="26"/>
      <c r="D347" s="27"/>
      <c r="E347" s="27"/>
      <c r="F347" s="26"/>
      <c r="G347" s="28"/>
      <c r="H347" s="28"/>
      <c r="I347" s="28"/>
      <c r="J347" s="28"/>
      <c r="K347" s="28"/>
      <c r="L347" s="28"/>
      <c r="M347" s="28"/>
      <c r="N347" s="26"/>
      <c r="O347" s="29"/>
      <c r="P347" s="27"/>
      <c r="Q347" s="26"/>
      <c r="R347" s="29"/>
      <c r="S347" s="28"/>
      <c r="T347" s="29"/>
      <c r="U347" s="28"/>
      <c r="V347" s="28"/>
      <c r="W347" s="28"/>
      <c r="X347" s="28"/>
      <c r="Y347" s="26"/>
      <c r="Z347" s="29"/>
      <c r="AA347" s="28"/>
      <c r="AB347" s="26"/>
      <c r="AC347" s="29"/>
      <c r="AD347" s="25"/>
      <c r="AE347" s="29"/>
      <c r="AF347" s="25"/>
      <c r="AG347" s="25"/>
      <c r="AH347" s="25"/>
      <c r="AI347" s="25"/>
      <c r="AJ347" s="26"/>
      <c r="AK347" s="29"/>
      <c r="AL347" s="28"/>
      <c r="AM347" s="26"/>
      <c r="AN347" s="29"/>
      <c r="AO347" s="25"/>
      <c r="AP347" s="29"/>
      <c r="AQ347" s="25"/>
      <c r="AR347" s="25"/>
      <c r="AS347" s="25"/>
      <c r="AT347" s="25"/>
      <c r="AU347" s="26"/>
      <c r="AV347" s="26"/>
      <c r="AW347" s="26"/>
      <c r="AX347" s="26"/>
      <c r="AY347" s="26"/>
      <c r="AZ347" s="26"/>
      <c r="BA347" s="26"/>
    </row>
    <row r="348">
      <c r="A348" s="26"/>
      <c r="B348" s="26"/>
      <c r="C348" s="26"/>
      <c r="D348" s="27"/>
      <c r="E348" s="27"/>
      <c r="F348" s="26"/>
      <c r="G348" s="28"/>
      <c r="H348" s="28"/>
      <c r="I348" s="28"/>
      <c r="J348" s="28"/>
      <c r="K348" s="28"/>
      <c r="L348" s="28"/>
      <c r="M348" s="28"/>
      <c r="N348" s="26"/>
      <c r="O348" s="29"/>
      <c r="P348" s="27"/>
      <c r="Q348" s="26"/>
      <c r="R348" s="29"/>
      <c r="S348" s="28"/>
      <c r="T348" s="29"/>
      <c r="U348" s="28"/>
      <c r="V348" s="28"/>
      <c r="W348" s="28"/>
      <c r="X348" s="28"/>
      <c r="Y348" s="26"/>
      <c r="Z348" s="29"/>
      <c r="AA348" s="28"/>
      <c r="AB348" s="26"/>
      <c r="AC348" s="29"/>
      <c r="AD348" s="25"/>
      <c r="AE348" s="29"/>
      <c r="AF348" s="25"/>
      <c r="AG348" s="25"/>
      <c r="AH348" s="25"/>
      <c r="AI348" s="25"/>
      <c r="AJ348" s="26"/>
      <c r="AK348" s="29"/>
      <c r="AL348" s="28"/>
      <c r="AM348" s="26"/>
      <c r="AN348" s="29"/>
      <c r="AO348" s="25"/>
      <c r="AP348" s="29"/>
      <c r="AQ348" s="25"/>
      <c r="AR348" s="25"/>
      <c r="AS348" s="25"/>
      <c r="AT348" s="25"/>
      <c r="AU348" s="26"/>
      <c r="AV348" s="26"/>
      <c r="AW348" s="26"/>
      <c r="AX348" s="26"/>
      <c r="AY348" s="26"/>
      <c r="AZ348" s="26"/>
      <c r="BA348" s="26"/>
    </row>
    <row r="349">
      <c r="A349" s="26"/>
      <c r="B349" s="26"/>
      <c r="C349" s="26"/>
      <c r="D349" s="27"/>
      <c r="E349" s="27"/>
      <c r="F349" s="26"/>
      <c r="G349" s="28"/>
      <c r="H349" s="28"/>
      <c r="I349" s="28"/>
      <c r="J349" s="28"/>
      <c r="K349" s="28"/>
      <c r="L349" s="28"/>
      <c r="M349" s="28"/>
      <c r="N349" s="26"/>
      <c r="O349" s="29"/>
      <c r="P349" s="27"/>
      <c r="Q349" s="26"/>
      <c r="R349" s="29"/>
      <c r="S349" s="28"/>
      <c r="T349" s="29"/>
      <c r="U349" s="28"/>
      <c r="V349" s="28"/>
      <c r="W349" s="28"/>
      <c r="X349" s="28"/>
      <c r="Y349" s="26"/>
      <c r="Z349" s="29"/>
      <c r="AA349" s="28"/>
      <c r="AB349" s="26"/>
      <c r="AC349" s="29"/>
      <c r="AD349" s="25"/>
      <c r="AE349" s="29"/>
      <c r="AF349" s="25"/>
      <c r="AG349" s="25"/>
      <c r="AH349" s="25"/>
      <c r="AI349" s="25"/>
      <c r="AJ349" s="26"/>
      <c r="AK349" s="29"/>
      <c r="AL349" s="28"/>
      <c r="AM349" s="26"/>
      <c r="AN349" s="29"/>
      <c r="AO349" s="25"/>
      <c r="AP349" s="29"/>
      <c r="AQ349" s="25"/>
      <c r="AR349" s="25"/>
      <c r="AS349" s="25"/>
      <c r="AT349" s="25"/>
      <c r="AU349" s="26"/>
      <c r="AV349" s="26"/>
      <c r="AW349" s="26"/>
      <c r="AX349" s="26"/>
      <c r="AY349" s="26"/>
      <c r="AZ349" s="26"/>
      <c r="BA349" s="26"/>
    </row>
    <row r="350">
      <c r="A350" s="26"/>
      <c r="B350" s="26"/>
      <c r="C350" s="26"/>
      <c r="D350" s="27"/>
      <c r="E350" s="27"/>
      <c r="F350" s="26"/>
      <c r="G350" s="28"/>
      <c r="H350" s="28"/>
      <c r="I350" s="28"/>
      <c r="J350" s="28"/>
      <c r="K350" s="28"/>
      <c r="L350" s="28"/>
      <c r="M350" s="28"/>
      <c r="N350" s="26"/>
      <c r="O350" s="29"/>
      <c r="P350" s="27"/>
      <c r="Q350" s="26"/>
      <c r="R350" s="29"/>
      <c r="S350" s="28"/>
      <c r="T350" s="29"/>
      <c r="U350" s="28"/>
      <c r="V350" s="28"/>
      <c r="W350" s="28"/>
      <c r="X350" s="28"/>
      <c r="Y350" s="26"/>
      <c r="Z350" s="29"/>
      <c r="AA350" s="28"/>
      <c r="AB350" s="26"/>
      <c r="AC350" s="29"/>
      <c r="AD350" s="25"/>
      <c r="AE350" s="29"/>
      <c r="AF350" s="25"/>
      <c r="AG350" s="25"/>
      <c r="AH350" s="25"/>
      <c r="AI350" s="25"/>
      <c r="AJ350" s="26"/>
      <c r="AK350" s="29"/>
      <c r="AL350" s="28"/>
      <c r="AM350" s="26"/>
      <c r="AN350" s="29"/>
      <c r="AO350" s="25"/>
      <c r="AP350" s="29"/>
      <c r="AQ350" s="25"/>
      <c r="AR350" s="25"/>
      <c r="AS350" s="25"/>
      <c r="AT350" s="25"/>
      <c r="AU350" s="26"/>
      <c r="AV350" s="26"/>
      <c r="AW350" s="26"/>
      <c r="AX350" s="26"/>
      <c r="AY350" s="26"/>
      <c r="AZ350" s="26"/>
      <c r="BA350" s="26"/>
    </row>
    <row r="351">
      <c r="A351" s="26"/>
      <c r="B351" s="26"/>
      <c r="C351" s="26"/>
      <c r="D351" s="27"/>
      <c r="E351" s="27"/>
      <c r="F351" s="26"/>
      <c r="G351" s="28"/>
      <c r="H351" s="28"/>
      <c r="I351" s="28"/>
      <c r="J351" s="28"/>
      <c r="K351" s="28"/>
      <c r="L351" s="28"/>
      <c r="M351" s="28"/>
      <c r="N351" s="26"/>
      <c r="O351" s="29"/>
      <c r="P351" s="27"/>
      <c r="Q351" s="26"/>
      <c r="R351" s="29"/>
      <c r="S351" s="28"/>
      <c r="T351" s="29"/>
      <c r="U351" s="28"/>
      <c r="V351" s="28"/>
      <c r="W351" s="28"/>
      <c r="X351" s="28"/>
      <c r="Y351" s="26"/>
      <c r="Z351" s="29"/>
      <c r="AA351" s="28"/>
      <c r="AB351" s="26"/>
      <c r="AC351" s="29"/>
      <c r="AD351" s="25"/>
      <c r="AE351" s="29"/>
      <c r="AF351" s="25"/>
      <c r="AG351" s="25"/>
      <c r="AH351" s="25"/>
      <c r="AI351" s="25"/>
      <c r="AJ351" s="26"/>
      <c r="AK351" s="29"/>
      <c r="AL351" s="28"/>
      <c r="AM351" s="26"/>
      <c r="AN351" s="29"/>
      <c r="AO351" s="25"/>
      <c r="AP351" s="29"/>
      <c r="AQ351" s="25"/>
      <c r="AR351" s="25"/>
      <c r="AS351" s="25"/>
      <c r="AT351" s="25"/>
      <c r="AU351" s="26"/>
      <c r="AV351" s="26"/>
      <c r="AW351" s="26"/>
      <c r="AX351" s="26"/>
      <c r="AY351" s="26"/>
      <c r="AZ351" s="26"/>
      <c r="BA351" s="26"/>
    </row>
    <row r="352">
      <c r="A352" s="26"/>
      <c r="B352" s="26"/>
      <c r="C352" s="26"/>
      <c r="D352" s="27"/>
      <c r="E352" s="27"/>
      <c r="F352" s="26"/>
      <c r="G352" s="28"/>
      <c r="H352" s="28"/>
      <c r="I352" s="28"/>
      <c r="J352" s="28"/>
      <c r="K352" s="28"/>
      <c r="L352" s="28"/>
      <c r="M352" s="28"/>
      <c r="N352" s="26"/>
      <c r="O352" s="29"/>
      <c r="P352" s="27"/>
      <c r="Q352" s="26"/>
      <c r="R352" s="29"/>
      <c r="S352" s="28"/>
      <c r="T352" s="29"/>
      <c r="U352" s="28"/>
      <c r="V352" s="28"/>
      <c r="W352" s="28"/>
      <c r="X352" s="28"/>
      <c r="Y352" s="26"/>
      <c r="Z352" s="29"/>
      <c r="AA352" s="28"/>
      <c r="AB352" s="26"/>
      <c r="AC352" s="29"/>
      <c r="AD352" s="25"/>
      <c r="AE352" s="29"/>
      <c r="AF352" s="25"/>
      <c r="AG352" s="25"/>
      <c r="AH352" s="25"/>
      <c r="AI352" s="25"/>
      <c r="AJ352" s="26"/>
      <c r="AK352" s="29"/>
      <c r="AL352" s="28"/>
      <c r="AM352" s="26"/>
      <c r="AN352" s="29"/>
      <c r="AO352" s="25"/>
      <c r="AP352" s="29"/>
      <c r="AQ352" s="25"/>
      <c r="AR352" s="25"/>
      <c r="AS352" s="25"/>
      <c r="AT352" s="25"/>
      <c r="AU352" s="26"/>
      <c r="AV352" s="26"/>
      <c r="AW352" s="26"/>
      <c r="AX352" s="26"/>
      <c r="AY352" s="26"/>
      <c r="AZ352" s="26"/>
      <c r="BA352" s="26"/>
    </row>
    <row r="353">
      <c r="A353" s="26"/>
      <c r="B353" s="26"/>
      <c r="C353" s="26"/>
      <c r="D353" s="27"/>
      <c r="E353" s="27"/>
      <c r="F353" s="26"/>
      <c r="G353" s="28"/>
      <c r="H353" s="28"/>
      <c r="I353" s="28"/>
      <c r="J353" s="28"/>
      <c r="K353" s="28"/>
      <c r="L353" s="28"/>
      <c r="M353" s="28"/>
      <c r="N353" s="26"/>
      <c r="O353" s="29"/>
      <c r="P353" s="27"/>
      <c r="Q353" s="26"/>
      <c r="R353" s="29"/>
      <c r="S353" s="28"/>
      <c r="T353" s="29"/>
      <c r="U353" s="28"/>
      <c r="V353" s="28"/>
      <c r="W353" s="28"/>
      <c r="X353" s="28"/>
      <c r="Y353" s="26"/>
      <c r="Z353" s="29"/>
      <c r="AA353" s="28"/>
      <c r="AB353" s="26"/>
      <c r="AC353" s="29"/>
      <c r="AD353" s="25"/>
      <c r="AE353" s="29"/>
      <c r="AF353" s="25"/>
      <c r="AG353" s="25"/>
      <c r="AH353" s="25"/>
      <c r="AI353" s="25"/>
      <c r="AJ353" s="26"/>
      <c r="AK353" s="29"/>
      <c r="AL353" s="28"/>
      <c r="AM353" s="26"/>
      <c r="AN353" s="29"/>
      <c r="AO353" s="25"/>
      <c r="AP353" s="29"/>
      <c r="AQ353" s="25"/>
      <c r="AR353" s="25"/>
      <c r="AS353" s="25"/>
      <c r="AT353" s="25"/>
      <c r="AU353" s="26"/>
      <c r="AV353" s="26"/>
      <c r="AW353" s="26"/>
      <c r="AX353" s="26"/>
      <c r="AY353" s="26"/>
      <c r="AZ353" s="26"/>
      <c r="BA353" s="26"/>
    </row>
    <row r="354">
      <c r="A354" s="26"/>
      <c r="B354" s="26"/>
      <c r="C354" s="26"/>
      <c r="D354" s="27"/>
      <c r="E354" s="27"/>
      <c r="F354" s="26"/>
      <c r="G354" s="28"/>
      <c r="H354" s="28"/>
      <c r="I354" s="28"/>
      <c r="J354" s="28"/>
      <c r="K354" s="28"/>
      <c r="L354" s="28"/>
      <c r="M354" s="28"/>
      <c r="N354" s="26"/>
      <c r="O354" s="29"/>
      <c r="P354" s="27"/>
      <c r="Q354" s="26"/>
      <c r="R354" s="29"/>
      <c r="S354" s="28"/>
      <c r="T354" s="29"/>
      <c r="U354" s="28"/>
      <c r="V354" s="28"/>
      <c r="W354" s="28"/>
      <c r="X354" s="28"/>
      <c r="Y354" s="26"/>
      <c r="Z354" s="29"/>
      <c r="AA354" s="28"/>
      <c r="AB354" s="26"/>
      <c r="AC354" s="29"/>
      <c r="AD354" s="25"/>
      <c r="AE354" s="29"/>
      <c r="AF354" s="25"/>
      <c r="AG354" s="25"/>
      <c r="AH354" s="25"/>
      <c r="AI354" s="25"/>
      <c r="AJ354" s="26"/>
      <c r="AK354" s="29"/>
      <c r="AL354" s="28"/>
      <c r="AM354" s="26"/>
      <c r="AN354" s="29"/>
      <c r="AO354" s="25"/>
      <c r="AP354" s="29"/>
      <c r="AQ354" s="25"/>
      <c r="AR354" s="25"/>
      <c r="AS354" s="25"/>
      <c r="AT354" s="25"/>
      <c r="AU354" s="26"/>
      <c r="AV354" s="26"/>
      <c r="AW354" s="26"/>
      <c r="AX354" s="26"/>
      <c r="AY354" s="26"/>
      <c r="AZ354" s="26"/>
      <c r="BA354" s="26"/>
    </row>
    <row r="355">
      <c r="A355" s="26"/>
      <c r="B355" s="26"/>
      <c r="C355" s="26"/>
      <c r="D355" s="27"/>
      <c r="E355" s="27"/>
      <c r="F355" s="26"/>
      <c r="G355" s="28"/>
      <c r="H355" s="28"/>
      <c r="I355" s="28"/>
      <c r="J355" s="28"/>
      <c r="K355" s="28"/>
      <c r="L355" s="28"/>
      <c r="M355" s="28"/>
      <c r="N355" s="26"/>
      <c r="O355" s="29"/>
      <c r="P355" s="27"/>
      <c r="Q355" s="26"/>
      <c r="R355" s="29"/>
      <c r="S355" s="28"/>
      <c r="T355" s="29"/>
      <c r="U355" s="28"/>
      <c r="V355" s="28"/>
      <c r="W355" s="28"/>
      <c r="X355" s="28"/>
      <c r="Y355" s="26"/>
      <c r="Z355" s="29"/>
      <c r="AA355" s="28"/>
      <c r="AB355" s="26"/>
      <c r="AC355" s="29"/>
      <c r="AD355" s="25"/>
      <c r="AE355" s="29"/>
      <c r="AF355" s="25"/>
      <c r="AG355" s="25"/>
      <c r="AH355" s="25"/>
      <c r="AI355" s="25"/>
      <c r="AJ355" s="26"/>
      <c r="AK355" s="29"/>
      <c r="AL355" s="28"/>
      <c r="AM355" s="26"/>
      <c r="AN355" s="29"/>
      <c r="AO355" s="25"/>
      <c r="AP355" s="29"/>
      <c r="AQ355" s="25"/>
      <c r="AR355" s="25"/>
      <c r="AS355" s="25"/>
      <c r="AT355" s="25"/>
      <c r="AU355" s="26"/>
      <c r="AV355" s="26"/>
      <c r="AW355" s="26"/>
      <c r="AX355" s="26"/>
      <c r="AY355" s="26"/>
      <c r="AZ355" s="26"/>
      <c r="BA355" s="26"/>
    </row>
    <row r="356">
      <c r="A356" s="26"/>
      <c r="B356" s="26"/>
      <c r="C356" s="26"/>
      <c r="D356" s="27"/>
      <c r="E356" s="27"/>
      <c r="F356" s="26"/>
      <c r="G356" s="28"/>
      <c r="H356" s="28"/>
      <c r="I356" s="28"/>
      <c r="J356" s="28"/>
      <c r="K356" s="28"/>
      <c r="L356" s="28"/>
      <c r="M356" s="28"/>
      <c r="N356" s="26"/>
      <c r="O356" s="29"/>
      <c r="P356" s="27"/>
      <c r="Q356" s="26"/>
      <c r="R356" s="29"/>
      <c r="S356" s="28"/>
      <c r="T356" s="29"/>
      <c r="U356" s="28"/>
      <c r="V356" s="28"/>
      <c r="W356" s="28"/>
      <c r="X356" s="28"/>
      <c r="Y356" s="26"/>
      <c r="Z356" s="29"/>
      <c r="AA356" s="28"/>
      <c r="AB356" s="26"/>
      <c r="AC356" s="29"/>
      <c r="AD356" s="25"/>
      <c r="AE356" s="29"/>
      <c r="AF356" s="25"/>
      <c r="AG356" s="25"/>
      <c r="AH356" s="25"/>
      <c r="AI356" s="25"/>
      <c r="AJ356" s="26"/>
      <c r="AK356" s="29"/>
      <c r="AL356" s="28"/>
      <c r="AM356" s="26"/>
      <c r="AN356" s="29"/>
      <c r="AO356" s="25"/>
      <c r="AP356" s="29"/>
      <c r="AQ356" s="25"/>
      <c r="AR356" s="25"/>
      <c r="AS356" s="25"/>
      <c r="AT356" s="25"/>
      <c r="AU356" s="26"/>
      <c r="AV356" s="26"/>
      <c r="AW356" s="26"/>
      <c r="AX356" s="26"/>
      <c r="AY356" s="26"/>
      <c r="AZ356" s="26"/>
      <c r="BA356" s="26"/>
    </row>
    <row r="357">
      <c r="A357" s="26"/>
      <c r="B357" s="26"/>
      <c r="C357" s="26"/>
      <c r="D357" s="27"/>
      <c r="E357" s="27"/>
      <c r="F357" s="26"/>
      <c r="G357" s="28"/>
      <c r="H357" s="28"/>
      <c r="I357" s="28"/>
      <c r="J357" s="28"/>
      <c r="K357" s="28"/>
      <c r="L357" s="28"/>
      <c r="M357" s="28"/>
      <c r="N357" s="26"/>
      <c r="O357" s="29"/>
      <c r="P357" s="27"/>
      <c r="Q357" s="26"/>
      <c r="R357" s="29"/>
      <c r="S357" s="28"/>
      <c r="T357" s="29"/>
      <c r="U357" s="28"/>
      <c r="V357" s="28"/>
      <c r="W357" s="28"/>
      <c r="X357" s="28"/>
      <c r="Y357" s="26"/>
      <c r="Z357" s="29"/>
      <c r="AA357" s="28"/>
      <c r="AB357" s="26"/>
      <c r="AC357" s="29"/>
      <c r="AD357" s="25"/>
      <c r="AE357" s="29"/>
      <c r="AF357" s="25"/>
      <c r="AG357" s="25"/>
      <c r="AH357" s="25"/>
      <c r="AI357" s="25"/>
      <c r="AJ357" s="26"/>
      <c r="AK357" s="29"/>
      <c r="AL357" s="28"/>
      <c r="AM357" s="26"/>
      <c r="AN357" s="29"/>
      <c r="AO357" s="25"/>
      <c r="AP357" s="29"/>
      <c r="AQ357" s="25"/>
      <c r="AR357" s="25"/>
      <c r="AS357" s="25"/>
      <c r="AT357" s="25"/>
      <c r="AU357" s="26"/>
      <c r="AV357" s="26"/>
      <c r="AW357" s="26"/>
      <c r="AX357" s="26"/>
      <c r="AY357" s="26"/>
      <c r="AZ357" s="26"/>
      <c r="BA357" s="26"/>
    </row>
    <row r="358">
      <c r="A358" s="26"/>
      <c r="B358" s="26"/>
      <c r="C358" s="26"/>
      <c r="D358" s="27"/>
      <c r="E358" s="27"/>
      <c r="F358" s="26"/>
      <c r="G358" s="28"/>
      <c r="H358" s="28"/>
      <c r="I358" s="28"/>
      <c r="J358" s="28"/>
      <c r="K358" s="28"/>
      <c r="L358" s="28"/>
      <c r="M358" s="28"/>
      <c r="N358" s="26"/>
      <c r="O358" s="29"/>
      <c r="P358" s="27"/>
      <c r="Q358" s="26"/>
      <c r="R358" s="29"/>
      <c r="S358" s="28"/>
      <c r="T358" s="29"/>
      <c r="U358" s="28"/>
      <c r="V358" s="28"/>
      <c r="W358" s="28"/>
      <c r="X358" s="28"/>
      <c r="Y358" s="26"/>
      <c r="Z358" s="29"/>
      <c r="AA358" s="28"/>
      <c r="AB358" s="26"/>
      <c r="AC358" s="29"/>
      <c r="AD358" s="25"/>
      <c r="AE358" s="29"/>
      <c r="AF358" s="25"/>
      <c r="AG358" s="25"/>
      <c r="AH358" s="25"/>
      <c r="AI358" s="25"/>
      <c r="AJ358" s="26"/>
      <c r="AK358" s="29"/>
      <c r="AL358" s="28"/>
      <c r="AM358" s="26"/>
      <c r="AN358" s="29"/>
      <c r="AO358" s="25"/>
      <c r="AP358" s="29"/>
      <c r="AQ358" s="25"/>
      <c r="AR358" s="25"/>
      <c r="AS358" s="25"/>
      <c r="AT358" s="25"/>
      <c r="AU358" s="26"/>
      <c r="AV358" s="26"/>
      <c r="AW358" s="26"/>
      <c r="AX358" s="26"/>
      <c r="AY358" s="26"/>
      <c r="AZ358" s="26"/>
      <c r="BA358" s="26"/>
    </row>
    <row r="359">
      <c r="A359" s="26"/>
      <c r="B359" s="26"/>
      <c r="C359" s="26"/>
      <c r="D359" s="27"/>
      <c r="E359" s="27"/>
      <c r="F359" s="26"/>
      <c r="G359" s="28"/>
      <c r="H359" s="28"/>
      <c r="I359" s="28"/>
      <c r="J359" s="28"/>
      <c r="K359" s="28"/>
      <c r="L359" s="28"/>
      <c r="M359" s="28"/>
      <c r="N359" s="26"/>
      <c r="O359" s="29"/>
      <c r="P359" s="27"/>
      <c r="Q359" s="26"/>
      <c r="R359" s="29"/>
      <c r="S359" s="28"/>
      <c r="T359" s="29"/>
      <c r="U359" s="28"/>
      <c r="V359" s="28"/>
      <c r="W359" s="28"/>
      <c r="X359" s="28"/>
      <c r="Y359" s="26"/>
      <c r="Z359" s="29"/>
      <c r="AA359" s="28"/>
      <c r="AB359" s="26"/>
      <c r="AC359" s="29"/>
      <c r="AD359" s="25"/>
      <c r="AE359" s="29"/>
      <c r="AF359" s="25"/>
      <c r="AG359" s="25"/>
      <c r="AH359" s="25"/>
      <c r="AI359" s="25"/>
      <c r="AJ359" s="26"/>
      <c r="AK359" s="29"/>
      <c r="AL359" s="28"/>
      <c r="AM359" s="26"/>
      <c r="AN359" s="29"/>
      <c r="AO359" s="25"/>
      <c r="AP359" s="29"/>
      <c r="AQ359" s="25"/>
      <c r="AR359" s="25"/>
      <c r="AS359" s="25"/>
      <c r="AT359" s="25"/>
      <c r="AU359" s="26"/>
      <c r="AV359" s="26"/>
      <c r="AW359" s="26"/>
      <c r="AX359" s="26"/>
      <c r="AY359" s="26"/>
      <c r="AZ359" s="26"/>
      <c r="BA359" s="26"/>
    </row>
    <row r="360">
      <c r="A360" s="26"/>
      <c r="B360" s="26"/>
      <c r="C360" s="26"/>
      <c r="D360" s="27"/>
      <c r="E360" s="27"/>
      <c r="F360" s="26"/>
      <c r="G360" s="28"/>
      <c r="H360" s="28"/>
      <c r="I360" s="28"/>
      <c r="J360" s="28"/>
      <c r="K360" s="28"/>
      <c r="L360" s="28"/>
      <c r="M360" s="28"/>
      <c r="N360" s="26"/>
      <c r="O360" s="29"/>
      <c r="P360" s="27"/>
      <c r="Q360" s="26"/>
      <c r="R360" s="29"/>
      <c r="S360" s="28"/>
      <c r="T360" s="29"/>
      <c r="U360" s="28"/>
      <c r="V360" s="28"/>
      <c r="W360" s="28"/>
      <c r="X360" s="28"/>
      <c r="Y360" s="26"/>
      <c r="Z360" s="29"/>
      <c r="AA360" s="28"/>
      <c r="AB360" s="26"/>
      <c r="AC360" s="29"/>
      <c r="AD360" s="25"/>
      <c r="AE360" s="29"/>
      <c r="AF360" s="25"/>
      <c r="AG360" s="25"/>
      <c r="AH360" s="25"/>
      <c r="AI360" s="25"/>
      <c r="AJ360" s="26"/>
      <c r="AK360" s="29"/>
      <c r="AL360" s="28"/>
      <c r="AM360" s="26"/>
      <c r="AN360" s="29"/>
      <c r="AO360" s="25"/>
      <c r="AP360" s="29"/>
      <c r="AQ360" s="25"/>
      <c r="AR360" s="25"/>
      <c r="AS360" s="25"/>
      <c r="AT360" s="25"/>
      <c r="AU360" s="26"/>
      <c r="AV360" s="26"/>
      <c r="AW360" s="26"/>
      <c r="AX360" s="26"/>
      <c r="AY360" s="26"/>
      <c r="AZ360" s="26"/>
      <c r="BA360" s="26"/>
    </row>
    <row r="361">
      <c r="A361" s="26"/>
      <c r="B361" s="26"/>
      <c r="C361" s="26"/>
      <c r="D361" s="27"/>
      <c r="E361" s="27"/>
      <c r="F361" s="26"/>
      <c r="G361" s="28"/>
      <c r="H361" s="28"/>
      <c r="I361" s="28"/>
      <c r="J361" s="28"/>
      <c r="K361" s="28"/>
      <c r="L361" s="28"/>
      <c r="M361" s="28"/>
      <c r="N361" s="26"/>
      <c r="O361" s="29"/>
      <c r="P361" s="27"/>
      <c r="Q361" s="26"/>
      <c r="R361" s="29"/>
      <c r="S361" s="28"/>
      <c r="T361" s="29"/>
      <c r="U361" s="28"/>
      <c r="V361" s="28"/>
      <c r="W361" s="28"/>
      <c r="X361" s="28"/>
      <c r="Y361" s="26"/>
      <c r="Z361" s="29"/>
      <c r="AA361" s="28"/>
      <c r="AB361" s="26"/>
      <c r="AC361" s="29"/>
      <c r="AD361" s="25"/>
      <c r="AE361" s="29"/>
      <c r="AF361" s="25"/>
      <c r="AG361" s="25"/>
      <c r="AH361" s="25"/>
      <c r="AI361" s="25"/>
      <c r="AJ361" s="26"/>
      <c r="AK361" s="29"/>
      <c r="AL361" s="28"/>
      <c r="AM361" s="26"/>
      <c r="AN361" s="29"/>
      <c r="AO361" s="25"/>
      <c r="AP361" s="29"/>
      <c r="AQ361" s="25"/>
      <c r="AR361" s="25"/>
      <c r="AS361" s="25"/>
      <c r="AT361" s="25"/>
      <c r="AU361" s="26"/>
      <c r="AV361" s="26"/>
      <c r="AW361" s="26"/>
      <c r="AX361" s="26"/>
      <c r="AY361" s="26"/>
      <c r="AZ361" s="26"/>
      <c r="BA361" s="26"/>
    </row>
    <row r="362">
      <c r="A362" s="26"/>
      <c r="B362" s="26"/>
      <c r="C362" s="26"/>
      <c r="D362" s="27"/>
      <c r="E362" s="27"/>
      <c r="F362" s="26"/>
      <c r="G362" s="28"/>
      <c r="H362" s="28"/>
      <c r="I362" s="28"/>
      <c r="J362" s="28"/>
      <c r="K362" s="28"/>
      <c r="L362" s="28"/>
      <c r="M362" s="28"/>
      <c r="N362" s="26"/>
      <c r="O362" s="29"/>
      <c r="P362" s="27"/>
      <c r="Q362" s="26"/>
      <c r="R362" s="29"/>
      <c r="S362" s="28"/>
      <c r="T362" s="29"/>
      <c r="U362" s="28"/>
      <c r="V362" s="28"/>
      <c r="W362" s="28"/>
      <c r="X362" s="28"/>
      <c r="Y362" s="26"/>
      <c r="Z362" s="29"/>
      <c r="AA362" s="28"/>
      <c r="AB362" s="26"/>
      <c r="AC362" s="29"/>
      <c r="AD362" s="25"/>
      <c r="AE362" s="29"/>
      <c r="AF362" s="25"/>
      <c r="AG362" s="25"/>
      <c r="AH362" s="25"/>
      <c r="AI362" s="25"/>
      <c r="AJ362" s="26"/>
      <c r="AK362" s="29"/>
      <c r="AL362" s="28"/>
      <c r="AM362" s="26"/>
      <c r="AN362" s="29"/>
      <c r="AO362" s="25"/>
      <c r="AP362" s="29"/>
      <c r="AQ362" s="25"/>
      <c r="AR362" s="25"/>
      <c r="AS362" s="25"/>
      <c r="AT362" s="25"/>
      <c r="AU362" s="26"/>
      <c r="AV362" s="26"/>
      <c r="AW362" s="26"/>
      <c r="AX362" s="26"/>
      <c r="AY362" s="26"/>
      <c r="AZ362" s="26"/>
      <c r="BA362" s="26"/>
    </row>
    <row r="363">
      <c r="A363" s="26"/>
      <c r="B363" s="26"/>
      <c r="C363" s="26"/>
      <c r="D363" s="27"/>
      <c r="E363" s="27"/>
      <c r="F363" s="26"/>
      <c r="G363" s="28"/>
      <c r="H363" s="28"/>
      <c r="I363" s="28"/>
      <c r="J363" s="28"/>
      <c r="K363" s="28"/>
      <c r="L363" s="28"/>
      <c r="M363" s="28"/>
      <c r="N363" s="26"/>
      <c r="O363" s="29"/>
      <c r="P363" s="27"/>
      <c r="Q363" s="26"/>
      <c r="R363" s="29"/>
      <c r="S363" s="28"/>
      <c r="T363" s="29"/>
      <c r="U363" s="28"/>
      <c r="V363" s="28"/>
      <c r="W363" s="28"/>
      <c r="X363" s="28"/>
      <c r="Y363" s="26"/>
      <c r="Z363" s="29"/>
      <c r="AA363" s="28"/>
      <c r="AB363" s="26"/>
      <c r="AC363" s="29"/>
      <c r="AD363" s="25"/>
      <c r="AE363" s="29"/>
      <c r="AF363" s="25"/>
      <c r="AG363" s="25"/>
      <c r="AH363" s="25"/>
      <c r="AI363" s="25"/>
      <c r="AJ363" s="26"/>
      <c r="AK363" s="29"/>
      <c r="AL363" s="28"/>
      <c r="AM363" s="26"/>
      <c r="AN363" s="29"/>
      <c r="AO363" s="25"/>
      <c r="AP363" s="29"/>
      <c r="AQ363" s="25"/>
      <c r="AR363" s="25"/>
      <c r="AS363" s="25"/>
      <c r="AT363" s="25"/>
      <c r="AU363" s="26"/>
      <c r="AV363" s="26"/>
      <c r="AW363" s="26"/>
      <c r="AX363" s="26"/>
      <c r="AY363" s="26"/>
      <c r="AZ363" s="26"/>
      <c r="BA363" s="26"/>
    </row>
    <row r="364">
      <c r="A364" s="26"/>
      <c r="B364" s="26"/>
      <c r="C364" s="26"/>
      <c r="D364" s="27"/>
      <c r="E364" s="27"/>
      <c r="F364" s="26"/>
      <c r="G364" s="28"/>
      <c r="H364" s="28"/>
      <c r="I364" s="28"/>
      <c r="J364" s="28"/>
      <c r="K364" s="28"/>
      <c r="L364" s="28"/>
      <c r="M364" s="28"/>
      <c r="N364" s="26"/>
      <c r="O364" s="29"/>
      <c r="P364" s="27"/>
      <c r="Q364" s="26"/>
      <c r="R364" s="29"/>
      <c r="S364" s="28"/>
      <c r="T364" s="29"/>
      <c r="U364" s="28"/>
      <c r="V364" s="28"/>
      <c r="W364" s="28"/>
      <c r="X364" s="28"/>
      <c r="Y364" s="26"/>
      <c r="Z364" s="29"/>
      <c r="AA364" s="28"/>
      <c r="AB364" s="26"/>
      <c r="AC364" s="29"/>
      <c r="AD364" s="25"/>
      <c r="AE364" s="29"/>
      <c r="AF364" s="25"/>
      <c r="AG364" s="25"/>
      <c r="AH364" s="25"/>
      <c r="AI364" s="25"/>
      <c r="AJ364" s="26"/>
      <c r="AK364" s="29"/>
      <c r="AL364" s="28"/>
      <c r="AM364" s="26"/>
      <c r="AN364" s="29"/>
      <c r="AO364" s="25"/>
      <c r="AP364" s="29"/>
      <c r="AQ364" s="25"/>
      <c r="AR364" s="25"/>
      <c r="AS364" s="25"/>
      <c r="AT364" s="25"/>
      <c r="AU364" s="26"/>
      <c r="AV364" s="26"/>
      <c r="AW364" s="26"/>
      <c r="AX364" s="26"/>
      <c r="AY364" s="26"/>
      <c r="AZ364" s="26"/>
      <c r="BA364" s="26"/>
    </row>
    <row r="365">
      <c r="A365" s="26"/>
      <c r="B365" s="26"/>
      <c r="C365" s="26"/>
      <c r="D365" s="27"/>
      <c r="E365" s="27"/>
      <c r="F365" s="26"/>
      <c r="G365" s="28"/>
      <c r="H365" s="28"/>
      <c r="I365" s="28"/>
      <c r="J365" s="28"/>
      <c r="K365" s="28"/>
      <c r="L365" s="28"/>
      <c r="M365" s="28"/>
      <c r="N365" s="26"/>
      <c r="O365" s="29"/>
      <c r="P365" s="27"/>
      <c r="Q365" s="26"/>
      <c r="R365" s="29"/>
      <c r="S365" s="28"/>
      <c r="T365" s="29"/>
      <c r="U365" s="28"/>
      <c r="V365" s="28"/>
      <c r="W365" s="28"/>
      <c r="X365" s="28"/>
      <c r="Y365" s="26"/>
      <c r="Z365" s="29"/>
      <c r="AA365" s="28"/>
      <c r="AB365" s="26"/>
      <c r="AC365" s="29"/>
      <c r="AD365" s="25"/>
      <c r="AE365" s="29"/>
      <c r="AF365" s="25"/>
      <c r="AG365" s="25"/>
      <c r="AH365" s="25"/>
      <c r="AI365" s="25"/>
      <c r="AJ365" s="26"/>
      <c r="AK365" s="29"/>
      <c r="AL365" s="28"/>
      <c r="AM365" s="26"/>
      <c r="AN365" s="29"/>
      <c r="AO365" s="25"/>
      <c r="AP365" s="29"/>
      <c r="AQ365" s="25"/>
      <c r="AR365" s="25"/>
      <c r="AS365" s="25"/>
      <c r="AT365" s="25"/>
      <c r="AU365" s="26"/>
      <c r="AV365" s="26"/>
      <c r="AW365" s="26"/>
      <c r="AX365" s="26"/>
      <c r="AY365" s="26"/>
      <c r="AZ365" s="26"/>
      <c r="BA365" s="26"/>
    </row>
    <row r="366">
      <c r="A366" s="26"/>
      <c r="B366" s="26"/>
      <c r="C366" s="26"/>
      <c r="D366" s="27"/>
      <c r="E366" s="27"/>
      <c r="F366" s="26"/>
      <c r="G366" s="28"/>
      <c r="H366" s="28"/>
      <c r="I366" s="28"/>
      <c r="J366" s="28"/>
      <c r="K366" s="28"/>
      <c r="L366" s="28"/>
      <c r="M366" s="28"/>
      <c r="N366" s="26"/>
      <c r="O366" s="29"/>
      <c r="P366" s="27"/>
      <c r="Q366" s="26"/>
      <c r="R366" s="29"/>
      <c r="S366" s="28"/>
      <c r="T366" s="29"/>
      <c r="U366" s="28"/>
      <c r="V366" s="28"/>
      <c r="W366" s="28"/>
      <c r="X366" s="28"/>
      <c r="Y366" s="26"/>
      <c r="Z366" s="29"/>
      <c r="AA366" s="28"/>
      <c r="AB366" s="26"/>
      <c r="AC366" s="29"/>
      <c r="AD366" s="25"/>
      <c r="AE366" s="29"/>
      <c r="AF366" s="25"/>
      <c r="AG366" s="25"/>
      <c r="AH366" s="25"/>
      <c r="AI366" s="25"/>
      <c r="AJ366" s="26"/>
      <c r="AK366" s="29"/>
      <c r="AL366" s="28"/>
      <c r="AM366" s="26"/>
      <c r="AN366" s="29"/>
      <c r="AO366" s="25"/>
      <c r="AP366" s="29"/>
      <c r="AQ366" s="25"/>
      <c r="AR366" s="25"/>
      <c r="AS366" s="25"/>
      <c r="AT366" s="25"/>
      <c r="AU366" s="26"/>
      <c r="AV366" s="26"/>
      <c r="AW366" s="26"/>
      <c r="AX366" s="26"/>
      <c r="AY366" s="26"/>
      <c r="AZ366" s="26"/>
      <c r="BA366" s="26"/>
    </row>
    <row r="367">
      <c r="A367" s="26"/>
      <c r="B367" s="26"/>
      <c r="C367" s="26"/>
      <c r="D367" s="27"/>
      <c r="E367" s="27"/>
      <c r="F367" s="26"/>
      <c r="G367" s="28"/>
      <c r="H367" s="28"/>
      <c r="I367" s="28"/>
      <c r="J367" s="28"/>
      <c r="K367" s="28"/>
      <c r="L367" s="28"/>
      <c r="M367" s="28"/>
      <c r="N367" s="26"/>
      <c r="O367" s="29"/>
      <c r="P367" s="27"/>
      <c r="Q367" s="26"/>
      <c r="R367" s="29"/>
      <c r="S367" s="28"/>
      <c r="T367" s="29"/>
      <c r="U367" s="28"/>
      <c r="V367" s="28"/>
      <c r="W367" s="28"/>
      <c r="X367" s="28"/>
      <c r="Y367" s="26"/>
      <c r="Z367" s="29"/>
      <c r="AA367" s="28"/>
      <c r="AB367" s="26"/>
      <c r="AC367" s="29"/>
      <c r="AD367" s="25"/>
      <c r="AE367" s="29"/>
      <c r="AF367" s="25"/>
      <c r="AG367" s="25"/>
      <c r="AH367" s="25"/>
      <c r="AI367" s="25"/>
      <c r="AJ367" s="26"/>
      <c r="AK367" s="29"/>
      <c r="AL367" s="28"/>
      <c r="AM367" s="26"/>
      <c r="AN367" s="29"/>
      <c r="AO367" s="25"/>
      <c r="AP367" s="29"/>
      <c r="AQ367" s="25"/>
      <c r="AR367" s="25"/>
      <c r="AS367" s="25"/>
      <c r="AT367" s="25"/>
      <c r="AU367" s="26"/>
      <c r="AV367" s="26"/>
      <c r="AW367" s="26"/>
      <c r="AX367" s="26"/>
      <c r="AY367" s="26"/>
      <c r="AZ367" s="26"/>
      <c r="BA367" s="26"/>
    </row>
    <row r="368">
      <c r="A368" s="26"/>
      <c r="B368" s="26"/>
      <c r="C368" s="26"/>
      <c r="D368" s="27"/>
      <c r="E368" s="27"/>
      <c r="F368" s="26"/>
      <c r="G368" s="28"/>
      <c r="H368" s="28"/>
      <c r="I368" s="28"/>
      <c r="J368" s="28"/>
      <c r="K368" s="28"/>
      <c r="L368" s="28"/>
      <c r="M368" s="28"/>
      <c r="N368" s="26"/>
      <c r="O368" s="29"/>
      <c r="P368" s="27"/>
      <c r="Q368" s="26"/>
      <c r="R368" s="29"/>
      <c r="S368" s="28"/>
      <c r="T368" s="29"/>
      <c r="U368" s="28"/>
      <c r="V368" s="28"/>
      <c r="W368" s="28"/>
      <c r="X368" s="28"/>
      <c r="Y368" s="26"/>
      <c r="Z368" s="29"/>
      <c r="AA368" s="28"/>
      <c r="AB368" s="26"/>
      <c r="AC368" s="29"/>
      <c r="AD368" s="25"/>
      <c r="AE368" s="29"/>
      <c r="AF368" s="25"/>
      <c r="AG368" s="25"/>
      <c r="AH368" s="25"/>
      <c r="AI368" s="25"/>
      <c r="AJ368" s="26"/>
      <c r="AK368" s="29"/>
      <c r="AL368" s="28"/>
      <c r="AM368" s="26"/>
      <c r="AN368" s="29"/>
      <c r="AO368" s="25"/>
      <c r="AP368" s="29"/>
      <c r="AQ368" s="25"/>
      <c r="AR368" s="25"/>
      <c r="AS368" s="25"/>
      <c r="AT368" s="25"/>
      <c r="AU368" s="26"/>
      <c r="AV368" s="26"/>
      <c r="AW368" s="26"/>
      <c r="AX368" s="26"/>
      <c r="AY368" s="26"/>
      <c r="AZ368" s="26"/>
      <c r="BA368" s="26"/>
    </row>
    <row r="369">
      <c r="A369" s="26"/>
      <c r="B369" s="26"/>
      <c r="C369" s="26"/>
      <c r="D369" s="27"/>
      <c r="E369" s="27"/>
      <c r="F369" s="26"/>
      <c r="G369" s="28"/>
      <c r="H369" s="28"/>
      <c r="I369" s="28"/>
      <c r="J369" s="28"/>
      <c r="K369" s="28"/>
      <c r="L369" s="28"/>
      <c r="M369" s="28"/>
      <c r="N369" s="26"/>
      <c r="O369" s="29"/>
      <c r="P369" s="27"/>
      <c r="Q369" s="26"/>
      <c r="R369" s="29"/>
      <c r="S369" s="28"/>
      <c r="T369" s="29"/>
      <c r="U369" s="28"/>
      <c r="V369" s="28"/>
      <c r="W369" s="28"/>
      <c r="X369" s="28"/>
      <c r="Y369" s="26"/>
      <c r="Z369" s="29"/>
      <c r="AA369" s="28"/>
      <c r="AB369" s="26"/>
      <c r="AC369" s="29"/>
      <c r="AD369" s="25"/>
      <c r="AE369" s="29"/>
      <c r="AF369" s="25"/>
      <c r="AG369" s="25"/>
      <c r="AH369" s="25"/>
      <c r="AI369" s="25"/>
      <c r="AJ369" s="26"/>
      <c r="AK369" s="29"/>
      <c r="AL369" s="28"/>
      <c r="AM369" s="26"/>
      <c r="AN369" s="29"/>
      <c r="AO369" s="25"/>
      <c r="AP369" s="29"/>
      <c r="AQ369" s="25"/>
      <c r="AR369" s="25"/>
      <c r="AS369" s="25"/>
      <c r="AT369" s="25"/>
      <c r="AU369" s="26"/>
      <c r="AV369" s="26"/>
      <c r="AW369" s="26"/>
      <c r="AX369" s="26"/>
      <c r="AY369" s="26"/>
      <c r="AZ369" s="26"/>
      <c r="BA369" s="26"/>
    </row>
    <row r="370">
      <c r="A370" s="26"/>
      <c r="B370" s="26"/>
      <c r="C370" s="26"/>
      <c r="D370" s="27"/>
      <c r="E370" s="27"/>
      <c r="F370" s="26"/>
      <c r="G370" s="28"/>
      <c r="H370" s="28"/>
      <c r="I370" s="28"/>
      <c r="J370" s="28"/>
      <c r="K370" s="28"/>
      <c r="L370" s="28"/>
      <c r="M370" s="28"/>
      <c r="N370" s="26"/>
      <c r="O370" s="29"/>
      <c r="P370" s="27"/>
      <c r="Q370" s="26"/>
      <c r="R370" s="29"/>
      <c r="S370" s="28"/>
      <c r="T370" s="29"/>
      <c r="U370" s="28"/>
      <c r="V370" s="28"/>
      <c r="W370" s="28"/>
      <c r="X370" s="28"/>
      <c r="Y370" s="26"/>
      <c r="Z370" s="29"/>
      <c r="AA370" s="28"/>
      <c r="AB370" s="26"/>
      <c r="AC370" s="29"/>
      <c r="AD370" s="25"/>
      <c r="AE370" s="29"/>
      <c r="AF370" s="25"/>
      <c r="AG370" s="25"/>
      <c r="AH370" s="25"/>
      <c r="AI370" s="25"/>
      <c r="AJ370" s="26"/>
      <c r="AK370" s="29"/>
      <c r="AL370" s="28"/>
      <c r="AM370" s="26"/>
      <c r="AN370" s="29"/>
      <c r="AO370" s="25"/>
      <c r="AP370" s="29"/>
      <c r="AQ370" s="25"/>
      <c r="AR370" s="25"/>
      <c r="AS370" s="25"/>
      <c r="AT370" s="25"/>
      <c r="AU370" s="26"/>
      <c r="AV370" s="26"/>
      <c r="AW370" s="26"/>
      <c r="AX370" s="26"/>
      <c r="AY370" s="26"/>
      <c r="AZ370" s="26"/>
      <c r="BA370" s="26"/>
    </row>
    <row r="371">
      <c r="A371" s="26"/>
      <c r="B371" s="26"/>
      <c r="C371" s="26"/>
      <c r="D371" s="27"/>
      <c r="E371" s="27"/>
      <c r="F371" s="26"/>
      <c r="G371" s="28"/>
      <c r="H371" s="28"/>
      <c r="I371" s="28"/>
      <c r="J371" s="28"/>
      <c r="K371" s="28"/>
      <c r="L371" s="28"/>
      <c r="M371" s="28"/>
      <c r="N371" s="26"/>
      <c r="O371" s="29"/>
      <c r="P371" s="27"/>
      <c r="Q371" s="26"/>
      <c r="R371" s="29"/>
      <c r="S371" s="28"/>
      <c r="T371" s="29"/>
      <c r="U371" s="28"/>
      <c r="V371" s="28"/>
      <c r="W371" s="28"/>
      <c r="X371" s="28"/>
      <c r="Y371" s="26"/>
      <c r="Z371" s="29"/>
      <c r="AA371" s="28"/>
      <c r="AB371" s="26"/>
      <c r="AC371" s="29"/>
      <c r="AD371" s="25"/>
      <c r="AE371" s="29"/>
      <c r="AF371" s="25"/>
      <c r="AG371" s="25"/>
      <c r="AH371" s="25"/>
      <c r="AI371" s="25"/>
      <c r="AJ371" s="26"/>
      <c r="AK371" s="29"/>
      <c r="AL371" s="28"/>
      <c r="AM371" s="26"/>
      <c r="AN371" s="29"/>
      <c r="AO371" s="25"/>
      <c r="AP371" s="29"/>
      <c r="AQ371" s="25"/>
      <c r="AR371" s="25"/>
      <c r="AS371" s="25"/>
      <c r="AT371" s="25"/>
      <c r="AU371" s="26"/>
      <c r="AV371" s="26"/>
      <c r="AW371" s="26"/>
      <c r="AX371" s="26"/>
      <c r="AY371" s="26"/>
      <c r="AZ371" s="26"/>
      <c r="BA371" s="26"/>
    </row>
    <row r="372">
      <c r="A372" s="26"/>
      <c r="B372" s="26"/>
      <c r="C372" s="26"/>
      <c r="D372" s="27"/>
      <c r="E372" s="27"/>
      <c r="F372" s="26"/>
      <c r="G372" s="28"/>
      <c r="H372" s="28"/>
      <c r="I372" s="28"/>
      <c r="J372" s="28"/>
      <c r="K372" s="28"/>
      <c r="L372" s="28"/>
      <c r="M372" s="28"/>
      <c r="N372" s="26"/>
      <c r="O372" s="29"/>
      <c r="P372" s="27"/>
      <c r="Q372" s="26"/>
      <c r="R372" s="29"/>
      <c r="S372" s="28"/>
      <c r="T372" s="29"/>
      <c r="U372" s="28"/>
      <c r="V372" s="28"/>
      <c r="W372" s="28"/>
      <c r="X372" s="28"/>
      <c r="Y372" s="26"/>
      <c r="Z372" s="29"/>
      <c r="AA372" s="28"/>
      <c r="AB372" s="26"/>
      <c r="AC372" s="29"/>
      <c r="AD372" s="25"/>
      <c r="AE372" s="29"/>
      <c r="AF372" s="25"/>
      <c r="AG372" s="25"/>
      <c r="AH372" s="25"/>
      <c r="AI372" s="25"/>
      <c r="AJ372" s="26"/>
      <c r="AK372" s="29"/>
      <c r="AL372" s="28"/>
      <c r="AM372" s="26"/>
      <c r="AN372" s="29"/>
      <c r="AO372" s="25"/>
      <c r="AP372" s="29"/>
      <c r="AQ372" s="25"/>
      <c r="AR372" s="25"/>
      <c r="AS372" s="25"/>
      <c r="AT372" s="25"/>
      <c r="AU372" s="26"/>
      <c r="AV372" s="26"/>
      <c r="AW372" s="26"/>
      <c r="AX372" s="26"/>
      <c r="AY372" s="26"/>
      <c r="AZ372" s="26"/>
      <c r="BA372" s="26"/>
    </row>
    <row r="373">
      <c r="A373" s="26"/>
      <c r="B373" s="26"/>
      <c r="C373" s="26"/>
      <c r="D373" s="27"/>
      <c r="E373" s="27"/>
      <c r="F373" s="26"/>
      <c r="G373" s="28"/>
      <c r="H373" s="28"/>
      <c r="I373" s="28"/>
      <c r="J373" s="28"/>
      <c r="K373" s="28"/>
      <c r="L373" s="28"/>
      <c r="M373" s="28"/>
      <c r="N373" s="26"/>
      <c r="O373" s="29"/>
      <c r="P373" s="27"/>
      <c r="Q373" s="26"/>
      <c r="R373" s="29"/>
      <c r="S373" s="28"/>
      <c r="T373" s="29"/>
      <c r="U373" s="28"/>
      <c r="V373" s="28"/>
      <c r="W373" s="28"/>
      <c r="X373" s="28"/>
      <c r="Y373" s="26"/>
      <c r="Z373" s="29"/>
      <c r="AA373" s="28"/>
      <c r="AB373" s="26"/>
      <c r="AC373" s="29"/>
      <c r="AD373" s="25"/>
      <c r="AE373" s="29"/>
      <c r="AF373" s="25"/>
      <c r="AG373" s="25"/>
      <c r="AH373" s="25"/>
      <c r="AI373" s="25"/>
      <c r="AJ373" s="26"/>
      <c r="AK373" s="29"/>
      <c r="AL373" s="28"/>
      <c r="AM373" s="26"/>
      <c r="AN373" s="29"/>
      <c r="AO373" s="25"/>
      <c r="AP373" s="29"/>
      <c r="AQ373" s="25"/>
      <c r="AR373" s="25"/>
      <c r="AS373" s="25"/>
      <c r="AT373" s="25"/>
      <c r="AU373" s="26"/>
      <c r="AV373" s="26"/>
      <c r="AW373" s="26"/>
      <c r="AX373" s="26"/>
      <c r="AY373" s="26"/>
      <c r="AZ373" s="26"/>
      <c r="BA373" s="26"/>
    </row>
    <row r="374">
      <c r="A374" s="26"/>
      <c r="B374" s="26"/>
      <c r="C374" s="26"/>
      <c r="D374" s="27"/>
      <c r="E374" s="27"/>
      <c r="F374" s="26"/>
      <c r="G374" s="28"/>
      <c r="H374" s="28"/>
      <c r="I374" s="28"/>
      <c r="J374" s="28"/>
      <c r="K374" s="28"/>
      <c r="L374" s="28"/>
      <c r="M374" s="28"/>
      <c r="N374" s="26"/>
      <c r="O374" s="29"/>
      <c r="P374" s="27"/>
      <c r="Q374" s="26"/>
      <c r="R374" s="29"/>
      <c r="S374" s="28"/>
      <c r="T374" s="29"/>
      <c r="U374" s="28"/>
      <c r="V374" s="28"/>
      <c r="W374" s="28"/>
      <c r="X374" s="28"/>
      <c r="Y374" s="26"/>
      <c r="Z374" s="29"/>
      <c r="AA374" s="28"/>
      <c r="AB374" s="26"/>
      <c r="AC374" s="29"/>
      <c r="AD374" s="25"/>
      <c r="AE374" s="29"/>
      <c r="AF374" s="25"/>
      <c r="AG374" s="25"/>
      <c r="AH374" s="25"/>
      <c r="AI374" s="25"/>
      <c r="AJ374" s="26"/>
      <c r="AK374" s="29"/>
      <c r="AL374" s="28"/>
      <c r="AM374" s="26"/>
      <c r="AN374" s="29"/>
      <c r="AO374" s="25"/>
      <c r="AP374" s="29"/>
      <c r="AQ374" s="25"/>
      <c r="AR374" s="25"/>
      <c r="AS374" s="25"/>
      <c r="AT374" s="25"/>
      <c r="AU374" s="26"/>
      <c r="AV374" s="26"/>
      <c r="AW374" s="26"/>
      <c r="AX374" s="26"/>
      <c r="AY374" s="26"/>
      <c r="AZ374" s="26"/>
      <c r="BA374" s="26"/>
    </row>
    <row r="375">
      <c r="A375" s="26"/>
      <c r="B375" s="26"/>
      <c r="C375" s="26"/>
      <c r="D375" s="27"/>
      <c r="E375" s="27"/>
      <c r="F375" s="26"/>
      <c r="G375" s="28"/>
      <c r="H375" s="28"/>
      <c r="I375" s="28"/>
      <c r="J375" s="28"/>
      <c r="K375" s="28"/>
      <c r="L375" s="28"/>
      <c r="M375" s="28"/>
      <c r="N375" s="26"/>
      <c r="O375" s="29"/>
      <c r="P375" s="27"/>
      <c r="Q375" s="26"/>
      <c r="R375" s="29"/>
      <c r="S375" s="28"/>
      <c r="T375" s="29"/>
      <c r="U375" s="28"/>
      <c r="V375" s="28"/>
      <c r="W375" s="28"/>
      <c r="X375" s="28"/>
      <c r="Y375" s="26"/>
      <c r="Z375" s="29"/>
      <c r="AA375" s="28"/>
      <c r="AB375" s="26"/>
      <c r="AC375" s="29"/>
      <c r="AD375" s="25"/>
      <c r="AE375" s="29"/>
      <c r="AF375" s="25"/>
      <c r="AG375" s="25"/>
      <c r="AH375" s="25"/>
      <c r="AI375" s="25"/>
      <c r="AJ375" s="26"/>
      <c r="AK375" s="29"/>
      <c r="AL375" s="28"/>
      <c r="AM375" s="26"/>
      <c r="AN375" s="29"/>
      <c r="AO375" s="25"/>
      <c r="AP375" s="29"/>
      <c r="AQ375" s="25"/>
      <c r="AR375" s="25"/>
      <c r="AS375" s="25"/>
      <c r="AT375" s="25"/>
      <c r="AU375" s="26"/>
      <c r="AV375" s="26"/>
      <c r="AW375" s="26"/>
      <c r="AX375" s="26"/>
      <c r="AY375" s="26"/>
      <c r="AZ375" s="26"/>
      <c r="BA375" s="26"/>
    </row>
    <row r="376">
      <c r="A376" s="26"/>
      <c r="B376" s="26"/>
      <c r="C376" s="26"/>
      <c r="D376" s="27"/>
      <c r="E376" s="27"/>
      <c r="F376" s="26"/>
      <c r="G376" s="28"/>
      <c r="H376" s="28"/>
      <c r="I376" s="28"/>
      <c r="J376" s="28"/>
      <c r="K376" s="28"/>
      <c r="L376" s="28"/>
      <c r="M376" s="28"/>
      <c r="N376" s="26"/>
      <c r="O376" s="29"/>
      <c r="P376" s="27"/>
      <c r="Q376" s="26"/>
      <c r="R376" s="29"/>
      <c r="S376" s="28"/>
      <c r="T376" s="29"/>
      <c r="U376" s="28"/>
      <c r="V376" s="28"/>
      <c r="W376" s="28"/>
      <c r="X376" s="28"/>
      <c r="Y376" s="26"/>
      <c r="Z376" s="29"/>
      <c r="AA376" s="28"/>
      <c r="AB376" s="26"/>
      <c r="AC376" s="29"/>
      <c r="AD376" s="25"/>
      <c r="AE376" s="29"/>
      <c r="AF376" s="25"/>
      <c r="AG376" s="25"/>
      <c r="AH376" s="25"/>
      <c r="AI376" s="25"/>
      <c r="AJ376" s="26"/>
      <c r="AK376" s="29"/>
      <c r="AL376" s="28"/>
      <c r="AM376" s="26"/>
      <c r="AN376" s="29"/>
      <c r="AO376" s="25"/>
      <c r="AP376" s="29"/>
      <c r="AQ376" s="25"/>
      <c r="AR376" s="25"/>
      <c r="AS376" s="25"/>
      <c r="AT376" s="25"/>
      <c r="AU376" s="26"/>
      <c r="AV376" s="26"/>
      <c r="AW376" s="26"/>
      <c r="AX376" s="26"/>
      <c r="AY376" s="26"/>
      <c r="AZ376" s="26"/>
      <c r="BA376" s="26"/>
    </row>
    <row r="377">
      <c r="A377" s="26"/>
      <c r="B377" s="26"/>
      <c r="C377" s="26"/>
      <c r="D377" s="27"/>
      <c r="E377" s="27"/>
      <c r="F377" s="26"/>
      <c r="G377" s="28"/>
      <c r="H377" s="28"/>
      <c r="I377" s="28"/>
      <c r="J377" s="28"/>
      <c r="K377" s="28"/>
      <c r="L377" s="28"/>
      <c r="M377" s="28"/>
      <c r="N377" s="26"/>
      <c r="O377" s="29"/>
      <c r="P377" s="27"/>
      <c r="Q377" s="26"/>
      <c r="R377" s="29"/>
      <c r="S377" s="28"/>
      <c r="T377" s="29"/>
      <c r="U377" s="28"/>
      <c r="V377" s="28"/>
      <c r="W377" s="28"/>
      <c r="X377" s="28"/>
      <c r="Y377" s="26"/>
      <c r="Z377" s="29"/>
      <c r="AA377" s="28"/>
      <c r="AB377" s="26"/>
      <c r="AC377" s="29"/>
      <c r="AD377" s="25"/>
      <c r="AE377" s="29"/>
      <c r="AF377" s="25"/>
      <c r="AG377" s="25"/>
      <c r="AH377" s="25"/>
      <c r="AI377" s="25"/>
      <c r="AJ377" s="26"/>
      <c r="AK377" s="29"/>
      <c r="AL377" s="28"/>
      <c r="AM377" s="26"/>
      <c r="AN377" s="29"/>
      <c r="AO377" s="25"/>
      <c r="AP377" s="29"/>
      <c r="AQ377" s="25"/>
      <c r="AR377" s="25"/>
      <c r="AS377" s="25"/>
      <c r="AT377" s="25"/>
      <c r="AU377" s="26"/>
      <c r="AV377" s="26"/>
      <c r="AW377" s="26"/>
      <c r="AX377" s="26"/>
      <c r="AY377" s="26"/>
      <c r="AZ377" s="26"/>
      <c r="BA377" s="26"/>
    </row>
    <row r="378">
      <c r="A378" s="26"/>
      <c r="B378" s="26"/>
      <c r="C378" s="26"/>
      <c r="D378" s="27"/>
      <c r="E378" s="27"/>
      <c r="F378" s="26"/>
      <c r="G378" s="28"/>
      <c r="H378" s="28"/>
      <c r="I378" s="28"/>
      <c r="J378" s="28"/>
      <c r="K378" s="28"/>
      <c r="L378" s="28"/>
      <c r="M378" s="28"/>
      <c r="N378" s="26"/>
      <c r="O378" s="29"/>
      <c r="P378" s="27"/>
      <c r="Q378" s="26"/>
      <c r="R378" s="29"/>
      <c r="S378" s="28"/>
      <c r="T378" s="29"/>
      <c r="U378" s="28"/>
      <c r="V378" s="28"/>
      <c r="W378" s="28"/>
      <c r="X378" s="28"/>
      <c r="Y378" s="26"/>
      <c r="Z378" s="29"/>
      <c r="AA378" s="28"/>
      <c r="AB378" s="26"/>
      <c r="AC378" s="29"/>
      <c r="AD378" s="25"/>
      <c r="AE378" s="29"/>
      <c r="AF378" s="25"/>
      <c r="AG378" s="25"/>
      <c r="AH378" s="25"/>
      <c r="AI378" s="25"/>
      <c r="AJ378" s="26"/>
      <c r="AK378" s="29"/>
      <c r="AL378" s="28"/>
      <c r="AM378" s="26"/>
      <c r="AN378" s="29"/>
      <c r="AO378" s="25"/>
      <c r="AP378" s="29"/>
      <c r="AQ378" s="25"/>
      <c r="AR378" s="25"/>
      <c r="AS378" s="25"/>
      <c r="AT378" s="25"/>
      <c r="AU378" s="26"/>
      <c r="AV378" s="26"/>
      <c r="AW378" s="26"/>
      <c r="AX378" s="26"/>
      <c r="AY378" s="26"/>
      <c r="AZ378" s="26"/>
      <c r="BA378" s="26"/>
    </row>
    <row r="379">
      <c r="A379" s="26"/>
      <c r="B379" s="26"/>
      <c r="C379" s="26"/>
      <c r="D379" s="27"/>
      <c r="E379" s="27"/>
      <c r="F379" s="26"/>
      <c r="G379" s="28"/>
      <c r="H379" s="28"/>
      <c r="I379" s="28"/>
      <c r="J379" s="28"/>
      <c r="K379" s="28"/>
      <c r="L379" s="28"/>
      <c r="M379" s="28"/>
      <c r="N379" s="26"/>
      <c r="O379" s="29"/>
      <c r="P379" s="27"/>
      <c r="Q379" s="26"/>
      <c r="R379" s="29"/>
      <c r="S379" s="28"/>
      <c r="T379" s="29"/>
      <c r="U379" s="28"/>
      <c r="V379" s="28"/>
      <c r="W379" s="28"/>
      <c r="X379" s="28"/>
      <c r="Y379" s="26"/>
      <c r="Z379" s="29"/>
      <c r="AA379" s="28"/>
      <c r="AB379" s="26"/>
      <c r="AC379" s="29"/>
      <c r="AD379" s="25"/>
      <c r="AE379" s="29"/>
      <c r="AF379" s="25"/>
      <c r="AG379" s="25"/>
      <c r="AH379" s="25"/>
      <c r="AI379" s="25"/>
      <c r="AJ379" s="26"/>
      <c r="AK379" s="29"/>
      <c r="AL379" s="28"/>
      <c r="AM379" s="26"/>
      <c r="AN379" s="29"/>
      <c r="AO379" s="25"/>
      <c r="AP379" s="29"/>
      <c r="AQ379" s="25"/>
      <c r="AR379" s="25"/>
      <c r="AS379" s="25"/>
      <c r="AT379" s="25"/>
      <c r="AU379" s="26"/>
      <c r="AV379" s="26"/>
      <c r="AW379" s="26"/>
      <c r="AX379" s="26"/>
      <c r="AY379" s="26"/>
      <c r="AZ379" s="26"/>
      <c r="BA379" s="26"/>
    </row>
    <row r="380">
      <c r="A380" s="26"/>
      <c r="B380" s="26"/>
      <c r="C380" s="26"/>
      <c r="D380" s="27"/>
      <c r="E380" s="27"/>
      <c r="F380" s="26"/>
      <c r="G380" s="28"/>
      <c r="H380" s="28"/>
      <c r="I380" s="28"/>
      <c r="J380" s="28"/>
      <c r="K380" s="28"/>
      <c r="L380" s="28"/>
      <c r="M380" s="28"/>
      <c r="N380" s="26"/>
      <c r="O380" s="29"/>
      <c r="P380" s="27"/>
      <c r="Q380" s="26"/>
      <c r="R380" s="29"/>
      <c r="S380" s="28"/>
      <c r="T380" s="29"/>
      <c r="U380" s="28"/>
      <c r="V380" s="28"/>
      <c r="W380" s="28"/>
      <c r="X380" s="28"/>
      <c r="Y380" s="26"/>
      <c r="Z380" s="29"/>
      <c r="AA380" s="28"/>
      <c r="AB380" s="26"/>
      <c r="AC380" s="29"/>
      <c r="AD380" s="25"/>
      <c r="AE380" s="29"/>
      <c r="AF380" s="25"/>
      <c r="AG380" s="25"/>
      <c r="AH380" s="25"/>
      <c r="AI380" s="25"/>
      <c r="AJ380" s="26"/>
      <c r="AK380" s="29"/>
      <c r="AL380" s="28"/>
      <c r="AM380" s="26"/>
      <c r="AN380" s="29"/>
      <c r="AO380" s="25"/>
      <c r="AP380" s="29"/>
      <c r="AQ380" s="25"/>
      <c r="AR380" s="25"/>
      <c r="AS380" s="25"/>
      <c r="AT380" s="25"/>
      <c r="AU380" s="26"/>
      <c r="AV380" s="26"/>
      <c r="AW380" s="26"/>
      <c r="AX380" s="26"/>
      <c r="AY380" s="26"/>
      <c r="AZ380" s="26"/>
      <c r="BA380" s="26"/>
    </row>
    <row r="381">
      <c r="A381" s="26"/>
      <c r="B381" s="26"/>
      <c r="C381" s="26"/>
      <c r="D381" s="27"/>
      <c r="E381" s="27"/>
      <c r="F381" s="26"/>
      <c r="G381" s="28"/>
      <c r="H381" s="28"/>
      <c r="I381" s="28"/>
      <c r="J381" s="28"/>
      <c r="K381" s="28"/>
      <c r="L381" s="28"/>
      <c r="M381" s="28"/>
      <c r="N381" s="26"/>
      <c r="O381" s="29"/>
      <c r="P381" s="27"/>
      <c r="Q381" s="26"/>
      <c r="R381" s="29"/>
      <c r="S381" s="28"/>
      <c r="T381" s="29"/>
      <c r="U381" s="28"/>
      <c r="V381" s="28"/>
      <c r="W381" s="28"/>
      <c r="X381" s="28"/>
      <c r="Y381" s="26"/>
      <c r="Z381" s="29"/>
      <c r="AA381" s="28"/>
      <c r="AB381" s="26"/>
      <c r="AC381" s="29"/>
      <c r="AD381" s="25"/>
      <c r="AE381" s="29"/>
      <c r="AF381" s="25"/>
      <c r="AG381" s="25"/>
      <c r="AH381" s="25"/>
      <c r="AI381" s="25"/>
      <c r="AJ381" s="26"/>
      <c r="AK381" s="29"/>
      <c r="AL381" s="28"/>
      <c r="AM381" s="26"/>
      <c r="AN381" s="29"/>
      <c r="AO381" s="25"/>
      <c r="AP381" s="29"/>
      <c r="AQ381" s="25"/>
      <c r="AR381" s="25"/>
      <c r="AS381" s="25"/>
      <c r="AT381" s="25"/>
      <c r="AU381" s="26"/>
      <c r="AV381" s="26"/>
      <c r="AW381" s="26"/>
      <c r="AX381" s="26"/>
      <c r="AY381" s="26"/>
      <c r="AZ381" s="26"/>
      <c r="BA381" s="26"/>
    </row>
    <row r="382">
      <c r="A382" s="26"/>
      <c r="B382" s="26"/>
      <c r="C382" s="26"/>
      <c r="D382" s="27"/>
      <c r="E382" s="27"/>
      <c r="F382" s="26"/>
      <c r="G382" s="28"/>
      <c r="H382" s="28"/>
      <c r="I382" s="28"/>
      <c r="J382" s="28"/>
      <c r="K382" s="28"/>
      <c r="L382" s="28"/>
      <c r="M382" s="28"/>
      <c r="N382" s="26"/>
      <c r="O382" s="29"/>
      <c r="P382" s="27"/>
      <c r="Q382" s="26"/>
      <c r="R382" s="29"/>
      <c r="S382" s="28"/>
      <c r="T382" s="29"/>
      <c r="U382" s="28"/>
      <c r="V382" s="28"/>
      <c r="W382" s="28"/>
      <c r="X382" s="28"/>
      <c r="Y382" s="26"/>
      <c r="Z382" s="29"/>
      <c r="AA382" s="28"/>
      <c r="AB382" s="26"/>
      <c r="AC382" s="29"/>
      <c r="AD382" s="25"/>
      <c r="AE382" s="29"/>
      <c r="AF382" s="25"/>
      <c r="AG382" s="25"/>
      <c r="AH382" s="25"/>
      <c r="AI382" s="25"/>
      <c r="AJ382" s="26"/>
      <c r="AK382" s="29"/>
      <c r="AL382" s="28"/>
      <c r="AM382" s="26"/>
      <c r="AN382" s="29"/>
      <c r="AO382" s="25"/>
      <c r="AP382" s="29"/>
      <c r="AQ382" s="25"/>
      <c r="AR382" s="25"/>
      <c r="AS382" s="25"/>
      <c r="AT382" s="25"/>
      <c r="AU382" s="26"/>
      <c r="AV382" s="26"/>
      <c r="AW382" s="26"/>
      <c r="AX382" s="26"/>
      <c r="AY382" s="26"/>
      <c r="AZ382" s="26"/>
      <c r="BA382" s="26"/>
    </row>
    <row r="383">
      <c r="A383" s="26"/>
      <c r="B383" s="26"/>
      <c r="C383" s="26"/>
      <c r="D383" s="27"/>
      <c r="E383" s="27"/>
      <c r="F383" s="26"/>
      <c r="G383" s="28"/>
      <c r="H383" s="28"/>
      <c r="I383" s="28"/>
      <c r="J383" s="28"/>
      <c r="K383" s="28"/>
      <c r="L383" s="28"/>
      <c r="M383" s="28"/>
      <c r="N383" s="26"/>
      <c r="O383" s="29"/>
      <c r="P383" s="27"/>
      <c r="Q383" s="26"/>
      <c r="R383" s="29"/>
      <c r="S383" s="28"/>
      <c r="T383" s="29"/>
      <c r="U383" s="28"/>
      <c r="V383" s="28"/>
      <c r="W383" s="28"/>
      <c r="X383" s="28"/>
      <c r="Y383" s="26"/>
      <c r="Z383" s="29"/>
      <c r="AA383" s="28"/>
      <c r="AB383" s="26"/>
      <c r="AC383" s="29"/>
      <c r="AD383" s="25"/>
      <c r="AE383" s="29"/>
      <c r="AF383" s="25"/>
      <c r="AG383" s="25"/>
      <c r="AH383" s="25"/>
      <c r="AI383" s="25"/>
      <c r="AJ383" s="26"/>
      <c r="AK383" s="29"/>
      <c r="AL383" s="28"/>
      <c r="AM383" s="26"/>
      <c r="AN383" s="29"/>
      <c r="AO383" s="25"/>
      <c r="AP383" s="29"/>
      <c r="AQ383" s="25"/>
      <c r="AR383" s="25"/>
      <c r="AS383" s="25"/>
      <c r="AT383" s="25"/>
      <c r="AU383" s="26"/>
      <c r="AV383" s="26"/>
      <c r="AW383" s="26"/>
      <c r="AX383" s="26"/>
      <c r="AY383" s="26"/>
      <c r="AZ383" s="26"/>
      <c r="BA383" s="26"/>
    </row>
    <row r="384">
      <c r="A384" s="26"/>
      <c r="B384" s="26"/>
      <c r="C384" s="26"/>
      <c r="D384" s="27"/>
      <c r="E384" s="27"/>
      <c r="F384" s="26"/>
      <c r="G384" s="28"/>
      <c r="H384" s="28"/>
      <c r="I384" s="28"/>
      <c r="J384" s="28"/>
      <c r="K384" s="28"/>
      <c r="L384" s="28"/>
      <c r="M384" s="28"/>
      <c r="N384" s="26"/>
      <c r="O384" s="29"/>
      <c r="P384" s="27"/>
      <c r="Q384" s="26"/>
      <c r="R384" s="29"/>
      <c r="S384" s="28"/>
      <c r="T384" s="29"/>
      <c r="U384" s="28"/>
      <c r="V384" s="28"/>
      <c r="W384" s="28"/>
      <c r="X384" s="28"/>
      <c r="Y384" s="26"/>
      <c r="Z384" s="29"/>
      <c r="AA384" s="28"/>
      <c r="AB384" s="26"/>
      <c r="AC384" s="29"/>
      <c r="AD384" s="25"/>
      <c r="AE384" s="29"/>
      <c r="AF384" s="25"/>
      <c r="AG384" s="25"/>
      <c r="AH384" s="25"/>
      <c r="AI384" s="25"/>
      <c r="AJ384" s="26"/>
      <c r="AK384" s="29"/>
      <c r="AL384" s="28"/>
      <c r="AM384" s="26"/>
      <c r="AN384" s="29"/>
      <c r="AO384" s="25"/>
      <c r="AP384" s="29"/>
      <c r="AQ384" s="25"/>
      <c r="AR384" s="25"/>
      <c r="AS384" s="25"/>
      <c r="AT384" s="25"/>
      <c r="AU384" s="26"/>
      <c r="AV384" s="26"/>
      <c r="AW384" s="26"/>
      <c r="AX384" s="26"/>
      <c r="AY384" s="26"/>
      <c r="AZ384" s="26"/>
      <c r="BA384" s="26"/>
    </row>
    <row r="385">
      <c r="A385" s="26"/>
      <c r="B385" s="26"/>
      <c r="C385" s="26"/>
      <c r="D385" s="27"/>
      <c r="E385" s="27"/>
      <c r="F385" s="26"/>
      <c r="G385" s="28"/>
      <c r="H385" s="28"/>
      <c r="I385" s="28"/>
      <c r="J385" s="28"/>
      <c r="K385" s="28"/>
      <c r="L385" s="28"/>
      <c r="M385" s="28"/>
      <c r="N385" s="26"/>
      <c r="O385" s="29"/>
      <c r="P385" s="27"/>
      <c r="Q385" s="26"/>
      <c r="R385" s="29"/>
      <c r="S385" s="28"/>
      <c r="T385" s="29"/>
      <c r="U385" s="28"/>
      <c r="V385" s="28"/>
      <c r="W385" s="28"/>
      <c r="X385" s="28"/>
      <c r="Y385" s="26"/>
      <c r="Z385" s="29"/>
      <c r="AA385" s="28"/>
      <c r="AB385" s="26"/>
      <c r="AC385" s="29"/>
      <c r="AD385" s="25"/>
      <c r="AE385" s="29"/>
      <c r="AF385" s="25"/>
      <c r="AG385" s="25"/>
      <c r="AH385" s="25"/>
      <c r="AI385" s="25"/>
      <c r="AJ385" s="26"/>
      <c r="AK385" s="29"/>
      <c r="AL385" s="28"/>
      <c r="AM385" s="26"/>
      <c r="AN385" s="29"/>
      <c r="AO385" s="25"/>
      <c r="AP385" s="29"/>
      <c r="AQ385" s="25"/>
      <c r="AR385" s="25"/>
      <c r="AS385" s="25"/>
      <c r="AT385" s="25"/>
      <c r="AU385" s="26"/>
      <c r="AV385" s="26"/>
      <c r="AW385" s="26"/>
      <c r="AX385" s="26"/>
      <c r="AY385" s="26"/>
      <c r="AZ385" s="26"/>
      <c r="BA385" s="26"/>
    </row>
    <row r="386">
      <c r="A386" s="26"/>
      <c r="B386" s="26"/>
      <c r="C386" s="26"/>
      <c r="D386" s="27"/>
      <c r="E386" s="27"/>
      <c r="F386" s="26"/>
      <c r="G386" s="28"/>
      <c r="H386" s="28"/>
      <c r="I386" s="28"/>
      <c r="J386" s="28"/>
      <c r="K386" s="28"/>
      <c r="L386" s="28"/>
      <c r="M386" s="28"/>
      <c r="N386" s="26"/>
      <c r="O386" s="29"/>
      <c r="P386" s="27"/>
      <c r="Q386" s="26"/>
      <c r="R386" s="29"/>
      <c r="S386" s="28"/>
      <c r="T386" s="29"/>
      <c r="U386" s="28"/>
      <c r="V386" s="28"/>
      <c r="W386" s="28"/>
      <c r="X386" s="28"/>
      <c r="Y386" s="26"/>
      <c r="Z386" s="29"/>
      <c r="AA386" s="28"/>
      <c r="AB386" s="26"/>
      <c r="AC386" s="29"/>
      <c r="AD386" s="25"/>
      <c r="AE386" s="29"/>
      <c r="AF386" s="25"/>
      <c r="AG386" s="25"/>
      <c r="AH386" s="25"/>
      <c r="AI386" s="25"/>
      <c r="AJ386" s="26"/>
      <c r="AK386" s="29"/>
      <c r="AL386" s="28"/>
      <c r="AM386" s="26"/>
      <c r="AN386" s="29"/>
      <c r="AO386" s="25"/>
      <c r="AP386" s="29"/>
      <c r="AQ386" s="25"/>
      <c r="AR386" s="25"/>
      <c r="AS386" s="25"/>
      <c r="AT386" s="25"/>
      <c r="AU386" s="26"/>
      <c r="AV386" s="26"/>
      <c r="AW386" s="26"/>
      <c r="AX386" s="26"/>
      <c r="AY386" s="26"/>
      <c r="AZ386" s="26"/>
      <c r="BA386" s="26"/>
    </row>
    <row r="387">
      <c r="A387" s="26"/>
      <c r="B387" s="26"/>
      <c r="C387" s="26"/>
      <c r="D387" s="27"/>
      <c r="E387" s="27"/>
      <c r="F387" s="26"/>
      <c r="G387" s="28"/>
      <c r="H387" s="28"/>
      <c r="I387" s="28"/>
      <c r="J387" s="28"/>
      <c r="K387" s="28"/>
      <c r="L387" s="28"/>
      <c r="M387" s="28"/>
      <c r="N387" s="26"/>
      <c r="O387" s="29"/>
      <c r="P387" s="27"/>
      <c r="Q387" s="26"/>
      <c r="R387" s="29"/>
      <c r="S387" s="28"/>
      <c r="T387" s="29"/>
      <c r="U387" s="28"/>
      <c r="V387" s="28"/>
      <c r="W387" s="28"/>
      <c r="X387" s="28"/>
      <c r="Y387" s="26"/>
      <c r="Z387" s="29"/>
      <c r="AA387" s="28"/>
      <c r="AB387" s="26"/>
      <c r="AC387" s="29"/>
      <c r="AD387" s="25"/>
      <c r="AE387" s="29"/>
      <c r="AF387" s="25"/>
      <c r="AG387" s="25"/>
      <c r="AH387" s="25"/>
      <c r="AI387" s="25"/>
      <c r="AJ387" s="26"/>
      <c r="AK387" s="29"/>
      <c r="AL387" s="28"/>
      <c r="AM387" s="26"/>
      <c r="AN387" s="29"/>
      <c r="AO387" s="25"/>
      <c r="AP387" s="29"/>
      <c r="AQ387" s="25"/>
      <c r="AR387" s="25"/>
      <c r="AS387" s="25"/>
      <c r="AT387" s="25"/>
      <c r="AU387" s="26"/>
      <c r="AV387" s="26"/>
      <c r="AW387" s="26"/>
      <c r="AX387" s="26"/>
      <c r="AY387" s="26"/>
      <c r="AZ387" s="26"/>
      <c r="BA387" s="26"/>
    </row>
    <row r="388">
      <c r="A388" s="26"/>
      <c r="B388" s="26"/>
      <c r="C388" s="26"/>
      <c r="D388" s="27"/>
      <c r="E388" s="27"/>
      <c r="F388" s="26"/>
      <c r="G388" s="28"/>
      <c r="H388" s="28"/>
      <c r="I388" s="28"/>
      <c r="J388" s="28"/>
      <c r="K388" s="28"/>
      <c r="L388" s="28"/>
      <c r="M388" s="28"/>
      <c r="N388" s="26"/>
      <c r="O388" s="29"/>
      <c r="P388" s="27"/>
      <c r="Q388" s="26"/>
      <c r="R388" s="29"/>
      <c r="S388" s="28"/>
      <c r="T388" s="29"/>
      <c r="U388" s="28"/>
      <c r="V388" s="28"/>
      <c r="W388" s="28"/>
      <c r="X388" s="28"/>
      <c r="Y388" s="26"/>
      <c r="Z388" s="29"/>
      <c r="AA388" s="28"/>
      <c r="AB388" s="26"/>
      <c r="AC388" s="29"/>
      <c r="AD388" s="25"/>
      <c r="AE388" s="29"/>
      <c r="AF388" s="25"/>
      <c r="AG388" s="25"/>
      <c r="AH388" s="25"/>
      <c r="AI388" s="25"/>
      <c r="AJ388" s="26"/>
      <c r="AK388" s="29"/>
      <c r="AL388" s="28"/>
      <c r="AM388" s="26"/>
      <c r="AN388" s="29"/>
      <c r="AO388" s="25"/>
      <c r="AP388" s="29"/>
      <c r="AQ388" s="25"/>
      <c r="AR388" s="25"/>
      <c r="AS388" s="25"/>
      <c r="AT388" s="25"/>
      <c r="AU388" s="26"/>
      <c r="AV388" s="26"/>
      <c r="AW388" s="26"/>
      <c r="AX388" s="26"/>
      <c r="AY388" s="26"/>
      <c r="AZ388" s="26"/>
      <c r="BA388" s="26"/>
    </row>
    <row r="389">
      <c r="A389" s="26"/>
      <c r="B389" s="26"/>
      <c r="C389" s="26"/>
      <c r="D389" s="27"/>
      <c r="E389" s="27"/>
      <c r="F389" s="26"/>
      <c r="G389" s="28"/>
      <c r="H389" s="28"/>
      <c r="I389" s="28"/>
      <c r="J389" s="28"/>
      <c r="K389" s="28"/>
      <c r="L389" s="28"/>
      <c r="M389" s="28"/>
      <c r="N389" s="26"/>
      <c r="O389" s="29"/>
      <c r="P389" s="27"/>
      <c r="Q389" s="26"/>
      <c r="R389" s="29"/>
      <c r="S389" s="28"/>
      <c r="T389" s="29"/>
      <c r="U389" s="28"/>
      <c r="V389" s="28"/>
      <c r="W389" s="28"/>
      <c r="X389" s="28"/>
      <c r="Y389" s="26"/>
      <c r="Z389" s="29"/>
      <c r="AA389" s="28"/>
      <c r="AB389" s="26"/>
      <c r="AC389" s="29"/>
      <c r="AD389" s="25"/>
      <c r="AE389" s="29"/>
      <c r="AF389" s="25"/>
      <c r="AG389" s="25"/>
      <c r="AH389" s="25"/>
      <c r="AI389" s="25"/>
      <c r="AJ389" s="26"/>
      <c r="AK389" s="29"/>
      <c r="AL389" s="28"/>
      <c r="AM389" s="26"/>
      <c r="AN389" s="29"/>
      <c r="AO389" s="25"/>
      <c r="AP389" s="29"/>
      <c r="AQ389" s="25"/>
      <c r="AR389" s="25"/>
      <c r="AS389" s="25"/>
      <c r="AT389" s="25"/>
      <c r="AU389" s="26"/>
      <c r="AV389" s="26"/>
      <c r="AW389" s="26"/>
      <c r="AX389" s="26"/>
      <c r="AY389" s="26"/>
      <c r="AZ389" s="26"/>
      <c r="BA389" s="26"/>
    </row>
    <row r="390">
      <c r="A390" s="26"/>
      <c r="B390" s="26"/>
      <c r="C390" s="26"/>
      <c r="D390" s="27"/>
      <c r="E390" s="27"/>
      <c r="F390" s="26"/>
      <c r="G390" s="28"/>
      <c r="H390" s="28"/>
      <c r="I390" s="28"/>
      <c r="J390" s="28"/>
      <c r="K390" s="28"/>
      <c r="L390" s="28"/>
      <c r="M390" s="28"/>
      <c r="N390" s="26"/>
      <c r="O390" s="29"/>
      <c r="P390" s="27"/>
      <c r="Q390" s="26"/>
      <c r="R390" s="29"/>
      <c r="S390" s="28"/>
      <c r="T390" s="29"/>
      <c r="U390" s="28"/>
      <c r="V390" s="28"/>
      <c r="W390" s="28"/>
      <c r="X390" s="28"/>
      <c r="Y390" s="26"/>
      <c r="Z390" s="29"/>
      <c r="AA390" s="28"/>
      <c r="AB390" s="26"/>
      <c r="AC390" s="29"/>
      <c r="AD390" s="25"/>
      <c r="AE390" s="29"/>
      <c r="AF390" s="25"/>
      <c r="AG390" s="25"/>
      <c r="AH390" s="25"/>
      <c r="AI390" s="25"/>
      <c r="AJ390" s="26"/>
      <c r="AK390" s="29"/>
      <c r="AL390" s="28"/>
      <c r="AM390" s="26"/>
      <c r="AN390" s="29"/>
      <c r="AO390" s="25"/>
      <c r="AP390" s="29"/>
      <c r="AQ390" s="25"/>
      <c r="AR390" s="25"/>
      <c r="AS390" s="25"/>
      <c r="AT390" s="25"/>
      <c r="AU390" s="26"/>
      <c r="AV390" s="26"/>
      <c r="AW390" s="26"/>
      <c r="AX390" s="26"/>
      <c r="AY390" s="26"/>
      <c r="AZ390" s="26"/>
      <c r="BA390" s="26"/>
    </row>
    <row r="391">
      <c r="A391" s="26"/>
      <c r="B391" s="26"/>
      <c r="C391" s="26"/>
      <c r="D391" s="27"/>
      <c r="E391" s="27"/>
      <c r="F391" s="26"/>
      <c r="G391" s="28"/>
      <c r="H391" s="28"/>
      <c r="I391" s="28"/>
      <c r="J391" s="28"/>
      <c r="K391" s="28"/>
      <c r="L391" s="28"/>
      <c r="M391" s="28"/>
      <c r="N391" s="26"/>
      <c r="O391" s="29"/>
      <c r="P391" s="27"/>
      <c r="Q391" s="26"/>
      <c r="R391" s="29"/>
      <c r="S391" s="28"/>
      <c r="T391" s="29"/>
      <c r="U391" s="28"/>
      <c r="V391" s="28"/>
      <c r="W391" s="28"/>
      <c r="X391" s="28"/>
      <c r="Y391" s="26"/>
      <c r="Z391" s="29"/>
      <c r="AA391" s="28"/>
      <c r="AB391" s="26"/>
      <c r="AC391" s="29"/>
      <c r="AD391" s="25"/>
      <c r="AE391" s="29"/>
      <c r="AF391" s="25"/>
      <c r="AG391" s="25"/>
      <c r="AH391" s="25"/>
      <c r="AI391" s="25"/>
      <c r="AJ391" s="26"/>
      <c r="AK391" s="29"/>
      <c r="AL391" s="28"/>
      <c r="AM391" s="26"/>
      <c r="AN391" s="29"/>
      <c r="AO391" s="25"/>
      <c r="AP391" s="29"/>
      <c r="AQ391" s="25"/>
      <c r="AR391" s="25"/>
      <c r="AS391" s="25"/>
      <c r="AT391" s="25"/>
      <c r="AU391" s="26"/>
      <c r="AV391" s="26"/>
      <c r="AW391" s="26"/>
      <c r="AX391" s="26"/>
      <c r="AY391" s="26"/>
      <c r="AZ391" s="26"/>
      <c r="BA391" s="26"/>
    </row>
    <row r="392">
      <c r="A392" s="26"/>
      <c r="B392" s="26"/>
      <c r="C392" s="26"/>
      <c r="D392" s="27"/>
      <c r="E392" s="27"/>
      <c r="F392" s="26"/>
      <c r="G392" s="28"/>
      <c r="H392" s="28"/>
      <c r="I392" s="28"/>
      <c r="J392" s="28"/>
      <c r="K392" s="28"/>
      <c r="L392" s="28"/>
      <c r="M392" s="28"/>
      <c r="N392" s="26"/>
      <c r="O392" s="29"/>
      <c r="P392" s="27"/>
      <c r="Q392" s="26"/>
      <c r="R392" s="29"/>
      <c r="S392" s="28"/>
      <c r="T392" s="29"/>
      <c r="U392" s="28"/>
      <c r="V392" s="28"/>
      <c r="W392" s="28"/>
      <c r="X392" s="28"/>
      <c r="Y392" s="26"/>
      <c r="Z392" s="29"/>
      <c r="AA392" s="28"/>
      <c r="AB392" s="26"/>
      <c r="AC392" s="29"/>
      <c r="AD392" s="25"/>
      <c r="AE392" s="29"/>
      <c r="AF392" s="25"/>
      <c r="AG392" s="25"/>
      <c r="AH392" s="25"/>
      <c r="AI392" s="25"/>
      <c r="AJ392" s="26"/>
      <c r="AK392" s="29"/>
      <c r="AL392" s="28"/>
      <c r="AM392" s="26"/>
      <c r="AN392" s="29"/>
      <c r="AO392" s="25"/>
      <c r="AP392" s="29"/>
      <c r="AQ392" s="25"/>
      <c r="AR392" s="25"/>
      <c r="AS392" s="25"/>
      <c r="AT392" s="25"/>
      <c r="AU392" s="26"/>
      <c r="AV392" s="26"/>
      <c r="AW392" s="26"/>
      <c r="AX392" s="26"/>
      <c r="AY392" s="26"/>
      <c r="AZ392" s="26"/>
      <c r="BA392" s="26"/>
    </row>
    <row r="393">
      <c r="A393" s="26"/>
      <c r="B393" s="26"/>
      <c r="C393" s="26"/>
      <c r="D393" s="27"/>
      <c r="E393" s="27"/>
      <c r="F393" s="26"/>
      <c r="G393" s="28"/>
      <c r="H393" s="28"/>
      <c r="I393" s="28"/>
      <c r="J393" s="28"/>
      <c r="K393" s="28"/>
      <c r="L393" s="28"/>
      <c r="M393" s="28"/>
      <c r="N393" s="26"/>
      <c r="O393" s="29"/>
      <c r="P393" s="27"/>
      <c r="Q393" s="26"/>
      <c r="R393" s="29"/>
      <c r="S393" s="28"/>
      <c r="T393" s="29"/>
      <c r="U393" s="28"/>
      <c r="V393" s="28"/>
      <c r="W393" s="28"/>
      <c r="X393" s="28"/>
      <c r="Y393" s="26"/>
      <c r="Z393" s="29"/>
      <c r="AA393" s="28"/>
      <c r="AB393" s="26"/>
      <c r="AC393" s="29"/>
      <c r="AD393" s="25"/>
      <c r="AE393" s="29"/>
      <c r="AF393" s="25"/>
      <c r="AG393" s="25"/>
      <c r="AH393" s="25"/>
      <c r="AI393" s="25"/>
      <c r="AJ393" s="26"/>
      <c r="AK393" s="29"/>
      <c r="AL393" s="28"/>
      <c r="AM393" s="26"/>
      <c r="AN393" s="29"/>
      <c r="AO393" s="25"/>
      <c r="AP393" s="29"/>
      <c r="AQ393" s="25"/>
      <c r="AR393" s="25"/>
      <c r="AS393" s="25"/>
      <c r="AT393" s="25"/>
      <c r="AU393" s="26"/>
      <c r="AV393" s="26"/>
      <c r="AW393" s="26"/>
      <c r="AX393" s="26"/>
      <c r="AY393" s="26"/>
      <c r="AZ393" s="26"/>
      <c r="BA393" s="26"/>
    </row>
    <row r="394">
      <c r="A394" s="26"/>
      <c r="B394" s="26"/>
      <c r="C394" s="26"/>
      <c r="D394" s="27"/>
      <c r="E394" s="27"/>
      <c r="F394" s="26"/>
      <c r="G394" s="28"/>
      <c r="H394" s="28"/>
      <c r="I394" s="28"/>
      <c r="J394" s="28"/>
      <c r="K394" s="28"/>
      <c r="L394" s="28"/>
      <c r="M394" s="28"/>
      <c r="N394" s="26"/>
      <c r="O394" s="29"/>
      <c r="P394" s="27"/>
      <c r="Q394" s="26"/>
      <c r="R394" s="29"/>
      <c r="S394" s="28"/>
      <c r="T394" s="29"/>
      <c r="U394" s="28"/>
      <c r="V394" s="28"/>
      <c r="W394" s="28"/>
      <c r="X394" s="28"/>
      <c r="Y394" s="26"/>
      <c r="Z394" s="29"/>
      <c r="AA394" s="28"/>
      <c r="AB394" s="26"/>
      <c r="AC394" s="29"/>
      <c r="AD394" s="25"/>
      <c r="AE394" s="29"/>
      <c r="AF394" s="25"/>
      <c r="AG394" s="25"/>
      <c r="AH394" s="25"/>
      <c r="AI394" s="25"/>
      <c r="AJ394" s="26"/>
      <c r="AK394" s="29"/>
      <c r="AL394" s="28"/>
      <c r="AM394" s="26"/>
      <c r="AN394" s="29"/>
      <c r="AO394" s="25"/>
      <c r="AP394" s="29"/>
      <c r="AQ394" s="25"/>
      <c r="AR394" s="25"/>
      <c r="AS394" s="25"/>
      <c r="AT394" s="25"/>
      <c r="AU394" s="26"/>
      <c r="AV394" s="26"/>
      <c r="AW394" s="26"/>
      <c r="AX394" s="26"/>
      <c r="AY394" s="26"/>
      <c r="AZ394" s="26"/>
      <c r="BA394" s="26"/>
    </row>
    <row r="395">
      <c r="A395" s="26"/>
      <c r="B395" s="26"/>
      <c r="C395" s="26"/>
      <c r="D395" s="27"/>
      <c r="E395" s="27"/>
      <c r="F395" s="26"/>
      <c r="G395" s="28"/>
      <c r="H395" s="28"/>
      <c r="I395" s="28"/>
      <c r="J395" s="28"/>
      <c r="K395" s="28"/>
      <c r="L395" s="28"/>
      <c r="M395" s="28"/>
      <c r="N395" s="26"/>
      <c r="O395" s="29"/>
      <c r="P395" s="27"/>
      <c r="Q395" s="26"/>
      <c r="R395" s="29"/>
      <c r="S395" s="28"/>
      <c r="T395" s="29"/>
      <c r="U395" s="28"/>
      <c r="V395" s="28"/>
      <c r="W395" s="28"/>
      <c r="X395" s="28"/>
      <c r="Y395" s="26"/>
      <c r="Z395" s="29"/>
      <c r="AA395" s="28"/>
      <c r="AB395" s="26"/>
      <c r="AC395" s="29"/>
      <c r="AD395" s="25"/>
      <c r="AE395" s="29"/>
      <c r="AF395" s="25"/>
      <c r="AG395" s="25"/>
      <c r="AH395" s="25"/>
      <c r="AI395" s="25"/>
      <c r="AJ395" s="26"/>
      <c r="AK395" s="29"/>
      <c r="AL395" s="28"/>
      <c r="AM395" s="26"/>
      <c r="AN395" s="29"/>
      <c r="AO395" s="25"/>
      <c r="AP395" s="29"/>
      <c r="AQ395" s="25"/>
      <c r="AR395" s="25"/>
      <c r="AS395" s="25"/>
      <c r="AT395" s="25"/>
      <c r="AU395" s="26"/>
      <c r="AV395" s="26"/>
      <c r="AW395" s="26"/>
      <c r="AX395" s="26"/>
      <c r="AY395" s="26"/>
      <c r="AZ395" s="26"/>
      <c r="BA395" s="26"/>
    </row>
    <row r="396">
      <c r="A396" s="26"/>
      <c r="B396" s="26"/>
      <c r="C396" s="26"/>
      <c r="D396" s="27"/>
      <c r="E396" s="27"/>
      <c r="F396" s="26"/>
      <c r="G396" s="28"/>
      <c r="H396" s="28"/>
      <c r="I396" s="28"/>
      <c r="J396" s="28"/>
      <c r="K396" s="28"/>
      <c r="L396" s="28"/>
      <c r="M396" s="28"/>
      <c r="N396" s="26"/>
      <c r="O396" s="29"/>
      <c r="P396" s="27"/>
      <c r="Q396" s="26"/>
      <c r="R396" s="29"/>
      <c r="S396" s="28"/>
      <c r="T396" s="29"/>
      <c r="U396" s="28"/>
      <c r="V396" s="28"/>
      <c r="W396" s="28"/>
      <c r="X396" s="28"/>
      <c r="Y396" s="26"/>
      <c r="Z396" s="29"/>
      <c r="AA396" s="28"/>
      <c r="AB396" s="26"/>
      <c r="AC396" s="29"/>
      <c r="AD396" s="25"/>
      <c r="AE396" s="29"/>
      <c r="AF396" s="25"/>
      <c r="AG396" s="25"/>
      <c r="AH396" s="25"/>
      <c r="AI396" s="25"/>
      <c r="AJ396" s="26"/>
      <c r="AK396" s="29"/>
      <c r="AL396" s="28"/>
      <c r="AM396" s="26"/>
      <c r="AN396" s="29"/>
      <c r="AO396" s="25"/>
      <c r="AP396" s="29"/>
      <c r="AQ396" s="25"/>
      <c r="AR396" s="25"/>
      <c r="AS396" s="25"/>
      <c r="AT396" s="25"/>
      <c r="AU396" s="26"/>
      <c r="AV396" s="26"/>
      <c r="AW396" s="26"/>
      <c r="AX396" s="26"/>
      <c r="AY396" s="26"/>
      <c r="AZ396" s="26"/>
      <c r="BA396" s="26"/>
    </row>
    <row r="397">
      <c r="A397" s="26"/>
      <c r="B397" s="26"/>
      <c r="C397" s="26"/>
      <c r="D397" s="27"/>
      <c r="E397" s="27"/>
      <c r="F397" s="26"/>
      <c r="G397" s="28"/>
      <c r="H397" s="28"/>
      <c r="I397" s="28"/>
      <c r="J397" s="28"/>
      <c r="K397" s="28"/>
      <c r="L397" s="28"/>
      <c r="M397" s="28"/>
      <c r="N397" s="26"/>
      <c r="O397" s="29"/>
      <c r="P397" s="27"/>
      <c r="Q397" s="26"/>
      <c r="R397" s="29"/>
      <c r="S397" s="28"/>
      <c r="T397" s="29"/>
      <c r="U397" s="28"/>
      <c r="V397" s="28"/>
      <c r="W397" s="28"/>
      <c r="X397" s="28"/>
      <c r="Y397" s="26"/>
      <c r="Z397" s="29"/>
      <c r="AA397" s="28"/>
      <c r="AB397" s="26"/>
      <c r="AC397" s="29"/>
      <c r="AD397" s="25"/>
      <c r="AE397" s="29"/>
      <c r="AF397" s="25"/>
      <c r="AG397" s="25"/>
      <c r="AH397" s="25"/>
      <c r="AI397" s="25"/>
      <c r="AJ397" s="26"/>
      <c r="AK397" s="29"/>
      <c r="AL397" s="28"/>
      <c r="AM397" s="26"/>
      <c r="AN397" s="29"/>
      <c r="AO397" s="25"/>
      <c r="AP397" s="29"/>
      <c r="AQ397" s="25"/>
      <c r="AR397" s="25"/>
      <c r="AS397" s="25"/>
      <c r="AT397" s="25"/>
      <c r="AU397" s="26"/>
      <c r="AV397" s="26"/>
      <c r="AW397" s="26"/>
      <c r="AX397" s="26"/>
      <c r="AY397" s="26"/>
      <c r="AZ397" s="26"/>
      <c r="BA397" s="26"/>
    </row>
    <row r="398">
      <c r="A398" s="26"/>
      <c r="B398" s="26"/>
      <c r="C398" s="26"/>
      <c r="D398" s="27"/>
      <c r="E398" s="27"/>
      <c r="F398" s="26"/>
      <c r="G398" s="28"/>
      <c r="H398" s="28"/>
      <c r="I398" s="28"/>
      <c r="J398" s="28"/>
      <c r="K398" s="28"/>
      <c r="L398" s="28"/>
      <c r="M398" s="28"/>
      <c r="N398" s="26"/>
      <c r="O398" s="29"/>
      <c r="P398" s="27"/>
      <c r="Q398" s="26"/>
      <c r="R398" s="29"/>
      <c r="S398" s="28"/>
      <c r="T398" s="29"/>
      <c r="U398" s="28"/>
      <c r="V398" s="28"/>
      <c r="W398" s="28"/>
      <c r="X398" s="28"/>
      <c r="Y398" s="26"/>
      <c r="Z398" s="29"/>
      <c r="AA398" s="28"/>
      <c r="AB398" s="26"/>
      <c r="AC398" s="29"/>
      <c r="AD398" s="25"/>
      <c r="AE398" s="29"/>
      <c r="AF398" s="25"/>
      <c r="AG398" s="25"/>
      <c r="AH398" s="25"/>
      <c r="AI398" s="25"/>
      <c r="AJ398" s="26"/>
      <c r="AK398" s="29"/>
      <c r="AL398" s="28"/>
      <c r="AM398" s="26"/>
      <c r="AN398" s="29"/>
      <c r="AO398" s="25"/>
      <c r="AP398" s="29"/>
      <c r="AQ398" s="25"/>
      <c r="AR398" s="25"/>
      <c r="AS398" s="25"/>
      <c r="AT398" s="25"/>
      <c r="AU398" s="26"/>
      <c r="AV398" s="26"/>
      <c r="AW398" s="26"/>
      <c r="AX398" s="26"/>
      <c r="AY398" s="26"/>
      <c r="AZ398" s="26"/>
      <c r="BA398" s="26"/>
    </row>
    <row r="399">
      <c r="A399" s="26"/>
      <c r="B399" s="26"/>
      <c r="C399" s="26"/>
      <c r="D399" s="27"/>
      <c r="E399" s="27"/>
      <c r="F399" s="26"/>
      <c r="G399" s="28"/>
      <c r="H399" s="28"/>
      <c r="I399" s="28"/>
      <c r="J399" s="28"/>
      <c r="K399" s="28"/>
      <c r="L399" s="28"/>
      <c r="M399" s="28"/>
      <c r="N399" s="26"/>
      <c r="O399" s="29"/>
      <c r="P399" s="27"/>
      <c r="Q399" s="26"/>
      <c r="R399" s="29"/>
      <c r="S399" s="28"/>
      <c r="T399" s="29"/>
      <c r="U399" s="28"/>
      <c r="V399" s="28"/>
      <c r="W399" s="28"/>
      <c r="X399" s="28"/>
      <c r="Y399" s="26"/>
      <c r="Z399" s="29"/>
      <c r="AA399" s="28"/>
      <c r="AB399" s="26"/>
      <c r="AC399" s="29"/>
      <c r="AD399" s="25"/>
      <c r="AE399" s="29"/>
      <c r="AF399" s="25"/>
      <c r="AG399" s="25"/>
      <c r="AH399" s="25"/>
      <c r="AI399" s="25"/>
      <c r="AJ399" s="26"/>
      <c r="AK399" s="29"/>
      <c r="AL399" s="28"/>
      <c r="AM399" s="26"/>
      <c r="AN399" s="29"/>
      <c r="AO399" s="25"/>
      <c r="AP399" s="29"/>
      <c r="AQ399" s="25"/>
      <c r="AR399" s="25"/>
      <c r="AS399" s="25"/>
      <c r="AT399" s="25"/>
      <c r="AU399" s="26"/>
      <c r="AV399" s="26"/>
      <c r="AW399" s="26"/>
      <c r="AX399" s="26"/>
      <c r="AY399" s="26"/>
      <c r="AZ399" s="26"/>
      <c r="BA399" s="26"/>
    </row>
    <row r="400">
      <c r="A400" s="26"/>
      <c r="B400" s="26"/>
      <c r="C400" s="26"/>
      <c r="D400" s="27"/>
      <c r="E400" s="27"/>
      <c r="F400" s="26"/>
      <c r="G400" s="28"/>
      <c r="H400" s="28"/>
      <c r="I400" s="28"/>
      <c r="J400" s="28"/>
      <c r="K400" s="28"/>
      <c r="L400" s="28"/>
      <c r="M400" s="28"/>
      <c r="N400" s="26"/>
      <c r="O400" s="29"/>
      <c r="P400" s="27"/>
      <c r="Q400" s="26"/>
      <c r="R400" s="29"/>
      <c r="S400" s="28"/>
      <c r="T400" s="29"/>
      <c r="U400" s="28"/>
      <c r="V400" s="28"/>
      <c r="W400" s="28"/>
      <c r="X400" s="28"/>
      <c r="Y400" s="26"/>
      <c r="Z400" s="29"/>
      <c r="AA400" s="28"/>
      <c r="AB400" s="26"/>
      <c r="AC400" s="29"/>
      <c r="AD400" s="25"/>
      <c r="AE400" s="29"/>
      <c r="AF400" s="25"/>
      <c r="AG400" s="25"/>
      <c r="AH400" s="25"/>
      <c r="AI400" s="25"/>
      <c r="AJ400" s="26"/>
      <c r="AK400" s="29"/>
      <c r="AL400" s="28"/>
      <c r="AM400" s="26"/>
      <c r="AN400" s="29"/>
      <c r="AO400" s="25"/>
      <c r="AP400" s="29"/>
      <c r="AQ400" s="25"/>
      <c r="AR400" s="25"/>
      <c r="AS400" s="25"/>
      <c r="AT400" s="25"/>
      <c r="AU400" s="26"/>
      <c r="AV400" s="26"/>
      <c r="AW400" s="26"/>
      <c r="AX400" s="26"/>
      <c r="AY400" s="26"/>
      <c r="AZ400" s="26"/>
      <c r="BA400" s="26"/>
    </row>
    <row r="401">
      <c r="A401" s="26"/>
      <c r="B401" s="26"/>
      <c r="C401" s="26"/>
      <c r="D401" s="27"/>
      <c r="E401" s="27"/>
      <c r="F401" s="26"/>
      <c r="G401" s="28"/>
      <c r="H401" s="28"/>
      <c r="I401" s="28"/>
      <c r="J401" s="28"/>
      <c r="K401" s="28"/>
      <c r="L401" s="28"/>
      <c r="M401" s="28"/>
      <c r="N401" s="26"/>
      <c r="O401" s="29"/>
      <c r="P401" s="27"/>
      <c r="Q401" s="26"/>
      <c r="R401" s="29"/>
      <c r="S401" s="28"/>
      <c r="T401" s="29"/>
      <c r="U401" s="28"/>
      <c r="V401" s="28"/>
      <c r="W401" s="28"/>
      <c r="X401" s="28"/>
      <c r="Y401" s="26"/>
      <c r="Z401" s="29"/>
      <c r="AA401" s="28"/>
      <c r="AB401" s="26"/>
      <c r="AC401" s="29"/>
      <c r="AD401" s="25"/>
      <c r="AE401" s="29"/>
      <c r="AF401" s="25"/>
      <c r="AG401" s="25"/>
      <c r="AH401" s="25"/>
      <c r="AI401" s="25"/>
      <c r="AJ401" s="26"/>
      <c r="AK401" s="29"/>
      <c r="AL401" s="28"/>
      <c r="AM401" s="26"/>
      <c r="AN401" s="29"/>
      <c r="AO401" s="25"/>
      <c r="AP401" s="29"/>
      <c r="AQ401" s="25"/>
      <c r="AR401" s="25"/>
      <c r="AS401" s="25"/>
      <c r="AT401" s="25"/>
      <c r="AU401" s="26"/>
      <c r="AV401" s="26"/>
      <c r="AW401" s="26"/>
      <c r="AX401" s="26"/>
      <c r="AY401" s="26"/>
      <c r="AZ401" s="26"/>
      <c r="BA401" s="26"/>
    </row>
    <row r="402">
      <c r="A402" s="26"/>
      <c r="B402" s="26"/>
      <c r="C402" s="26"/>
      <c r="D402" s="27"/>
      <c r="E402" s="27"/>
      <c r="F402" s="26"/>
      <c r="G402" s="28"/>
      <c r="H402" s="28"/>
      <c r="I402" s="28"/>
      <c r="J402" s="28"/>
      <c r="K402" s="28"/>
      <c r="L402" s="28"/>
      <c r="M402" s="28"/>
      <c r="N402" s="26"/>
      <c r="O402" s="29"/>
      <c r="P402" s="27"/>
      <c r="Q402" s="26"/>
      <c r="R402" s="29"/>
      <c r="S402" s="28"/>
      <c r="T402" s="29"/>
      <c r="U402" s="28"/>
      <c r="V402" s="28"/>
      <c r="W402" s="28"/>
      <c r="X402" s="28"/>
      <c r="Y402" s="26"/>
      <c r="Z402" s="29"/>
      <c r="AA402" s="28"/>
      <c r="AB402" s="26"/>
      <c r="AC402" s="29"/>
      <c r="AD402" s="25"/>
      <c r="AE402" s="29"/>
      <c r="AF402" s="25"/>
      <c r="AG402" s="25"/>
      <c r="AH402" s="25"/>
      <c r="AI402" s="25"/>
      <c r="AJ402" s="26"/>
      <c r="AK402" s="29"/>
      <c r="AL402" s="28"/>
      <c r="AM402" s="26"/>
      <c r="AN402" s="29"/>
      <c r="AO402" s="25"/>
      <c r="AP402" s="29"/>
      <c r="AQ402" s="25"/>
      <c r="AR402" s="25"/>
      <c r="AS402" s="25"/>
      <c r="AT402" s="25"/>
      <c r="AU402" s="26"/>
      <c r="AV402" s="26"/>
      <c r="AW402" s="26"/>
      <c r="AX402" s="26"/>
      <c r="AY402" s="26"/>
      <c r="AZ402" s="26"/>
      <c r="BA402" s="26"/>
    </row>
    <row r="403">
      <c r="A403" s="26"/>
      <c r="B403" s="26"/>
      <c r="C403" s="26"/>
      <c r="D403" s="27"/>
      <c r="E403" s="27"/>
      <c r="F403" s="26"/>
      <c r="G403" s="28"/>
      <c r="H403" s="28"/>
      <c r="I403" s="28"/>
      <c r="J403" s="28"/>
      <c r="K403" s="28"/>
      <c r="L403" s="28"/>
      <c r="M403" s="28"/>
      <c r="N403" s="26"/>
      <c r="O403" s="29"/>
      <c r="P403" s="27"/>
      <c r="Q403" s="26"/>
      <c r="R403" s="29"/>
      <c r="S403" s="28"/>
      <c r="T403" s="29"/>
      <c r="U403" s="28"/>
      <c r="V403" s="28"/>
      <c r="W403" s="28"/>
      <c r="X403" s="28"/>
      <c r="Y403" s="26"/>
      <c r="Z403" s="29"/>
      <c r="AA403" s="28"/>
      <c r="AB403" s="26"/>
      <c r="AC403" s="29"/>
      <c r="AD403" s="25"/>
      <c r="AE403" s="29"/>
      <c r="AF403" s="25"/>
      <c r="AG403" s="25"/>
      <c r="AH403" s="25"/>
      <c r="AI403" s="25"/>
      <c r="AJ403" s="26"/>
      <c r="AK403" s="29"/>
      <c r="AL403" s="28"/>
      <c r="AM403" s="26"/>
      <c r="AN403" s="29"/>
      <c r="AO403" s="25"/>
      <c r="AP403" s="29"/>
      <c r="AQ403" s="25"/>
      <c r="AR403" s="25"/>
      <c r="AS403" s="25"/>
      <c r="AT403" s="25"/>
      <c r="AU403" s="26"/>
      <c r="AV403" s="26"/>
      <c r="AW403" s="26"/>
      <c r="AX403" s="26"/>
      <c r="AY403" s="26"/>
      <c r="AZ403" s="26"/>
      <c r="BA403" s="26"/>
    </row>
    <row r="404">
      <c r="A404" s="26"/>
      <c r="B404" s="26"/>
      <c r="C404" s="26"/>
      <c r="D404" s="27"/>
      <c r="E404" s="27"/>
      <c r="F404" s="26"/>
      <c r="G404" s="28"/>
      <c r="H404" s="28"/>
      <c r="I404" s="28"/>
      <c r="J404" s="28"/>
      <c r="K404" s="28"/>
      <c r="L404" s="28"/>
      <c r="M404" s="28"/>
      <c r="N404" s="26"/>
      <c r="O404" s="29"/>
      <c r="P404" s="27"/>
      <c r="Q404" s="26"/>
      <c r="R404" s="29"/>
      <c r="S404" s="28"/>
      <c r="T404" s="29"/>
      <c r="U404" s="28"/>
      <c r="V404" s="28"/>
      <c r="W404" s="28"/>
      <c r="X404" s="28"/>
      <c r="Y404" s="26"/>
      <c r="Z404" s="29"/>
      <c r="AA404" s="28"/>
      <c r="AB404" s="26"/>
      <c r="AC404" s="29"/>
      <c r="AD404" s="25"/>
      <c r="AE404" s="29"/>
      <c r="AF404" s="25"/>
      <c r="AG404" s="25"/>
      <c r="AH404" s="25"/>
      <c r="AI404" s="25"/>
      <c r="AJ404" s="26"/>
      <c r="AK404" s="29"/>
      <c r="AL404" s="28"/>
      <c r="AM404" s="26"/>
      <c r="AN404" s="29"/>
      <c r="AO404" s="25"/>
      <c r="AP404" s="29"/>
      <c r="AQ404" s="25"/>
      <c r="AR404" s="25"/>
      <c r="AS404" s="25"/>
      <c r="AT404" s="25"/>
      <c r="AU404" s="26"/>
      <c r="AV404" s="26"/>
      <c r="AW404" s="26"/>
      <c r="AX404" s="26"/>
      <c r="AY404" s="26"/>
      <c r="AZ404" s="26"/>
      <c r="BA404" s="26"/>
    </row>
    <row r="405">
      <c r="A405" s="26"/>
      <c r="B405" s="26"/>
      <c r="C405" s="26"/>
      <c r="D405" s="27"/>
      <c r="E405" s="27"/>
      <c r="F405" s="26"/>
      <c r="G405" s="28"/>
      <c r="H405" s="28"/>
      <c r="I405" s="28"/>
      <c r="J405" s="28"/>
      <c r="K405" s="28"/>
      <c r="L405" s="28"/>
      <c r="M405" s="28"/>
      <c r="N405" s="26"/>
      <c r="O405" s="29"/>
      <c r="P405" s="27"/>
      <c r="Q405" s="26"/>
      <c r="R405" s="29"/>
      <c r="S405" s="28"/>
      <c r="T405" s="29"/>
      <c r="U405" s="28"/>
      <c r="V405" s="28"/>
      <c r="W405" s="28"/>
      <c r="X405" s="28"/>
      <c r="Y405" s="26"/>
      <c r="Z405" s="29"/>
      <c r="AA405" s="28"/>
      <c r="AB405" s="26"/>
      <c r="AC405" s="29"/>
      <c r="AD405" s="25"/>
      <c r="AE405" s="29"/>
      <c r="AF405" s="25"/>
      <c r="AG405" s="25"/>
      <c r="AH405" s="25"/>
      <c r="AI405" s="25"/>
      <c r="AJ405" s="26"/>
      <c r="AK405" s="29"/>
      <c r="AL405" s="28"/>
      <c r="AM405" s="26"/>
      <c r="AN405" s="29"/>
      <c r="AO405" s="25"/>
      <c r="AP405" s="29"/>
      <c r="AQ405" s="25"/>
      <c r="AR405" s="25"/>
      <c r="AS405" s="25"/>
      <c r="AT405" s="25"/>
      <c r="AU405" s="26"/>
      <c r="AV405" s="26"/>
      <c r="AW405" s="26"/>
      <c r="AX405" s="26"/>
      <c r="AY405" s="26"/>
      <c r="AZ405" s="26"/>
      <c r="BA405" s="26"/>
    </row>
    <row r="406">
      <c r="A406" s="26"/>
      <c r="B406" s="26"/>
      <c r="C406" s="26"/>
      <c r="D406" s="27"/>
      <c r="E406" s="27"/>
      <c r="F406" s="26"/>
      <c r="G406" s="28"/>
      <c r="H406" s="28"/>
      <c r="I406" s="28"/>
      <c r="J406" s="28"/>
      <c r="K406" s="28"/>
      <c r="L406" s="28"/>
      <c r="M406" s="28"/>
      <c r="N406" s="26"/>
      <c r="O406" s="29"/>
      <c r="P406" s="27"/>
      <c r="Q406" s="26"/>
      <c r="R406" s="29"/>
      <c r="S406" s="28"/>
      <c r="T406" s="29"/>
      <c r="U406" s="28"/>
      <c r="V406" s="28"/>
      <c r="W406" s="28"/>
      <c r="X406" s="28"/>
      <c r="Y406" s="26"/>
      <c r="Z406" s="29"/>
      <c r="AA406" s="28"/>
      <c r="AB406" s="26"/>
      <c r="AC406" s="29"/>
      <c r="AD406" s="25"/>
      <c r="AE406" s="29"/>
      <c r="AF406" s="25"/>
      <c r="AG406" s="25"/>
      <c r="AH406" s="25"/>
      <c r="AI406" s="25"/>
      <c r="AJ406" s="26"/>
      <c r="AK406" s="29"/>
      <c r="AL406" s="28"/>
      <c r="AM406" s="26"/>
      <c r="AN406" s="29"/>
      <c r="AO406" s="25"/>
      <c r="AP406" s="29"/>
      <c r="AQ406" s="25"/>
      <c r="AR406" s="25"/>
      <c r="AS406" s="25"/>
      <c r="AT406" s="25"/>
      <c r="AU406" s="26"/>
      <c r="AV406" s="26"/>
      <c r="AW406" s="26"/>
      <c r="AX406" s="26"/>
      <c r="AY406" s="26"/>
      <c r="AZ406" s="26"/>
      <c r="BA406" s="26"/>
    </row>
    <row r="407">
      <c r="A407" s="26"/>
      <c r="B407" s="26"/>
      <c r="C407" s="26"/>
      <c r="D407" s="27"/>
      <c r="E407" s="27"/>
      <c r="F407" s="26"/>
      <c r="G407" s="28"/>
      <c r="H407" s="28"/>
      <c r="I407" s="28"/>
      <c r="J407" s="28"/>
      <c r="K407" s="28"/>
      <c r="L407" s="28"/>
      <c r="M407" s="28"/>
      <c r="N407" s="26"/>
      <c r="O407" s="29"/>
      <c r="P407" s="27"/>
      <c r="Q407" s="26"/>
      <c r="R407" s="29"/>
      <c r="S407" s="28"/>
      <c r="T407" s="29"/>
      <c r="U407" s="28"/>
      <c r="V407" s="28"/>
      <c r="W407" s="28"/>
      <c r="X407" s="28"/>
      <c r="Y407" s="26"/>
      <c r="Z407" s="29"/>
      <c r="AA407" s="28"/>
      <c r="AB407" s="26"/>
      <c r="AC407" s="29"/>
      <c r="AD407" s="25"/>
      <c r="AE407" s="29"/>
      <c r="AF407" s="25"/>
      <c r="AG407" s="25"/>
      <c r="AH407" s="25"/>
      <c r="AI407" s="25"/>
      <c r="AJ407" s="26"/>
      <c r="AK407" s="29"/>
      <c r="AL407" s="28"/>
      <c r="AM407" s="26"/>
      <c r="AN407" s="29"/>
      <c r="AO407" s="25"/>
      <c r="AP407" s="29"/>
      <c r="AQ407" s="25"/>
      <c r="AR407" s="25"/>
      <c r="AS407" s="25"/>
      <c r="AT407" s="25"/>
      <c r="AU407" s="26"/>
      <c r="AV407" s="26"/>
      <c r="AW407" s="26"/>
      <c r="AX407" s="26"/>
      <c r="AY407" s="26"/>
      <c r="AZ407" s="26"/>
      <c r="BA407" s="26"/>
    </row>
    <row r="408">
      <c r="A408" s="26"/>
      <c r="B408" s="26"/>
      <c r="C408" s="26"/>
      <c r="D408" s="27"/>
      <c r="E408" s="27"/>
      <c r="F408" s="26"/>
      <c r="G408" s="28"/>
      <c r="H408" s="28"/>
      <c r="I408" s="28"/>
      <c r="J408" s="28"/>
      <c r="K408" s="28"/>
      <c r="L408" s="28"/>
      <c r="M408" s="28"/>
      <c r="N408" s="26"/>
      <c r="O408" s="29"/>
      <c r="P408" s="27"/>
      <c r="Q408" s="26"/>
      <c r="R408" s="29"/>
      <c r="S408" s="28"/>
      <c r="T408" s="29"/>
      <c r="U408" s="28"/>
      <c r="V408" s="28"/>
      <c r="W408" s="28"/>
      <c r="X408" s="28"/>
      <c r="Y408" s="26"/>
      <c r="Z408" s="29"/>
      <c r="AA408" s="28"/>
      <c r="AB408" s="26"/>
      <c r="AC408" s="29"/>
      <c r="AD408" s="25"/>
      <c r="AE408" s="29"/>
      <c r="AF408" s="25"/>
      <c r="AG408" s="25"/>
      <c r="AH408" s="25"/>
      <c r="AI408" s="25"/>
      <c r="AJ408" s="26"/>
      <c r="AK408" s="29"/>
      <c r="AL408" s="28"/>
      <c r="AM408" s="26"/>
      <c r="AN408" s="29"/>
      <c r="AO408" s="25"/>
      <c r="AP408" s="29"/>
      <c r="AQ408" s="25"/>
      <c r="AR408" s="25"/>
      <c r="AS408" s="25"/>
      <c r="AT408" s="25"/>
      <c r="AU408" s="26"/>
      <c r="AV408" s="26"/>
      <c r="AW408" s="26"/>
      <c r="AX408" s="26"/>
      <c r="AY408" s="26"/>
      <c r="AZ408" s="26"/>
      <c r="BA408" s="26"/>
    </row>
    <row r="409">
      <c r="A409" s="26"/>
      <c r="B409" s="26"/>
      <c r="C409" s="26"/>
      <c r="D409" s="27"/>
      <c r="E409" s="27"/>
      <c r="F409" s="26"/>
      <c r="G409" s="28"/>
      <c r="H409" s="28"/>
      <c r="I409" s="28"/>
      <c r="J409" s="28"/>
      <c r="K409" s="28"/>
      <c r="L409" s="28"/>
      <c r="M409" s="28"/>
      <c r="N409" s="26"/>
      <c r="O409" s="29"/>
      <c r="P409" s="27"/>
      <c r="Q409" s="26"/>
      <c r="R409" s="29"/>
      <c r="S409" s="28"/>
      <c r="T409" s="29"/>
      <c r="U409" s="28"/>
      <c r="V409" s="28"/>
      <c r="W409" s="28"/>
      <c r="X409" s="28"/>
      <c r="Y409" s="26"/>
      <c r="Z409" s="29"/>
      <c r="AA409" s="28"/>
      <c r="AB409" s="26"/>
      <c r="AC409" s="29"/>
      <c r="AD409" s="25"/>
      <c r="AE409" s="29"/>
      <c r="AF409" s="25"/>
      <c r="AG409" s="25"/>
      <c r="AH409" s="25"/>
      <c r="AI409" s="25"/>
      <c r="AJ409" s="26"/>
      <c r="AK409" s="29"/>
      <c r="AL409" s="28"/>
      <c r="AM409" s="26"/>
      <c r="AN409" s="29"/>
      <c r="AO409" s="25"/>
      <c r="AP409" s="29"/>
      <c r="AQ409" s="25"/>
      <c r="AR409" s="25"/>
      <c r="AS409" s="25"/>
      <c r="AT409" s="25"/>
      <c r="AU409" s="26"/>
      <c r="AV409" s="26"/>
      <c r="AW409" s="26"/>
      <c r="AX409" s="26"/>
      <c r="AY409" s="26"/>
      <c r="AZ409" s="26"/>
      <c r="BA409" s="26"/>
    </row>
    <row r="410">
      <c r="A410" s="26"/>
      <c r="B410" s="26"/>
      <c r="C410" s="26"/>
      <c r="D410" s="27"/>
      <c r="E410" s="27"/>
      <c r="F410" s="26"/>
      <c r="G410" s="28"/>
      <c r="H410" s="28"/>
      <c r="I410" s="28"/>
      <c r="J410" s="28"/>
      <c r="K410" s="28"/>
      <c r="L410" s="28"/>
      <c r="M410" s="28"/>
      <c r="N410" s="26"/>
      <c r="O410" s="29"/>
      <c r="P410" s="27"/>
      <c r="Q410" s="26"/>
      <c r="R410" s="29"/>
      <c r="S410" s="28"/>
      <c r="T410" s="29"/>
      <c r="U410" s="28"/>
      <c r="V410" s="28"/>
      <c r="W410" s="28"/>
      <c r="X410" s="28"/>
      <c r="Y410" s="26"/>
      <c r="Z410" s="29"/>
      <c r="AA410" s="28"/>
      <c r="AB410" s="26"/>
      <c r="AC410" s="29"/>
      <c r="AD410" s="25"/>
      <c r="AE410" s="29"/>
      <c r="AF410" s="25"/>
      <c r="AG410" s="25"/>
      <c r="AH410" s="25"/>
      <c r="AI410" s="25"/>
      <c r="AJ410" s="26"/>
      <c r="AK410" s="29"/>
      <c r="AL410" s="28"/>
      <c r="AM410" s="26"/>
      <c r="AN410" s="29"/>
      <c r="AO410" s="25"/>
      <c r="AP410" s="29"/>
      <c r="AQ410" s="25"/>
      <c r="AR410" s="25"/>
      <c r="AS410" s="25"/>
      <c r="AT410" s="25"/>
      <c r="AU410" s="26"/>
      <c r="AV410" s="26"/>
      <c r="AW410" s="26"/>
      <c r="AX410" s="26"/>
      <c r="AY410" s="26"/>
      <c r="AZ410" s="26"/>
      <c r="BA410" s="26"/>
    </row>
    <row r="411">
      <c r="A411" s="26"/>
      <c r="B411" s="26"/>
      <c r="C411" s="26"/>
      <c r="D411" s="27"/>
      <c r="E411" s="27"/>
      <c r="F411" s="26"/>
      <c r="G411" s="28"/>
      <c r="H411" s="28"/>
      <c r="I411" s="28"/>
      <c r="J411" s="28"/>
      <c r="K411" s="28"/>
      <c r="L411" s="28"/>
      <c r="M411" s="28"/>
      <c r="N411" s="26"/>
      <c r="O411" s="29"/>
      <c r="P411" s="27"/>
      <c r="Q411" s="26"/>
      <c r="R411" s="29"/>
      <c r="S411" s="28"/>
      <c r="T411" s="29"/>
      <c r="U411" s="28"/>
      <c r="V411" s="28"/>
      <c r="W411" s="28"/>
      <c r="X411" s="28"/>
      <c r="Y411" s="26"/>
      <c r="Z411" s="29"/>
      <c r="AA411" s="28"/>
      <c r="AB411" s="26"/>
      <c r="AC411" s="29"/>
      <c r="AD411" s="25"/>
      <c r="AE411" s="29"/>
      <c r="AF411" s="25"/>
      <c r="AG411" s="25"/>
      <c r="AH411" s="25"/>
      <c r="AI411" s="25"/>
      <c r="AJ411" s="26"/>
      <c r="AK411" s="29"/>
      <c r="AL411" s="28"/>
      <c r="AM411" s="26"/>
      <c r="AN411" s="29"/>
      <c r="AO411" s="25"/>
      <c r="AP411" s="29"/>
      <c r="AQ411" s="25"/>
      <c r="AR411" s="25"/>
      <c r="AS411" s="25"/>
      <c r="AT411" s="25"/>
      <c r="AU411" s="26"/>
      <c r="AV411" s="26"/>
      <c r="AW411" s="26"/>
      <c r="AX411" s="26"/>
      <c r="AY411" s="26"/>
      <c r="AZ411" s="26"/>
      <c r="BA411" s="26"/>
    </row>
    <row r="412">
      <c r="A412" s="26"/>
      <c r="B412" s="26"/>
      <c r="C412" s="26"/>
      <c r="D412" s="27"/>
      <c r="E412" s="27"/>
      <c r="F412" s="26"/>
      <c r="G412" s="28"/>
      <c r="H412" s="28"/>
      <c r="I412" s="28"/>
      <c r="J412" s="28"/>
      <c r="K412" s="28"/>
      <c r="L412" s="28"/>
      <c r="M412" s="28"/>
      <c r="N412" s="26"/>
      <c r="O412" s="29"/>
      <c r="P412" s="27"/>
      <c r="Q412" s="26"/>
      <c r="R412" s="29"/>
      <c r="S412" s="28"/>
      <c r="T412" s="29"/>
      <c r="U412" s="28"/>
      <c r="V412" s="28"/>
      <c r="W412" s="28"/>
      <c r="X412" s="28"/>
      <c r="Y412" s="26"/>
      <c r="Z412" s="29"/>
      <c r="AA412" s="28"/>
      <c r="AB412" s="26"/>
      <c r="AC412" s="29"/>
      <c r="AD412" s="25"/>
      <c r="AE412" s="29"/>
      <c r="AF412" s="25"/>
      <c r="AG412" s="25"/>
      <c r="AH412" s="25"/>
      <c r="AI412" s="25"/>
      <c r="AJ412" s="26"/>
      <c r="AK412" s="29"/>
      <c r="AL412" s="28"/>
      <c r="AM412" s="26"/>
      <c r="AN412" s="29"/>
      <c r="AO412" s="25"/>
      <c r="AP412" s="29"/>
      <c r="AQ412" s="25"/>
      <c r="AR412" s="25"/>
      <c r="AS412" s="25"/>
      <c r="AT412" s="25"/>
      <c r="AU412" s="26"/>
      <c r="AV412" s="26"/>
      <c r="AW412" s="26"/>
      <c r="AX412" s="26"/>
      <c r="AY412" s="26"/>
      <c r="AZ412" s="26"/>
      <c r="BA412" s="26"/>
    </row>
    <row r="413">
      <c r="A413" s="26"/>
      <c r="B413" s="26"/>
      <c r="C413" s="26"/>
      <c r="D413" s="27"/>
      <c r="E413" s="27"/>
      <c r="F413" s="26"/>
      <c r="G413" s="28"/>
      <c r="H413" s="28"/>
      <c r="I413" s="28"/>
      <c r="J413" s="28"/>
      <c r="K413" s="28"/>
      <c r="L413" s="28"/>
      <c r="M413" s="28"/>
      <c r="N413" s="26"/>
      <c r="O413" s="29"/>
      <c r="P413" s="27"/>
      <c r="Q413" s="26"/>
      <c r="R413" s="29"/>
      <c r="S413" s="28"/>
      <c r="T413" s="29"/>
      <c r="U413" s="28"/>
      <c r="V413" s="28"/>
      <c r="W413" s="28"/>
      <c r="X413" s="28"/>
      <c r="Y413" s="26"/>
      <c r="Z413" s="29"/>
      <c r="AA413" s="28"/>
      <c r="AB413" s="26"/>
      <c r="AC413" s="29"/>
      <c r="AD413" s="25"/>
      <c r="AE413" s="29"/>
      <c r="AF413" s="25"/>
      <c r="AG413" s="25"/>
      <c r="AH413" s="25"/>
      <c r="AI413" s="25"/>
      <c r="AJ413" s="26"/>
      <c r="AK413" s="29"/>
      <c r="AL413" s="28"/>
      <c r="AM413" s="26"/>
      <c r="AN413" s="29"/>
      <c r="AO413" s="25"/>
      <c r="AP413" s="29"/>
      <c r="AQ413" s="25"/>
      <c r="AR413" s="25"/>
      <c r="AS413" s="25"/>
      <c r="AT413" s="25"/>
      <c r="AU413" s="26"/>
      <c r="AV413" s="26"/>
      <c r="AW413" s="26"/>
      <c r="AX413" s="26"/>
      <c r="AY413" s="26"/>
      <c r="AZ413" s="26"/>
      <c r="BA413" s="26"/>
    </row>
    <row r="414">
      <c r="A414" s="26"/>
      <c r="B414" s="26"/>
      <c r="C414" s="26"/>
      <c r="D414" s="27"/>
      <c r="E414" s="27"/>
      <c r="F414" s="26"/>
      <c r="G414" s="28"/>
      <c r="H414" s="28"/>
      <c r="I414" s="28"/>
      <c r="J414" s="28"/>
      <c r="K414" s="28"/>
      <c r="L414" s="28"/>
      <c r="M414" s="28"/>
      <c r="N414" s="26"/>
      <c r="O414" s="29"/>
      <c r="P414" s="27"/>
      <c r="Q414" s="26"/>
      <c r="R414" s="29"/>
      <c r="S414" s="28"/>
      <c r="T414" s="29"/>
      <c r="U414" s="28"/>
      <c r="V414" s="28"/>
      <c r="W414" s="28"/>
      <c r="X414" s="28"/>
      <c r="Y414" s="26"/>
      <c r="Z414" s="29"/>
      <c r="AA414" s="28"/>
      <c r="AB414" s="26"/>
      <c r="AC414" s="29"/>
      <c r="AD414" s="25"/>
      <c r="AE414" s="29"/>
      <c r="AF414" s="25"/>
      <c r="AG414" s="25"/>
      <c r="AH414" s="25"/>
      <c r="AI414" s="25"/>
      <c r="AJ414" s="26"/>
      <c r="AK414" s="29"/>
      <c r="AL414" s="28"/>
      <c r="AM414" s="26"/>
      <c r="AN414" s="29"/>
      <c r="AO414" s="25"/>
      <c r="AP414" s="29"/>
      <c r="AQ414" s="25"/>
      <c r="AR414" s="25"/>
      <c r="AS414" s="25"/>
      <c r="AT414" s="25"/>
      <c r="AU414" s="26"/>
      <c r="AV414" s="26"/>
      <c r="AW414" s="26"/>
      <c r="AX414" s="26"/>
      <c r="AY414" s="26"/>
      <c r="AZ414" s="26"/>
      <c r="BA414" s="26"/>
    </row>
    <row r="415">
      <c r="A415" s="26"/>
      <c r="B415" s="26"/>
      <c r="C415" s="26"/>
      <c r="D415" s="27"/>
      <c r="E415" s="27"/>
      <c r="F415" s="26"/>
      <c r="G415" s="28"/>
      <c r="H415" s="28"/>
      <c r="I415" s="28"/>
      <c r="J415" s="28"/>
      <c r="K415" s="28"/>
      <c r="L415" s="28"/>
      <c r="M415" s="28"/>
      <c r="N415" s="26"/>
      <c r="O415" s="29"/>
      <c r="P415" s="27"/>
      <c r="Q415" s="26"/>
      <c r="R415" s="29"/>
      <c r="S415" s="28"/>
      <c r="T415" s="29"/>
      <c r="U415" s="28"/>
      <c r="V415" s="28"/>
      <c r="W415" s="28"/>
      <c r="X415" s="28"/>
      <c r="Y415" s="26"/>
      <c r="Z415" s="29"/>
      <c r="AA415" s="28"/>
      <c r="AB415" s="26"/>
      <c r="AC415" s="29"/>
      <c r="AD415" s="25"/>
      <c r="AE415" s="29"/>
      <c r="AF415" s="25"/>
      <c r="AG415" s="25"/>
      <c r="AH415" s="25"/>
      <c r="AI415" s="25"/>
      <c r="AJ415" s="26"/>
      <c r="AK415" s="29"/>
      <c r="AL415" s="28"/>
      <c r="AM415" s="26"/>
      <c r="AN415" s="29"/>
      <c r="AO415" s="25"/>
      <c r="AP415" s="29"/>
      <c r="AQ415" s="25"/>
      <c r="AR415" s="25"/>
      <c r="AS415" s="25"/>
      <c r="AT415" s="25"/>
      <c r="AU415" s="26"/>
      <c r="AV415" s="26"/>
      <c r="AW415" s="26"/>
      <c r="AX415" s="26"/>
      <c r="AY415" s="26"/>
      <c r="AZ415" s="26"/>
      <c r="BA415" s="26"/>
    </row>
    <row r="416">
      <c r="A416" s="26"/>
      <c r="B416" s="26"/>
      <c r="C416" s="26"/>
      <c r="D416" s="27"/>
      <c r="E416" s="27"/>
      <c r="F416" s="26"/>
      <c r="G416" s="28"/>
      <c r="H416" s="28"/>
      <c r="I416" s="28"/>
      <c r="J416" s="28"/>
      <c r="K416" s="28"/>
      <c r="L416" s="28"/>
      <c r="M416" s="28"/>
      <c r="N416" s="26"/>
      <c r="O416" s="29"/>
      <c r="P416" s="27"/>
      <c r="Q416" s="26"/>
      <c r="R416" s="29"/>
      <c r="S416" s="28"/>
      <c r="T416" s="29"/>
      <c r="U416" s="28"/>
      <c r="V416" s="28"/>
      <c r="W416" s="28"/>
      <c r="X416" s="28"/>
      <c r="Y416" s="26"/>
      <c r="Z416" s="29"/>
      <c r="AA416" s="28"/>
      <c r="AB416" s="26"/>
      <c r="AC416" s="29"/>
      <c r="AD416" s="25"/>
      <c r="AE416" s="29"/>
      <c r="AF416" s="25"/>
      <c r="AG416" s="25"/>
      <c r="AH416" s="25"/>
      <c r="AI416" s="25"/>
      <c r="AJ416" s="26"/>
      <c r="AK416" s="29"/>
      <c r="AL416" s="28"/>
      <c r="AM416" s="26"/>
      <c r="AN416" s="29"/>
      <c r="AO416" s="25"/>
      <c r="AP416" s="29"/>
      <c r="AQ416" s="25"/>
      <c r="AR416" s="25"/>
      <c r="AS416" s="25"/>
      <c r="AT416" s="25"/>
      <c r="AU416" s="26"/>
      <c r="AV416" s="26"/>
      <c r="AW416" s="26"/>
      <c r="AX416" s="26"/>
      <c r="AY416" s="26"/>
      <c r="AZ416" s="26"/>
      <c r="BA416" s="26"/>
    </row>
    <row r="417">
      <c r="A417" s="26"/>
      <c r="B417" s="26"/>
      <c r="C417" s="26"/>
      <c r="D417" s="27"/>
      <c r="E417" s="27"/>
      <c r="F417" s="26"/>
      <c r="G417" s="28"/>
      <c r="H417" s="28"/>
      <c r="I417" s="28"/>
      <c r="J417" s="28"/>
      <c r="K417" s="28"/>
      <c r="L417" s="28"/>
      <c r="M417" s="28"/>
      <c r="N417" s="26"/>
      <c r="O417" s="29"/>
      <c r="P417" s="27"/>
      <c r="Q417" s="26"/>
      <c r="R417" s="29"/>
      <c r="S417" s="28"/>
      <c r="T417" s="29"/>
      <c r="U417" s="28"/>
      <c r="V417" s="28"/>
      <c r="W417" s="28"/>
      <c r="X417" s="28"/>
      <c r="Y417" s="26"/>
      <c r="Z417" s="29"/>
      <c r="AA417" s="28"/>
      <c r="AB417" s="26"/>
      <c r="AC417" s="29"/>
      <c r="AD417" s="25"/>
      <c r="AE417" s="29"/>
      <c r="AF417" s="25"/>
      <c r="AG417" s="25"/>
      <c r="AH417" s="25"/>
      <c r="AI417" s="25"/>
      <c r="AJ417" s="26"/>
      <c r="AK417" s="29"/>
      <c r="AL417" s="28"/>
      <c r="AM417" s="26"/>
      <c r="AN417" s="29"/>
      <c r="AO417" s="25"/>
      <c r="AP417" s="29"/>
      <c r="AQ417" s="25"/>
      <c r="AR417" s="25"/>
      <c r="AS417" s="25"/>
      <c r="AT417" s="25"/>
      <c r="AU417" s="26"/>
      <c r="AV417" s="26"/>
      <c r="AW417" s="26"/>
      <c r="AX417" s="26"/>
      <c r="AY417" s="26"/>
      <c r="AZ417" s="26"/>
      <c r="BA417" s="26"/>
    </row>
    <row r="418">
      <c r="A418" s="26"/>
      <c r="B418" s="26"/>
      <c r="C418" s="26"/>
      <c r="D418" s="27"/>
      <c r="E418" s="27"/>
      <c r="F418" s="26"/>
      <c r="G418" s="28"/>
      <c r="H418" s="28"/>
      <c r="I418" s="28"/>
      <c r="J418" s="28"/>
      <c r="K418" s="28"/>
      <c r="L418" s="28"/>
      <c r="M418" s="28"/>
      <c r="N418" s="26"/>
      <c r="O418" s="29"/>
      <c r="P418" s="27"/>
      <c r="Q418" s="26"/>
      <c r="R418" s="29"/>
      <c r="S418" s="28"/>
      <c r="T418" s="29"/>
      <c r="U418" s="28"/>
      <c r="V418" s="28"/>
      <c r="W418" s="28"/>
      <c r="X418" s="28"/>
      <c r="Y418" s="26"/>
      <c r="Z418" s="29"/>
      <c r="AA418" s="28"/>
      <c r="AB418" s="26"/>
      <c r="AC418" s="29"/>
      <c r="AD418" s="25"/>
      <c r="AE418" s="29"/>
      <c r="AF418" s="25"/>
      <c r="AG418" s="25"/>
      <c r="AH418" s="25"/>
      <c r="AI418" s="25"/>
      <c r="AJ418" s="26"/>
      <c r="AK418" s="29"/>
      <c r="AL418" s="28"/>
      <c r="AM418" s="26"/>
      <c r="AN418" s="29"/>
      <c r="AO418" s="25"/>
      <c r="AP418" s="29"/>
      <c r="AQ418" s="25"/>
      <c r="AR418" s="25"/>
      <c r="AS418" s="25"/>
      <c r="AT418" s="25"/>
      <c r="AU418" s="26"/>
      <c r="AV418" s="26"/>
      <c r="AW418" s="26"/>
      <c r="AX418" s="26"/>
      <c r="AY418" s="26"/>
      <c r="AZ418" s="26"/>
      <c r="BA418" s="26"/>
    </row>
    <row r="419">
      <c r="A419" s="26"/>
      <c r="B419" s="26"/>
      <c r="C419" s="26"/>
      <c r="D419" s="27"/>
      <c r="E419" s="27"/>
      <c r="F419" s="26"/>
      <c r="G419" s="28"/>
      <c r="H419" s="28"/>
      <c r="I419" s="28"/>
      <c r="J419" s="28"/>
      <c r="K419" s="28"/>
      <c r="L419" s="28"/>
      <c r="M419" s="28"/>
      <c r="N419" s="26"/>
      <c r="O419" s="29"/>
      <c r="P419" s="27"/>
      <c r="Q419" s="26"/>
      <c r="R419" s="29"/>
      <c r="S419" s="28"/>
      <c r="T419" s="29"/>
      <c r="U419" s="28"/>
      <c r="V419" s="28"/>
      <c r="W419" s="28"/>
      <c r="X419" s="28"/>
      <c r="Y419" s="26"/>
      <c r="Z419" s="29"/>
      <c r="AA419" s="28"/>
      <c r="AB419" s="26"/>
      <c r="AC419" s="29"/>
      <c r="AD419" s="25"/>
      <c r="AE419" s="29"/>
      <c r="AF419" s="25"/>
      <c r="AG419" s="25"/>
      <c r="AH419" s="25"/>
      <c r="AI419" s="25"/>
      <c r="AJ419" s="26"/>
      <c r="AK419" s="29"/>
      <c r="AL419" s="28"/>
      <c r="AM419" s="26"/>
      <c r="AN419" s="29"/>
      <c r="AO419" s="25"/>
      <c r="AP419" s="29"/>
      <c r="AQ419" s="25"/>
      <c r="AR419" s="25"/>
      <c r="AS419" s="25"/>
      <c r="AT419" s="25"/>
      <c r="AU419" s="26"/>
      <c r="AV419" s="26"/>
      <c r="AW419" s="26"/>
      <c r="AX419" s="26"/>
      <c r="AY419" s="26"/>
      <c r="AZ419" s="26"/>
      <c r="BA419" s="26"/>
    </row>
    <row r="420">
      <c r="A420" s="26"/>
      <c r="B420" s="26"/>
      <c r="C420" s="26"/>
      <c r="D420" s="27"/>
      <c r="E420" s="27"/>
      <c r="F420" s="26"/>
      <c r="G420" s="28"/>
      <c r="H420" s="28"/>
      <c r="I420" s="28"/>
      <c r="J420" s="28"/>
      <c r="K420" s="28"/>
      <c r="L420" s="28"/>
      <c r="M420" s="28"/>
      <c r="N420" s="26"/>
      <c r="O420" s="29"/>
      <c r="P420" s="27"/>
      <c r="Q420" s="26"/>
      <c r="R420" s="29"/>
      <c r="S420" s="28"/>
      <c r="T420" s="29"/>
      <c r="U420" s="28"/>
      <c r="V420" s="28"/>
      <c r="W420" s="28"/>
      <c r="X420" s="28"/>
      <c r="Y420" s="26"/>
      <c r="Z420" s="29"/>
      <c r="AA420" s="28"/>
      <c r="AB420" s="26"/>
      <c r="AC420" s="29"/>
      <c r="AD420" s="25"/>
      <c r="AE420" s="29"/>
      <c r="AF420" s="25"/>
      <c r="AG420" s="25"/>
      <c r="AH420" s="25"/>
      <c r="AI420" s="25"/>
      <c r="AJ420" s="26"/>
      <c r="AK420" s="29"/>
      <c r="AL420" s="28"/>
      <c r="AM420" s="26"/>
      <c r="AN420" s="29"/>
      <c r="AO420" s="25"/>
      <c r="AP420" s="29"/>
      <c r="AQ420" s="25"/>
      <c r="AR420" s="25"/>
      <c r="AS420" s="25"/>
      <c r="AT420" s="25"/>
      <c r="AU420" s="26"/>
      <c r="AV420" s="26"/>
      <c r="AW420" s="26"/>
      <c r="AX420" s="26"/>
      <c r="AY420" s="26"/>
      <c r="AZ420" s="26"/>
      <c r="BA420" s="26"/>
    </row>
    <row r="421">
      <c r="A421" s="26"/>
      <c r="B421" s="26"/>
      <c r="C421" s="26"/>
      <c r="D421" s="27"/>
      <c r="E421" s="27"/>
      <c r="F421" s="26"/>
      <c r="G421" s="28"/>
      <c r="H421" s="28"/>
      <c r="I421" s="28"/>
      <c r="J421" s="28"/>
      <c r="K421" s="28"/>
      <c r="L421" s="28"/>
      <c r="M421" s="28"/>
      <c r="N421" s="26"/>
      <c r="O421" s="29"/>
      <c r="P421" s="27"/>
      <c r="Q421" s="26"/>
      <c r="R421" s="29"/>
      <c r="S421" s="28"/>
      <c r="T421" s="29"/>
      <c r="U421" s="28"/>
      <c r="V421" s="28"/>
      <c r="W421" s="28"/>
      <c r="X421" s="28"/>
      <c r="Y421" s="26"/>
      <c r="Z421" s="29"/>
      <c r="AA421" s="28"/>
      <c r="AB421" s="26"/>
      <c r="AC421" s="29"/>
      <c r="AD421" s="25"/>
      <c r="AE421" s="29"/>
      <c r="AF421" s="25"/>
      <c r="AG421" s="25"/>
      <c r="AH421" s="25"/>
      <c r="AI421" s="25"/>
      <c r="AJ421" s="26"/>
      <c r="AK421" s="29"/>
      <c r="AL421" s="28"/>
      <c r="AM421" s="26"/>
      <c r="AN421" s="29"/>
      <c r="AO421" s="25"/>
      <c r="AP421" s="29"/>
      <c r="AQ421" s="25"/>
      <c r="AR421" s="25"/>
      <c r="AS421" s="25"/>
      <c r="AT421" s="25"/>
      <c r="AU421" s="26"/>
      <c r="AV421" s="26"/>
      <c r="AW421" s="26"/>
      <c r="AX421" s="26"/>
      <c r="AY421" s="26"/>
      <c r="AZ421" s="26"/>
      <c r="BA421" s="26"/>
    </row>
    <row r="422">
      <c r="A422" s="26"/>
      <c r="B422" s="26"/>
      <c r="C422" s="26"/>
      <c r="D422" s="27"/>
      <c r="E422" s="27"/>
      <c r="F422" s="26"/>
      <c r="G422" s="28"/>
      <c r="H422" s="28"/>
      <c r="I422" s="28"/>
      <c r="J422" s="28"/>
      <c r="K422" s="28"/>
      <c r="L422" s="28"/>
      <c r="M422" s="28"/>
      <c r="N422" s="26"/>
      <c r="O422" s="29"/>
      <c r="P422" s="27"/>
      <c r="Q422" s="26"/>
      <c r="R422" s="29"/>
      <c r="S422" s="28"/>
      <c r="T422" s="29"/>
      <c r="U422" s="28"/>
      <c r="V422" s="28"/>
      <c r="W422" s="28"/>
      <c r="X422" s="28"/>
      <c r="Y422" s="26"/>
      <c r="Z422" s="29"/>
      <c r="AA422" s="28"/>
      <c r="AB422" s="26"/>
      <c r="AC422" s="29"/>
      <c r="AD422" s="25"/>
      <c r="AE422" s="29"/>
      <c r="AF422" s="25"/>
      <c r="AG422" s="25"/>
      <c r="AH422" s="25"/>
      <c r="AI422" s="25"/>
      <c r="AJ422" s="26"/>
      <c r="AK422" s="29"/>
      <c r="AL422" s="28"/>
      <c r="AM422" s="26"/>
      <c r="AN422" s="29"/>
      <c r="AO422" s="25"/>
      <c r="AP422" s="29"/>
      <c r="AQ422" s="25"/>
      <c r="AR422" s="25"/>
      <c r="AS422" s="25"/>
      <c r="AT422" s="25"/>
      <c r="AU422" s="26"/>
      <c r="AV422" s="26"/>
      <c r="AW422" s="26"/>
      <c r="AX422" s="26"/>
      <c r="AY422" s="26"/>
      <c r="AZ422" s="26"/>
      <c r="BA422" s="26"/>
    </row>
    <row r="423">
      <c r="A423" s="26"/>
      <c r="B423" s="26"/>
      <c r="C423" s="26"/>
      <c r="D423" s="27"/>
      <c r="E423" s="27"/>
      <c r="F423" s="26"/>
      <c r="G423" s="28"/>
      <c r="H423" s="28"/>
      <c r="I423" s="28"/>
      <c r="J423" s="28"/>
      <c r="K423" s="28"/>
      <c r="L423" s="28"/>
      <c r="M423" s="28"/>
      <c r="N423" s="26"/>
      <c r="O423" s="29"/>
      <c r="P423" s="27"/>
      <c r="Q423" s="26"/>
      <c r="R423" s="29"/>
      <c r="S423" s="28"/>
      <c r="T423" s="29"/>
      <c r="U423" s="28"/>
      <c r="V423" s="28"/>
      <c r="W423" s="28"/>
      <c r="X423" s="28"/>
      <c r="Y423" s="26"/>
      <c r="Z423" s="29"/>
      <c r="AA423" s="28"/>
      <c r="AB423" s="26"/>
      <c r="AC423" s="29"/>
      <c r="AD423" s="25"/>
      <c r="AE423" s="29"/>
      <c r="AF423" s="25"/>
      <c r="AG423" s="25"/>
      <c r="AH423" s="25"/>
      <c r="AI423" s="25"/>
      <c r="AJ423" s="26"/>
      <c r="AK423" s="29"/>
      <c r="AL423" s="28"/>
      <c r="AM423" s="26"/>
      <c r="AN423" s="29"/>
      <c r="AO423" s="25"/>
      <c r="AP423" s="29"/>
      <c r="AQ423" s="25"/>
      <c r="AR423" s="25"/>
      <c r="AS423" s="25"/>
      <c r="AT423" s="25"/>
      <c r="AU423" s="26"/>
      <c r="AV423" s="26"/>
      <c r="AW423" s="26"/>
      <c r="AX423" s="26"/>
      <c r="AY423" s="26"/>
      <c r="AZ423" s="26"/>
      <c r="BA423" s="26"/>
    </row>
    <row r="424">
      <c r="A424" s="26"/>
      <c r="B424" s="26"/>
      <c r="C424" s="26"/>
      <c r="D424" s="27"/>
      <c r="E424" s="27"/>
      <c r="F424" s="26"/>
      <c r="G424" s="28"/>
      <c r="H424" s="28"/>
      <c r="I424" s="28"/>
      <c r="J424" s="28"/>
      <c r="K424" s="28"/>
      <c r="L424" s="28"/>
      <c r="M424" s="28"/>
      <c r="N424" s="26"/>
      <c r="O424" s="29"/>
      <c r="P424" s="27"/>
      <c r="Q424" s="26"/>
      <c r="R424" s="29"/>
      <c r="S424" s="28"/>
      <c r="T424" s="29"/>
      <c r="U424" s="28"/>
      <c r="V424" s="28"/>
      <c r="W424" s="28"/>
      <c r="X424" s="28"/>
      <c r="Y424" s="26"/>
      <c r="Z424" s="29"/>
      <c r="AA424" s="28"/>
      <c r="AB424" s="26"/>
      <c r="AC424" s="29"/>
      <c r="AD424" s="25"/>
      <c r="AE424" s="29"/>
      <c r="AF424" s="25"/>
      <c r="AG424" s="25"/>
      <c r="AH424" s="25"/>
      <c r="AI424" s="25"/>
      <c r="AJ424" s="26"/>
      <c r="AK424" s="29"/>
      <c r="AL424" s="28"/>
      <c r="AM424" s="26"/>
      <c r="AN424" s="29"/>
      <c r="AO424" s="25"/>
      <c r="AP424" s="29"/>
      <c r="AQ424" s="25"/>
      <c r="AR424" s="25"/>
      <c r="AS424" s="25"/>
      <c r="AT424" s="25"/>
      <c r="AU424" s="26"/>
      <c r="AV424" s="26"/>
      <c r="AW424" s="26"/>
      <c r="AX424" s="26"/>
      <c r="AY424" s="26"/>
      <c r="AZ424" s="26"/>
      <c r="BA424" s="26"/>
    </row>
    <row r="425">
      <c r="A425" s="26"/>
      <c r="B425" s="26"/>
      <c r="C425" s="26"/>
      <c r="D425" s="27"/>
      <c r="E425" s="27"/>
      <c r="F425" s="26"/>
      <c r="G425" s="28"/>
      <c r="H425" s="28"/>
      <c r="I425" s="28"/>
      <c r="J425" s="28"/>
      <c r="K425" s="28"/>
      <c r="L425" s="28"/>
      <c r="M425" s="28"/>
      <c r="N425" s="26"/>
      <c r="O425" s="29"/>
      <c r="P425" s="27"/>
      <c r="Q425" s="26"/>
      <c r="R425" s="29"/>
      <c r="S425" s="28"/>
      <c r="T425" s="29"/>
      <c r="U425" s="28"/>
      <c r="V425" s="28"/>
      <c r="W425" s="28"/>
      <c r="X425" s="28"/>
      <c r="Y425" s="26"/>
      <c r="Z425" s="29"/>
      <c r="AA425" s="28"/>
      <c r="AB425" s="26"/>
      <c r="AC425" s="29"/>
      <c r="AD425" s="25"/>
      <c r="AE425" s="29"/>
      <c r="AF425" s="25"/>
      <c r="AG425" s="25"/>
      <c r="AH425" s="25"/>
      <c r="AI425" s="25"/>
      <c r="AJ425" s="26"/>
      <c r="AK425" s="29"/>
      <c r="AL425" s="28"/>
      <c r="AM425" s="26"/>
      <c r="AN425" s="29"/>
      <c r="AO425" s="25"/>
      <c r="AP425" s="29"/>
      <c r="AQ425" s="25"/>
      <c r="AR425" s="25"/>
      <c r="AS425" s="25"/>
      <c r="AT425" s="25"/>
      <c r="AU425" s="26"/>
      <c r="AV425" s="26"/>
      <c r="AW425" s="26"/>
      <c r="AX425" s="26"/>
      <c r="AY425" s="26"/>
      <c r="AZ425" s="26"/>
      <c r="BA425" s="26"/>
    </row>
    <row r="426">
      <c r="A426" s="26"/>
      <c r="B426" s="26"/>
      <c r="C426" s="26"/>
      <c r="D426" s="27"/>
      <c r="E426" s="27"/>
      <c r="F426" s="26"/>
      <c r="G426" s="28"/>
      <c r="H426" s="28"/>
      <c r="I426" s="28"/>
      <c r="J426" s="28"/>
      <c r="K426" s="28"/>
      <c r="L426" s="28"/>
      <c r="M426" s="28"/>
      <c r="N426" s="26"/>
      <c r="O426" s="29"/>
      <c r="P426" s="27"/>
      <c r="Q426" s="26"/>
      <c r="R426" s="29"/>
      <c r="S426" s="28"/>
      <c r="T426" s="29"/>
      <c r="U426" s="28"/>
      <c r="V426" s="28"/>
      <c r="W426" s="28"/>
      <c r="X426" s="28"/>
      <c r="Y426" s="26"/>
      <c r="Z426" s="29"/>
      <c r="AA426" s="28"/>
      <c r="AB426" s="26"/>
      <c r="AC426" s="29"/>
      <c r="AD426" s="25"/>
      <c r="AE426" s="29"/>
      <c r="AF426" s="25"/>
      <c r="AG426" s="25"/>
      <c r="AH426" s="25"/>
      <c r="AI426" s="25"/>
      <c r="AJ426" s="26"/>
      <c r="AK426" s="29"/>
      <c r="AL426" s="28"/>
      <c r="AM426" s="26"/>
      <c r="AN426" s="29"/>
      <c r="AO426" s="25"/>
      <c r="AP426" s="29"/>
      <c r="AQ426" s="25"/>
      <c r="AR426" s="25"/>
      <c r="AS426" s="25"/>
      <c r="AT426" s="25"/>
      <c r="AU426" s="26"/>
      <c r="AV426" s="26"/>
      <c r="AW426" s="26"/>
      <c r="AX426" s="26"/>
      <c r="AY426" s="26"/>
      <c r="AZ426" s="26"/>
      <c r="BA426" s="26"/>
    </row>
    <row r="427">
      <c r="A427" s="26"/>
      <c r="B427" s="26"/>
      <c r="C427" s="26"/>
      <c r="D427" s="27"/>
      <c r="E427" s="27"/>
      <c r="F427" s="26"/>
      <c r="G427" s="28"/>
      <c r="H427" s="28"/>
      <c r="I427" s="28"/>
      <c r="J427" s="28"/>
      <c r="K427" s="28"/>
      <c r="L427" s="28"/>
      <c r="M427" s="28"/>
      <c r="N427" s="26"/>
      <c r="O427" s="29"/>
      <c r="P427" s="27"/>
      <c r="Q427" s="26"/>
      <c r="R427" s="29"/>
      <c r="S427" s="28"/>
      <c r="T427" s="29"/>
      <c r="U427" s="28"/>
      <c r="V427" s="28"/>
      <c r="W427" s="28"/>
      <c r="X427" s="28"/>
      <c r="Y427" s="26"/>
      <c r="Z427" s="29"/>
      <c r="AA427" s="28"/>
      <c r="AB427" s="26"/>
      <c r="AC427" s="29"/>
      <c r="AD427" s="25"/>
      <c r="AE427" s="29"/>
      <c r="AF427" s="25"/>
      <c r="AG427" s="25"/>
      <c r="AH427" s="25"/>
      <c r="AI427" s="25"/>
      <c r="AJ427" s="26"/>
      <c r="AK427" s="29"/>
      <c r="AL427" s="28"/>
      <c r="AM427" s="26"/>
      <c r="AN427" s="29"/>
      <c r="AO427" s="25"/>
      <c r="AP427" s="29"/>
      <c r="AQ427" s="25"/>
      <c r="AR427" s="25"/>
      <c r="AS427" s="25"/>
      <c r="AT427" s="25"/>
      <c r="AU427" s="26"/>
      <c r="AV427" s="26"/>
      <c r="AW427" s="26"/>
      <c r="AX427" s="26"/>
      <c r="AY427" s="26"/>
      <c r="AZ427" s="26"/>
      <c r="BA427" s="26"/>
    </row>
    <row r="428">
      <c r="A428" s="26"/>
      <c r="B428" s="26"/>
      <c r="C428" s="26"/>
      <c r="D428" s="27"/>
      <c r="E428" s="27"/>
      <c r="F428" s="26"/>
      <c r="G428" s="28"/>
      <c r="H428" s="28"/>
      <c r="I428" s="28"/>
      <c r="J428" s="28"/>
      <c r="K428" s="28"/>
      <c r="L428" s="28"/>
      <c r="M428" s="28"/>
      <c r="N428" s="26"/>
      <c r="O428" s="29"/>
      <c r="P428" s="27"/>
      <c r="Q428" s="26"/>
      <c r="R428" s="29"/>
      <c r="S428" s="28"/>
      <c r="T428" s="29"/>
      <c r="U428" s="28"/>
      <c r="V428" s="28"/>
      <c r="W428" s="28"/>
      <c r="X428" s="28"/>
      <c r="Y428" s="26"/>
      <c r="Z428" s="29"/>
      <c r="AA428" s="28"/>
      <c r="AB428" s="26"/>
      <c r="AC428" s="29"/>
      <c r="AD428" s="25"/>
      <c r="AE428" s="29"/>
      <c r="AF428" s="25"/>
      <c r="AG428" s="25"/>
      <c r="AH428" s="25"/>
      <c r="AI428" s="25"/>
      <c r="AJ428" s="26"/>
      <c r="AK428" s="29"/>
      <c r="AL428" s="28"/>
      <c r="AM428" s="26"/>
      <c r="AN428" s="29"/>
      <c r="AO428" s="25"/>
      <c r="AP428" s="29"/>
      <c r="AQ428" s="25"/>
      <c r="AR428" s="25"/>
      <c r="AS428" s="25"/>
      <c r="AT428" s="25"/>
      <c r="AU428" s="26"/>
      <c r="AV428" s="26"/>
      <c r="AW428" s="26"/>
      <c r="AX428" s="26"/>
      <c r="AY428" s="26"/>
      <c r="AZ428" s="26"/>
      <c r="BA428" s="26"/>
    </row>
    <row r="429">
      <c r="A429" s="26"/>
      <c r="B429" s="26"/>
      <c r="C429" s="26"/>
      <c r="D429" s="27"/>
      <c r="E429" s="27"/>
      <c r="F429" s="26"/>
      <c r="G429" s="28"/>
      <c r="H429" s="28"/>
      <c r="I429" s="28"/>
      <c r="J429" s="28"/>
      <c r="K429" s="28"/>
      <c r="L429" s="28"/>
      <c r="M429" s="28"/>
      <c r="N429" s="26"/>
      <c r="O429" s="29"/>
      <c r="P429" s="27"/>
      <c r="Q429" s="26"/>
      <c r="R429" s="29"/>
      <c r="S429" s="28"/>
      <c r="T429" s="29"/>
      <c r="U429" s="28"/>
      <c r="V429" s="28"/>
      <c r="W429" s="28"/>
      <c r="X429" s="28"/>
      <c r="Y429" s="26"/>
      <c r="Z429" s="29"/>
      <c r="AA429" s="28"/>
      <c r="AB429" s="26"/>
      <c r="AC429" s="29"/>
      <c r="AD429" s="25"/>
      <c r="AE429" s="29"/>
      <c r="AF429" s="25"/>
      <c r="AG429" s="25"/>
      <c r="AH429" s="25"/>
      <c r="AI429" s="25"/>
      <c r="AJ429" s="26"/>
      <c r="AK429" s="29"/>
      <c r="AL429" s="28"/>
      <c r="AM429" s="26"/>
      <c r="AN429" s="29"/>
      <c r="AO429" s="25"/>
      <c r="AP429" s="29"/>
      <c r="AQ429" s="25"/>
      <c r="AR429" s="25"/>
      <c r="AS429" s="25"/>
      <c r="AT429" s="25"/>
      <c r="AU429" s="26"/>
      <c r="AV429" s="26"/>
      <c r="AW429" s="26"/>
      <c r="AX429" s="26"/>
      <c r="AY429" s="26"/>
      <c r="AZ429" s="26"/>
      <c r="BA429" s="26"/>
    </row>
    <row r="430">
      <c r="A430" s="26"/>
      <c r="B430" s="26"/>
      <c r="C430" s="26"/>
      <c r="D430" s="27"/>
      <c r="E430" s="27"/>
      <c r="F430" s="26"/>
      <c r="G430" s="28"/>
      <c r="H430" s="28"/>
      <c r="I430" s="28"/>
      <c r="J430" s="28"/>
      <c r="K430" s="28"/>
      <c r="L430" s="28"/>
      <c r="M430" s="28"/>
      <c r="N430" s="26"/>
      <c r="O430" s="29"/>
      <c r="P430" s="27"/>
      <c r="Q430" s="26"/>
      <c r="R430" s="29"/>
      <c r="S430" s="28"/>
      <c r="T430" s="29"/>
      <c r="U430" s="28"/>
      <c r="V430" s="28"/>
      <c r="W430" s="28"/>
      <c r="X430" s="28"/>
      <c r="Y430" s="26"/>
      <c r="Z430" s="29"/>
      <c r="AA430" s="28"/>
      <c r="AB430" s="26"/>
      <c r="AC430" s="29"/>
      <c r="AD430" s="25"/>
      <c r="AE430" s="29"/>
      <c r="AF430" s="25"/>
      <c r="AG430" s="25"/>
      <c r="AH430" s="25"/>
      <c r="AI430" s="25"/>
      <c r="AJ430" s="26"/>
      <c r="AK430" s="29"/>
      <c r="AL430" s="28"/>
      <c r="AM430" s="26"/>
      <c r="AN430" s="29"/>
      <c r="AO430" s="25"/>
      <c r="AP430" s="29"/>
      <c r="AQ430" s="25"/>
      <c r="AR430" s="25"/>
      <c r="AS430" s="25"/>
      <c r="AT430" s="25"/>
      <c r="AU430" s="26"/>
      <c r="AV430" s="26"/>
      <c r="AW430" s="26"/>
      <c r="AX430" s="26"/>
      <c r="AY430" s="26"/>
      <c r="AZ430" s="26"/>
      <c r="BA430" s="26"/>
    </row>
    <row r="431">
      <c r="A431" s="26"/>
      <c r="B431" s="26"/>
      <c r="C431" s="26"/>
      <c r="D431" s="27"/>
      <c r="E431" s="27"/>
      <c r="F431" s="26"/>
      <c r="G431" s="28"/>
      <c r="H431" s="28"/>
      <c r="I431" s="28"/>
      <c r="J431" s="28"/>
      <c r="K431" s="28"/>
      <c r="L431" s="28"/>
      <c r="M431" s="28"/>
      <c r="N431" s="26"/>
      <c r="O431" s="29"/>
      <c r="P431" s="27"/>
      <c r="Q431" s="26"/>
      <c r="R431" s="29"/>
      <c r="S431" s="28"/>
      <c r="T431" s="29"/>
      <c r="U431" s="28"/>
      <c r="V431" s="28"/>
      <c r="W431" s="28"/>
      <c r="X431" s="28"/>
      <c r="Y431" s="26"/>
      <c r="Z431" s="29"/>
      <c r="AA431" s="28"/>
      <c r="AB431" s="26"/>
      <c r="AC431" s="29"/>
      <c r="AD431" s="25"/>
      <c r="AE431" s="29"/>
      <c r="AF431" s="25"/>
      <c r="AG431" s="25"/>
      <c r="AH431" s="25"/>
      <c r="AI431" s="25"/>
      <c r="AJ431" s="26"/>
      <c r="AK431" s="29"/>
      <c r="AL431" s="28"/>
      <c r="AM431" s="26"/>
      <c r="AN431" s="29"/>
      <c r="AO431" s="25"/>
      <c r="AP431" s="29"/>
      <c r="AQ431" s="25"/>
      <c r="AR431" s="25"/>
      <c r="AS431" s="25"/>
      <c r="AT431" s="25"/>
      <c r="AU431" s="26"/>
      <c r="AV431" s="26"/>
      <c r="AW431" s="26"/>
      <c r="AX431" s="26"/>
      <c r="AY431" s="26"/>
      <c r="AZ431" s="26"/>
      <c r="BA431" s="26"/>
    </row>
    <row r="432">
      <c r="A432" s="26"/>
      <c r="B432" s="26"/>
      <c r="C432" s="26"/>
      <c r="D432" s="27"/>
      <c r="E432" s="27"/>
      <c r="F432" s="26"/>
      <c r="G432" s="28"/>
      <c r="H432" s="28"/>
      <c r="I432" s="28"/>
      <c r="J432" s="28"/>
      <c r="K432" s="28"/>
      <c r="L432" s="28"/>
      <c r="M432" s="28"/>
      <c r="N432" s="26"/>
      <c r="O432" s="29"/>
      <c r="P432" s="27"/>
      <c r="Q432" s="26"/>
      <c r="R432" s="29"/>
      <c r="S432" s="28"/>
      <c r="T432" s="29"/>
      <c r="U432" s="28"/>
      <c r="V432" s="28"/>
      <c r="W432" s="28"/>
      <c r="X432" s="28"/>
      <c r="Y432" s="26"/>
      <c r="Z432" s="29"/>
      <c r="AA432" s="28"/>
      <c r="AB432" s="26"/>
      <c r="AC432" s="29"/>
      <c r="AD432" s="25"/>
      <c r="AE432" s="29"/>
      <c r="AF432" s="25"/>
      <c r="AG432" s="25"/>
      <c r="AH432" s="25"/>
      <c r="AI432" s="25"/>
      <c r="AJ432" s="26"/>
      <c r="AK432" s="29"/>
      <c r="AL432" s="28"/>
      <c r="AM432" s="26"/>
      <c r="AN432" s="29"/>
      <c r="AO432" s="25"/>
      <c r="AP432" s="29"/>
      <c r="AQ432" s="25"/>
      <c r="AR432" s="25"/>
      <c r="AS432" s="25"/>
      <c r="AT432" s="25"/>
      <c r="AU432" s="26"/>
      <c r="AV432" s="26"/>
      <c r="AW432" s="26"/>
      <c r="AX432" s="26"/>
      <c r="AY432" s="26"/>
      <c r="AZ432" s="26"/>
      <c r="BA432" s="26"/>
    </row>
    <row r="433">
      <c r="A433" s="26"/>
      <c r="B433" s="26"/>
      <c r="C433" s="26"/>
      <c r="D433" s="27"/>
      <c r="E433" s="27"/>
      <c r="F433" s="26"/>
      <c r="G433" s="28"/>
      <c r="H433" s="28"/>
      <c r="I433" s="28"/>
      <c r="J433" s="28"/>
      <c r="K433" s="28"/>
      <c r="L433" s="28"/>
      <c r="M433" s="28"/>
      <c r="N433" s="26"/>
      <c r="O433" s="29"/>
      <c r="P433" s="27"/>
      <c r="Q433" s="26"/>
      <c r="R433" s="29"/>
      <c r="S433" s="28"/>
      <c r="T433" s="29"/>
      <c r="U433" s="28"/>
      <c r="V433" s="28"/>
      <c r="W433" s="28"/>
      <c r="X433" s="28"/>
      <c r="Y433" s="26"/>
      <c r="Z433" s="29"/>
      <c r="AA433" s="28"/>
      <c r="AB433" s="26"/>
      <c r="AC433" s="29"/>
      <c r="AD433" s="25"/>
      <c r="AE433" s="29"/>
      <c r="AF433" s="25"/>
      <c r="AG433" s="25"/>
      <c r="AH433" s="25"/>
      <c r="AI433" s="25"/>
      <c r="AJ433" s="26"/>
      <c r="AK433" s="29"/>
      <c r="AL433" s="28"/>
      <c r="AM433" s="26"/>
      <c r="AN433" s="29"/>
      <c r="AO433" s="25"/>
      <c r="AP433" s="29"/>
      <c r="AQ433" s="25"/>
      <c r="AR433" s="25"/>
      <c r="AS433" s="25"/>
      <c r="AT433" s="25"/>
      <c r="AU433" s="26"/>
      <c r="AV433" s="26"/>
      <c r="AW433" s="26"/>
      <c r="AX433" s="26"/>
      <c r="AY433" s="26"/>
      <c r="AZ433" s="26"/>
      <c r="BA433" s="26"/>
    </row>
    <row r="434">
      <c r="A434" s="26"/>
      <c r="B434" s="26"/>
      <c r="C434" s="26"/>
      <c r="D434" s="27"/>
      <c r="E434" s="27"/>
      <c r="F434" s="26"/>
      <c r="G434" s="28"/>
      <c r="H434" s="28"/>
      <c r="I434" s="28"/>
      <c r="J434" s="28"/>
      <c r="K434" s="28"/>
      <c r="L434" s="28"/>
      <c r="M434" s="28"/>
      <c r="N434" s="26"/>
      <c r="O434" s="29"/>
      <c r="P434" s="27"/>
      <c r="Q434" s="26"/>
      <c r="R434" s="29"/>
      <c r="S434" s="28"/>
      <c r="T434" s="29"/>
      <c r="U434" s="28"/>
      <c r="V434" s="28"/>
      <c r="W434" s="28"/>
      <c r="X434" s="28"/>
      <c r="Y434" s="26"/>
      <c r="Z434" s="29"/>
      <c r="AA434" s="28"/>
      <c r="AB434" s="26"/>
      <c r="AC434" s="29"/>
      <c r="AD434" s="25"/>
      <c r="AE434" s="29"/>
      <c r="AF434" s="25"/>
      <c r="AG434" s="25"/>
      <c r="AH434" s="25"/>
      <c r="AI434" s="25"/>
      <c r="AJ434" s="26"/>
      <c r="AK434" s="29"/>
      <c r="AL434" s="28"/>
      <c r="AM434" s="26"/>
      <c r="AN434" s="29"/>
      <c r="AO434" s="25"/>
      <c r="AP434" s="29"/>
      <c r="AQ434" s="25"/>
      <c r="AR434" s="25"/>
      <c r="AS434" s="25"/>
      <c r="AT434" s="25"/>
      <c r="AU434" s="26"/>
      <c r="AV434" s="26"/>
      <c r="AW434" s="26"/>
      <c r="AX434" s="26"/>
      <c r="AY434" s="26"/>
      <c r="AZ434" s="26"/>
      <c r="BA434" s="26"/>
    </row>
    <row r="435">
      <c r="A435" s="26"/>
      <c r="B435" s="26"/>
      <c r="C435" s="26"/>
      <c r="D435" s="27"/>
      <c r="E435" s="27"/>
      <c r="F435" s="26"/>
      <c r="G435" s="28"/>
      <c r="H435" s="28"/>
      <c r="I435" s="28"/>
      <c r="J435" s="28"/>
      <c r="K435" s="28"/>
      <c r="L435" s="28"/>
      <c r="M435" s="28"/>
      <c r="N435" s="26"/>
      <c r="O435" s="29"/>
      <c r="P435" s="27"/>
      <c r="Q435" s="26"/>
      <c r="R435" s="29"/>
      <c r="S435" s="28"/>
      <c r="T435" s="29"/>
      <c r="U435" s="28"/>
      <c r="V435" s="28"/>
      <c r="W435" s="28"/>
      <c r="X435" s="28"/>
      <c r="Y435" s="26"/>
      <c r="Z435" s="29"/>
      <c r="AA435" s="28"/>
      <c r="AB435" s="26"/>
      <c r="AC435" s="29"/>
      <c r="AD435" s="25"/>
      <c r="AE435" s="29"/>
      <c r="AF435" s="25"/>
      <c r="AG435" s="25"/>
      <c r="AH435" s="25"/>
      <c r="AI435" s="25"/>
      <c r="AJ435" s="26"/>
      <c r="AK435" s="29"/>
      <c r="AL435" s="28"/>
      <c r="AM435" s="26"/>
      <c r="AN435" s="29"/>
      <c r="AO435" s="25"/>
      <c r="AP435" s="29"/>
      <c r="AQ435" s="25"/>
      <c r="AR435" s="25"/>
      <c r="AS435" s="25"/>
      <c r="AT435" s="25"/>
      <c r="AU435" s="26"/>
      <c r="AV435" s="26"/>
      <c r="AW435" s="26"/>
      <c r="AX435" s="26"/>
      <c r="AY435" s="26"/>
      <c r="AZ435" s="26"/>
      <c r="BA435" s="26"/>
    </row>
    <row r="436">
      <c r="A436" s="26"/>
      <c r="B436" s="26"/>
      <c r="C436" s="26"/>
      <c r="D436" s="27"/>
      <c r="E436" s="27"/>
      <c r="F436" s="26"/>
      <c r="G436" s="28"/>
      <c r="H436" s="28"/>
      <c r="I436" s="28"/>
      <c r="J436" s="28"/>
      <c r="K436" s="28"/>
      <c r="L436" s="28"/>
      <c r="M436" s="28"/>
      <c r="N436" s="26"/>
      <c r="O436" s="29"/>
      <c r="P436" s="27"/>
      <c r="Q436" s="26"/>
      <c r="R436" s="29"/>
      <c r="S436" s="28"/>
      <c r="T436" s="29"/>
      <c r="U436" s="28"/>
      <c r="V436" s="28"/>
      <c r="W436" s="28"/>
      <c r="X436" s="28"/>
      <c r="Y436" s="26"/>
      <c r="Z436" s="29"/>
      <c r="AA436" s="28"/>
      <c r="AB436" s="26"/>
      <c r="AC436" s="29"/>
      <c r="AD436" s="25"/>
      <c r="AE436" s="29"/>
      <c r="AF436" s="25"/>
      <c r="AG436" s="25"/>
      <c r="AH436" s="25"/>
      <c r="AI436" s="25"/>
      <c r="AJ436" s="26"/>
      <c r="AK436" s="29"/>
      <c r="AL436" s="28"/>
      <c r="AM436" s="26"/>
      <c r="AN436" s="29"/>
      <c r="AO436" s="25"/>
      <c r="AP436" s="29"/>
      <c r="AQ436" s="25"/>
      <c r="AR436" s="25"/>
      <c r="AS436" s="25"/>
      <c r="AT436" s="25"/>
      <c r="AU436" s="26"/>
      <c r="AV436" s="26"/>
      <c r="AW436" s="26"/>
      <c r="AX436" s="26"/>
      <c r="AY436" s="26"/>
      <c r="AZ436" s="26"/>
      <c r="BA436" s="26"/>
    </row>
    <row r="437">
      <c r="A437" s="26"/>
      <c r="B437" s="26"/>
      <c r="C437" s="26"/>
      <c r="D437" s="27"/>
      <c r="E437" s="27"/>
      <c r="F437" s="26"/>
      <c r="G437" s="28"/>
      <c r="H437" s="28"/>
      <c r="I437" s="28"/>
      <c r="J437" s="28"/>
      <c r="K437" s="28"/>
      <c r="L437" s="28"/>
      <c r="M437" s="28"/>
      <c r="N437" s="26"/>
      <c r="O437" s="29"/>
      <c r="P437" s="27"/>
      <c r="Q437" s="26"/>
      <c r="R437" s="29"/>
      <c r="S437" s="28"/>
      <c r="T437" s="29"/>
      <c r="U437" s="28"/>
      <c r="V437" s="28"/>
      <c r="W437" s="28"/>
      <c r="X437" s="28"/>
      <c r="Y437" s="26"/>
      <c r="Z437" s="29"/>
      <c r="AA437" s="28"/>
      <c r="AB437" s="26"/>
      <c r="AC437" s="29"/>
      <c r="AD437" s="25"/>
      <c r="AE437" s="29"/>
      <c r="AF437" s="25"/>
      <c r="AG437" s="25"/>
      <c r="AH437" s="25"/>
      <c r="AI437" s="25"/>
      <c r="AJ437" s="26"/>
      <c r="AK437" s="29"/>
      <c r="AL437" s="28"/>
      <c r="AM437" s="26"/>
      <c r="AN437" s="29"/>
      <c r="AO437" s="25"/>
      <c r="AP437" s="29"/>
      <c r="AQ437" s="25"/>
      <c r="AR437" s="25"/>
      <c r="AS437" s="25"/>
      <c r="AT437" s="25"/>
      <c r="AU437" s="26"/>
      <c r="AV437" s="26"/>
      <c r="AW437" s="26"/>
      <c r="AX437" s="26"/>
      <c r="AY437" s="26"/>
      <c r="AZ437" s="26"/>
      <c r="BA437" s="26"/>
    </row>
    <row r="438">
      <c r="A438" s="26"/>
      <c r="B438" s="26"/>
      <c r="C438" s="26"/>
      <c r="D438" s="27"/>
      <c r="E438" s="27"/>
      <c r="F438" s="26"/>
      <c r="G438" s="28"/>
      <c r="H438" s="28"/>
      <c r="I438" s="28"/>
      <c r="J438" s="28"/>
      <c r="K438" s="28"/>
      <c r="L438" s="28"/>
      <c r="M438" s="28"/>
      <c r="N438" s="26"/>
      <c r="O438" s="29"/>
      <c r="P438" s="27"/>
      <c r="Q438" s="26"/>
      <c r="R438" s="29"/>
      <c r="S438" s="28"/>
      <c r="T438" s="29"/>
      <c r="U438" s="28"/>
      <c r="V438" s="28"/>
      <c r="W438" s="28"/>
      <c r="X438" s="28"/>
      <c r="Y438" s="26"/>
      <c r="Z438" s="29"/>
      <c r="AA438" s="28"/>
      <c r="AB438" s="26"/>
      <c r="AC438" s="29"/>
      <c r="AD438" s="25"/>
      <c r="AE438" s="29"/>
      <c r="AF438" s="25"/>
      <c r="AG438" s="25"/>
      <c r="AH438" s="25"/>
      <c r="AI438" s="25"/>
      <c r="AJ438" s="26"/>
      <c r="AK438" s="29"/>
      <c r="AL438" s="28"/>
      <c r="AM438" s="26"/>
      <c r="AN438" s="29"/>
      <c r="AO438" s="25"/>
      <c r="AP438" s="29"/>
      <c r="AQ438" s="25"/>
      <c r="AR438" s="25"/>
      <c r="AS438" s="25"/>
      <c r="AT438" s="25"/>
      <c r="AU438" s="26"/>
      <c r="AV438" s="26"/>
      <c r="AW438" s="26"/>
      <c r="AX438" s="26"/>
      <c r="AY438" s="26"/>
      <c r="AZ438" s="26"/>
      <c r="BA438" s="26"/>
    </row>
    <row r="439">
      <c r="A439" s="26"/>
      <c r="B439" s="26"/>
      <c r="C439" s="26"/>
      <c r="D439" s="27"/>
      <c r="E439" s="27"/>
      <c r="F439" s="26"/>
      <c r="G439" s="28"/>
      <c r="H439" s="28"/>
      <c r="I439" s="28"/>
      <c r="J439" s="28"/>
      <c r="K439" s="28"/>
      <c r="L439" s="28"/>
      <c r="M439" s="28"/>
      <c r="N439" s="26"/>
      <c r="O439" s="29"/>
      <c r="P439" s="27"/>
      <c r="Q439" s="26"/>
      <c r="R439" s="29"/>
      <c r="S439" s="28"/>
      <c r="T439" s="29"/>
      <c r="U439" s="28"/>
      <c r="V439" s="28"/>
      <c r="W439" s="28"/>
      <c r="X439" s="28"/>
      <c r="Y439" s="26"/>
      <c r="Z439" s="29"/>
      <c r="AA439" s="28"/>
      <c r="AB439" s="26"/>
      <c r="AC439" s="29"/>
      <c r="AD439" s="25"/>
      <c r="AE439" s="29"/>
      <c r="AF439" s="25"/>
      <c r="AG439" s="25"/>
      <c r="AH439" s="25"/>
      <c r="AI439" s="25"/>
      <c r="AJ439" s="26"/>
      <c r="AK439" s="29"/>
      <c r="AL439" s="28"/>
      <c r="AM439" s="26"/>
      <c r="AN439" s="29"/>
      <c r="AO439" s="25"/>
      <c r="AP439" s="29"/>
      <c r="AQ439" s="25"/>
      <c r="AR439" s="25"/>
      <c r="AS439" s="25"/>
      <c r="AT439" s="25"/>
      <c r="AU439" s="26"/>
      <c r="AV439" s="26"/>
      <c r="AW439" s="26"/>
      <c r="AX439" s="26"/>
      <c r="AY439" s="26"/>
      <c r="AZ439" s="26"/>
      <c r="BA439" s="26"/>
    </row>
    <row r="440">
      <c r="A440" s="26"/>
      <c r="B440" s="26"/>
      <c r="C440" s="26"/>
      <c r="D440" s="27"/>
      <c r="E440" s="27"/>
      <c r="F440" s="26"/>
      <c r="G440" s="28"/>
      <c r="H440" s="28"/>
      <c r="I440" s="28"/>
      <c r="J440" s="28"/>
      <c r="K440" s="28"/>
      <c r="L440" s="28"/>
      <c r="M440" s="28"/>
      <c r="N440" s="26"/>
      <c r="O440" s="29"/>
      <c r="P440" s="27"/>
      <c r="Q440" s="26"/>
      <c r="R440" s="29"/>
      <c r="S440" s="28"/>
      <c r="T440" s="29"/>
      <c r="U440" s="28"/>
      <c r="V440" s="28"/>
      <c r="W440" s="28"/>
      <c r="X440" s="28"/>
      <c r="Y440" s="26"/>
      <c r="Z440" s="29"/>
      <c r="AA440" s="28"/>
      <c r="AB440" s="26"/>
      <c r="AC440" s="29"/>
      <c r="AD440" s="25"/>
      <c r="AE440" s="29"/>
      <c r="AF440" s="25"/>
      <c r="AG440" s="25"/>
      <c r="AH440" s="25"/>
      <c r="AI440" s="25"/>
      <c r="AJ440" s="26"/>
      <c r="AK440" s="29"/>
      <c r="AL440" s="28"/>
      <c r="AM440" s="26"/>
      <c r="AN440" s="29"/>
      <c r="AO440" s="25"/>
      <c r="AP440" s="29"/>
      <c r="AQ440" s="25"/>
      <c r="AR440" s="25"/>
      <c r="AS440" s="25"/>
      <c r="AT440" s="25"/>
      <c r="AU440" s="26"/>
      <c r="AV440" s="26"/>
      <c r="AW440" s="26"/>
      <c r="AX440" s="26"/>
      <c r="AY440" s="26"/>
      <c r="AZ440" s="26"/>
      <c r="BA440" s="26"/>
    </row>
    <row r="441">
      <c r="A441" s="26"/>
      <c r="B441" s="26"/>
      <c r="C441" s="26"/>
      <c r="D441" s="27"/>
      <c r="E441" s="27"/>
      <c r="F441" s="26"/>
      <c r="G441" s="28"/>
      <c r="H441" s="28"/>
      <c r="I441" s="28"/>
      <c r="J441" s="28"/>
      <c r="K441" s="28"/>
      <c r="L441" s="28"/>
      <c r="M441" s="28"/>
      <c r="N441" s="26"/>
      <c r="O441" s="29"/>
      <c r="P441" s="27"/>
      <c r="Q441" s="26"/>
      <c r="R441" s="29"/>
      <c r="S441" s="28"/>
      <c r="T441" s="29"/>
      <c r="U441" s="28"/>
      <c r="V441" s="28"/>
      <c r="W441" s="28"/>
      <c r="X441" s="28"/>
      <c r="Y441" s="26"/>
      <c r="Z441" s="29"/>
      <c r="AA441" s="28"/>
      <c r="AB441" s="26"/>
      <c r="AC441" s="29"/>
      <c r="AD441" s="25"/>
      <c r="AE441" s="29"/>
      <c r="AF441" s="25"/>
      <c r="AG441" s="25"/>
      <c r="AH441" s="25"/>
      <c r="AI441" s="25"/>
      <c r="AJ441" s="26"/>
      <c r="AK441" s="29"/>
      <c r="AL441" s="28"/>
      <c r="AM441" s="26"/>
      <c r="AN441" s="29"/>
      <c r="AO441" s="25"/>
      <c r="AP441" s="29"/>
      <c r="AQ441" s="25"/>
      <c r="AR441" s="25"/>
      <c r="AS441" s="25"/>
      <c r="AT441" s="25"/>
      <c r="AU441" s="26"/>
      <c r="AV441" s="26"/>
      <c r="AW441" s="26"/>
      <c r="AX441" s="26"/>
      <c r="AY441" s="26"/>
      <c r="AZ441" s="26"/>
      <c r="BA441" s="26"/>
    </row>
    <row r="442">
      <c r="A442" s="26"/>
      <c r="B442" s="26"/>
      <c r="C442" s="26"/>
      <c r="D442" s="27"/>
      <c r="E442" s="27"/>
      <c r="F442" s="26"/>
      <c r="G442" s="28"/>
      <c r="H442" s="28"/>
      <c r="I442" s="28"/>
      <c r="J442" s="28"/>
      <c r="K442" s="28"/>
      <c r="L442" s="28"/>
      <c r="M442" s="28"/>
      <c r="N442" s="26"/>
      <c r="O442" s="29"/>
      <c r="P442" s="27"/>
      <c r="Q442" s="26"/>
      <c r="R442" s="29"/>
      <c r="S442" s="28"/>
      <c r="T442" s="29"/>
      <c r="U442" s="28"/>
      <c r="V442" s="28"/>
      <c r="W442" s="28"/>
      <c r="X442" s="28"/>
      <c r="Y442" s="26"/>
      <c r="Z442" s="29"/>
      <c r="AA442" s="28"/>
      <c r="AB442" s="26"/>
      <c r="AC442" s="29"/>
      <c r="AD442" s="25"/>
      <c r="AE442" s="29"/>
      <c r="AF442" s="25"/>
      <c r="AG442" s="25"/>
      <c r="AH442" s="25"/>
      <c r="AI442" s="25"/>
      <c r="AJ442" s="26"/>
      <c r="AK442" s="29"/>
      <c r="AL442" s="28"/>
      <c r="AM442" s="26"/>
      <c r="AN442" s="29"/>
      <c r="AO442" s="25"/>
      <c r="AP442" s="29"/>
      <c r="AQ442" s="25"/>
      <c r="AR442" s="25"/>
      <c r="AS442" s="25"/>
      <c r="AT442" s="25"/>
      <c r="AU442" s="26"/>
      <c r="AV442" s="26"/>
      <c r="AW442" s="26"/>
      <c r="AX442" s="26"/>
      <c r="AY442" s="26"/>
      <c r="AZ442" s="26"/>
      <c r="BA442" s="26"/>
    </row>
    <row r="443">
      <c r="A443" s="26"/>
      <c r="B443" s="26"/>
      <c r="C443" s="26"/>
      <c r="D443" s="27"/>
      <c r="E443" s="27"/>
      <c r="F443" s="26"/>
      <c r="G443" s="28"/>
      <c r="H443" s="28"/>
      <c r="I443" s="28"/>
      <c r="J443" s="28"/>
      <c r="K443" s="28"/>
      <c r="L443" s="28"/>
      <c r="M443" s="28"/>
      <c r="N443" s="26"/>
      <c r="O443" s="29"/>
      <c r="P443" s="27"/>
      <c r="Q443" s="26"/>
      <c r="R443" s="29"/>
      <c r="S443" s="28"/>
      <c r="T443" s="29"/>
      <c r="U443" s="28"/>
      <c r="V443" s="28"/>
      <c r="W443" s="28"/>
      <c r="X443" s="28"/>
      <c r="Y443" s="26"/>
      <c r="Z443" s="29"/>
      <c r="AA443" s="28"/>
      <c r="AB443" s="26"/>
      <c r="AC443" s="29"/>
      <c r="AD443" s="25"/>
      <c r="AE443" s="29"/>
      <c r="AF443" s="25"/>
      <c r="AG443" s="25"/>
      <c r="AH443" s="25"/>
      <c r="AI443" s="25"/>
      <c r="AJ443" s="26"/>
      <c r="AK443" s="29"/>
      <c r="AL443" s="28"/>
      <c r="AM443" s="26"/>
      <c r="AN443" s="29"/>
      <c r="AO443" s="25"/>
      <c r="AP443" s="29"/>
      <c r="AQ443" s="25"/>
      <c r="AR443" s="25"/>
      <c r="AS443" s="25"/>
      <c r="AT443" s="25"/>
      <c r="AU443" s="26"/>
      <c r="AV443" s="26"/>
      <c r="AW443" s="26"/>
      <c r="AX443" s="26"/>
      <c r="AY443" s="26"/>
      <c r="AZ443" s="26"/>
      <c r="BA443" s="26"/>
    </row>
    <row r="444">
      <c r="A444" s="26"/>
      <c r="B444" s="26"/>
      <c r="C444" s="26"/>
      <c r="D444" s="27"/>
      <c r="E444" s="27"/>
      <c r="F444" s="26"/>
      <c r="G444" s="28"/>
      <c r="H444" s="28"/>
      <c r="I444" s="28"/>
      <c r="J444" s="28"/>
      <c r="K444" s="28"/>
      <c r="L444" s="28"/>
      <c r="M444" s="28"/>
      <c r="N444" s="26"/>
      <c r="O444" s="29"/>
      <c r="P444" s="27"/>
      <c r="Q444" s="26"/>
      <c r="R444" s="29"/>
      <c r="S444" s="28"/>
      <c r="T444" s="29"/>
      <c r="U444" s="28"/>
      <c r="V444" s="28"/>
      <c r="W444" s="28"/>
      <c r="X444" s="28"/>
      <c r="Y444" s="26"/>
      <c r="Z444" s="29"/>
      <c r="AA444" s="28"/>
      <c r="AB444" s="26"/>
      <c r="AC444" s="29"/>
      <c r="AD444" s="25"/>
      <c r="AE444" s="29"/>
      <c r="AF444" s="25"/>
      <c r="AG444" s="25"/>
      <c r="AH444" s="25"/>
      <c r="AI444" s="25"/>
      <c r="AJ444" s="26"/>
      <c r="AK444" s="29"/>
      <c r="AL444" s="28"/>
      <c r="AM444" s="26"/>
      <c r="AN444" s="29"/>
      <c r="AO444" s="25"/>
      <c r="AP444" s="29"/>
      <c r="AQ444" s="25"/>
      <c r="AR444" s="25"/>
      <c r="AS444" s="25"/>
      <c r="AT444" s="25"/>
      <c r="AU444" s="26"/>
      <c r="AV444" s="26"/>
      <c r="AW444" s="26"/>
      <c r="AX444" s="26"/>
      <c r="AY444" s="26"/>
      <c r="AZ444" s="26"/>
      <c r="BA444" s="26"/>
    </row>
    <row r="445">
      <c r="A445" s="26"/>
      <c r="B445" s="26"/>
      <c r="C445" s="26"/>
      <c r="D445" s="27"/>
      <c r="E445" s="27"/>
      <c r="F445" s="26"/>
      <c r="G445" s="28"/>
      <c r="H445" s="28"/>
      <c r="I445" s="28"/>
      <c r="J445" s="28"/>
      <c r="K445" s="28"/>
      <c r="L445" s="28"/>
      <c r="M445" s="28"/>
      <c r="N445" s="26"/>
      <c r="O445" s="29"/>
      <c r="P445" s="27"/>
      <c r="Q445" s="26"/>
      <c r="R445" s="29"/>
      <c r="S445" s="28"/>
      <c r="T445" s="29"/>
      <c r="U445" s="28"/>
      <c r="V445" s="28"/>
      <c r="W445" s="28"/>
      <c r="X445" s="28"/>
      <c r="Y445" s="26"/>
      <c r="Z445" s="29"/>
      <c r="AA445" s="28"/>
      <c r="AB445" s="26"/>
      <c r="AC445" s="29"/>
      <c r="AD445" s="25"/>
      <c r="AE445" s="29"/>
      <c r="AF445" s="25"/>
      <c r="AG445" s="25"/>
      <c r="AH445" s="25"/>
      <c r="AI445" s="25"/>
      <c r="AJ445" s="26"/>
      <c r="AK445" s="29"/>
      <c r="AL445" s="28"/>
      <c r="AM445" s="26"/>
      <c r="AN445" s="29"/>
      <c r="AO445" s="25"/>
      <c r="AP445" s="29"/>
      <c r="AQ445" s="25"/>
      <c r="AR445" s="25"/>
      <c r="AS445" s="25"/>
      <c r="AT445" s="25"/>
      <c r="AU445" s="26"/>
      <c r="AV445" s="26"/>
      <c r="AW445" s="26"/>
      <c r="AX445" s="26"/>
      <c r="AY445" s="26"/>
      <c r="AZ445" s="26"/>
      <c r="BA445" s="26"/>
    </row>
    <row r="446">
      <c r="A446" s="26"/>
      <c r="B446" s="26"/>
      <c r="C446" s="26"/>
      <c r="D446" s="27"/>
      <c r="E446" s="27"/>
      <c r="F446" s="26"/>
      <c r="G446" s="28"/>
      <c r="H446" s="28"/>
      <c r="I446" s="28"/>
      <c r="J446" s="28"/>
      <c r="K446" s="28"/>
      <c r="L446" s="28"/>
      <c r="M446" s="28"/>
      <c r="N446" s="26"/>
      <c r="O446" s="29"/>
      <c r="P446" s="27"/>
      <c r="Q446" s="26"/>
      <c r="R446" s="29"/>
      <c r="S446" s="28"/>
      <c r="T446" s="29"/>
      <c r="U446" s="28"/>
      <c r="V446" s="28"/>
      <c r="W446" s="28"/>
      <c r="X446" s="28"/>
      <c r="Y446" s="26"/>
      <c r="Z446" s="29"/>
      <c r="AA446" s="28"/>
      <c r="AB446" s="26"/>
      <c r="AC446" s="29"/>
      <c r="AD446" s="25"/>
      <c r="AE446" s="29"/>
      <c r="AF446" s="25"/>
      <c r="AG446" s="25"/>
      <c r="AH446" s="25"/>
      <c r="AI446" s="25"/>
      <c r="AJ446" s="26"/>
      <c r="AK446" s="29"/>
      <c r="AL446" s="28"/>
      <c r="AM446" s="26"/>
      <c r="AN446" s="29"/>
      <c r="AO446" s="25"/>
      <c r="AP446" s="29"/>
      <c r="AQ446" s="25"/>
      <c r="AR446" s="25"/>
      <c r="AS446" s="25"/>
      <c r="AT446" s="25"/>
      <c r="AU446" s="26"/>
      <c r="AV446" s="26"/>
      <c r="AW446" s="26"/>
      <c r="AX446" s="26"/>
      <c r="AY446" s="26"/>
      <c r="AZ446" s="26"/>
      <c r="BA446" s="26"/>
    </row>
    <row r="447">
      <c r="A447" s="26"/>
      <c r="B447" s="26"/>
      <c r="C447" s="26"/>
      <c r="D447" s="27"/>
      <c r="E447" s="27"/>
      <c r="F447" s="26"/>
      <c r="G447" s="28"/>
      <c r="H447" s="28"/>
      <c r="I447" s="28"/>
      <c r="J447" s="28"/>
      <c r="K447" s="28"/>
      <c r="L447" s="28"/>
      <c r="M447" s="28"/>
      <c r="N447" s="26"/>
      <c r="O447" s="29"/>
      <c r="P447" s="27"/>
      <c r="Q447" s="26"/>
      <c r="R447" s="29"/>
      <c r="S447" s="28"/>
      <c r="T447" s="29"/>
      <c r="U447" s="28"/>
      <c r="V447" s="28"/>
      <c r="W447" s="28"/>
      <c r="X447" s="28"/>
      <c r="Y447" s="26"/>
      <c r="Z447" s="29"/>
      <c r="AA447" s="28"/>
      <c r="AB447" s="26"/>
      <c r="AC447" s="29"/>
      <c r="AD447" s="25"/>
      <c r="AE447" s="29"/>
      <c r="AF447" s="25"/>
      <c r="AG447" s="25"/>
      <c r="AH447" s="25"/>
      <c r="AI447" s="25"/>
      <c r="AJ447" s="26"/>
      <c r="AK447" s="29"/>
      <c r="AL447" s="28"/>
      <c r="AM447" s="26"/>
      <c r="AN447" s="29"/>
      <c r="AO447" s="25"/>
      <c r="AP447" s="29"/>
      <c r="AQ447" s="25"/>
      <c r="AR447" s="25"/>
      <c r="AS447" s="25"/>
      <c r="AT447" s="25"/>
      <c r="AU447" s="26"/>
      <c r="AV447" s="26"/>
      <c r="AW447" s="26"/>
      <c r="AX447" s="26"/>
      <c r="AY447" s="26"/>
      <c r="AZ447" s="26"/>
      <c r="BA447" s="26"/>
    </row>
    <row r="448">
      <c r="A448" s="26"/>
      <c r="B448" s="26"/>
      <c r="C448" s="26"/>
      <c r="D448" s="27"/>
      <c r="E448" s="27"/>
      <c r="F448" s="26"/>
      <c r="G448" s="28"/>
      <c r="H448" s="28"/>
      <c r="I448" s="28"/>
      <c r="J448" s="28"/>
      <c r="K448" s="28"/>
      <c r="L448" s="28"/>
      <c r="M448" s="28"/>
      <c r="N448" s="26"/>
      <c r="O448" s="29"/>
      <c r="P448" s="27"/>
      <c r="Q448" s="26"/>
      <c r="R448" s="29"/>
      <c r="S448" s="28"/>
      <c r="T448" s="29"/>
      <c r="U448" s="28"/>
      <c r="V448" s="28"/>
      <c r="W448" s="28"/>
      <c r="X448" s="28"/>
      <c r="Y448" s="26"/>
      <c r="Z448" s="29"/>
      <c r="AA448" s="28"/>
      <c r="AB448" s="26"/>
      <c r="AC448" s="29"/>
      <c r="AD448" s="25"/>
      <c r="AE448" s="29"/>
      <c r="AF448" s="25"/>
      <c r="AG448" s="25"/>
      <c r="AH448" s="25"/>
      <c r="AI448" s="25"/>
      <c r="AJ448" s="26"/>
      <c r="AK448" s="29"/>
      <c r="AL448" s="28"/>
      <c r="AM448" s="26"/>
      <c r="AN448" s="29"/>
      <c r="AO448" s="25"/>
      <c r="AP448" s="29"/>
      <c r="AQ448" s="25"/>
      <c r="AR448" s="25"/>
      <c r="AS448" s="25"/>
      <c r="AT448" s="25"/>
      <c r="AU448" s="26"/>
      <c r="AV448" s="26"/>
      <c r="AW448" s="26"/>
      <c r="AX448" s="26"/>
      <c r="AY448" s="26"/>
      <c r="AZ448" s="26"/>
      <c r="BA448" s="26"/>
    </row>
    <row r="449">
      <c r="A449" s="26"/>
      <c r="B449" s="26"/>
      <c r="C449" s="26"/>
      <c r="D449" s="27"/>
      <c r="E449" s="27"/>
      <c r="F449" s="26"/>
      <c r="G449" s="28"/>
      <c r="H449" s="28"/>
      <c r="I449" s="28"/>
      <c r="J449" s="28"/>
      <c r="K449" s="28"/>
      <c r="L449" s="28"/>
      <c r="M449" s="28"/>
      <c r="N449" s="26"/>
      <c r="O449" s="29"/>
      <c r="P449" s="27"/>
      <c r="Q449" s="26"/>
      <c r="R449" s="29"/>
      <c r="S449" s="28"/>
      <c r="T449" s="29"/>
      <c r="U449" s="28"/>
      <c r="V449" s="28"/>
      <c r="W449" s="28"/>
      <c r="X449" s="28"/>
      <c r="Y449" s="26"/>
      <c r="Z449" s="29"/>
      <c r="AA449" s="28"/>
      <c r="AB449" s="26"/>
      <c r="AC449" s="29"/>
      <c r="AD449" s="25"/>
      <c r="AE449" s="29"/>
      <c r="AF449" s="25"/>
      <c r="AG449" s="25"/>
      <c r="AH449" s="25"/>
      <c r="AI449" s="25"/>
      <c r="AJ449" s="26"/>
      <c r="AK449" s="29"/>
      <c r="AL449" s="28"/>
      <c r="AM449" s="26"/>
      <c r="AN449" s="29"/>
      <c r="AO449" s="25"/>
      <c r="AP449" s="29"/>
      <c r="AQ449" s="25"/>
      <c r="AR449" s="25"/>
      <c r="AS449" s="25"/>
      <c r="AT449" s="25"/>
      <c r="AU449" s="26"/>
      <c r="AV449" s="26"/>
      <c r="AW449" s="26"/>
      <c r="AX449" s="26"/>
      <c r="AY449" s="26"/>
      <c r="AZ449" s="26"/>
      <c r="BA449" s="26"/>
    </row>
    <row r="450">
      <c r="A450" s="26"/>
      <c r="B450" s="26"/>
      <c r="C450" s="26"/>
      <c r="D450" s="27"/>
      <c r="E450" s="27"/>
      <c r="F450" s="26"/>
      <c r="G450" s="28"/>
      <c r="H450" s="28"/>
      <c r="I450" s="28"/>
      <c r="J450" s="28"/>
      <c r="K450" s="28"/>
      <c r="L450" s="28"/>
      <c r="M450" s="28"/>
      <c r="N450" s="26"/>
      <c r="O450" s="29"/>
      <c r="P450" s="27"/>
      <c r="Q450" s="26"/>
      <c r="R450" s="29"/>
      <c r="S450" s="28"/>
      <c r="T450" s="29"/>
      <c r="U450" s="28"/>
      <c r="V450" s="28"/>
      <c r="W450" s="28"/>
      <c r="X450" s="28"/>
      <c r="Y450" s="26"/>
      <c r="Z450" s="29"/>
      <c r="AA450" s="28"/>
      <c r="AB450" s="26"/>
      <c r="AC450" s="29"/>
      <c r="AD450" s="25"/>
      <c r="AE450" s="29"/>
      <c r="AF450" s="25"/>
      <c r="AG450" s="25"/>
      <c r="AH450" s="25"/>
      <c r="AI450" s="25"/>
      <c r="AJ450" s="26"/>
      <c r="AK450" s="29"/>
      <c r="AL450" s="28"/>
      <c r="AM450" s="26"/>
      <c r="AN450" s="29"/>
      <c r="AO450" s="25"/>
      <c r="AP450" s="29"/>
      <c r="AQ450" s="25"/>
      <c r="AR450" s="25"/>
      <c r="AS450" s="25"/>
      <c r="AT450" s="25"/>
      <c r="AU450" s="26"/>
      <c r="AV450" s="26"/>
      <c r="AW450" s="26"/>
      <c r="AX450" s="26"/>
      <c r="AY450" s="26"/>
      <c r="AZ450" s="26"/>
      <c r="BA450" s="26"/>
    </row>
    <row r="451">
      <c r="A451" s="26"/>
      <c r="B451" s="26"/>
      <c r="C451" s="26"/>
      <c r="D451" s="27"/>
      <c r="E451" s="27"/>
      <c r="F451" s="26"/>
      <c r="G451" s="28"/>
      <c r="H451" s="28"/>
      <c r="I451" s="28"/>
      <c r="J451" s="28"/>
      <c r="K451" s="28"/>
      <c r="L451" s="28"/>
      <c r="M451" s="28"/>
      <c r="N451" s="26"/>
      <c r="O451" s="29"/>
      <c r="P451" s="27"/>
      <c r="Q451" s="26"/>
      <c r="R451" s="29"/>
      <c r="S451" s="28"/>
      <c r="T451" s="29"/>
      <c r="U451" s="28"/>
      <c r="V451" s="28"/>
      <c r="W451" s="28"/>
      <c r="X451" s="28"/>
      <c r="Y451" s="26"/>
      <c r="Z451" s="29"/>
      <c r="AA451" s="28"/>
      <c r="AB451" s="26"/>
      <c r="AC451" s="29"/>
      <c r="AD451" s="25"/>
      <c r="AE451" s="29"/>
      <c r="AF451" s="25"/>
      <c r="AG451" s="25"/>
      <c r="AH451" s="25"/>
      <c r="AI451" s="25"/>
      <c r="AJ451" s="26"/>
      <c r="AK451" s="29"/>
      <c r="AL451" s="28"/>
      <c r="AM451" s="26"/>
      <c r="AN451" s="29"/>
      <c r="AO451" s="25"/>
      <c r="AP451" s="29"/>
      <c r="AQ451" s="25"/>
      <c r="AR451" s="25"/>
      <c r="AS451" s="25"/>
      <c r="AT451" s="25"/>
      <c r="AU451" s="26"/>
      <c r="AV451" s="26"/>
      <c r="AW451" s="26"/>
      <c r="AX451" s="26"/>
      <c r="AY451" s="26"/>
      <c r="AZ451" s="26"/>
      <c r="BA451" s="26"/>
    </row>
    <row r="452">
      <c r="A452" s="26"/>
      <c r="B452" s="26"/>
      <c r="C452" s="26"/>
      <c r="D452" s="27"/>
      <c r="E452" s="27"/>
      <c r="F452" s="26"/>
      <c r="G452" s="28"/>
      <c r="H452" s="28"/>
      <c r="I452" s="28"/>
      <c r="J452" s="28"/>
      <c r="K452" s="28"/>
      <c r="L452" s="28"/>
      <c r="M452" s="28"/>
      <c r="N452" s="26"/>
      <c r="O452" s="29"/>
      <c r="P452" s="27"/>
      <c r="Q452" s="26"/>
      <c r="R452" s="29"/>
      <c r="S452" s="28"/>
      <c r="T452" s="29"/>
      <c r="U452" s="28"/>
      <c r="V452" s="28"/>
      <c r="W452" s="28"/>
      <c r="X452" s="28"/>
      <c r="Y452" s="26"/>
      <c r="Z452" s="29"/>
      <c r="AA452" s="28"/>
      <c r="AB452" s="26"/>
      <c r="AC452" s="29"/>
      <c r="AD452" s="25"/>
      <c r="AE452" s="29"/>
      <c r="AF452" s="25"/>
      <c r="AG452" s="25"/>
      <c r="AH452" s="25"/>
      <c r="AI452" s="25"/>
      <c r="AJ452" s="26"/>
      <c r="AK452" s="29"/>
      <c r="AL452" s="28"/>
      <c r="AM452" s="26"/>
      <c r="AN452" s="29"/>
      <c r="AO452" s="25"/>
      <c r="AP452" s="29"/>
      <c r="AQ452" s="25"/>
      <c r="AR452" s="25"/>
      <c r="AS452" s="25"/>
      <c r="AT452" s="25"/>
      <c r="AU452" s="26"/>
      <c r="AV452" s="26"/>
      <c r="AW452" s="26"/>
      <c r="AX452" s="26"/>
      <c r="AY452" s="26"/>
      <c r="AZ452" s="26"/>
      <c r="BA452" s="26"/>
    </row>
    <row r="453">
      <c r="A453" s="26"/>
      <c r="B453" s="26"/>
      <c r="C453" s="26"/>
      <c r="D453" s="27"/>
      <c r="E453" s="27"/>
      <c r="F453" s="26"/>
      <c r="G453" s="28"/>
      <c r="H453" s="28"/>
      <c r="I453" s="28"/>
      <c r="J453" s="28"/>
      <c r="K453" s="28"/>
      <c r="L453" s="28"/>
      <c r="M453" s="28"/>
      <c r="N453" s="26"/>
      <c r="O453" s="29"/>
      <c r="P453" s="27"/>
      <c r="Q453" s="26"/>
      <c r="R453" s="29"/>
      <c r="S453" s="28"/>
      <c r="T453" s="29"/>
      <c r="U453" s="28"/>
      <c r="V453" s="28"/>
      <c r="W453" s="28"/>
      <c r="X453" s="28"/>
      <c r="Y453" s="26"/>
      <c r="Z453" s="29"/>
      <c r="AA453" s="28"/>
      <c r="AB453" s="26"/>
      <c r="AC453" s="29"/>
      <c r="AD453" s="25"/>
      <c r="AE453" s="29"/>
      <c r="AF453" s="25"/>
      <c r="AG453" s="25"/>
      <c r="AH453" s="25"/>
      <c r="AI453" s="25"/>
      <c r="AJ453" s="26"/>
      <c r="AK453" s="29"/>
      <c r="AL453" s="28"/>
      <c r="AM453" s="26"/>
      <c r="AN453" s="29"/>
      <c r="AO453" s="25"/>
      <c r="AP453" s="29"/>
      <c r="AQ453" s="25"/>
      <c r="AR453" s="25"/>
      <c r="AS453" s="25"/>
      <c r="AT453" s="25"/>
      <c r="AU453" s="26"/>
      <c r="AV453" s="26"/>
      <c r="AW453" s="26"/>
      <c r="AX453" s="26"/>
      <c r="AY453" s="26"/>
      <c r="AZ453" s="26"/>
      <c r="BA453" s="26"/>
    </row>
    <row r="454">
      <c r="A454" s="26"/>
      <c r="B454" s="26"/>
      <c r="C454" s="26"/>
      <c r="D454" s="27"/>
      <c r="E454" s="27"/>
      <c r="F454" s="26"/>
      <c r="G454" s="28"/>
      <c r="H454" s="28"/>
      <c r="I454" s="28"/>
      <c r="J454" s="28"/>
      <c r="K454" s="28"/>
      <c r="L454" s="28"/>
      <c r="M454" s="28"/>
      <c r="N454" s="26"/>
      <c r="O454" s="29"/>
      <c r="P454" s="27"/>
      <c r="Q454" s="26"/>
      <c r="R454" s="29"/>
      <c r="S454" s="28"/>
      <c r="T454" s="29"/>
      <c r="U454" s="28"/>
      <c r="V454" s="28"/>
      <c r="W454" s="28"/>
      <c r="X454" s="28"/>
      <c r="Y454" s="26"/>
      <c r="Z454" s="29"/>
      <c r="AA454" s="28"/>
      <c r="AB454" s="26"/>
      <c r="AC454" s="29"/>
      <c r="AD454" s="25"/>
      <c r="AE454" s="29"/>
      <c r="AF454" s="25"/>
      <c r="AG454" s="25"/>
      <c r="AH454" s="25"/>
      <c r="AI454" s="25"/>
      <c r="AJ454" s="26"/>
      <c r="AK454" s="29"/>
      <c r="AL454" s="28"/>
      <c r="AM454" s="26"/>
      <c r="AN454" s="29"/>
      <c r="AO454" s="25"/>
      <c r="AP454" s="29"/>
      <c r="AQ454" s="25"/>
      <c r="AR454" s="25"/>
      <c r="AS454" s="25"/>
      <c r="AT454" s="25"/>
      <c r="AU454" s="26"/>
      <c r="AV454" s="26"/>
      <c r="AW454" s="26"/>
      <c r="AX454" s="26"/>
      <c r="AY454" s="26"/>
      <c r="AZ454" s="26"/>
      <c r="BA454" s="26"/>
    </row>
    <row r="455">
      <c r="A455" s="26"/>
      <c r="B455" s="26"/>
      <c r="C455" s="26"/>
      <c r="D455" s="27"/>
      <c r="E455" s="27"/>
      <c r="F455" s="26"/>
      <c r="G455" s="28"/>
      <c r="H455" s="28"/>
      <c r="I455" s="28"/>
      <c r="J455" s="28"/>
      <c r="K455" s="28"/>
      <c r="L455" s="28"/>
      <c r="M455" s="28"/>
      <c r="N455" s="26"/>
      <c r="O455" s="29"/>
      <c r="P455" s="27"/>
      <c r="Q455" s="26"/>
      <c r="R455" s="29"/>
      <c r="S455" s="28"/>
      <c r="T455" s="29"/>
      <c r="U455" s="28"/>
      <c r="V455" s="28"/>
      <c r="W455" s="28"/>
      <c r="X455" s="28"/>
      <c r="Y455" s="26"/>
      <c r="Z455" s="29"/>
      <c r="AA455" s="28"/>
      <c r="AB455" s="26"/>
      <c r="AC455" s="29"/>
      <c r="AD455" s="25"/>
      <c r="AE455" s="29"/>
      <c r="AF455" s="25"/>
      <c r="AG455" s="25"/>
      <c r="AH455" s="25"/>
      <c r="AI455" s="25"/>
      <c r="AJ455" s="26"/>
      <c r="AK455" s="29"/>
      <c r="AL455" s="28"/>
      <c r="AM455" s="26"/>
      <c r="AN455" s="29"/>
      <c r="AO455" s="25"/>
      <c r="AP455" s="29"/>
      <c r="AQ455" s="25"/>
      <c r="AR455" s="25"/>
      <c r="AS455" s="25"/>
      <c r="AT455" s="25"/>
      <c r="AU455" s="26"/>
      <c r="AV455" s="26"/>
      <c r="AW455" s="26"/>
      <c r="AX455" s="26"/>
      <c r="AY455" s="26"/>
      <c r="AZ455" s="26"/>
      <c r="BA455" s="26"/>
    </row>
    <row r="456">
      <c r="A456" s="26"/>
      <c r="B456" s="26"/>
      <c r="C456" s="26"/>
      <c r="D456" s="27"/>
      <c r="E456" s="27"/>
      <c r="F456" s="26"/>
      <c r="G456" s="28"/>
      <c r="H456" s="28"/>
      <c r="I456" s="28"/>
      <c r="J456" s="28"/>
      <c r="K456" s="28"/>
      <c r="L456" s="28"/>
      <c r="M456" s="28"/>
      <c r="N456" s="26"/>
      <c r="O456" s="29"/>
      <c r="P456" s="27"/>
      <c r="Q456" s="26"/>
      <c r="R456" s="29"/>
      <c r="S456" s="28"/>
      <c r="T456" s="29"/>
      <c r="U456" s="28"/>
      <c r="V456" s="28"/>
      <c r="W456" s="28"/>
      <c r="X456" s="28"/>
      <c r="Y456" s="26"/>
      <c r="Z456" s="29"/>
      <c r="AA456" s="28"/>
      <c r="AB456" s="26"/>
      <c r="AC456" s="29"/>
      <c r="AD456" s="25"/>
      <c r="AE456" s="29"/>
      <c r="AF456" s="25"/>
      <c r="AG456" s="25"/>
      <c r="AH456" s="25"/>
      <c r="AI456" s="25"/>
      <c r="AJ456" s="26"/>
      <c r="AK456" s="29"/>
      <c r="AL456" s="28"/>
      <c r="AM456" s="26"/>
      <c r="AN456" s="29"/>
      <c r="AO456" s="25"/>
      <c r="AP456" s="29"/>
      <c r="AQ456" s="25"/>
      <c r="AR456" s="25"/>
      <c r="AS456" s="25"/>
      <c r="AT456" s="25"/>
      <c r="AU456" s="26"/>
      <c r="AV456" s="26"/>
      <c r="AW456" s="26"/>
      <c r="AX456" s="26"/>
      <c r="AY456" s="26"/>
      <c r="AZ456" s="26"/>
      <c r="BA456" s="26"/>
    </row>
    <row r="457">
      <c r="A457" s="26"/>
      <c r="B457" s="26"/>
      <c r="C457" s="26"/>
      <c r="D457" s="27"/>
      <c r="E457" s="27"/>
      <c r="F457" s="26"/>
      <c r="G457" s="28"/>
      <c r="H457" s="28"/>
      <c r="I457" s="28"/>
      <c r="J457" s="28"/>
      <c r="K457" s="28"/>
      <c r="L457" s="28"/>
      <c r="M457" s="28"/>
      <c r="N457" s="26"/>
      <c r="O457" s="29"/>
      <c r="P457" s="27"/>
      <c r="Q457" s="26"/>
      <c r="R457" s="29"/>
      <c r="S457" s="28"/>
      <c r="T457" s="29"/>
      <c r="U457" s="28"/>
      <c r="V457" s="28"/>
      <c r="W457" s="28"/>
      <c r="X457" s="28"/>
      <c r="Y457" s="26"/>
      <c r="Z457" s="29"/>
      <c r="AA457" s="28"/>
      <c r="AB457" s="26"/>
      <c r="AC457" s="29"/>
      <c r="AD457" s="25"/>
      <c r="AE457" s="29"/>
      <c r="AF457" s="25"/>
      <c r="AG457" s="25"/>
      <c r="AH457" s="25"/>
      <c r="AI457" s="25"/>
      <c r="AJ457" s="26"/>
      <c r="AK457" s="29"/>
      <c r="AL457" s="28"/>
      <c r="AM457" s="26"/>
      <c r="AN457" s="29"/>
      <c r="AO457" s="25"/>
      <c r="AP457" s="29"/>
      <c r="AQ457" s="25"/>
      <c r="AR457" s="25"/>
      <c r="AS457" s="25"/>
      <c r="AT457" s="25"/>
      <c r="AU457" s="26"/>
      <c r="AV457" s="26"/>
      <c r="AW457" s="26"/>
      <c r="AX457" s="26"/>
      <c r="AY457" s="26"/>
      <c r="AZ457" s="26"/>
      <c r="BA457" s="26"/>
    </row>
    <row r="458">
      <c r="A458" s="26"/>
      <c r="B458" s="26"/>
      <c r="C458" s="26"/>
      <c r="D458" s="27"/>
      <c r="E458" s="27"/>
      <c r="F458" s="26"/>
      <c r="G458" s="28"/>
      <c r="H458" s="28"/>
      <c r="I458" s="28"/>
      <c r="J458" s="28"/>
      <c r="K458" s="28"/>
      <c r="L458" s="28"/>
      <c r="M458" s="28"/>
      <c r="N458" s="26"/>
      <c r="O458" s="29"/>
      <c r="P458" s="27"/>
      <c r="Q458" s="26"/>
      <c r="R458" s="29"/>
      <c r="S458" s="28"/>
      <c r="T458" s="29"/>
      <c r="U458" s="28"/>
      <c r="V458" s="28"/>
      <c r="W458" s="28"/>
      <c r="X458" s="28"/>
      <c r="Y458" s="26"/>
      <c r="Z458" s="29"/>
      <c r="AA458" s="28"/>
      <c r="AB458" s="26"/>
      <c r="AC458" s="29"/>
      <c r="AD458" s="25"/>
      <c r="AE458" s="29"/>
      <c r="AF458" s="25"/>
      <c r="AG458" s="25"/>
      <c r="AH458" s="25"/>
      <c r="AI458" s="25"/>
      <c r="AJ458" s="26"/>
      <c r="AK458" s="29"/>
      <c r="AL458" s="28"/>
      <c r="AM458" s="26"/>
      <c r="AN458" s="29"/>
      <c r="AO458" s="25"/>
      <c r="AP458" s="29"/>
      <c r="AQ458" s="25"/>
      <c r="AR458" s="25"/>
      <c r="AS458" s="25"/>
      <c r="AT458" s="25"/>
      <c r="AU458" s="26"/>
      <c r="AV458" s="26"/>
      <c r="AW458" s="26"/>
      <c r="AX458" s="26"/>
      <c r="AY458" s="26"/>
      <c r="AZ458" s="26"/>
      <c r="BA458" s="26"/>
    </row>
    <row r="459">
      <c r="A459" s="26"/>
      <c r="B459" s="26"/>
      <c r="C459" s="26"/>
      <c r="D459" s="27"/>
      <c r="E459" s="27"/>
      <c r="F459" s="26"/>
      <c r="G459" s="28"/>
      <c r="H459" s="28"/>
      <c r="I459" s="28"/>
      <c r="J459" s="28"/>
      <c r="K459" s="28"/>
      <c r="L459" s="28"/>
      <c r="M459" s="28"/>
      <c r="N459" s="26"/>
      <c r="O459" s="29"/>
      <c r="P459" s="27"/>
      <c r="Q459" s="26"/>
      <c r="R459" s="29"/>
      <c r="S459" s="28"/>
      <c r="T459" s="29"/>
      <c r="U459" s="28"/>
      <c r="V459" s="28"/>
      <c r="W459" s="28"/>
      <c r="X459" s="28"/>
      <c r="Y459" s="26"/>
      <c r="Z459" s="29"/>
      <c r="AA459" s="28"/>
      <c r="AB459" s="26"/>
      <c r="AC459" s="29"/>
      <c r="AD459" s="25"/>
      <c r="AE459" s="29"/>
      <c r="AF459" s="25"/>
      <c r="AG459" s="25"/>
      <c r="AH459" s="25"/>
      <c r="AI459" s="25"/>
      <c r="AJ459" s="26"/>
      <c r="AK459" s="29"/>
      <c r="AL459" s="28"/>
      <c r="AM459" s="26"/>
      <c r="AN459" s="29"/>
      <c r="AO459" s="25"/>
      <c r="AP459" s="29"/>
      <c r="AQ459" s="25"/>
      <c r="AR459" s="25"/>
      <c r="AS459" s="25"/>
      <c r="AT459" s="25"/>
      <c r="AU459" s="26"/>
      <c r="AV459" s="26"/>
      <c r="AW459" s="26"/>
      <c r="AX459" s="26"/>
      <c r="AY459" s="26"/>
      <c r="AZ459" s="26"/>
      <c r="BA459" s="26"/>
    </row>
    <row r="460">
      <c r="A460" s="26"/>
      <c r="B460" s="26"/>
      <c r="C460" s="26"/>
      <c r="D460" s="27"/>
      <c r="E460" s="27"/>
      <c r="F460" s="26"/>
      <c r="G460" s="28"/>
      <c r="H460" s="28"/>
      <c r="I460" s="28"/>
      <c r="J460" s="28"/>
      <c r="K460" s="28"/>
      <c r="L460" s="28"/>
      <c r="M460" s="28"/>
      <c r="N460" s="26"/>
      <c r="O460" s="29"/>
      <c r="P460" s="27"/>
      <c r="Q460" s="26"/>
      <c r="R460" s="29"/>
      <c r="S460" s="28"/>
      <c r="T460" s="29"/>
      <c r="U460" s="28"/>
      <c r="V460" s="28"/>
      <c r="W460" s="28"/>
      <c r="X460" s="28"/>
      <c r="Y460" s="26"/>
      <c r="Z460" s="29"/>
      <c r="AA460" s="28"/>
      <c r="AB460" s="26"/>
      <c r="AC460" s="29"/>
      <c r="AD460" s="25"/>
      <c r="AE460" s="29"/>
      <c r="AF460" s="25"/>
      <c r="AG460" s="25"/>
      <c r="AH460" s="25"/>
      <c r="AI460" s="25"/>
      <c r="AJ460" s="26"/>
      <c r="AK460" s="29"/>
      <c r="AL460" s="28"/>
      <c r="AM460" s="26"/>
      <c r="AN460" s="29"/>
      <c r="AO460" s="25"/>
      <c r="AP460" s="29"/>
      <c r="AQ460" s="25"/>
      <c r="AR460" s="25"/>
      <c r="AS460" s="25"/>
      <c r="AT460" s="25"/>
      <c r="AU460" s="26"/>
      <c r="AV460" s="26"/>
      <c r="AW460" s="26"/>
      <c r="AX460" s="26"/>
      <c r="AY460" s="26"/>
      <c r="AZ460" s="26"/>
      <c r="BA460" s="26"/>
    </row>
    <row r="461">
      <c r="A461" s="26"/>
      <c r="B461" s="26"/>
      <c r="C461" s="26"/>
      <c r="D461" s="27"/>
      <c r="E461" s="27"/>
      <c r="F461" s="26"/>
      <c r="G461" s="28"/>
      <c r="H461" s="28"/>
      <c r="I461" s="28"/>
      <c r="J461" s="28"/>
      <c r="K461" s="28"/>
      <c r="L461" s="28"/>
      <c r="M461" s="28"/>
      <c r="N461" s="26"/>
      <c r="O461" s="29"/>
      <c r="P461" s="27"/>
      <c r="Q461" s="26"/>
      <c r="R461" s="29"/>
      <c r="S461" s="28"/>
      <c r="T461" s="29"/>
      <c r="U461" s="28"/>
      <c r="V461" s="28"/>
      <c r="W461" s="28"/>
      <c r="X461" s="28"/>
      <c r="Y461" s="26"/>
      <c r="Z461" s="29"/>
      <c r="AA461" s="28"/>
      <c r="AB461" s="26"/>
      <c r="AC461" s="29"/>
      <c r="AD461" s="25"/>
      <c r="AE461" s="29"/>
      <c r="AF461" s="25"/>
      <c r="AG461" s="25"/>
      <c r="AH461" s="25"/>
      <c r="AI461" s="25"/>
      <c r="AJ461" s="26"/>
      <c r="AK461" s="29"/>
      <c r="AL461" s="28"/>
      <c r="AM461" s="26"/>
      <c r="AN461" s="29"/>
      <c r="AO461" s="25"/>
      <c r="AP461" s="29"/>
      <c r="AQ461" s="25"/>
      <c r="AR461" s="25"/>
      <c r="AS461" s="25"/>
      <c r="AT461" s="25"/>
      <c r="AU461" s="26"/>
      <c r="AV461" s="26"/>
      <c r="AW461" s="26"/>
      <c r="AX461" s="26"/>
      <c r="AY461" s="26"/>
      <c r="AZ461" s="26"/>
      <c r="BA461" s="26"/>
    </row>
    <row r="462">
      <c r="A462" s="26"/>
      <c r="B462" s="26"/>
      <c r="C462" s="26"/>
      <c r="D462" s="27"/>
      <c r="E462" s="27"/>
      <c r="F462" s="26"/>
      <c r="G462" s="28"/>
      <c r="H462" s="28"/>
      <c r="I462" s="28"/>
      <c r="J462" s="28"/>
      <c r="K462" s="28"/>
      <c r="L462" s="28"/>
      <c r="M462" s="28"/>
      <c r="N462" s="26"/>
      <c r="O462" s="29"/>
      <c r="P462" s="27"/>
      <c r="Q462" s="26"/>
      <c r="R462" s="29"/>
      <c r="S462" s="28"/>
      <c r="T462" s="29"/>
      <c r="U462" s="28"/>
      <c r="V462" s="28"/>
      <c r="W462" s="28"/>
      <c r="X462" s="28"/>
      <c r="Y462" s="26"/>
      <c r="Z462" s="29"/>
      <c r="AA462" s="28"/>
      <c r="AB462" s="26"/>
      <c r="AC462" s="29"/>
      <c r="AD462" s="25"/>
      <c r="AE462" s="29"/>
      <c r="AF462" s="25"/>
      <c r="AG462" s="25"/>
      <c r="AH462" s="25"/>
      <c r="AI462" s="25"/>
      <c r="AJ462" s="26"/>
      <c r="AK462" s="29"/>
      <c r="AL462" s="28"/>
      <c r="AM462" s="26"/>
      <c r="AN462" s="29"/>
      <c r="AO462" s="25"/>
      <c r="AP462" s="29"/>
      <c r="AQ462" s="25"/>
      <c r="AR462" s="25"/>
      <c r="AS462" s="25"/>
      <c r="AT462" s="25"/>
      <c r="AU462" s="26"/>
      <c r="AV462" s="26"/>
      <c r="AW462" s="26"/>
      <c r="AX462" s="26"/>
      <c r="AY462" s="26"/>
      <c r="AZ462" s="26"/>
      <c r="BA462" s="26"/>
    </row>
    <row r="463">
      <c r="A463" s="26"/>
      <c r="B463" s="26"/>
      <c r="C463" s="26"/>
      <c r="D463" s="27"/>
      <c r="E463" s="27"/>
      <c r="F463" s="26"/>
      <c r="G463" s="28"/>
      <c r="H463" s="28"/>
      <c r="I463" s="28"/>
      <c r="J463" s="28"/>
      <c r="K463" s="28"/>
      <c r="L463" s="28"/>
      <c r="M463" s="28"/>
      <c r="N463" s="26"/>
      <c r="O463" s="29"/>
      <c r="P463" s="27"/>
      <c r="Q463" s="26"/>
      <c r="R463" s="29"/>
      <c r="S463" s="28"/>
      <c r="T463" s="29"/>
      <c r="U463" s="28"/>
      <c r="V463" s="28"/>
      <c r="W463" s="28"/>
      <c r="X463" s="28"/>
      <c r="Y463" s="26"/>
      <c r="Z463" s="29"/>
      <c r="AA463" s="28"/>
      <c r="AB463" s="26"/>
      <c r="AC463" s="29"/>
      <c r="AD463" s="25"/>
      <c r="AE463" s="29"/>
      <c r="AF463" s="25"/>
      <c r="AG463" s="25"/>
      <c r="AH463" s="25"/>
      <c r="AI463" s="25"/>
      <c r="AJ463" s="26"/>
      <c r="AK463" s="29"/>
      <c r="AL463" s="28"/>
      <c r="AM463" s="26"/>
      <c r="AN463" s="29"/>
      <c r="AO463" s="25"/>
      <c r="AP463" s="29"/>
      <c r="AQ463" s="25"/>
      <c r="AR463" s="25"/>
      <c r="AS463" s="25"/>
      <c r="AT463" s="25"/>
      <c r="AU463" s="26"/>
      <c r="AV463" s="26"/>
      <c r="AW463" s="26"/>
      <c r="AX463" s="26"/>
      <c r="AY463" s="26"/>
      <c r="AZ463" s="26"/>
      <c r="BA463" s="26"/>
    </row>
    <row r="464">
      <c r="A464" s="26"/>
      <c r="B464" s="26"/>
      <c r="C464" s="26"/>
      <c r="D464" s="27"/>
      <c r="E464" s="27"/>
      <c r="F464" s="26"/>
      <c r="G464" s="28"/>
      <c r="H464" s="28"/>
      <c r="I464" s="28"/>
      <c r="J464" s="28"/>
      <c r="K464" s="28"/>
      <c r="L464" s="28"/>
      <c r="M464" s="28"/>
      <c r="N464" s="26"/>
      <c r="O464" s="29"/>
      <c r="P464" s="27"/>
      <c r="Q464" s="26"/>
      <c r="R464" s="29"/>
      <c r="S464" s="28"/>
      <c r="T464" s="29"/>
      <c r="U464" s="28"/>
      <c r="V464" s="28"/>
      <c r="W464" s="28"/>
      <c r="X464" s="28"/>
      <c r="Y464" s="26"/>
      <c r="Z464" s="29"/>
      <c r="AA464" s="28"/>
      <c r="AB464" s="26"/>
      <c r="AC464" s="29"/>
      <c r="AD464" s="25"/>
      <c r="AE464" s="29"/>
      <c r="AF464" s="25"/>
      <c r="AG464" s="25"/>
      <c r="AH464" s="25"/>
      <c r="AI464" s="25"/>
      <c r="AJ464" s="26"/>
      <c r="AK464" s="29"/>
      <c r="AL464" s="28"/>
      <c r="AM464" s="26"/>
      <c r="AN464" s="29"/>
      <c r="AO464" s="25"/>
      <c r="AP464" s="29"/>
      <c r="AQ464" s="25"/>
      <c r="AR464" s="25"/>
      <c r="AS464" s="25"/>
      <c r="AT464" s="25"/>
      <c r="AU464" s="26"/>
      <c r="AV464" s="26"/>
      <c r="AW464" s="26"/>
      <c r="AX464" s="26"/>
      <c r="AY464" s="26"/>
      <c r="AZ464" s="26"/>
      <c r="BA464" s="26"/>
    </row>
    <row r="465">
      <c r="A465" s="26"/>
      <c r="B465" s="26"/>
      <c r="C465" s="26"/>
      <c r="D465" s="27"/>
      <c r="E465" s="27"/>
      <c r="F465" s="26"/>
      <c r="G465" s="28"/>
      <c r="H465" s="28"/>
      <c r="I465" s="28"/>
      <c r="J465" s="28"/>
      <c r="K465" s="28"/>
      <c r="L465" s="28"/>
      <c r="M465" s="28"/>
      <c r="N465" s="26"/>
      <c r="O465" s="29"/>
      <c r="P465" s="27"/>
      <c r="Q465" s="26"/>
      <c r="R465" s="29"/>
      <c r="S465" s="28"/>
      <c r="T465" s="29"/>
      <c r="U465" s="28"/>
      <c r="V465" s="28"/>
      <c r="W465" s="28"/>
      <c r="X465" s="28"/>
      <c r="Y465" s="26"/>
      <c r="Z465" s="29"/>
      <c r="AA465" s="28"/>
      <c r="AB465" s="26"/>
      <c r="AC465" s="29"/>
      <c r="AD465" s="25"/>
      <c r="AE465" s="29"/>
      <c r="AF465" s="25"/>
      <c r="AG465" s="25"/>
      <c r="AH465" s="25"/>
      <c r="AI465" s="25"/>
      <c r="AJ465" s="26"/>
      <c r="AK465" s="29"/>
      <c r="AL465" s="28"/>
      <c r="AM465" s="26"/>
      <c r="AN465" s="29"/>
      <c r="AO465" s="25"/>
      <c r="AP465" s="29"/>
      <c r="AQ465" s="25"/>
      <c r="AR465" s="25"/>
      <c r="AS465" s="25"/>
      <c r="AT465" s="25"/>
      <c r="AU465" s="26"/>
      <c r="AV465" s="26"/>
      <c r="AW465" s="26"/>
      <c r="AX465" s="26"/>
      <c r="AY465" s="26"/>
      <c r="AZ465" s="26"/>
      <c r="BA465" s="26"/>
    </row>
    <row r="466">
      <c r="A466" s="26"/>
      <c r="B466" s="26"/>
      <c r="C466" s="26"/>
      <c r="D466" s="27"/>
      <c r="E466" s="27"/>
      <c r="F466" s="26"/>
      <c r="G466" s="28"/>
      <c r="H466" s="28"/>
      <c r="I466" s="28"/>
      <c r="J466" s="28"/>
      <c r="K466" s="28"/>
      <c r="L466" s="28"/>
      <c r="M466" s="28"/>
      <c r="N466" s="26"/>
      <c r="O466" s="29"/>
      <c r="P466" s="27"/>
      <c r="Q466" s="26"/>
      <c r="R466" s="29"/>
      <c r="S466" s="28"/>
      <c r="T466" s="29"/>
      <c r="U466" s="28"/>
      <c r="V466" s="28"/>
      <c r="W466" s="28"/>
      <c r="X466" s="28"/>
      <c r="Y466" s="26"/>
      <c r="Z466" s="29"/>
      <c r="AA466" s="28"/>
      <c r="AB466" s="26"/>
      <c r="AC466" s="29"/>
      <c r="AD466" s="25"/>
      <c r="AE466" s="29"/>
      <c r="AF466" s="25"/>
      <c r="AG466" s="25"/>
      <c r="AH466" s="25"/>
      <c r="AI466" s="25"/>
      <c r="AJ466" s="26"/>
      <c r="AK466" s="29"/>
      <c r="AL466" s="28"/>
      <c r="AM466" s="26"/>
      <c r="AN466" s="29"/>
      <c r="AO466" s="25"/>
      <c r="AP466" s="29"/>
      <c r="AQ466" s="25"/>
      <c r="AR466" s="25"/>
      <c r="AS466" s="25"/>
      <c r="AT466" s="25"/>
      <c r="AU466" s="26"/>
      <c r="AV466" s="26"/>
      <c r="AW466" s="26"/>
      <c r="AX466" s="26"/>
      <c r="AY466" s="26"/>
      <c r="AZ466" s="26"/>
      <c r="BA466" s="26"/>
    </row>
    <row r="467">
      <c r="A467" s="26"/>
      <c r="B467" s="26"/>
      <c r="C467" s="26"/>
      <c r="D467" s="27"/>
      <c r="E467" s="27"/>
      <c r="F467" s="26"/>
      <c r="G467" s="28"/>
      <c r="H467" s="28"/>
      <c r="I467" s="28"/>
      <c r="J467" s="28"/>
      <c r="K467" s="28"/>
      <c r="L467" s="28"/>
      <c r="M467" s="28"/>
      <c r="N467" s="26"/>
      <c r="O467" s="29"/>
      <c r="P467" s="27"/>
      <c r="Q467" s="26"/>
      <c r="R467" s="29"/>
      <c r="S467" s="28"/>
      <c r="T467" s="29"/>
      <c r="U467" s="28"/>
      <c r="V467" s="28"/>
      <c r="W467" s="28"/>
      <c r="X467" s="28"/>
      <c r="Y467" s="26"/>
      <c r="Z467" s="29"/>
      <c r="AA467" s="28"/>
      <c r="AB467" s="26"/>
      <c r="AC467" s="29"/>
      <c r="AD467" s="25"/>
      <c r="AE467" s="29"/>
      <c r="AF467" s="25"/>
      <c r="AG467" s="25"/>
      <c r="AH467" s="25"/>
      <c r="AI467" s="25"/>
      <c r="AJ467" s="26"/>
      <c r="AK467" s="29"/>
      <c r="AL467" s="28"/>
      <c r="AM467" s="26"/>
      <c r="AN467" s="29"/>
      <c r="AO467" s="25"/>
      <c r="AP467" s="29"/>
      <c r="AQ467" s="25"/>
      <c r="AR467" s="25"/>
      <c r="AS467" s="25"/>
      <c r="AT467" s="25"/>
      <c r="AU467" s="26"/>
      <c r="AV467" s="26"/>
      <c r="AW467" s="26"/>
      <c r="AX467" s="26"/>
      <c r="AY467" s="26"/>
      <c r="AZ467" s="26"/>
      <c r="BA467" s="26"/>
    </row>
    <row r="468">
      <c r="A468" s="26"/>
      <c r="B468" s="26"/>
      <c r="C468" s="26"/>
      <c r="D468" s="27"/>
      <c r="E468" s="27"/>
      <c r="F468" s="26"/>
      <c r="G468" s="28"/>
      <c r="H468" s="28"/>
      <c r="I468" s="28"/>
      <c r="J468" s="28"/>
      <c r="K468" s="28"/>
      <c r="L468" s="28"/>
      <c r="M468" s="28"/>
      <c r="N468" s="26"/>
      <c r="O468" s="29"/>
      <c r="P468" s="27"/>
      <c r="Q468" s="26"/>
      <c r="R468" s="29"/>
      <c r="S468" s="28"/>
      <c r="T468" s="29"/>
      <c r="U468" s="28"/>
      <c r="V468" s="28"/>
      <c r="W468" s="28"/>
      <c r="X468" s="28"/>
      <c r="Y468" s="26"/>
      <c r="Z468" s="29"/>
      <c r="AA468" s="28"/>
      <c r="AB468" s="26"/>
      <c r="AC468" s="29"/>
      <c r="AD468" s="25"/>
      <c r="AE468" s="29"/>
      <c r="AF468" s="25"/>
      <c r="AG468" s="25"/>
      <c r="AH468" s="25"/>
      <c r="AI468" s="25"/>
      <c r="AJ468" s="26"/>
      <c r="AK468" s="29"/>
      <c r="AL468" s="28"/>
      <c r="AM468" s="26"/>
      <c r="AN468" s="29"/>
      <c r="AO468" s="25"/>
      <c r="AP468" s="29"/>
      <c r="AQ468" s="25"/>
      <c r="AR468" s="25"/>
      <c r="AS468" s="25"/>
      <c r="AT468" s="25"/>
      <c r="AU468" s="26"/>
      <c r="AV468" s="26"/>
      <c r="AW468" s="26"/>
      <c r="AX468" s="26"/>
      <c r="AY468" s="26"/>
      <c r="AZ468" s="26"/>
      <c r="BA468" s="26"/>
    </row>
    <row r="469">
      <c r="A469" s="26"/>
      <c r="B469" s="26"/>
      <c r="C469" s="26"/>
      <c r="D469" s="27"/>
      <c r="E469" s="27"/>
      <c r="F469" s="26"/>
      <c r="G469" s="28"/>
      <c r="H469" s="28"/>
      <c r="I469" s="28"/>
      <c r="J469" s="28"/>
      <c r="K469" s="28"/>
      <c r="L469" s="28"/>
      <c r="M469" s="28"/>
      <c r="N469" s="26"/>
      <c r="O469" s="29"/>
      <c r="P469" s="27"/>
      <c r="Q469" s="26"/>
      <c r="R469" s="29"/>
      <c r="S469" s="28"/>
      <c r="T469" s="29"/>
      <c r="U469" s="28"/>
      <c r="V469" s="28"/>
      <c r="W469" s="28"/>
      <c r="X469" s="28"/>
      <c r="Y469" s="26"/>
      <c r="Z469" s="29"/>
      <c r="AA469" s="28"/>
      <c r="AB469" s="26"/>
      <c r="AC469" s="29"/>
      <c r="AD469" s="25"/>
      <c r="AE469" s="29"/>
      <c r="AF469" s="25"/>
      <c r="AG469" s="25"/>
      <c r="AH469" s="25"/>
      <c r="AI469" s="25"/>
      <c r="AJ469" s="26"/>
      <c r="AK469" s="29"/>
      <c r="AL469" s="28"/>
      <c r="AM469" s="26"/>
      <c r="AN469" s="29"/>
      <c r="AO469" s="25"/>
      <c r="AP469" s="29"/>
      <c r="AQ469" s="25"/>
      <c r="AR469" s="25"/>
      <c r="AS469" s="25"/>
      <c r="AT469" s="25"/>
      <c r="AU469" s="26"/>
      <c r="AV469" s="26"/>
      <c r="AW469" s="26"/>
      <c r="AX469" s="26"/>
      <c r="AY469" s="26"/>
      <c r="AZ469" s="26"/>
      <c r="BA469" s="26"/>
    </row>
    <row r="470">
      <c r="A470" s="26"/>
      <c r="B470" s="26"/>
      <c r="C470" s="26"/>
      <c r="D470" s="27"/>
      <c r="E470" s="27"/>
      <c r="F470" s="26"/>
      <c r="G470" s="28"/>
      <c r="H470" s="28"/>
      <c r="I470" s="28"/>
      <c r="J470" s="28"/>
      <c r="K470" s="28"/>
      <c r="L470" s="28"/>
      <c r="M470" s="28"/>
      <c r="N470" s="26"/>
      <c r="O470" s="29"/>
      <c r="P470" s="27"/>
      <c r="Q470" s="26"/>
      <c r="R470" s="29"/>
      <c r="S470" s="28"/>
      <c r="T470" s="29"/>
      <c r="U470" s="28"/>
      <c r="V470" s="28"/>
      <c r="W470" s="28"/>
      <c r="X470" s="28"/>
      <c r="Y470" s="26"/>
      <c r="Z470" s="29"/>
      <c r="AA470" s="28"/>
      <c r="AB470" s="26"/>
      <c r="AC470" s="29"/>
      <c r="AD470" s="25"/>
      <c r="AE470" s="29"/>
      <c r="AF470" s="25"/>
      <c r="AG470" s="25"/>
      <c r="AH470" s="25"/>
      <c r="AI470" s="25"/>
      <c r="AJ470" s="26"/>
      <c r="AK470" s="29"/>
      <c r="AL470" s="28"/>
      <c r="AM470" s="26"/>
      <c r="AN470" s="29"/>
      <c r="AO470" s="25"/>
      <c r="AP470" s="29"/>
      <c r="AQ470" s="25"/>
      <c r="AR470" s="25"/>
      <c r="AS470" s="25"/>
      <c r="AT470" s="25"/>
      <c r="AU470" s="26"/>
      <c r="AV470" s="26"/>
      <c r="AW470" s="26"/>
      <c r="AX470" s="26"/>
      <c r="AY470" s="26"/>
      <c r="AZ470" s="26"/>
      <c r="BA470" s="26"/>
    </row>
    <row r="471">
      <c r="A471" s="26"/>
      <c r="B471" s="26"/>
      <c r="C471" s="26"/>
      <c r="D471" s="27"/>
      <c r="E471" s="27"/>
      <c r="F471" s="26"/>
      <c r="G471" s="28"/>
      <c r="H471" s="28"/>
      <c r="I471" s="28"/>
      <c r="J471" s="28"/>
      <c r="K471" s="28"/>
      <c r="L471" s="28"/>
      <c r="M471" s="28"/>
      <c r="N471" s="26"/>
      <c r="O471" s="29"/>
      <c r="P471" s="27"/>
      <c r="Q471" s="26"/>
      <c r="R471" s="29"/>
      <c r="S471" s="28"/>
      <c r="T471" s="29"/>
      <c r="U471" s="28"/>
      <c r="V471" s="28"/>
      <c r="W471" s="28"/>
      <c r="X471" s="28"/>
      <c r="Y471" s="26"/>
      <c r="Z471" s="29"/>
      <c r="AA471" s="28"/>
      <c r="AB471" s="26"/>
      <c r="AC471" s="29"/>
      <c r="AD471" s="25"/>
      <c r="AE471" s="29"/>
      <c r="AF471" s="25"/>
      <c r="AG471" s="25"/>
      <c r="AH471" s="25"/>
      <c r="AI471" s="25"/>
      <c r="AJ471" s="26"/>
      <c r="AK471" s="29"/>
      <c r="AL471" s="28"/>
      <c r="AM471" s="26"/>
      <c r="AN471" s="29"/>
      <c r="AO471" s="25"/>
      <c r="AP471" s="29"/>
      <c r="AQ471" s="25"/>
      <c r="AR471" s="25"/>
      <c r="AS471" s="25"/>
      <c r="AT471" s="25"/>
      <c r="AU471" s="26"/>
      <c r="AV471" s="26"/>
      <c r="AW471" s="26"/>
      <c r="AX471" s="26"/>
      <c r="AY471" s="26"/>
      <c r="AZ471" s="26"/>
      <c r="BA471" s="26"/>
    </row>
    <row r="472">
      <c r="A472" s="26"/>
      <c r="B472" s="26"/>
      <c r="C472" s="26"/>
      <c r="D472" s="27"/>
      <c r="E472" s="27"/>
      <c r="F472" s="26"/>
      <c r="G472" s="28"/>
      <c r="H472" s="28"/>
      <c r="I472" s="28"/>
      <c r="J472" s="28"/>
      <c r="K472" s="28"/>
      <c r="L472" s="28"/>
      <c r="M472" s="28"/>
      <c r="N472" s="26"/>
      <c r="O472" s="29"/>
      <c r="P472" s="27"/>
      <c r="Q472" s="26"/>
      <c r="R472" s="29"/>
      <c r="S472" s="28"/>
      <c r="T472" s="29"/>
      <c r="U472" s="28"/>
      <c r="V472" s="28"/>
      <c r="W472" s="28"/>
      <c r="X472" s="28"/>
      <c r="Y472" s="26"/>
      <c r="Z472" s="29"/>
      <c r="AA472" s="28"/>
      <c r="AB472" s="26"/>
      <c r="AC472" s="29"/>
      <c r="AD472" s="25"/>
      <c r="AE472" s="29"/>
      <c r="AF472" s="25"/>
      <c r="AG472" s="25"/>
      <c r="AH472" s="25"/>
      <c r="AI472" s="25"/>
      <c r="AJ472" s="26"/>
      <c r="AK472" s="29"/>
      <c r="AL472" s="28"/>
      <c r="AM472" s="26"/>
      <c r="AN472" s="29"/>
      <c r="AO472" s="25"/>
      <c r="AP472" s="29"/>
      <c r="AQ472" s="25"/>
      <c r="AR472" s="25"/>
      <c r="AS472" s="25"/>
      <c r="AT472" s="25"/>
      <c r="AU472" s="26"/>
      <c r="AV472" s="26"/>
      <c r="AW472" s="26"/>
      <c r="AX472" s="26"/>
      <c r="AY472" s="26"/>
      <c r="AZ472" s="26"/>
      <c r="BA472" s="26"/>
    </row>
    <row r="473">
      <c r="A473" s="26"/>
      <c r="B473" s="26"/>
      <c r="C473" s="26"/>
      <c r="D473" s="27"/>
      <c r="E473" s="27"/>
      <c r="F473" s="26"/>
      <c r="G473" s="28"/>
      <c r="H473" s="28"/>
      <c r="I473" s="28"/>
      <c r="J473" s="28"/>
      <c r="K473" s="28"/>
      <c r="L473" s="28"/>
      <c r="M473" s="28"/>
      <c r="N473" s="26"/>
      <c r="O473" s="29"/>
      <c r="P473" s="27"/>
      <c r="Q473" s="26"/>
      <c r="R473" s="29"/>
      <c r="S473" s="28"/>
      <c r="T473" s="29"/>
      <c r="U473" s="28"/>
      <c r="V473" s="28"/>
      <c r="W473" s="28"/>
      <c r="X473" s="28"/>
      <c r="Y473" s="26"/>
      <c r="Z473" s="29"/>
      <c r="AA473" s="28"/>
      <c r="AB473" s="26"/>
      <c r="AC473" s="29"/>
      <c r="AD473" s="25"/>
      <c r="AE473" s="29"/>
      <c r="AF473" s="25"/>
      <c r="AG473" s="25"/>
      <c r="AH473" s="25"/>
      <c r="AI473" s="25"/>
      <c r="AJ473" s="26"/>
      <c r="AK473" s="29"/>
      <c r="AL473" s="28"/>
      <c r="AM473" s="26"/>
      <c r="AN473" s="29"/>
      <c r="AO473" s="25"/>
      <c r="AP473" s="29"/>
      <c r="AQ473" s="25"/>
      <c r="AR473" s="25"/>
      <c r="AS473" s="25"/>
      <c r="AT473" s="25"/>
      <c r="AU473" s="26"/>
      <c r="AV473" s="26"/>
      <c r="AW473" s="26"/>
      <c r="AX473" s="26"/>
      <c r="AY473" s="26"/>
      <c r="AZ473" s="26"/>
      <c r="BA473" s="26"/>
    </row>
    <row r="474">
      <c r="A474" s="26"/>
      <c r="B474" s="26"/>
      <c r="C474" s="26"/>
      <c r="D474" s="27"/>
      <c r="E474" s="27"/>
      <c r="F474" s="26"/>
      <c r="G474" s="28"/>
      <c r="H474" s="28"/>
      <c r="I474" s="28"/>
      <c r="J474" s="28"/>
      <c r="K474" s="28"/>
      <c r="L474" s="28"/>
      <c r="M474" s="28"/>
      <c r="N474" s="26"/>
      <c r="O474" s="29"/>
      <c r="P474" s="27"/>
      <c r="Q474" s="26"/>
      <c r="R474" s="29"/>
      <c r="S474" s="28"/>
      <c r="T474" s="29"/>
      <c r="U474" s="28"/>
      <c r="V474" s="28"/>
      <c r="W474" s="28"/>
      <c r="X474" s="28"/>
      <c r="Y474" s="26"/>
      <c r="Z474" s="29"/>
      <c r="AA474" s="28"/>
      <c r="AB474" s="26"/>
      <c r="AC474" s="29"/>
      <c r="AD474" s="25"/>
      <c r="AE474" s="29"/>
      <c r="AF474" s="25"/>
      <c r="AG474" s="25"/>
      <c r="AH474" s="25"/>
      <c r="AI474" s="25"/>
      <c r="AJ474" s="26"/>
      <c r="AK474" s="29"/>
      <c r="AL474" s="28"/>
      <c r="AM474" s="26"/>
      <c r="AN474" s="29"/>
      <c r="AO474" s="25"/>
      <c r="AP474" s="29"/>
      <c r="AQ474" s="25"/>
      <c r="AR474" s="25"/>
      <c r="AS474" s="25"/>
      <c r="AT474" s="25"/>
      <c r="AU474" s="26"/>
      <c r="AV474" s="26"/>
      <c r="AW474" s="26"/>
      <c r="AX474" s="26"/>
      <c r="AY474" s="26"/>
      <c r="AZ474" s="26"/>
      <c r="BA474" s="26"/>
    </row>
    <row r="475">
      <c r="A475" s="26"/>
      <c r="B475" s="26"/>
      <c r="C475" s="26"/>
      <c r="D475" s="27"/>
      <c r="E475" s="27"/>
      <c r="F475" s="26"/>
      <c r="G475" s="28"/>
      <c r="H475" s="28"/>
      <c r="I475" s="28"/>
      <c r="J475" s="28"/>
      <c r="K475" s="28"/>
      <c r="L475" s="28"/>
      <c r="M475" s="28"/>
      <c r="N475" s="26"/>
      <c r="O475" s="29"/>
      <c r="P475" s="27"/>
      <c r="Q475" s="26"/>
      <c r="R475" s="29"/>
      <c r="S475" s="28"/>
      <c r="T475" s="29"/>
      <c r="U475" s="28"/>
      <c r="V475" s="28"/>
      <c r="W475" s="28"/>
      <c r="X475" s="28"/>
      <c r="Y475" s="26"/>
      <c r="Z475" s="29"/>
      <c r="AA475" s="28"/>
      <c r="AB475" s="26"/>
      <c r="AC475" s="29"/>
      <c r="AD475" s="25"/>
      <c r="AE475" s="29"/>
      <c r="AF475" s="25"/>
      <c r="AG475" s="25"/>
      <c r="AH475" s="25"/>
      <c r="AI475" s="25"/>
      <c r="AJ475" s="26"/>
      <c r="AK475" s="29"/>
      <c r="AL475" s="28"/>
      <c r="AM475" s="26"/>
      <c r="AN475" s="29"/>
      <c r="AO475" s="25"/>
      <c r="AP475" s="29"/>
      <c r="AQ475" s="25"/>
      <c r="AR475" s="25"/>
      <c r="AS475" s="25"/>
      <c r="AT475" s="25"/>
      <c r="AU475" s="26"/>
      <c r="AV475" s="26"/>
      <c r="AW475" s="26"/>
      <c r="AX475" s="26"/>
      <c r="AY475" s="26"/>
      <c r="AZ475" s="26"/>
      <c r="BA475" s="26"/>
    </row>
    <row r="476">
      <c r="A476" s="26"/>
      <c r="B476" s="26"/>
      <c r="C476" s="26"/>
      <c r="D476" s="27"/>
      <c r="E476" s="27"/>
      <c r="F476" s="26"/>
      <c r="G476" s="28"/>
      <c r="H476" s="28"/>
      <c r="I476" s="28"/>
      <c r="J476" s="28"/>
      <c r="K476" s="28"/>
      <c r="L476" s="28"/>
      <c r="M476" s="28"/>
      <c r="N476" s="26"/>
      <c r="O476" s="29"/>
      <c r="P476" s="27"/>
      <c r="Q476" s="26"/>
      <c r="R476" s="29"/>
      <c r="S476" s="28"/>
      <c r="T476" s="29"/>
      <c r="U476" s="28"/>
      <c r="V476" s="28"/>
      <c r="W476" s="28"/>
      <c r="X476" s="28"/>
      <c r="Y476" s="26"/>
      <c r="Z476" s="29"/>
      <c r="AA476" s="28"/>
      <c r="AB476" s="26"/>
      <c r="AC476" s="29"/>
      <c r="AD476" s="25"/>
      <c r="AE476" s="29"/>
      <c r="AF476" s="25"/>
      <c r="AG476" s="25"/>
      <c r="AH476" s="25"/>
      <c r="AI476" s="25"/>
      <c r="AJ476" s="26"/>
      <c r="AK476" s="29"/>
      <c r="AL476" s="28"/>
      <c r="AM476" s="26"/>
      <c r="AN476" s="29"/>
      <c r="AO476" s="25"/>
      <c r="AP476" s="29"/>
      <c r="AQ476" s="25"/>
      <c r="AR476" s="25"/>
      <c r="AS476" s="25"/>
      <c r="AT476" s="25"/>
      <c r="AU476" s="26"/>
      <c r="AV476" s="26"/>
      <c r="AW476" s="26"/>
      <c r="AX476" s="26"/>
      <c r="AY476" s="26"/>
      <c r="AZ476" s="26"/>
      <c r="BA476" s="26"/>
    </row>
    <row r="477">
      <c r="A477" s="26"/>
      <c r="B477" s="26"/>
      <c r="C477" s="26"/>
      <c r="D477" s="27"/>
      <c r="E477" s="27"/>
      <c r="F477" s="26"/>
      <c r="G477" s="28"/>
      <c r="H477" s="28"/>
      <c r="I477" s="28"/>
      <c r="J477" s="28"/>
      <c r="K477" s="28"/>
      <c r="L477" s="28"/>
      <c r="M477" s="28"/>
      <c r="N477" s="26"/>
      <c r="O477" s="29"/>
      <c r="P477" s="27"/>
      <c r="Q477" s="26"/>
      <c r="R477" s="29"/>
      <c r="S477" s="28"/>
      <c r="T477" s="29"/>
      <c r="U477" s="28"/>
      <c r="V477" s="28"/>
      <c r="W477" s="28"/>
      <c r="X477" s="28"/>
      <c r="Y477" s="26"/>
      <c r="Z477" s="29"/>
      <c r="AA477" s="28"/>
      <c r="AB477" s="26"/>
      <c r="AC477" s="29"/>
      <c r="AD477" s="25"/>
      <c r="AE477" s="29"/>
      <c r="AF477" s="25"/>
      <c r="AG477" s="25"/>
      <c r="AH477" s="25"/>
      <c r="AI477" s="25"/>
      <c r="AJ477" s="26"/>
      <c r="AK477" s="29"/>
      <c r="AL477" s="28"/>
      <c r="AM477" s="26"/>
      <c r="AN477" s="29"/>
      <c r="AO477" s="25"/>
      <c r="AP477" s="29"/>
      <c r="AQ477" s="25"/>
      <c r="AR477" s="25"/>
      <c r="AS477" s="25"/>
      <c r="AT477" s="25"/>
      <c r="AU477" s="26"/>
      <c r="AV477" s="26"/>
      <c r="AW477" s="26"/>
      <c r="AX477" s="26"/>
      <c r="AY477" s="26"/>
      <c r="AZ477" s="26"/>
      <c r="BA477" s="26"/>
    </row>
    <row r="478">
      <c r="A478" s="26"/>
      <c r="B478" s="26"/>
      <c r="C478" s="26"/>
      <c r="D478" s="27"/>
      <c r="E478" s="27"/>
      <c r="F478" s="26"/>
      <c r="G478" s="28"/>
      <c r="H478" s="28"/>
      <c r="I478" s="28"/>
      <c r="J478" s="28"/>
      <c r="K478" s="28"/>
      <c r="L478" s="28"/>
      <c r="M478" s="28"/>
      <c r="N478" s="26"/>
      <c r="O478" s="29"/>
      <c r="P478" s="27"/>
      <c r="Q478" s="26"/>
      <c r="R478" s="29"/>
      <c r="S478" s="28"/>
      <c r="T478" s="29"/>
      <c r="U478" s="28"/>
      <c r="V478" s="28"/>
      <c r="W478" s="28"/>
      <c r="X478" s="28"/>
      <c r="Y478" s="26"/>
      <c r="Z478" s="29"/>
      <c r="AA478" s="28"/>
      <c r="AB478" s="26"/>
      <c r="AC478" s="29"/>
      <c r="AD478" s="25"/>
      <c r="AE478" s="29"/>
      <c r="AF478" s="25"/>
      <c r="AG478" s="25"/>
      <c r="AH478" s="25"/>
      <c r="AI478" s="25"/>
      <c r="AJ478" s="26"/>
      <c r="AK478" s="29"/>
      <c r="AL478" s="28"/>
      <c r="AM478" s="26"/>
      <c r="AN478" s="29"/>
      <c r="AO478" s="25"/>
      <c r="AP478" s="29"/>
      <c r="AQ478" s="25"/>
      <c r="AR478" s="25"/>
      <c r="AS478" s="25"/>
      <c r="AT478" s="25"/>
      <c r="AU478" s="26"/>
      <c r="AV478" s="26"/>
      <c r="AW478" s="26"/>
      <c r="AX478" s="26"/>
      <c r="AY478" s="26"/>
      <c r="AZ478" s="26"/>
      <c r="BA478" s="26"/>
    </row>
    <row r="479">
      <c r="A479" s="26"/>
      <c r="B479" s="26"/>
      <c r="C479" s="26"/>
      <c r="D479" s="27"/>
      <c r="E479" s="27"/>
      <c r="F479" s="26"/>
      <c r="G479" s="28"/>
      <c r="H479" s="28"/>
      <c r="I479" s="28"/>
      <c r="J479" s="28"/>
      <c r="K479" s="28"/>
      <c r="L479" s="28"/>
      <c r="M479" s="28"/>
      <c r="N479" s="26"/>
      <c r="O479" s="29"/>
      <c r="P479" s="27"/>
      <c r="Q479" s="26"/>
      <c r="R479" s="29"/>
      <c r="S479" s="28"/>
      <c r="T479" s="29"/>
      <c r="U479" s="28"/>
      <c r="V479" s="28"/>
      <c r="W479" s="28"/>
      <c r="X479" s="28"/>
      <c r="Y479" s="26"/>
      <c r="Z479" s="29"/>
      <c r="AA479" s="28"/>
      <c r="AB479" s="26"/>
      <c r="AC479" s="29"/>
      <c r="AD479" s="25"/>
      <c r="AE479" s="29"/>
      <c r="AF479" s="25"/>
      <c r="AG479" s="25"/>
      <c r="AH479" s="25"/>
      <c r="AI479" s="25"/>
      <c r="AJ479" s="26"/>
      <c r="AK479" s="29"/>
      <c r="AL479" s="28"/>
      <c r="AM479" s="26"/>
      <c r="AN479" s="29"/>
      <c r="AO479" s="25"/>
      <c r="AP479" s="29"/>
      <c r="AQ479" s="25"/>
      <c r="AR479" s="25"/>
      <c r="AS479" s="25"/>
      <c r="AT479" s="25"/>
      <c r="AU479" s="26"/>
      <c r="AV479" s="26"/>
      <c r="AW479" s="26"/>
      <c r="AX479" s="26"/>
      <c r="AY479" s="26"/>
      <c r="AZ479" s="26"/>
      <c r="BA479" s="26"/>
    </row>
    <row r="480">
      <c r="A480" s="26"/>
      <c r="B480" s="26"/>
      <c r="C480" s="26"/>
      <c r="D480" s="27"/>
      <c r="E480" s="27"/>
      <c r="F480" s="26"/>
      <c r="G480" s="28"/>
      <c r="H480" s="28"/>
      <c r="I480" s="28"/>
      <c r="J480" s="28"/>
      <c r="K480" s="28"/>
      <c r="L480" s="28"/>
      <c r="M480" s="28"/>
      <c r="N480" s="26"/>
      <c r="O480" s="29"/>
      <c r="P480" s="27"/>
      <c r="Q480" s="26"/>
      <c r="R480" s="29"/>
      <c r="S480" s="28"/>
      <c r="T480" s="29"/>
      <c r="U480" s="28"/>
      <c r="V480" s="28"/>
      <c r="W480" s="28"/>
      <c r="X480" s="28"/>
      <c r="Y480" s="26"/>
      <c r="Z480" s="29"/>
      <c r="AA480" s="28"/>
      <c r="AB480" s="26"/>
      <c r="AC480" s="29"/>
      <c r="AD480" s="25"/>
      <c r="AE480" s="29"/>
      <c r="AF480" s="25"/>
      <c r="AG480" s="25"/>
      <c r="AH480" s="25"/>
      <c r="AI480" s="25"/>
      <c r="AJ480" s="26"/>
      <c r="AK480" s="29"/>
      <c r="AL480" s="28"/>
      <c r="AM480" s="26"/>
      <c r="AN480" s="29"/>
      <c r="AO480" s="25"/>
      <c r="AP480" s="29"/>
      <c r="AQ480" s="25"/>
      <c r="AR480" s="25"/>
      <c r="AS480" s="25"/>
      <c r="AT480" s="25"/>
      <c r="AU480" s="26"/>
      <c r="AV480" s="26"/>
      <c r="AW480" s="26"/>
      <c r="AX480" s="26"/>
      <c r="AY480" s="26"/>
      <c r="AZ480" s="26"/>
      <c r="BA480" s="26"/>
    </row>
    <row r="481">
      <c r="A481" s="26"/>
      <c r="B481" s="26"/>
      <c r="C481" s="26"/>
      <c r="D481" s="27"/>
      <c r="E481" s="27"/>
      <c r="F481" s="26"/>
      <c r="G481" s="28"/>
      <c r="H481" s="28"/>
      <c r="I481" s="28"/>
      <c r="J481" s="28"/>
      <c r="K481" s="28"/>
      <c r="L481" s="28"/>
      <c r="M481" s="28"/>
      <c r="N481" s="26"/>
      <c r="O481" s="29"/>
      <c r="P481" s="27"/>
      <c r="Q481" s="26"/>
      <c r="R481" s="29"/>
      <c r="S481" s="28"/>
      <c r="T481" s="29"/>
      <c r="U481" s="28"/>
      <c r="V481" s="28"/>
      <c r="W481" s="28"/>
      <c r="X481" s="28"/>
      <c r="Y481" s="26"/>
      <c r="Z481" s="29"/>
      <c r="AA481" s="28"/>
      <c r="AB481" s="26"/>
      <c r="AC481" s="29"/>
      <c r="AD481" s="25"/>
      <c r="AE481" s="29"/>
      <c r="AF481" s="25"/>
      <c r="AG481" s="25"/>
      <c r="AH481" s="25"/>
      <c r="AI481" s="25"/>
      <c r="AJ481" s="26"/>
      <c r="AK481" s="29"/>
      <c r="AL481" s="28"/>
      <c r="AM481" s="26"/>
      <c r="AN481" s="29"/>
      <c r="AO481" s="25"/>
      <c r="AP481" s="29"/>
      <c r="AQ481" s="25"/>
      <c r="AR481" s="25"/>
      <c r="AS481" s="25"/>
      <c r="AT481" s="25"/>
      <c r="AU481" s="26"/>
      <c r="AV481" s="26"/>
      <c r="AW481" s="26"/>
      <c r="AX481" s="26"/>
      <c r="AY481" s="26"/>
      <c r="AZ481" s="26"/>
      <c r="BA481" s="26"/>
    </row>
    <row r="482">
      <c r="A482" s="26"/>
      <c r="B482" s="26"/>
      <c r="C482" s="26"/>
      <c r="D482" s="27"/>
      <c r="E482" s="27"/>
      <c r="F482" s="26"/>
      <c r="G482" s="28"/>
      <c r="H482" s="28"/>
      <c r="I482" s="28"/>
      <c r="J482" s="28"/>
      <c r="K482" s="28"/>
      <c r="L482" s="28"/>
      <c r="M482" s="28"/>
      <c r="N482" s="26"/>
      <c r="O482" s="29"/>
      <c r="P482" s="27"/>
      <c r="Q482" s="26"/>
      <c r="R482" s="29"/>
      <c r="S482" s="28"/>
      <c r="T482" s="29"/>
      <c r="U482" s="28"/>
      <c r="V482" s="28"/>
      <c r="W482" s="28"/>
      <c r="X482" s="28"/>
      <c r="Y482" s="26"/>
      <c r="Z482" s="29"/>
      <c r="AA482" s="28"/>
      <c r="AB482" s="26"/>
      <c r="AC482" s="29"/>
      <c r="AD482" s="25"/>
      <c r="AE482" s="29"/>
      <c r="AF482" s="25"/>
      <c r="AG482" s="25"/>
      <c r="AH482" s="25"/>
      <c r="AI482" s="25"/>
      <c r="AJ482" s="26"/>
      <c r="AK482" s="29"/>
      <c r="AL482" s="28"/>
      <c r="AM482" s="26"/>
      <c r="AN482" s="29"/>
      <c r="AO482" s="25"/>
      <c r="AP482" s="29"/>
      <c r="AQ482" s="25"/>
      <c r="AR482" s="25"/>
      <c r="AS482" s="25"/>
      <c r="AT482" s="25"/>
      <c r="AU482" s="26"/>
      <c r="AV482" s="26"/>
      <c r="AW482" s="26"/>
      <c r="AX482" s="26"/>
      <c r="AY482" s="26"/>
      <c r="AZ482" s="26"/>
      <c r="BA482" s="26"/>
    </row>
    <row r="483">
      <c r="A483" s="26"/>
      <c r="B483" s="26"/>
      <c r="C483" s="26"/>
      <c r="D483" s="27"/>
      <c r="E483" s="27"/>
      <c r="F483" s="26"/>
      <c r="G483" s="28"/>
      <c r="H483" s="28"/>
      <c r="I483" s="28"/>
      <c r="J483" s="28"/>
      <c r="K483" s="28"/>
      <c r="L483" s="28"/>
      <c r="M483" s="28"/>
      <c r="N483" s="26"/>
      <c r="O483" s="29"/>
      <c r="P483" s="27"/>
      <c r="Q483" s="26"/>
      <c r="R483" s="29"/>
      <c r="S483" s="28"/>
      <c r="T483" s="29"/>
      <c r="U483" s="28"/>
      <c r="V483" s="28"/>
      <c r="W483" s="28"/>
      <c r="X483" s="28"/>
      <c r="Y483" s="26"/>
      <c r="Z483" s="29"/>
      <c r="AA483" s="28"/>
      <c r="AB483" s="26"/>
      <c r="AC483" s="29"/>
      <c r="AD483" s="25"/>
      <c r="AE483" s="29"/>
      <c r="AF483" s="25"/>
      <c r="AG483" s="25"/>
      <c r="AH483" s="25"/>
      <c r="AI483" s="25"/>
      <c r="AJ483" s="26"/>
      <c r="AK483" s="29"/>
      <c r="AL483" s="28"/>
      <c r="AM483" s="26"/>
      <c r="AN483" s="29"/>
      <c r="AO483" s="25"/>
      <c r="AP483" s="29"/>
      <c r="AQ483" s="25"/>
      <c r="AR483" s="25"/>
      <c r="AS483" s="25"/>
      <c r="AT483" s="25"/>
      <c r="AU483" s="26"/>
      <c r="AV483" s="26"/>
      <c r="AW483" s="26"/>
      <c r="AX483" s="26"/>
      <c r="AY483" s="26"/>
      <c r="AZ483" s="26"/>
      <c r="BA483" s="26"/>
    </row>
    <row r="484">
      <c r="A484" s="26"/>
      <c r="B484" s="26"/>
      <c r="C484" s="26"/>
      <c r="D484" s="27"/>
      <c r="E484" s="27"/>
      <c r="F484" s="26"/>
      <c r="G484" s="28"/>
      <c r="H484" s="28"/>
      <c r="I484" s="28"/>
      <c r="J484" s="28"/>
      <c r="K484" s="28"/>
      <c r="L484" s="28"/>
      <c r="M484" s="28"/>
      <c r="N484" s="26"/>
      <c r="O484" s="29"/>
      <c r="P484" s="27"/>
      <c r="Q484" s="26"/>
      <c r="R484" s="29"/>
      <c r="S484" s="28"/>
      <c r="T484" s="29"/>
      <c r="U484" s="28"/>
      <c r="V484" s="28"/>
      <c r="W484" s="28"/>
      <c r="X484" s="28"/>
      <c r="Y484" s="26"/>
      <c r="Z484" s="29"/>
      <c r="AA484" s="28"/>
      <c r="AB484" s="26"/>
      <c r="AC484" s="29"/>
      <c r="AD484" s="25"/>
      <c r="AE484" s="29"/>
      <c r="AF484" s="25"/>
      <c r="AG484" s="25"/>
      <c r="AH484" s="25"/>
      <c r="AI484" s="25"/>
      <c r="AJ484" s="26"/>
      <c r="AK484" s="29"/>
      <c r="AL484" s="28"/>
      <c r="AM484" s="26"/>
      <c r="AN484" s="29"/>
      <c r="AO484" s="25"/>
      <c r="AP484" s="29"/>
      <c r="AQ484" s="25"/>
      <c r="AR484" s="25"/>
      <c r="AS484" s="25"/>
      <c r="AT484" s="25"/>
      <c r="AU484" s="26"/>
      <c r="AV484" s="26"/>
      <c r="AW484" s="26"/>
      <c r="AX484" s="26"/>
      <c r="AY484" s="26"/>
      <c r="AZ484" s="26"/>
      <c r="BA484" s="26"/>
    </row>
    <row r="485">
      <c r="A485" s="26"/>
      <c r="B485" s="26"/>
      <c r="C485" s="26"/>
      <c r="D485" s="27"/>
      <c r="E485" s="27"/>
      <c r="F485" s="26"/>
      <c r="G485" s="28"/>
      <c r="H485" s="28"/>
      <c r="I485" s="28"/>
      <c r="J485" s="28"/>
      <c r="K485" s="28"/>
      <c r="L485" s="28"/>
      <c r="M485" s="28"/>
      <c r="N485" s="26"/>
      <c r="O485" s="29"/>
      <c r="P485" s="27"/>
      <c r="Q485" s="26"/>
      <c r="R485" s="29"/>
      <c r="S485" s="28"/>
      <c r="T485" s="29"/>
      <c r="U485" s="28"/>
      <c r="V485" s="28"/>
      <c r="W485" s="28"/>
      <c r="X485" s="28"/>
      <c r="Y485" s="26"/>
      <c r="Z485" s="29"/>
      <c r="AA485" s="28"/>
      <c r="AB485" s="26"/>
      <c r="AC485" s="29"/>
      <c r="AD485" s="25"/>
      <c r="AE485" s="29"/>
      <c r="AF485" s="25"/>
      <c r="AG485" s="25"/>
      <c r="AH485" s="25"/>
      <c r="AI485" s="25"/>
      <c r="AJ485" s="26"/>
      <c r="AK485" s="29"/>
      <c r="AL485" s="28"/>
      <c r="AM485" s="26"/>
      <c r="AN485" s="29"/>
      <c r="AO485" s="25"/>
      <c r="AP485" s="29"/>
      <c r="AQ485" s="25"/>
      <c r="AR485" s="25"/>
      <c r="AS485" s="25"/>
      <c r="AT485" s="25"/>
      <c r="AU485" s="26"/>
      <c r="AV485" s="26"/>
      <c r="AW485" s="26"/>
      <c r="AX485" s="26"/>
      <c r="AY485" s="26"/>
      <c r="AZ485" s="26"/>
      <c r="BA485" s="26"/>
    </row>
    <row r="486">
      <c r="A486" s="26"/>
      <c r="B486" s="26"/>
      <c r="C486" s="26"/>
      <c r="D486" s="27"/>
      <c r="E486" s="27"/>
      <c r="F486" s="26"/>
      <c r="G486" s="28"/>
      <c r="H486" s="28"/>
      <c r="I486" s="28"/>
      <c r="J486" s="28"/>
      <c r="K486" s="28"/>
      <c r="L486" s="28"/>
      <c r="M486" s="28"/>
      <c r="N486" s="26"/>
      <c r="O486" s="29"/>
      <c r="P486" s="27"/>
      <c r="Q486" s="26"/>
      <c r="R486" s="29"/>
      <c r="S486" s="28"/>
      <c r="T486" s="29"/>
      <c r="U486" s="28"/>
      <c r="V486" s="28"/>
      <c r="W486" s="28"/>
      <c r="X486" s="28"/>
      <c r="Y486" s="26"/>
      <c r="Z486" s="29"/>
      <c r="AA486" s="28"/>
      <c r="AB486" s="26"/>
      <c r="AC486" s="29"/>
      <c r="AD486" s="25"/>
      <c r="AE486" s="29"/>
      <c r="AF486" s="25"/>
      <c r="AG486" s="25"/>
      <c r="AH486" s="25"/>
      <c r="AI486" s="25"/>
      <c r="AJ486" s="26"/>
      <c r="AK486" s="29"/>
      <c r="AL486" s="28"/>
      <c r="AM486" s="26"/>
      <c r="AN486" s="29"/>
      <c r="AO486" s="25"/>
      <c r="AP486" s="29"/>
      <c r="AQ486" s="25"/>
      <c r="AR486" s="25"/>
      <c r="AS486" s="25"/>
      <c r="AT486" s="25"/>
      <c r="AU486" s="26"/>
      <c r="AV486" s="26"/>
      <c r="AW486" s="26"/>
      <c r="AX486" s="26"/>
      <c r="AY486" s="26"/>
      <c r="AZ486" s="26"/>
      <c r="BA486" s="26"/>
    </row>
    <row r="487">
      <c r="A487" s="26"/>
      <c r="B487" s="26"/>
      <c r="C487" s="26"/>
      <c r="D487" s="27"/>
      <c r="E487" s="27"/>
      <c r="F487" s="26"/>
      <c r="G487" s="28"/>
      <c r="H487" s="28"/>
      <c r="I487" s="28"/>
      <c r="J487" s="28"/>
      <c r="K487" s="28"/>
      <c r="L487" s="28"/>
      <c r="M487" s="28"/>
      <c r="N487" s="26"/>
      <c r="O487" s="29"/>
      <c r="P487" s="27"/>
      <c r="Q487" s="26"/>
      <c r="R487" s="29"/>
      <c r="S487" s="28"/>
      <c r="T487" s="29"/>
      <c r="U487" s="28"/>
      <c r="V487" s="28"/>
      <c r="W487" s="28"/>
      <c r="X487" s="28"/>
      <c r="Y487" s="26"/>
      <c r="Z487" s="29"/>
      <c r="AA487" s="28"/>
      <c r="AB487" s="26"/>
      <c r="AC487" s="29"/>
      <c r="AD487" s="25"/>
      <c r="AE487" s="29"/>
      <c r="AF487" s="25"/>
      <c r="AG487" s="25"/>
      <c r="AH487" s="25"/>
      <c r="AI487" s="25"/>
      <c r="AJ487" s="26"/>
      <c r="AK487" s="29"/>
      <c r="AL487" s="28"/>
      <c r="AM487" s="26"/>
      <c r="AN487" s="29"/>
      <c r="AO487" s="25"/>
      <c r="AP487" s="29"/>
      <c r="AQ487" s="25"/>
      <c r="AR487" s="25"/>
      <c r="AS487" s="25"/>
      <c r="AT487" s="25"/>
      <c r="AU487" s="26"/>
      <c r="AV487" s="26"/>
      <c r="AW487" s="26"/>
      <c r="AX487" s="26"/>
      <c r="AY487" s="26"/>
      <c r="AZ487" s="26"/>
      <c r="BA487" s="26"/>
    </row>
    <row r="488">
      <c r="A488" s="26"/>
      <c r="B488" s="26"/>
      <c r="C488" s="26"/>
      <c r="D488" s="27"/>
      <c r="E488" s="27"/>
      <c r="F488" s="26"/>
      <c r="G488" s="28"/>
      <c r="H488" s="28"/>
      <c r="I488" s="28"/>
      <c r="J488" s="28"/>
      <c r="K488" s="28"/>
      <c r="L488" s="28"/>
      <c r="M488" s="28"/>
      <c r="N488" s="26"/>
      <c r="O488" s="29"/>
      <c r="P488" s="27"/>
      <c r="Q488" s="26"/>
      <c r="R488" s="29"/>
      <c r="S488" s="28"/>
      <c r="T488" s="29"/>
      <c r="U488" s="28"/>
      <c r="V488" s="28"/>
      <c r="W488" s="28"/>
      <c r="X488" s="28"/>
      <c r="Y488" s="26"/>
      <c r="Z488" s="29"/>
      <c r="AA488" s="28"/>
      <c r="AB488" s="26"/>
      <c r="AC488" s="29"/>
      <c r="AD488" s="25"/>
      <c r="AE488" s="29"/>
      <c r="AF488" s="25"/>
      <c r="AG488" s="25"/>
      <c r="AH488" s="25"/>
      <c r="AI488" s="25"/>
      <c r="AJ488" s="26"/>
      <c r="AK488" s="29"/>
      <c r="AL488" s="28"/>
      <c r="AM488" s="26"/>
      <c r="AN488" s="29"/>
      <c r="AO488" s="25"/>
      <c r="AP488" s="29"/>
      <c r="AQ488" s="25"/>
      <c r="AR488" s="25"/>
      <c r="AS488" s="25"/>
      <c r="AT488" s="25"/>
      <c r="AU488" s="26"/>
      <c r="AV488" s="26"/>
      <c r="AW488" s="26"/>
      <c r="AX488" s="26"/>
      <c r="AY488" s="26"/>
      <c r="AZ488" s="26"/>
      <c r="BA488" s="26"/>
    </row>
    <row r="489">
      <c r="A489" s="26"/>
      <c r="B489" s="26"/>
      <c r="C489" s="26"/>
      <c r="D489" s="27"/>
      <c r="E489" s="27"/>
      <c r="F489" s="26"/>
      <c r="G489" s="28"/>
      <c r="H489" s="28"/>
      <c r="I489" s="28"/>
      <c r="J489" s="28"/>
      <c r="K489" s="28"/>
      <c r="L489" s="28"/>
      <c r="M489" s="28"/>
      <c r="N489" s="26"/>
      <c r="O489" s="29"/>
      <c r="P489" s="27"/>
      <c r="Q489" s="26"/>
      <c r="R489" s="29"/>
      <c r="S489" s="28"/>
      <c r="T489" s="29"/>
      <c r="U489" s="28"/>
      <c r="V489" s="28"/>
      <c r="W489" s="28"/>
      <c r="X489" s="28"/>
      <c r="Y489" s="26"/>
      <c r="Z489" s="29"/>
      <c r="AA489" s="28"/>
      <c r="AB489" s="26"/>
      <c r="AC489" s="29"/>
      <c r="AD489" s="25"/>
      <c r="AE489" s="29"/>
      <c r="AF489" s="25"/>
      <c r="AG489" s="25"/>
      <c r="AH489" s="25"/>
      <c r="AI489" s="25"/>
      <c r="AJ489" s="26"/>
      <c r="AK489" s="29"/>
      <c r="AL489" s="28"/>
      <c r="AM489" s="26"/>
      <c r="AN489" s="29"/>
      <c r="AO489" s="25"/>
      <c r="AP489" s="29"/>
      <c r="AQ489" s="25"/>
      <c r="AR489" s="25"/>
      <c r="AS489" s="25"/>
      <c r="AT489" s="25"/>
      <c r="AU489" s="26"/>
      <c r="AV489" s="26"/>
      <c r="AW489" s="26"/>
      <c r="AX489" s="26"/>
      <c r="AY489" s="26"/>
      <c r="AZ489" s="26"/>
      <c r="BA489" s="26"/>
    </row>
    <row r="490">
      <c r="A490" s="26"/>
      <c r="B490" s="26"/>
      <c r="C490" s="26"/>
      <c r="D490" s="27"/>
      <c r="E490" s="27"/>
      <c r="F490" s="26"/>
      <c r="G490" s="28"/>
      <c r="H490" s="28"/>
      <c r="I490" s="28"/>
      <c r="J490" s="28"/>
      <c r="K490" s="28"/>
      <c r="L490" s="28"/>
      <c r="M490" s="28"/>
      <c r="N490" s="26"/>
      <c r="O490" s="29"/>
      <c r="P490" s="27"/>
      <c r="Q490" s="26"/>
      <c r="R490" s="29"/>
      <c r="S490" s="28"/>
      <c r="T490" s="29"/>
      <c r="U490" s="28"/>
      <c r="V490" s="28"/>
      <c r="W490" s="28"/>
      <c r="X490" s="28"/>
      <c r="Y490" s="26"/>
      <c r="Z490" s="29"/>
      <c r="AA490" s="28"/>
      <c r="AB490" s="26"/>
      <c r="AC490" s="29"/>
      <c r="AD490" s="25"/>
      <c r="AE490" s="29"/>
      <c r="AF490" s="25"/>
      <c r="AG490" s="25"/>
      <c r="AH490" s="25"/>
      <c r="AI490" s="25"/>
      <c r="AJ490" s="26"/>
      <c r="AK490" s="29"/>
      <c r="AL490" s="28"/>
      <c r="AM490" s="26"/>
      <c r="AN490" s="29"/>
      <c r="AO490" s="25"/>
      <c r="AP490" s="29"/>
      <c r="AQ490" s="25"/>
      <c r="AR490" s="25"/>
      <c r="AS490" s="25"/>
      <c r="AT490" s="25"/>
      <c r="AU490" s="26"/>
      <c r="AV490" s="26"/>
      <c r="AW490" s="26"/>
      <c r="AX490" s="26"/>
      <c r="AY490" s="26"/>
      <c r="AZ490" s="26"/>
      <c r="BA490" s="26"/>
    </row>
    <row r="491">
      <c r="A491" s="26"/>
      <c r="B491" s="26"/>
      <c r="C491" s="26"/>
      <c r="D491" s="27"/>
      <c r="E491" s="27"/>
      <c r="F491" s="26"/>
      <c r="G491" s="28"/>
      <c r="H491" s="28"/>
      <c r="I491" s="28"/>
      <c r="J491" s="28"/>
      <c r="K491" s="28"/>
      <c r="L491" s="28"/>
      <c r="M491" s="28"/>
      <c r="N491" s="26"/>
      <c r="O491" s="29"/>
      <c r="P491" s="27"/>
      <c r="Q491" s="26"/>
      <c r="R491" s="29"/>
      <c r="S491" s="28"/>
      <c r="T491" s="29"/>
      <c r="U491" s="28"/>
      <c r="V491" s="28"/>
      <c r="W491" s="28"/>
      <c r="X491" s="28"/>
      <c r="Y491" s="26"/>
      <c r="Z491" s="29"/>
      <c r="AA491" s="28"/>
      <c r="AB491" s="26"/>
      <c r="AC491" s="29"/>
      <c r="AD491" s="25"/>
      <c r="AE491" s="29"/>
      <c r="AF491" s="25"/>
      <c r="AG491" s="25"/>
      <c r="AH491" s="25"/>
      <c r="AI491" s="25"/>
      <c r="AJ491" s="26"/>
      <c r="AK491" s="29"/>
      <c r="AL491" s="28"/>
      <c r="AM491" s="26"/>
      <c r="AN491" s="29"/>
      <c r="AO491" s="25"/>
      <c r="AP491" s="29"/>
      <c r="AQ491" s="25"/>
      <c r="AR491" s="25"/>
      <c r="AS491" s="25"/>
      <c r="AT491" s="25"/>
      <c r="AU491" s="26"/>
      <c r="AV491" s="26"/>
      <c r="AW491" s="26"/>
      <c r="AX491" s="26"/>
      <c r="AY491" s="26"/>
      <c r="AZ491" s="26"/>
      <c r="BA491" s="26"/>
    </row>
    <row r="492">
      <c r="A492" s="26"/>
      <c r="B492" s="26"/>
      <c r="C492" s="26"/>
      <c r="D492" s="27"/>
      <c r="E492" s="27"/>
      <c r="F492" s="26"/>
      <c r="G492" s="28"/>
      <c r="H492" s="28"/>
      <c r="I492" s="28"/>
      <c r="J492" s="28"/>
      <c r="K492" s="28"/>
      <c r="L492" s="28"/>
      <c r="M492" s="28"/>
      <c r="N492" s="26"/>
      <c r="O492" s="29"/>
      <c r="P492" s="27"/>
      <c r="Q492" s="26"/>
      <c r="R492" s="29"/>
      <c r="S492" s="28"/>
      <c r="T492" s="29"/>
      <c r="U492" s="28"/>
      <c r="V492" s="28"/>
      <c r="W492" s="28"/>
      <c r="X492" s="28"/>
      <c r="Y492" s="26"/>
      <c r="Z492" s="29"/>
      <c r="AA492" s="28"/>
      <c r="AB492" s="26"/>
      <c r="AC492" s="29"/>
      <c r="AD492" s="25"/>
      <c r="AE492" s="29"/>
      <c r="AF492" s="25"/>
      <c r="AG492" s="25"/>
      <c r="AH492" s="25"/>
      <c r="AI492" s="25"/>
      <c r="AJ492" s="26"/>
      <c r="AK492" s="29"/>
      <c r="AL492" s="28"/>
      <c r="AM492" s="26"/>
      <c r="AN492" s="29"/>
      <c r="AO492" s="25"/>
      <c r="AP492" s="29"/>
      <c r="AQ492" s="25"/>
      <c r="AR492" s="25"/>
      <c r="AS492" s="25"/>
      <c r="AT492" s="25"/>
      <c r="AU492" s="26"/>
      <c r="AV492" s="26"/>
      <c r="AW492" s="26"/>
      <c r="AX492" s="26"/>
      <c r="AY492" s="26"/>
      <c r="AZ492" s="26"/>
      <c r="BA492" s="26"/>
    </row>
    <row r="493">
      <c r="A493" s="26"/>
      <c r="B493" s="26"/>
      <c r="C493" s="26"/>
      <c r="D493" s="27"/>
      <c r="E493" s="27"/>
      <c r="F493" s="26"/>
      <c r="G493" s="28"/>
      <c r="H493" s="28"/>
      <c r="I493" s="28"/>
      <c r="J493" s="28"/>
      <c r="K493" s="28"/>
      <c r="L493" s="28"/>
      <c r="M493" s="28"/>
      <c r="N493" s="26"/>
      <c r="O493" s="29"/>
      <c r="P493" s="27"/>
      <c r="Q493" s="26"/>
      <c r="R493" s="29"/>
      <c r="S493" s="28"/>
      <c r="T493" s="29"/>
      <c r="U493" s="28"/>
      <c r="V493" s="28"/>
      <c r="W493" s="28"/>
      <c r="X493" s="28"/>
      <c r="Y493" s="26"/>
      <c r="Z493" s="29"/>
      <c r="AA493" s="28"/>
      <c r="AB493" s="26"/>
      <c r="AC493" s="29"/>
      <c r="AD493" s="25"/>
      <c r="AE493" s="29"/>
      <c r="AF493" s="25"/>
      <c r="AG493" s="25"/>
      <c r="AH493" s="25"/>
      <c r="AI493" s="25"/>
      <c r="AJ493" s="26"/>
      <c r="AK493" s="29"/>
      <c r="AL493" s="28"/>
      <c r="AM493" s="26"/>
      <c r="AN493" s="29"/>
      <c r="AO493" s="25"/>
      <c r="AP493" s="29"/>
      <c r="AQ493" s="25"/>
      <c r="AR493" s="25"/>
      <c r="AS493" s="25"/>
      <c r="AT493" s="25"/>
      <c r="AU493" s="26"/>
      <c r="AV493" s="26"/>
      <c r="AW493" s="26"/>
      <c r="AX493" s="26"/>
      <c r="AY493" s="26"/>
      <c r="AZ493" s="26"/>
      <c r="BA493" s="26"/>
    </row>
    <row r="494">
      <c r="A494" s="26"/>
      <c r="B494" s="26"/>
      <c r="C494" s="26"/>
      <c r="D494" s="27"/>
      <c r="E494" s="27"/>
      <c r="F494" s="26"/>
      <c r="G494" s="28"/>
      <c r="H494" s="28"/>
      <c r="I494" s="28"/>
      <c r="J494" s="28"/>
      <c r="K494" s="28"/>
      <c r="L494" s="28"/>
      <c r="M494" s="28"/>
      <c r="N494" s="26"/>
      <c r="O494" s="29"/>
      <c r="P494" s="27"/>
      <c r="Q494" s="26"/>
      <c r="R494" s="29"/>
      <c r="S494" s="28"/>
      <c r="T494" s="29"/>
      <c r="U494" s="28"/>
      <c r="V494" s="28"/>
      <c r="W494" s="28"/>
      <c r="X494" s="28"/>
      <c r="Y494" s="26"/>
      <c r="Z494" s="29"/>
      <c r="AA494" s="28"/>
      <c r="AB494" s="26"/>
      <c r="AC494" s="29"/>
      <c r="AD494" s="25"/>
      <c r="AE494" s="29"/>
      <c r="AF494" s="25"/>
      <c r="AG494" s="25"/>
      <c r="AH494" s="25"/>
      <c r="AI494" s="25"/>
      <c r="AJ494" s="26"/>
      <c r="AK494" s="29"/>
      <c r="AL494" s="28"/>
      <c r="AM494" s="26"/>
      <c r="AN494" s="29"/>
      <c r="AO494" s="25"/>
      <c r="AP494" s="29"/>
      <c r="AQ494" s="25"/>
      <c r="AR494" s="25"/>
      <c r="AS494" s="25"/>
      <c r="AT494" s="25"/>
      <c r="AU494" s="26"/>
      <c r="AV494" s="26"/>
      <c r="AW494" s="26"/>
      <c r="AX494" s="26"/>
      <c r="AY494" s="26"/>
      <c r="AZ494" s="26"/>
      <c r="BA494" s="26"/>
    </row>
    <row r="495">
      <c r="A495" s="26"/>
      <c r="B495" s="26"/>
      <c r="C495" s="26"/>
      <c r="D495" s="27"/>
      <c r="E495" s="27"/>
      <c r="F495" s="26"/>
      <c r="G495" s="28"/>
      <c r="H495" s="28"/>
      <c r="I495" s="28"/>
      <c r="J495" s="28"/>
      <c r="K495" s="28"/>
      <c r="L495" s="28"/>
      <c r="M495" s="28"/>
      <c r="N495" s="26"/>
      <c r="O495" s="29"/>
      <c r="P495" s="27"/>
      <c r="Q495" s="26"/>
      <c r="R495" s="29"/>
      <c r="S495" s="28"/>
      <c r="T495" s="29"/>
      <c r="U495" s="28"/>
      <c r="V495" s="28"/>
      <c r="W495" s="28"/>
      <c r="X495" s="28"/>
      <c r="Y495" s="26"/>
      <c r="Z495" s="29"/>
      <c r="AA495" s="28"/>
      <c r="AB495" s="26"/>
      <c r="AC495" s="29"/>
      <c r="AD495" s="25"/>
      <c r="AE495" s="29"/>
      <c r="AF495" s="25"/>
      <c r="AG495" s="25"/>
      <c r="AH495" s="25"/>
      <c r="AI495" s="25"/>
      <c r="AJ495" s="26"/>
      <c r="AK495" s="29"/>
      <c r="AL495" s="28"/>
      <c r="AM495" s="26"/>
      <c r="AN495" s="29"/>
      <c r="AO495" s="25"/>
      <c r="AP495" s="29"/>
      <c r="AQ495" s="25"/>
      <c r="AR495" s="25"/>
      <c r="AS495" s="25"/>
      <c r="AT495" s="25"/>
      <c r="AU495" s="26"/>
      <c r="AV495" s="26"/>
      <c r="AW495" s="26"/>
      <c r="AX495" s="26"/>
      <c r="AY495" s="26"/>
      <c r="AZ495" s="26"/>
      <c r="BA495" s="26"/>
    </row>
    <row r="496">
      <c r="A496" s="26"/>
      <c r="B496" s="26"/>
      <c r="C496" s="26"/>
      <c r="D496" s="27"/>
      <c r="E496" s="27"/>
      <c r="F496" s="26"/>
      <c r="G496" s="28"/>
      <c r="H496" s="28"/>
      <c r="I496" s="28"/>
      <c r="J496" s="28"/>
      <c r="K496" s="28"/>
      <c r="L496" s="28"/>
      <c r="M496" s="28"/>
      <c r="N496" s="26"/>
      <c r="O496" s="29"/>
      <c r="P496" s="27"/>
      <c r="Q496" s="26"/>
      <c r="R496" s="29"/>
      <c r="S496" s="28"/>
      <c r="T496" s="29"/>
      <c r="U496" s="28"/>
      <c r="V496" s="28"/>
      <c r="W496" s="28"/>
      <c r="X496" s="28"/>
      <c r="Y496" s="26"/>
      <c r="Z496" s="29"/>
      <c r="AA496" s="28"/>
      <c r="AB496" s="26"/>
      <c r="AC496" s="29"/>
      <c r="AD496" s="25"/>
      <c r="AE496" s="29"/>
      <c r="AF496" s="25"/>
      <c r="AG496" s="25"/>
      <c r="AH496" s="25"/>
      <c r="AI496" s="25"/>
      <c r="AJ496" s="26"/>
      <c r="AK496" s="29"/>
      <c r="AL496" s="28"/>
      <c r="AM496" s="26"/>
      <c r="AN496" s="29"/>
      <c r="AO496" s="25"/>
      <c r="AP496" s="29"/>
      <c r="AQ496" s="25"/>
      <c r="AR496" s="25"/>
      <c r="AS496" s="25"/>
      <c r="AT496" s="25"/>
      <c r="AU496" s="26"/>
      <c r="AV496" s="26"/>
      <c r="AW496" s="26"/>
      <c r="AX496" s="26"/>
      <c r="AY496" s="26"/>
      <c r="AZ496" s="26"/>
      <c r="BA496" s="26"/>
    </row>
    <row r="497">
      <c r="A497" s="26"/>
      <c r="B497" s="26"/>
      <c r="C497" s="26"/>
      <c r="D497" s="27"/>
      <c r="E497" s="27"/>
      <c r="F497" s="26"/>
      <c r="G497" s="28"/>
      <c r="H497" s="28"/>
      <c r="I497" s="28"/>
      <c r="J497" s="28"/>
      <c r="K497" s="28"/>
      <c r="L497" s="28"/>
      <c r="M497" s="28"/>
      <c r="N497" s="26"/>
      <c r="O497" s="29"/>
      <c r="P497" s="27"/>
      <c r="Q497" s="26"/>
      <c r="R497" s="29"/>
      <c r="S497" s="28"/>
      <c r="T497" s="29"/>
      <c r="U497" s="28"/>
      <c r="V497" s="28"/>
      <c r="W497" s="28"/>
      <c r="X497" s="28"/>
      <c r="Y497" s="26"/>
      <c r="Z497" s="29"/>
      <c r="AA497" s="28"/>
      <c r="AB497" s="26"/>
      <c r="AC497" s="29"/>
      <c r="AD497" s="25"/>
      <c r="AE497" s="29"/>
      <c r="AF497" s="25"/>
      <c r="AG497" s="25"/>
      <c r="AH497" s="25"/>
      <c r="AI497" s="25"/>
      <c r="AJ497" s="26"/>
      <c r="AK497" s="29"/>
      <c r="AL497" s="28"/>
      <c r="AM497" s="26"/>
      <c r="AN497" s="29"/>
      <c r="AO497" s="25"/>
      <c r="AP497" s="29"/>
      <c r="AQ497" s="25"/>
      <c r="AR497" s="25"/>
      <c r="AS497" s="25"/>
      <c r="AT497" s="25"/>
      <c r="AU497" s="26"/>
      <c r="AV497" s="26"/>
      <c r="AW497" s="26"/>
      <c r="AX497" s="26"/>
      <c r="AY497" s="26"/>
      <c r="AZ497" s="26"/>
      <c r="BA497" s="26"/>
    </row>
    <row r="498">
      <c r="A498" s="26"/>
      <c r="B498" s="26"/>
      <c r="C498" s="26"/>
      <c r="D498" s="27"/>
      <c r="E498" s="27"/>
      <c r="F498" s="26"/>
      <c r="G498" s="28"/>
      <c r="H498" s="28"/>
      <c r="I498" s="28"/>
      <c r="J498" s="28"/>
      <c r="K498" s="28"/>
      <c r="L498" s="28"/>
      <c r="M498" s="28"/>
      <c r="N498" s="26"/>
      <c r="O498" s="29"/>
      <c r="P498" s="27"/>
      <c r="Q498" s="26"/>
      <c r="R498" s="29"/>
      <c r="S498" s="28"/>
      <c r="T498" s="29"/>
      <c r="U498" s="28"/>
      <c r="V498" s="28"/>
      <c r="W498" s="28"/>
      <c r="X498" s="28"/>
      <c r="Y498" s="26"/>
      <c r="Z498" s="29"/>
      <c r="AA498" s="28"/>
      <c r="AB498" s="26"/>
      <c r="AC498" s="29"/>
      <c r="AD498" s="25"/>
      <c r="AE498" s="29"/>
      <c r="AF498" s="25"/>
      <c r="AG498" s="25"/>
      <c r="AH498" s="25"/>
      <c r="AI498" s="25"/>
      <c r="AJ498" s="26"/>
      <c r="AK498" s="29"/>
      <c r="AL498" s="28"/>
      <c r="AM498" s="26"/>
      <c r="AN498" s="29"/>
      <c r="AO498" s="25"/>
      <c r="AP498" s="29"/>
      <c r="AQ498" s="25"/>
      <c r="AR498" s="25"/>
      <c r="AS498" s="25"/>
      <c r="AT498" s="25"/>
      <c r="AU498" s="26"/>
      <c r="AV498" s="26"/>
      <c r="AW498" s="26"/>
      <c r="AX498" s="26"/>
      <c r="AY498" s="26"/>
      <c r="AZ498" s="26"/>
      <c r="BA498" s="26"/>
    </row>
    <row r="499">
      <c r="A499" s="26"/>
      <c r="B499" s="26"/>
      <c r="C499" s="26"/>
      <c r="D499" s="27"/>
      <c r="E499" s="27"/>
      <c r="F499" s="26"/>
      <c r="G499" s="28"/>
      <c r="H499" s="28"/>
      <c r="I499" s="28"/>
      <c r="J499" s="28"/>
      <c r="K499" s="28"/>
      <c r="L499" s="28"/>
      <c r="M499" s="28"/>
      <c r="N499" s="26"/>
      <c r="O499" s="29"/>
      <c r="P499" s="27"/>
      <c r="Q499" s="26"/>
      <c r="R499" s="29"/>
      <c r="S499" s="28"/>
      <c r="T499" s="29"/>
      <c r="U499" s="28"/>
      <c r="V499" s="28"/>
      <c r="W499" s="28"/>
      <c r="X499" s="28"/>
      <c r="Y499" s="26"/>
      <c r="Z499" s="29"/>
      <c r="AA499" s="28"/>
      <c r="AB499" s="26"/>
      <c r="AC499" s="29"/>
      <c r="AD499" s="25"/>
      <c r="AE499" s="29"/>
      <c r="AF499" s="25"/>
      <c r="AG499" s="25"/>
      <c r="AH499" s="25"/>
      <c r="AI499" s="25"/>
      <c r="AJ499" s="26"/>
      <c r="AK499" s="29"/>
      <c r="AL499" s="28"/>
      <c r="AM499" s="26"/>
      <c r="AN499" s="29"/>
      <c r="AO499" s="25"/>
      <c r="AP499" s="29"/>
      <c r="AQ499" s="25"/>
      <c r="AR499" s="25"/>
      <c r="AS499" s="25"/>
      <c r="AT499" s="25"/>
      <c r="AU499" s="26"/>
      <c r="AV499" s="26"/>
      <c r="AW499" s="26"/>
      <c r="AX499" s="26"/>
      <c r="AY499" s="26"/>
      <c r="AZ499" s="26"/>
      <c r="BA499" s="26"/>
    </row>
    <row r="500">
      <c r="A500" s="26"/>
      <c r="B500" s="26"/>
      <c r="C500" s="26"/>
      <c r="D500" s="27"/>
      <c r="E500" s="27"/>
      <c r="F500" s="26"/>
      <c r="G500" s="28"/>
      <c r="H500" s="28"/>
      <c r="I500" s="28"/>
      <c r="J500" s="28"/>
      <c r="K500" s="28"/>
      <c r="L500" s="28"/>
      <c r="M500" s="28"/>
      <c r="N500" s="26"/>
      <c r="O500" s="29"/>
      <c r="P500" s="27"/>
      <c r="Q500" s="26"/>
      <c r="R500" s="29"/>
      <c r="S500" s="28"/>
      <c r="T500" s="29"/>
      <c r="U500" s="28"/>
      <c r="V500" s="28"/>
      <c r="W500" s="28"/>
      <c r="X500" s="28"/>
      <c r="Y500" s="26"/>
      <c r="Z500" s="29"/>
      <c r="AA500" s="28"/>
      <c r="AB500" s="26"/>
      <c r="AC500" s="29"/>
      <c r="AD500" s="25"/>
      <c r="AE500" s="29"/>
      <c r="AF500" s="25"/>
      <c r="AG500" s="25"/>
      <c r="AH500" s="25"/>
      <c r="AI500" s="25"/>
      <c r="AJ500" s="26"/>
      <c r="AK500" s="29"/>
      <c r="AL500" s="28"/>
      <c r="AM500" s="26"/>
      <c r="AN500" s="29"/>
      <c r="AO500" s="25"/>
      <c r="AP500" s="29"/>
      <c r="AQ500" s="25"/>
      <c r="AR500" s="25"/>
      <c r="AS500" s="25"/>
      <c r="AT500" s="25"/>
      <c r="AU500" s="26"/>
      <c r="AV500" s="26"/>
      <c r="AW500" s="26"/>
      <c r="AX500" s="26"/>
      <c r="AY500" s="26"/>
      <c r="AZ500" s="26"/>
      <c r="BA500" s="26"/>
    </row>
    <row r="501">
      <c r="A501" s="26"/>
      <c r="B501" s="26"/>
      <c r="C501" s="26"/>
      <c r="D501" s="27"/>
      <c r="E501" s="27"/>
      <c r="F501" s="26"/>
      <c r="G501" s="28"/>
      <c r="H501" s="28"/>
      <c r="I501" s="28"/>
      <c r="J501" s="28"/>
      <c r="K501" s="28"/>
      <c r="L501" s="28"/>
      <c r="M501" s="28"/>
      <c r="N501" s="26"/>
      <c r="O501" s="29"/>
      <c r="P501" s="27"/>
      <c r="Q501" s="26"/>
      <c r="R501" s="29"/>
      <c r="S501" s="28"/>
      <c r="T501" s="29"/>
      <c r="U501" s="28"/>
      <c r="V501" s="28"/>
      <c r="W501" s="28"/>
      <c r="X501" s="28"/>
      <c r="Y501" s="26"/>
      <c r="Z501" s="29"/>
      <c r="AA501" s="28"/>
      <c r="AB501" s="26"/>
      <c r="AC501" s="29"/>
      <c r="AD501" s="25"/>
      <c r="AE501" s="29"/>
      <c r="AF501" s="25"/>
      <c r="AG501" s="25"/>
      <c r="AH501" s="25"/>
      <c r="AI501" s="25"/>
      <c r="AJ501" s="26"/>
      <c r="AK501" s="29"/>
      <c r="AL501" s="28"/>
      <c r="AM501" s="26"/>
      <c r="AN501" s="29"/>
      <c r="AO501" s="25"/>
      <c r="AP501" s="29"/>
      <c r="AQ501" s="25"/>
      <c r="AR501" s="25"/>
      <c r="AS501" s="25"/>
      <c r="AT501" s="25"/>
      <c r="AU501" s="26"/>
      <c r="AV501" s="26"/>
      <c r="AW501" s="26"/>
      <c r="AX501" s="26"/>
      <c r="AY501" s="26"/>
      <c r="AZ501" s="26"/>
      <c r="BA501" s="26"/>
    </row>
    <row r="502">
      <c r="A502" s="26"/>
      <c r="B502" s="26"/>
      <c r="C502" s="26"/>
      <c r="D502" s="27"/>
      <c r="E502" s="27"/>
      <c r="F502" s="26"/>
      <c r="G502" s="28"/>
      <c r="H502" s="28"/>
      <c r="I502" s="28"/>
      <c r="J502" s="28"/>
      <c r="K502" s="28"/>
      <c r="L502" s="28"/>
      <c r="M502" s="28"/>
      <c r="N502" s="26"/>
      <c r="O502" s="29"/>
      <c r="P502" s="27"/>
      <c r="Q502" s="26"/>
      <c r="R502" s="29"/>
      <c r="S502" s="28"/>
      <c r="T502" s="29"/>
      <c r="U502" s="28"/>
      <c r="V502" s="28"/>
      <c r="W502" s="28"/>
      <c r="X502" s="28"/>
      <c r="Y502" s="26"/>
      <c r="Z502" s="29"/>
      <c r="AA502" s="28"/>
      <c r="AB502" s="26"/>
      <c r="AC502" s="29"/>
      <c r="AD502" s="25"/>
      <c r="AE502" s="29"/>
      <c r="AF502" s="25"/>
      <c r="AG502" s="25"/>
      <c r="AH502" s="25"/>
      <c r="AI502" s="25"/>
      <c r="AJ502" s="26"/>
      <c r="AK502" s="29"/>
      <c r="AL502" s="28"/>
      <c r="AM502" s="26"/>
      <c r="AN502" s="29"/>
      <c r="AO502" s="25"/>
      <c r="AP502" s="29"/>
      <c r="AQ502" s="25"/>
      <c r="AR502" s="25"/>
      <c r="AS502" s="25"/>
      <c r="AT502" s="25"/>
      <c r="AU502" s="26"/>
      <c r="AV502" s="26"/>
      <c r="AW502" s="26"/>
      <c r="AX502" s="26"/>
      <c r="AY502" s="26"/>
      <c r="AZ502" s="26"/>
      <c r="BA502" s="26"/>
    </row>
    <row r="503">
      <c r="A503" s="26"/>
      <c r="B503" s="26"/>
      <c r="C503" s="26"/>
      <c r="D503" s="27"/>
      <c r="E503" s="27"/>
      <c r="F503" s="26"/>
      <c r="G503" s="28"/>
      <c r="H503" s="28"/>
      <c r="I503" s="28"/>
      <c r="J503" s="28"/>
      <c r="K503" s="28"/>
      <c r="L503" s="28"/>
      <c r="M503" s="28"/>
      <c r="N503" s="26"/>
      <c r="O503" s="29"/>
      <c r="P503" s="27"/>
      <c r="Q503" s="26"/>
      <c r="R503" s="29"/>
      <c r="S503" s="28"/>
      <c r="T503" s="29"/>
      <c r="U503" s="28"/>
      <c r="V503" s="28"/>
      <c r="W503" s="28"/>
      <c r="X503" s="28"/>
      <c r="Y503" s="26"/>
      <c r="Z503" s="29"/>
      <c r="AA503" s="28"/>
      <c r="AB503" s="26"/>
      <c r="AC503" s="29"/>
      <c r="AD503" s="25"/>
      <c r="AE503" s="29"/>
      <c r="AF503" s="25"/>
      <c r="AG503" s="25"/>
      <c r="AH503" s="25"/>
      <c r="AI503" s="25"/>
      <c r="AJ503" s="26"/>
      <c r="AK503" s="29"/>
      <c r="AL503" s="28"/>
      <c r="AM503" s="26"/>
      <c r="AN503" s="29"/>
      <c r="AO503" s="25"/>
      <c r="AP503" s="29"/>
      <c r="AQ503" s="25"/>
      <c r="AR503" s="25"/>
      <c r="AS503" s="25"/>
      <c r="AT503" s="25"/>
      <c r="AU503" s="26"/>
      <c r="AV503" s="26"/>
      <c r="AW503" s="26"/>
      <c r="AX503" s="26"/>
      <c r="AY503" s="26"/>
      <c r="AZ503" s="26"/>
      <c r="BA503" s="26"/>
    </row>
    <row r="504">
      <c r="A504" s="26"/>
      <c r="B504" s="26"/>
      <c r="C504" s="26"/>
      <c r="D504" s="27"/>
      <c r="E504" s="27"/>
      <c r="F504" s="26"/>
      <c r="G504" s="28"/>
      <c r="H504" s="28"/>
      <c r="I504" s="28"/>
      <c r="J504" s="28"/>
      <c r="K504" s="28"/>
      <c r="L504" s="28"/>
      <c r="M504" s="28"/>
      <c r="N504" s="26"/>
      <c r="O504" s="29"/>
      <c r="P504" s="27"/>
      <c r="Q504" s="26"/>
      <c r="R504" s="29"/>
      <c r="S504" s="28"/>
      <c r="T504" s="29"/>
      <c r="U504" s="28"/>
      <c r="V504" s="28"/>
      <c r="W504" s="28"/>
      <c r="X504" s="28"/>
      <c r="Y504" s="26"/>
      <c r="Z504" s="29"/>
      <c r="AA504" s="28"/>
      <c r="AB504" s="26"/>
      <c r="AC504" s="29"/>
      <c r="AD504" s="25"/>
      <c r="AE504" s="29"/>
      <c r="AF504" s="25"/>
      <c r="AG504" s="25"/>
      <c r="AH504" s="25"/>
      <c r="AI504" s="25"/>
      <c r="AJ504" s="26"/>
      <c r="AK504" s="29"/>
      <c r="AL504" s="28"/>
      <c r="AM504" s="26"/>
      <c r="AN504" s="29"/>
      <c r="AO504" s="25"/>
      <c r="AP504" s="29"/>
      <c r="AQ504" s="25"/>
      <c r="AR504" s="25"/>
      <c r="AS504" s="25"/>
      <c r="AT504" s="25"/>
      <c r="AU504" s="26"/>
      <c r="AV504" s="26"/>
      <c r="AW504" s="26"/>
      <c r="AX504" s="26"/>
      <c r="AY504" s="26"/>
      <c r="AZ504" s="26"/>
      <c r="BA504" s="26"/>
    </row>
    <row r="505">
      <c r="A505" s="26"/>
      <c r="B505" s="26"/>
      <c r="C505" s="26"/>
      <c r="D505" s="27"/>
      <c r="E505" s="27"/>
      <c r="F505" s="26"/>
      <c r="G505" s="28"/>
      <c r="H505" s="28"/>
      <c r="I505" s="28"/>
      <c r="J505" s="28"/>
      <c r="K505" s="28"/>
      <c r="L505" s="28"/>
      <c r="M505" s="28"/>
      <c r="N505" s="26"/>
      <c r="O505" s="29"/>
      <c r="P505" s="27"/>
      <c r="Q505" s="26"/>
      <c r="R505" s="29"/>
      <c r="S505" s="28"/>
      <c r="T505" s="29"/>
      <c r="U505" s="28"/>
      <c r="V505" s="28"/>
      <c r="W505" s="28"/>
      <c r="X505" s="28"/>
      <c r="Y505" s="26"/>
      <c r="Z505" s="29"/>
      <c r="AA505" s="28"/>
      <c r="AB505" s="26"/>
      <c r="AC505" s="29"/>
      <c r="AD505" s="25"/>
      <c r="AE505" s="29"/>
      <c r="AF505" s="25"/>
      <c r="AG505" s="25"/>
      <c r="AH505" s="25"/>
      <c r="AI505" s="25"/>
      <c r="AJ505" s="26"/>
      <c r="AK505" s="29"/>
      <c r="AL505" s="28"/>
      <c r="AM505" s="26"/>
      <c r="AN505" s="29"/>
      <c r="AO505" s="25"/>
      <c r="AP505" s="29"/>
      <c r="AQ505" s="25"/>
      <c r="AR505" s="25"/>
      <c r="AS505" s="25"/>
      <c r="AT505" s="25"/>
      <c r="AU505" s="26"/>
      <c r="AV505" s="26"/>
      <c r="AW505" s="26"/>
      <c r="AX505" s="26"/>
      <c r="AY505" s="26"/>
      <c r="AZ505" s="26"/>
      <c r="BA505" s="26"/>
    </row>
    <row r="506">
      <c r="A506" s="26"/>
      <c r="B506" s="26"/>
      <c r="C506" s="26"/>
      <c r="D506" s="27"/>
      <c r="E506" s="27"/>
      <c r="F506" s="26"/>
      <c r="G506" s="28"/>
      <c r="H506" s="28"/>
      <c r="I506" s="28"/>
      <c r="J506" s="28"/>
      <c r="K506" s="28"/>
      <c r="L506" s="28"/>
      <c r="M506" s="28"/>
      <c r="N506" s="26"/>
      <c r="O506" s="29"/>
      <c r="P506" s="27"/>
      <c r="Q506" s="26"/>
      <c r="R506" s="29"/>
      <c r="S506" s="28"/>
      <c r="T506" s="29"/>
      <c r="U506" s="28"/>
      <c r="V506" s="28"/>
      <c r="W506" s="28"/>
      <c r="X506" s="28"/>
      <c r="Y506" s="26"/>
      <c r="Z506" s="29"/>
      <c r="AA506" s="28"/>
      <c r="AB506" s="26"/>
      <c r="AC506" s="29"/>
      <c r="AD506" s="25"/>
      <c r="AE506" s="29"/>
      <c r="AF506" s="25"/>
      <c r="AG506" s="25"/>
      <c r="AH506" s="25"/>
      <c r="AI506" s="25"/>
      <c r="AJ506" s="26"/>
      <c r="AK506" s="29"/>
      <c r="AL506" s="28"/>
      <c r="AM506" s="26"/>
      <c r="AN506" s="29"/>
      <c r="AO506" s="25"/>
      <c r="AP506" s="29"/>
      <c r="AQ506" s="25"/>
      <c r="AR506" s="25"/>
      <c r="AS506" s="25"/>
      <c r="AT506" s="25"/>
      <c r="AU506" s="26"/>
      <c r="AV506" s="26"/>
      <c r="AW506" s="26"/>
      <c r="AX506" s="26"/>
      <c r="AY506" s="26"/>
      <c r="AZ506" s="26"/>
      <c r="BA506" s="26"/>
    </row>
    <row r="507">
      <c r="A507" s="26"/>
      <c r="B507" s="26"/>
      <c r="C507" s="26"/>
      <c r="D507" s="27"/>
      <c r="E507" s="27"/>
      <c r="F507" s="26"/>
      <c r="G507" s="28"/>
      <c r="H507" s="28"/>
      <c r="I507" s="28"/>
      <c r="J507" s="28"/>
      <c r="K507" s="28"/>
      <c r="L507" s="28"/>
      <c r="M507" s="28"/>
      <c r="N507" s="26"/>
      <c r="O507" s="29"/>
      <c r="P507" s="27"/>
      <c r="Q507" s="26"/>
      <c r="R507" s="29"/>
      <c r="S507" s="28"/>
      <c r="T507" s="29"/>
      <c r="U507" s="28"/>
      <c r="V507" s="28"/>
      <c r="W507" s="28"/>
      <c r="X507" s="28"/>
      <c r="Y507" s="26"/>
      <c r="Z507" s="29"/>
      <c r="AA507" s="28"/>
      <c r="AB507" s="26"/>
      <c r="AC507" s="29"/>
      <c r="AD507" s="25"/>
      <c r="AE507" s="29"/>
      <c r="AF507" s="25"/>
      <c r="AG507" s="25"/>
      <c r="AH507" s="25"/>
      <c r="AI507" s="25"/>
      <c r="AJ507" s="26"/>
      <c r="AK507" s="29"/>
      <c r="AL507" s="28"/>
      <c r="AM507" s="26"/>
      <c r="AN507" s="29"/>
      <c r="AO507" s="25"/>
      <c r="AP507" s="29"/>
      <c r="AQ507" s="25"/>
      <c r="AR507" s="25"/>
      <c r="AS507" s="25"/>
      <c r="AT507" s="25"/>
      <c r="AU507" s="26"/>
      <c r="AV507" s="26"/>
      <c r="AW507" s="26"/>
      <c r="AX507" s="26"/>
      <c r="AY507" s="26"/>
      <c r="AZ507" s="26"/>
      <c r="BA507" s="26"/>
    </row>
    <row r="508">
      <c r="A508" s="26"/>
      <c r="B508" s="26"/>
      <c r="C508" s="26"/>
      <c r="D508" s="27"/>
      <c r="E508" s="27"/>
      <c r="F508" s="26"/>
      <c r="G508" s="28"/>
      <c r="H508" s="28"/>
      <c r="I508" s="28"/>
      <c r="J508" s="28"/>
      <c r="K508" s="28"/>
      <c r="L508" s="28"/>
      <c r="M508" s="28"/>
      <c r="N508" s="26"/>
      <c r="O508" s="29"/>
      <c r="P508" s="27"/>
      <c r="Q508" s="26"/>
      <c r="R508" s="29"/>
      <c r="S508" s="28"/>
      <c r="T508" s="29"/>
      <c r="U508" s="28"/>
      <c r="V508" s="28"/>
      <c r="W508" s="28"/>
      <c r="X508" s="28"/>
      <c r="Y508" s="26"/>
      <c r="Z508" s="29"/>
      <c r="AA508" s="28"/>
      <c r="AB508" s="26"/>
      <c r="AC508" s="29"/>
      <c r="AD508" s="25"/>
      <c r="AE508" s="29"/>
      <c r="AF508" s="25"/>
      <c r="AG508" s="25"/>
      <c r="AH508" s="25"/>
      <c r="AI508" s="25"/>
      <c r="AJ508" s="26"/>
      <c r="AK508" s="29"/>
      <c r="AL508" s="28"/>
      <c r="AM508" s="26"/>
      <c r="AN508" s="29"/>
      <c r="AO508" s="25"/>
      <c r="AP508" s="29"/>
      <c r="AQ508" s="25"/>
      <c r="AR508" s="25"/>
      <c r="AS508" s="25"/>
      <c r="AT508" s="25"/>
      <c r="AU508" s="26"/>
      <c r="AV508" s="26"/>
      <c r="AW508" s="26"/>
      <c r="AX508" s="26"/>
      <c r="AY508" s="26"/>
      <c r="AZ508" s="26"/>
      <c r="BA508" s="26"/>
    </row>
    <row r="509">
      <c r="A509" s="26"/>
      <c r="B509" s="26"/>
      <c r="C509" s="26"/>
      <c r="D509" s="27"/>
      <c r="E509" s="27"/>
      <c r="F509" s="26"/>
      <c r="G509" s="28"/>
      <c r="H509" s="28"/>
      <c r="I509" s="28"/>
      <c r="J509" s="28"/>
      <c r="K509" s="28"/>
      <c r="L509" s="28"/>
      <c r="M509" s="28"/>
      <c r="N509" s="26"/>
      <c r="O509" s="29"/>
      <c r="P509" s="27"/>
      <c r="Q509" s="26"/>
      <c r="R509" s="29"/>
      <c r="S509" s="28"/>
      <c r="T509" s="29"/>
      <c r="U509" s="28"/>
      <c r="V509" s="28"/>
      <c r="W509" s="28"/>
      <c r="X509" s="28"/>
      <c r="Y509" s="26"/>
      <c r="Z509" s="29"/>
      <c r="AA509" s="28"/>
      <c r="AB509" s="26"/>
      <c r="AC509" s="29"/>
      <c r="AD509" s="25"/>
      <c r="AE509" s="29"/>
      <c r="AF509" s="25"/>
      <c r="AG509" s="25"/>
      <c r="AH509" s="25"/>
      <c r="AI509" s="25"/>
      <c r="AJ509" s="26"/>
      <c r="AK509" s="29"/>
      <c r="AL509" s="28"/>
      <c r="AM509" s="26"/>
      <c r="AN509" s="29"/>
      <c r="AO509" s="25"/>
      <c r="AP509" s="29"/>
      <c r="AQ509" s="25"/>
      <c r="AR509" s="25"/>
      <c r="AS509" s="25"/>
      <c r="AT509" s="25"/>
      <c r="AU509" s="26"/>
      <c r="AV509" s="26"/>
      <c r="AW509" s="26"/>
      <c r="AX509" s="26"/>
      <c r="AY509" s="26"/>
      <c r="AZ509" s="26"/>
      <c r="BA509" s="26"/>
    </row>
    <row r="510">
      <c r="A510" s="26"/>
      <c r="B510" s="26"/>
      <c r="C510" s="26"/>
      <c r="D510" s="27"/>
      <c r="E510" s="27"/>
      <c r="F510" s="26"/>
      <c r="G510" s="28"/>
      <c r="H510" s="28"/>
      <c r="I510" s="28"/>
      <c r="J510" s="28"/>
      <c r="K510" s="28"/>
      <c r="L510" s="28"/>
      <c r="M510" s="28"/>
      <c r="N510" s="26"/>
      <c r="O510" s="29"/>
      <c r="P510" s="27"/>
      <c r="Q510" s="26"/>
      <c r="R510" s="29"/>
      <c r="S510" s="28"/>
      <c r="T510" s="29"/>
      <c r="U510" s="28"/>
      <c r="V510" s="28"/>
      <c r="W510" s="28"/>
      <c r="X510" s="28"/>
      <c r="Y510" s="26"/>
      <c r="Z510" s="29"/>
      <c r="AA510" s="28"/>
      <c r="AB510" s="26"/>
      <c r="AC510" s="29"/>
      <c r="AD510" s="25"/>
      <c r="AE510" s="29"/>
      <c r="AF510" s="25"/>
      <c r="AG510" s="25"/>
      <c r="AH510" s="25"/>
      <c r="AI510" s="25"/>
      <c r="AJ510" s="26"/>
      <c r="AK510" s="29"/>
      <c r="AL510" s="28"/>
      <c r="AM510" s="26"/>
      <c r="AN510" s="29"/>
      <c r="AO510" s="25"/>
      <c r="AP510" s="29"/>
      <c r="AQ510" s="25"/>
      <c r="AR510" s="25"/>
      <c r="AS510" s="25"/>
      <c r="AT510" s="25"/>
      <c r="AU510" s="26"/>
      <c r="AV510" s="26"/>
      <c r="AW510" s="26"/>
      <c r="AX510" s="26"/>
      <c r="AY510" s="26"/>
      <c r="AZ510" s="26"/>
      <c r="BA510" s="26"/>
    </row>
    <row r="511">
      <c r="A511" s="26"/>
      <c r="B511" s="26"/>
      <c r="C511" s="26"/>
      <c r="D511" s="27"/>
      <c r="E511" s="27"/>
      <c r="F511" s="26"/>
      <c r="G511" s="28"/>
      <c r="H511" s="28"/>
      <c r="I511" s="28"/>
      <c r="J511" s="28"/>
      <c r="K511" s="28"/>
      <c r="L511" s="28"/>
      <c r="M511" s="28"/>
      <c r="N511" s="26"/>
      <c r="O511" s="29"/>
      <c r="P511" s="27"/>
      <c r="Q511" s="26"/>
      <c r="R511" s="29"/>
      <c r="S511" s="28"/>
      <c r="T511" s="29"/>
      <c r="U511" s="28"/>
      <c r="V511" s="28"/>
      <c r="W511" s="28"/>
      <c r="X511" s="28"/>
      <c r="Y511" s="26"/>
      <c r="Z511" s="29"/>
      <c r="AA511" s="28"/>
      <c r="AB511" s="26"/>
      <c r="AC511" s="29"/>
      <c r="AD511" s="25"/>
      <c r="AE511" s="29"/>
      <c r="AF511" s="25"/>
      <c r="AG511" s="25"/>
      <c r="AH511" s="25"/>
      <c r="AI511" s="25"/>
      <c r="AJ511" s="26"/>
      <c r="AK511" s="29"/>
      <c r="AL511" s="28"/>
      <c r="AM511" s="26"/>
      <c r="AN511" s="29"/>
      <c r="AO511" s="25"/>
      <c r="AP511" s="29"/>
      <c r="AQ511" s="25"/>
      <c r="AR511" s="25"/>
      <c r="AS511" s="25"/>
      <c r="AT511" s="25"/>
      <c r="AU511" s="26"/>
      <c r="AV511" s="26"/>
      <c r="AW511" s="26"/>
      <c r="AX511" s="26"/>
      <c r="AY511" s="26"/>
      <c r="AZ511" s="26"/>
      <c r="BA511" s="26"/>
    </row>
    <row r="512">
      <c r="A512" s="26"/>
      <c r="B512" s="26"/>
      <c r="C512" s="26"/>
      <c r="D512" s="27"/>
      <c r="E512" s="27"/>
      <c r="F512" s="26"/>
      <c r="G512" s="28"/>
      <c r="H512" s="28"/>
      <c r="I512" s="28"/>
      <c r="J512" s="28"/>
      <c r="K512" s="28"/>
      <c r="L512" s="28"/>
      <c r="M512" s="28"/>
      <c r="N512" s="26"/>
      <c r="O512" s="29"/>
      <c r="P512" s="27"/>
      <c r="Q512" s="26"/>
      <c r="R512" s="29"/>
      <c r="S512" s="28"/>
      <c r="T512" s="29"/>
      <c r="U512" s="28"/>
      <c r="V512" s="28"/>
      <c r="W512" s="28"/>
      <c r="X512" s="28"/>
      <c r="Y512" s="26"/>
      <c r="Z512" s="29"/>
      <c r="AA512" s="28"/>
      <c r="AB512" s="26"/>
      <c r="AC512" s="29"/>
      <c r="AD512" s="25"/>
      <c r="AE512" s="29"/>
      <c r="AF512" s="25"/>
      <c r="AG512" s="25"/>
      <c r="AH512" s="25"/>
      <c r="AI512" s="25"/>
      <c r="AJ512" s="26"/>
      <c r="AK512" s="29"/>
      <c r="AL512" s="28"/>
      <c r="AM512" s="26"/>
      <c r="AN512" s="29"/>
      <c r="AO512" s="25"/>
      <c r="AP512" s="29"/>
      <c r="AQ512" s="25"/>
      <c r="AR512" s="25"/>
      <c r="AS512" s="25"/>
      <c r="AT512" s="25"/>
      <c r="AU512" s="26"/>
      <c r="AV512" s="26"/>
      <c r="AW512" s="26"/>
      <c r="AX512" s="26"/>
      <c r="AY512" s="26"/>
      <c r="AZ512" s="26"/>
      <c r="BA512" s="26"/>
    </row>
    <row r="513">
      <c r="A513" s="26"/>
      <c r="B513" s="26"/>
      <c r="C513" s="26"/>
      <c r="D513" s="27"/>
      <c r="E513" s="27"/>
      <c r="F513" s="26"/>
      <c r="G513" s="28"/>
      <c r="H513" s="28"/>
      <c r="I513" s="28"/>
      <c r="J513" s="28"/>
      <c r="K513" s="28"/>
      <c r="L513" s="28"/>
      <c r="M513" s="28"/>
      <c r="N513" s="26"/>
      <c r="O513" s="29"/>
      <c r="P513" s="27"/>
      <c r="Q513" s="26"/>
      <c r="R513" s="29"/>
      <c r="S513" s="28"/>
      <c r="T513" s="29"/>
      <c r="U513" s="28"/>
      <c r="V513" s="28"/>
      <c r="W513" s="28"/>
      <c r="X513" s="28"/>
      <c r="Y513" s="26"/>
      <c r="Z513" s="29"/>
      <c r="AA513" s="28"/>
      <c r="AB513" s="26"/>
      <c r="AC513" s="29"/>
      <c r="AD513" s="25"/>
      <c r="AE513" s="29"/>
      <c r="AF513" s="25"/>
      <c r="AG513" s="25"/>
      <c r="AH513" s="25"/>
      <c r="AI513" s="25"/>
      <c r="AJ513" s="26"/>
      <c r="AK513" s="29"/>
      <c r="AL513" s="28"/>
      <c r="AM513" s="26"/>
      <c r="AN513" s="29"/>
      <c r="AO513" s="25"/>
      <c r="AP513" s="29"/>
      <c r="AQ513" s="25"/>
      <c r="AR513" s="25"/>
      <c r="AS513" s="25"/>
      <c r="AT513" s="25"/>
      <c r="AU513" s="26"/>
      <c r="AV513" s="26"/>
      <c r="AW513" s="26"/>
      <c r="AX513" s="26"/>
      <c r="AY513" s="26"/>
      <c r="AZ513" s="26"/>
      <c r="BA513" s="26"/>
    </row>
    <row r="514">
      <c r="A514" s="26"/>
      <c r="B514" s="26"/>
      <c r="C514" s="26"/>
      <c r="D514" s="27"/>
      <c r="E514" s="27"/>
      <c r="F514" s="26"/>
      <c r="G514" s="28"/>
      <c r="H514" s="28"/>
      <c r="I514" s="28"/>
      <c r="J514" s="28"/>
      <c r="K514" s="28"/>
      <c r="L514" s="28"/>
      <c r="M514" s="28"/>
      <c r="N514" s="26"/>
      <c r="O514" s="29"/>
      <c r="P514" s="27"/>
      <c r="Q514" s="26"/>
      <c r="R514" s="29"/>
      <c r="S514" s="28"/>
      <c r="T514" s="29"/>
      <c r="U514" s="28"/>
      <c r="V514" s="28"/>
      <c r="W514" s="28"/>
      <c r="X514" s="28"/>
      <c r="Y514" s="26"/>
      <c r="Z514" s="29"/>
      <c r="AA514" s="28"/>
      <c r="AB514" s="26"/>
      <c r="AC514" s="29"/>
      <c r="AD514" s="25"/>
      <c r="AE514" s="29"/>
      <c r="AF514" s="25"/>
      <c r="AG514" s="25"/>
      <c r="AH514" s="25"/>
      <c r="AI514" s="25"/>
      <c r="AJ514" s="26"/>
      <c r="AK514" s="29"/>
      <c r="AL514" s="28"/>
      <c r="AM514" s="26"/>
      <c r="AN514" s="29"/>
      <c r="AO514" s="25"/>
      <c r="AP514" s="29"/>
      <c r="AQ514" s="25"/>
      <c r="AR514" s="25"/>
      <c r="AS514" s="25"/>
      <c r="AT514" s="25"/>
      <c r="AU514" s="26"/>
      <c r="AV514" s="26"/>
      <c r="AW514" s="26"/>
      <c r="AX514" s="26"/>
      <c r="AY514" s="26"/>
      <c r="AZ514" s="26"/>
      <c r="BA514" s="26"/>
    </row>
    <row r="515">
      <c r="A515" s="26"/>
      <c r="B515" s="26"/>
      <c r="C515" s="26"/>
      <c r="D515" s="27"/>
      <c r="E515" s="27"/>
      <c r="F515" s="26"/>
      <c r="G515" s="28"/>
      <c r="H515" s="28"/>
      <c r="I515" s="28"/>
      <c r="J515" s="28"/>
      <c r="K515" s="28"/>
      <c r="L515" s="28"/>
      <c r="M515" s="28"/>
      <c r="N515" s="26"/>
      <c r="O515" s="29"/>
      <c r="P515" s="27"/>
      <c r="Q515" s="26"/>
      <c r="R515" s="29"/>
      <c r="S515" s="28"/>
      <c r="T515" s="29"/>
      <c r="U515" s="28"/>
      <c r="V515" s="28"/>
      <c r="W515" s="28"/>
      <c r="X515" s="28"/>
      <c r="Y515" s="26"/>
      <c r="Z515" s="29"/>
      <c r="AA515" s="28"/>
      <c r="AB515" s="26"/>
      <c r="AC515" s="29"/>
      <c r="AD515" s="25"/>
      <c r="AE515" s="29"/>
      <c r="AF515" s="25"/>
      <c r="AG515" s="25"/>
      <c r="AH515" s="25"/>
      <c r="AI515" s="25"/>
      <c r="AJ515" s="26"/>
      <c r="AK515" s="29"/>
      <c r="AL515" s="28"/>
      <c r="AM515" s="26"/>
      <c r="AN515" s="29"/>
      <c r="AO515" s="25"/>
      <c r="AP515" s="29"/>
      <c r="AQ515" s="25"/>
      <c r="AR515" s="25"/>
      <c r="AS515" s="25"/>
      <c r="AT515" s="25"/>
      <c r="AU515" s="26"/>
      <c r="AV515" s="26"/>
      <c r="AW515" s="26"/>
      <c r="AX515" s="26"/>
      <c r="AY515" s="26"/>
      <c r="AZ515" s="26"/>
      <c r="BA515" s="26"/>
    </row>
    <row r="516">
      <c r="A516" s="26"/>
      <c r="B516" s="26"/>
      <c r="C516" s="26"/>
      <c r="D516" s="27"/>
      <c r="E516" s="27"/>
      <c r="F516" s="26"/>
      <c r="G516" s="28"/>
      <c r="H516" s="28"/>
      <c r="I516" s="28"/>
      <c r="J516" s="28"/>
      <c r="K516" s="28"/>
      <c r="L516" s="28"/>
      <c r="M516" s="28"/>
      <c r="N516" s="26"/>
      <c r="O516" s="29"/>
      <c r="P516" s="27"/>
      <c r="Q516" s="26"/>
      <c r="R516" s="29"/>
      <c r="S516" s="28"/>
      <c r="T516" s="29"/>
      <c r="U516" s="28"/>
      <c r="V516" s="28"/>
      <c r="W516" s="28"/>
      <c r="X516" s="28"/>
      <c r="Y516" s="26"/>
      <c r="Z516" s="29"/>
      <c r="AA516" s="28"/>
      <c r="AB516" s="26"/>
      <c r="AC516" s="29"/>
      <c r="AD516" s="25"/>
      <c r="AE516" s="29"/>
      <c r="AF516" s="25"/>
      <c r="AG516" s="25"/>
      <c r="AH516" s="25"/>
      <c r="AI516" s="25"/>
      <c r="AJ516" s="26"/>
      <c r="AK516" s="29"/>
      <c r="AL516" s="28"/>
      <c r="AM516" s="26"/>
      <c r="AN516" s="29"/>
      <c r="AO516" s="25"/>
      <c r="AP516" s="29"/>
      <c r="AQ516" s="25"/>
      <c r="AR516" s="25"/>
      <c r="AS516" s="25"/>
      <c r="AT516" s="25"/>
      <c r="AU516" s="26"/>
      <c r="AV516" s="26"/>
      <c r="AW516" s="26"/>
      <c r="AX516" s="26"/>
      <c r="AY516" s="26"/>
      <c r="AZ516" s="26"/>
      <c r="BA516" s="26"/>
    </row>
    <row r="517">
      <c r="A517" s="26"/>
      <c r="B517" s="26"/>
      <c r="C517" s="26"/>
      <c r="D517" s="27"/>
      <c r="E517" s="27"/>
      <c r="F517" s="26"/>
      <c r="G517" s="28"/>
      <c r="H517" s="28"/>
      <c r="I517" s="28"/>
      <c r="J517" s="28"/>
      <c r="K517" s="28"/>
      <c r="L517" s="28"/>
      <c r="M517" s="28"/>
      <c r="N517" s="26"/>
      <c r="O517" s="29"/>
      <c r="P517" s="27"/>
      <c r="Q517" s="26"/>
      <c r="R517" s="29"/>
      <c r="S517" s="28"/>
      <c r="T517" s="29"/>
      <c r="U517" s="28"/>
      <c r="V517" s="28"/>
      <c r="W517" s="28"/>
      <c r="X517" s="28"/>
      <c r="Y517" s="26"/>
      <c r="Z517" s="29"/>
      <c r="AA517" s="28"/>
      <c r="AB517" s="26"/>
      <c r="AC517" s="29"/>
      <c r="AD517" s="25"/>
      <c r="AE517" s="29"/>
      <c r="AF517" s="25"/>
      <c r="AG517" s="25"/>
      <c r="AH517" s="25"/>
      <c r="AI517" s="25"/>
      <c r="AJ517" s="26"/>
      <c r="AK517" s="29"/>
      <c r="AL517" s="28"/>
      <c r="AM517" s="26"/>
      <c r="AN517" s="29"/>
      <c r="AO517" s="25"/>
      <c r="AP517" s="29"/>
      <c r="AQ517" s="25"/>
      <c r="AR517" s="25"/>
      <c r="AS517" s="25"/>
      <c r="AT517" s="25"/>
      <c r="AU517" s="26"/>
      <c r="AV517" s="26"/>
      <c r="AW517" s="26"/>
      <c r="AX517" s="26"/>
      <c r="AY517" s="26"/>
      <c r="AZ517" s="26"/>
      <c r="BA517" s="26"/>
    </row>
    <row r="518">
      <c r="A518" s="26"/>
      <c r="B518" s="26"/>
      <c r="C518" s="26"/>
      <c r="D518" s="27"/>
      <c r="E518" s="27"/>
      <c r="F518" s="26"/>
      <c r="G518" s="28"/>
      <c r="H518" s="28"/>
      <c r="I518" s="28"/>
      <c r="J518" s="28"/>
      <c r="K518" s="28"/>
      <c r="L518" s="28"/>
      <c r="M518" s="28"/>
      <c r="N518" s="26"/>
      <c r="O518" s="29"/>
      <c r="P518" s="27"/>
      <c r="Q518" s="26"/>
      <c r="R518" s="29"/>
      <c r="S518" s="28"/>
      <c r="T518" s="29"/>
      <c r="U518" s="28"/>
      <c r="V518" s="28"/>
      <c r="W518" s="28"/>
      <c r="X518" s="28"/>
      <c r="Y518" s="26"/>
      <c r="Z518" s="29"/>
      <c r="AA518" s="28"/>
      <c r="AB518" s="26"/>
      <c r="AC518" s="29"/>
      <c r="AD518" s="25"/>
      <c r="AE518" s="29"/>
      <c r="AF518" s="25"/>
      <c r="AG518" s="25"/>
      <c r="AH518" s="25"/>
      <c r="AI518" s="25"/>
      <c r="AJ518" s="26"/>
      <c r="AK518" s="29"/>
      <c r="AL518" s="28"/>
      <c r="AM518" s="26"/>
      <c r="AN518" s="29"/>
      <c r="AO518" s="25"/>
      <c r="AP518" s="29"/>
      <c r="AQ518" s="25"/>
      <c r="AR518" s="25"/>
      <c r="AS518" s="25"/>
      <c r="AT518" s="25"/>
      <c r="AU518" s="26"/>
      <c r="AV518" s="26"/>
      <c r="AW518" s="26"/>
      <c r="AX518" s="26"/>
      <c r="AY518" s="26"/>
      <c r="AZ518" s="26"/>
      <c r="BA518" s="26"/>
    </row>
    <row r="519">
      <c r="A519" s="26"/>
      <c r="B519" s="26"/>
      <c r="C519" s="26"/>
      <c r="D519" s="27"/>
      <c r="E519" s="27"/>
      <c r="F519" s="26"/>
      <c r="G519" s="28"/>
      <c r="H519" s="28"/>
      <c r="I519" s="28"/>
      <c r="J519" s="28"/>
      <c r="K519" s="28"/>
      <c r="L519" s="28"/>
      <c r="M519" s="28"/>
      <c r="N519" s="26"/>
      <c r="O519" s="29"/>
      <c r="P519" s="27"/>
      <c r="Q519" s="26"/>
      <c r="R519" s="29"/>
      <c r="S519" s="28"/>
      <c r="T519" s="29"/>
      <c r="U519" s="28"/>
      <c r="V519" s="28"/>
      <c r="W519" s="28"/>
      <c r="X519" s="28"/>
      <c r="Y519" s="26"/>
      <c r="Z519" s="29"/>
      <c r="AA519" s="28"/>
      <c r="AB519" s="26"/>
      <c r="AC519" s="29"/>
      <c r="AD519" s="25"/>
      <c r="AE519" s="29"/>
      <c r="AF519" s="25"/>
      <c r="AG519" s="25"/>
      <c r="AH519" s="25"/>
      <c r="AI519" s="25"/>
      <c r="AJ519" s="26"/>
      <c r="AK519" s="29"/>
      <c r="AL519" s="28"/>
      <c r="AM519" s="26"/>
      <c r="AN519" s="29"/>
      <c r="AO519" s="25"/>
      <c r="AP519" s="29"/>
      <c r="AQ519" s="25"/>
      <c r="AR519" s="25"/>
      <c r="AS519" s="25"/>
      <c r="AT519" s="25"/>
      <c r="AU519" s="26"/>
      <c r="AV519" s="26"/>
      <c r="AW519" s="26"/>
      <c r="AX519" s="26"/>
      <c r="AY519" s="26"/>
      <c r="AZ519" s="26"/>
      <c r="BA519" s="26"/>
    </row>
    <row r="520">
      <c r="A520" s="26"/>
      <c r="B520" s="26"/>
      <c r="C520" s="26"/>
      <c r="D520" s="27"/>
      <c r="E520" s="27"/>
      <c r="F520" s="26"/>
      <c r="G520" s="28"/>
      <c r="H520" s="28"/>
      <c r="I520" s="28"/>
      <c r="J520" s="28"/>
      <c r="K520" s="28"/>
      <c r="L520" s="28"/>
      <c r="M520" s="28"/>
      <c r="N520" s="26"/>
      <c r="O520" s="29"/>
      <c r="P520" s="27"/>
      <c r="Q520" s="26"/>
      <c r="R520" s="29"/>
      <c r="S520" s="28"/>
      <c r="T520" s="29"/>
      <c r="U520" s="28"/>
      <c r="V520" s="28"/>
      <c r="W520" s="28"/>
      <c r="X520" s="28"/>
      <c r="Y520" s="26"/>
      <c r="Z520" s="29"/>
      <c r="AA520" s="28"/>
      <c r="AB520" s="26"/>
      <c r="AC520" s="29"/>
      <c r="AD520" s="25"/>
      <c r="AE520" s="29"/>
      <c r="AF520" s="25"/>
      <c r="AG520" s="25"/>
      <c r="AH520" s="25"/>
      <c r="AI520" s="25"/>
      <c r="AJ520" s="26"/>
      <c r="AK520" s="29"/>
      <c r="AL520" s="28"/>
      <c r="AM520" s="26"/>
      <c r="AN520" s="29"/>
      <c r="AO520" s="25"/>
      <c r="AP520" s="29"/>
      <c r="AQ520" s="25"/>
      <c r="AR520" s="25"/>
      <c r="AS520" s="25"/>
      <c r="AT520" s="25"/>
      <c r="AU520" s="26"/>
      <c r="AV520" s="26"/>
      <c r="AW520" s="26"/>
      <c r="AX520" s="26"/>
      <c r="AY520" s="26"/>
      <c r="AZ520" s="26"/>
      <c r="BA520" s="26"/>
    </row>
    <row r="521">
      <c r="A521" s="26"/>
      <c r="B521" s="26"/>
      <c r="C521" s="26"/>
      <c r="D521" s="27"/>
      <c r="E521" s="27"/>
      <c r="F521" s="26"/>
      <c r="G521" s="28"/>
      <c r="H521" s="28"/>
      <c r="I521" s="28"/>
      <c r="J521" s="28"/>
      <c r="K521" s="28"/>
      <c r="L521" s="28"/>
      <c r="M521" s="28"/>
      <c r="N521" s="26"/>
      <c r="O521" s="29"/>
      <c r="P521" s="27"/>
      <c r="Q521" s="26"/>
      <c r="R521" s="29"/>
      <c r="S521" s="28"/>
      <c r="T521" s="29"/>
      <c r="U521" s="28"/>
      <c r="V521" s="28"/>
      <c r="W521" s="28"/>
      <c r="X521" s="28"/>
      <c r="Y521" s="26"/>
      <c r="Z521" s="29"/>
      <c r="AA521" s="28"/>
      <c r="AB521" s="26"/>
      <c r="AC521" s="29"/>
      <c r="AD521" s="25"/>
      <c r="AE521" s="29"/>
      <c r="AF521" s="25"/>
      <c r="AG521" s="25"/>
      <c r="AH521" s="25"/>
      <c r="AI521" s="25"/>
      <c r="AJ521" s="26"/>
      <c r="AK521" s="29"/>
      <c r="AL521" s="28"/>
      <c r="AM521" s="26"/>
      <c r="AN521" s="29"/>
      <c r="AO521" s="25"/>
      <c r="AP521" s="29"/>
      <c r="AQ521" s="25"/>
      <c r="AR521" s="25"/>
      <c r="AS521" s="25"/>
      <c r="AT521" s="25"/>
      <c r="AU521" s="26"/>
      <c r="AV521" s="26"/>
      <c r="AW521" s="26"/>
      <c r="AX521" s="26"/>
      <c r="AY521" s="26"/>
      <c r="AZ521" s="26"/>
      <c r="BA521" s="26"/>
    </row>
    <row r="522">
      <c r="A522" s="26"/>
      <c r="B522" s="26"/>
      <c r="C522" s="26"/>
      <c r="D522" s="27"/>
      <c r="E522" s="27"/>
      <c r="F522" s="26"/>
      <c r="G522" s="28"/>
      <c r="H522" s="28"/>
      <c r="I522" s="28"/>
      <c r="J522" s="28"/>
      <c r="K522" s="28"/>
      <c r="L522" s="28"/>
      <c r="M522" s="28"/>
      <c r="N522" s="26"/>
      <c r="O522" s="29"/>
      <c r="P522" s="27"/>
      <c r="Q522" s="26"/>
      <c r="R522" s="29"/>
      <c r="S522" s="28"/>
      <c r="T522" s="29"/>
      <c r="U522" s="28"/>
      <c r="V522" s="28"/>
      <c r="W522" s="28"/>
      <c r="X522" s="28"/>
      <c r="Y522" s="26"/>
      <c r="Z522" s="29"/>
      <c r="AA522" s="28"/>
      <c r="AB522" s="26"/>
      <c r="AC522" s="29"/>
      <c r="AD522" s="25"/>
      <c r="AE522" s="29"/>
      <c r="AF522" s="25"/>
      <c r="AG522" s="25"/>
      <c r="AH522" s="25"/>
      <c r="AI522" s="25"/>
      <c r="AJ522" s="26"/>
      <c r="AK522" s="29"/>
      <c r="AL522" s="28"/>
      <c r="AM522" s="26"/>
      <c r="AN522" s="29"/>
      <c r="AO522" s="25"/>
      <c r="AP522" s="29"/>
      <c r="AQ522" s="25"/>
      <c r="AR522" s="25"/>
      <c r="AS522" s="25"/>
      <c r="AT522" s="25"/>
      <c r="AU522" s="26"/>
      <c r="AV522" s="26"/>
      <c r="AW522" s="26"/>
      <c r="AX522" s="26"/>
      <c r="AY522" s="26"/>
      <c r="AZ522" s="26"/>
      <c r="BA522" s="26"/>
    </row>
    <row r="523">
      <c r="A523" s="26"/>
      <c r="B523" s="26"/>
      <c r="C523" s="26"/>
      <c r="D523" s="27"/>
      <c r="E523" s="27"/>
      <c r="F523" s="26"/>
      <c r="G523" s="28"/>
      <c r="H523" s="28"/>
      <c r="I523" s="28"/>
      <c r="J523" s="28"/>
      <c r="K523" s="28"/>
      <c r="L523" s="28"/>
      <c r="M523" s="28"/>
      <c r="N523" s="26"/>
      <c r="O523" s="29"/>
      <c r="P523" s="27"/>
      <c r="Q523" s="26"/>
      <c r="R523" s="29"/>
      <c r="S523" s="28"/>
      <c r="T523" s="29"/>
      <c r="U523" s="28"/>
      <c r="V523" s="28"/>
      <c r="W523" s="28"/>
      <c r="X523" s="28"/>
      <c r="Y523" s="26"/>
      <c r="Z523" s="29"/>
      <c r="AA523" s="28"/>
      <c r="AB523" s="26"/>
      <c r="AC523" s="29"/>
      <c r="AD523" s="25"/>
      <c r="AE523" s="29"/>
      <c r="AF523" s="25"/>
      <c r="AG523" s="25"/>
      <c r="AH523" s="25"/>
      <c r="AI523" s="25"/>
      <c r="AJ523" s="26"/>
      <c r="AK523" s="29"/>
      <c r="AL523" s="28"/>
      <c r="AM523" s="26"/>
      <c r="AN523" s="29"/>
      <c r="AO523" s="25"/>
      <c r="AP523" s="29"/>
      <c r="AQ523" s="25"/>
      <c r="AR523" s="25"/>
      <c r="AS523" s="25"/>
      <c r="AT523" s="25"/>
      <c r="AU523" s="26"/>
      <c r="AV523" s="26"/>
      <c r="AW523" s="26"/>
      <c r="AX523" s="26"/>
      <c r="AY523" s="26"/>
      <c r="AZ523" s="26"/>
      <c r="BA523" s="26"/>
    </row>
    <row r="524">
      <c r="A524" s="26"/>
      <c r="B524" s="26"/>
      <c r="C524" s="26"/>
      <c r="D524" s="27"/>
      <c r="E524" s="27"/>
      <c r="F524" s="26"/>
      <c r="G524" s="28"/>
      <c r="H524" s="28"/>
      <c r="I524" s="28"/>
      <c r="J524" s="28"/>
      <c r="K524" s="28"/>
      <c r="L524" s="28"/>
      <c r="M524" s="28"/>
      <c r="N524" s="26"/>
      <c r="O524" s="29"/>
      <c r="P524" s="27"/>
      <c r="Q524" s="26"/>
      <c r="R524" s="29"/>
      <c r="S524" s="28"/>
      <c r="T524" s="29"/>
      <c r="U524" s="28"/>
      <c r="V524" s="28"/>
      <c r="W524" s="28"/>
      <c r="X524" s="28"/>
      <c r="Y524" s="26"/>
      <c r="Z524" s="29"/>
      <c r="AA524" s="28"/>
      <c r="AB524" s="26"/>
      <c r="AC524" s="29"/>
      <c r="AD524" s="25"/>
      <c r="AE524" s="29"/>
      <c r="AF524" s="25"/>
      <c r="AG524" s="25"/>
      <c r="AH524" s="25"/>
      <c r="AI524" s="25"/>
      <c r="AJ524" s="26"/>
      <c r="AK524" s="29"/>
      <c r="AL524" s="28"/>
      <c r="AM524" s="26"/>
      <c r="AN524" s="29"/>
      <c r="AO524" s="25"/>
      <c r="AP524" s="29"/>
      <c r="AQ524" s="25"/>
      <c r="AR524" s="25"/>
      <c r="AS524" s="25"/>
      <c r="AT524" s="25"/>
      <c r="AU524" s="26"/>
      <c r="AV524" s="26"/>
      <c r="AW524" s="26"/>
      <c r="AX524" s="26"/>
      <c r="AY524" s="26"/>
      <c r="AZ524" s="26"/>
      <c r="BA524" s="26"/>
    </row>
    <row r="525">
      <c r="A525" s="26"/>
      <c r="B525" s="26"/>
      <c r="C525" s="26"/>
      <c r="D525" s="27"/>
      <c r="E525" s="27"/>
      <c r="F525" s="26"/>
      <c r="G525" s="28"/>
      <c r="H525" s="28"/>
      <c r="I525" s="28"/>
      <c r="J525" s="28"/>
      <c r="K525" s="28"/>
      <c r="L525" s="28"/>
      <c r="M525" s="28"/>
      <c r="N525" s="26"/>
      <c r="O525" s="29"/>
      <c r="P525" s="27"/>
      <c r="Q525" s="26"/>
      <c r="R525" s="29"/>
      <c r="S525" s="28"/>
      <c r="T525" s="29"/>
      <c r="U525" s="28"/>
      <c r="V525" s="28"/>
      <c r="W525" s="28"/>
      <c r="X525" s="28"/>
      <c r="Y525" s="26"/>
      <c r="Z525" s="29"/>
      <c r="AA525" s="28"/>
      <c r="AB525" s="26"/>
      <c r="AC525" s="29"/>
      <c r="AD525" s="25"/>
      <c r="AE525" s="29"/>
      <c r="AF525" s="25"/>
      <c r="AG525" s="25"/>
      <c r="AH525" s="25"/>
      <c r="AI525" s="25"/>
      <c r="AJ525" s="26"/>
      <c r="AK525" s="29"/>
      <c r="AL525" s="28"/>
      <c r="AM525" s="26"/>
      <c r="AN525" s="29"/>
      <c r="AO525" s="25"/>
      <c r="AP525" s="29"/>
      <c r="AQ525" s="25"/>
      <c r="AR525" s="25"/>
      <c r="AS525" s="25"/>
      <c r="AT525" s="25"/>
      <c r="AU525" s="26"/>
      <c r="AV525" s="26"/>
      <c r="AW525" s="26"/>
      <c r="AX525" s="26"/>
      <c r="AY525" s="26"/>
      <c r="AZ525" s="26"/>
      <c r="BA525" s="26"/>
    </row>
    <row r="526">
      <c r="A526" s="26"/>
      <c r="B526" s="26"/>
      <c r="C526" s="26"/>
      <c r="D526" s="27"/>
      <c r="E526" s="27"/>
      <c r="F526" s="26"/>
      <c r="G526" s="28"/>
      <c r="H526" s="28"/>
      <c r="I526" s="28"/>
      <c r="J526" s="28"/>
      <c r="K526" s="28"/>
      <c r="L526" s="28"/>
      <c r="M526" s="28"/>
      <c r="N526" s="26"/>
      <c r="O526" s="29"/>
      <c r="P526" s="27"/>
      <c r="Q526" s="26"/>
      <c r="R526" s="29"/>
      <c r="S526" s="28"/>
      <c r="T526" s="29"/>
      <c r="U526" s="28"/>
      <c r="V526" s="28"/>
      <c r="W526" s="28"/>
      <c r="X526" s="28"/>
      <c r="Y526" s="26"/>
      <c r="Z526" s="29"/>
      <c r="AA526" s="28"/>
      <c r="AB526" s="26"/>
      <c r="AC526" s="29"/>
      <c r="AD526" s="25"/>
      <c r="AE526" s="29"/>
      <c r="AF526" s="25"/>
      <c r="AG526" s="25"/>
      <c r="AH526" s="25"/>
      <c r="AI526" s="25"/>
      <c r="AJ526" s="26"/>
      <c r="AK526" s="29"/>
      <c r="AL526" s="28"/>
      <c r="AM526" s="26"/>
      <c r="AN526" s="29"/>
      <c r="AO526" s="25"/>
      <c r="AP526" s="29"/>
      <c r="AQ526" s="25"/>
      <c r="AR526" s="25"/>
      <c r="AS526" s="25"/>
      <c r="AT526" s="25"/>
      <c r="AU526" s="26"/>
      <c r="AV526" s="26"/>
      <c r="AW526" s="26"/>
      <c r="AX526" s="26"/>
      <c r="AY526" s="26"/>
      <c r="AZ526" s="26"/>
      <c r="BA526" s="26"/>
    </row>
    <row r="527">
      <c r="A527" s="26"/>
      <c r="B527" s="26"/>
      <c r="C527" s="26"/>
      <c r="D527" s="27"/>
      <c r="E527" s="27"/>
      <c r="F527" s="26"/>
      <c r="G527" s="28"/>
      <c r="H527" s="28"/>
      <c r="I527" s="28"/>
      <c r="J527" s="28"/>
      <c r="K527" s="28"/>
      <c r="L527" s="28"/>
      <c r="M527" s="28"/>
      <c r="N527" s="26"/>
      <c r="O527" s="29"/>
      <c r="P527" s="27"/>
      <c r="Q527" s="26"/>
      <c r="R527" s="29"/>
      <c r="S527" s="28"/>
      <c r="T527" s="29"/>
      <c r="U527" s="28"/>
      <c r="V527" s="28"/>
      <c r="W527" s="28"/>
      <c r="X527" s="28"/>
      <c r="Y527" s="26"/>
      <c r="Z527" s="29"/>
      <c r="AA527" s="28"/>
      <c r="AB527" s="26"/>
      <c r="AC527" s="29"/>
      <c r="AD527" s="25"/>
      <c r="AE527" s="29"/>
      <c r="AF527" s="25"/>
      <c r="AG527" s="25"/>
      <c r="AH527" s="25"/>
      <c r="AI527" s="25"/>
      <c r="AJ527" s="26"/>
      <c r="AK527" s="29"/>
      <c r="AL527" s="28"/>
      <c r="AM527" s="26"/>
      <c r="AN527" s="29"/>
      <c r="AO527" s="25"/>
      <c r="AP527" s="29"/>
      <c r="AQ527" s="25"/>
      <c r="AR527" s="25"/>
      <c r="AS527" s="25"/>
      <c r="AT527" s="25"/>
      <c r="AU527" s="26"/>
      <c r="AV527" s="26"/>
      <c r="AW527" s="26"/>
      <c r="AX527" s="26"/>
      <c r="AY527" s="26"/>
      <c r="AZ527" s="26"/>
      <c r="BA527" s="26"/>
    </row>
    <row r="528">
      <c r="A528" s="26"/>
      <c r="B528" s="26"/>
      <c r="C528" s="26"/>
      <c r="D528" s="27"/>
      <c r="E528" s="27"/>
      <c r="F528" s="26"/>
      <c r="G528" s="28"/>
      <c r="H528" s="28"/>
      <c r="I528" s="28"/>
      <c r="J528" s="28"/>
      <c r="K528" s="28"/>
      <c r="L528" s="28"/>
      <c r="M528" s="28"/>
      <c r="N528" s="26"/>
      <c r="O528" s="29"/>
      <c r="P528" s="27"/>
      <c r="Q528" s="26"/>
      <c r="R528" s="29"/>
      <c r="S528" s="28"/>
      <c r="T528" s="29"/>
      <c r="U528" s="28"/>
      <c r="V528" s="28"/>
      <c r="W528" s="28"/>
      <c r="X528" s="28"/>
      <c r="Y528" s="26"/>
      <c r="Z528" s="29"/>
      <c r="AA528" s="28"/>
      <c r="AB528" s="26"/>
      <c r="AC528" s="29"/>
      <c r="AD528" s="25"/>
      <c r="AE528" s="29"/>
      <c r="AF528" s="25"/>
      <c r="AG528" s="25"/>
      <c r="AH528" s="25"/>
      <c r="AI528" s="25"/>
      <c r="AJ528" s="26"/>
      <c r="AK528" s="29"/>
      <c r="AL528" s="28"/>
      <c r="AM528" s="26"/>
      <c r="AN528" s="29"/>
      <c r="AO528" s="25"/>
      <c r="AP528" s="29"/>
      <c r="AQ528" s="25"/>
      <c r="AR528" s="25"/>
      <c r="AS528" s="25"/>
      <c r="AT528" s="25"/>
      <c r="AU528" s="26"/>
      <c r="AV528" s="26"/>
      <c r="AW528" s="26"/>
      <c r="AX528" s="26"/>
      <c r="AY528" s="26"/>
      <c r="AZ528" s="26"/>
      <c r="BA528" s="26"/>
    </row>
    <row r="529">
      <c r="A529" s="26"/>
      <c r="B529" s="26"/>
      <c r="C529" s="26"/>
      <c r="D529" s="27"/>
      <c r="E529" s="27"/>
      <c r="F529" s="26"/>
      <c r="G529" s="28"/>
      <c r="H529" s="28"/>
      <c r="I529" s="28"/>
      <c r="J529" s="28"/>
      <c r="K529" s="28"/>
      <c r="L529" s="28"/>
      <c r="M529" s="28"/>
      <c r="N529" s="26"/>
      <c r="O529" s="29"/>
      <c r="P529" s="27"/>
      <c r="Q529" s="26"/>
      <c r="R529" s="29"/>
      <c r="S529" s="28"/>
      <c r="T529" s="29"/>
      <c r="U529" s="28"/>
      <c r="V529" s="28"/>
      <c r="W529" s="28"/>
      <c r="X529" s="28"/>
      <c r="Y529" s="26"/>
      <c r="Z529" s="29"/>
      <c r="AA529" s="28"/>
      <c r="AB529" s="26"/>
      <c r="AC529" s="29"/>
      <c r="AD529" s="25"/>
      <c r="AE529" s="29"/>
      <c r="AF529" s="25"/>
      <c r="AG529" s="25"/>
      <c r="AH529" s="25"/>
      <c r="AI529" s="25"/>
      <c r="AJ529" s="26"/>
      <c r="AK529" s="29"/>
      <c r="AL529" s="28"/>
      <c r="AM529" s="26"/>
      <c r="AN529" s="29"/>
      <c r="AO529" s="25"/>
      <c r="AP529" s="29"/>
      <c r="AQ529" s="25"/>
      <c r="AR529" s="25"/>
      <c r="AS529" s="25"/>
      <c r="AT529" s="25"/>
      <c r="AU529" s="26"/>
      <c r="AV529" s="26"/>
      <c r="AW529" s="26"/>
      <c r="AX529" s="26"/>
      <c r="AY529" s="26"/>
      <c r="AZ529" s="26"/>
      <c r="BA529" s="26"/>
    </row>
    <row r="530">
      <c r="A530" s="26"/>
      <c r="B530" s="26"/>
      <c r="C530" s="26"/>
      <c r="D530" s="27"/>
      <c r="E530" s="27"/>
      <c r="F530" s="26"/>
      <c r="G530" s="28"/>
      <c r="H530" s="28"/>
      <c r="I530" s="28"/>
      <c r="J530" s="28"/>
      <c r="K530" s="28"/>
      <c r="L530" s="28"/>
      <c r="M530" s="28"/>
      <c r="N530" s="26"/>
      <c r="O530" s="29"/>
      <c r="P530" s="27"/>
      <c r="Q530" s="26"/>
      <c r="R530" s="29"/>
      <c r="S530" s="28"/>
      <c r="T530" s="29"/>
      <c r="U530" s="28"/>
      <c r="V530" s="28"/>
      <c r="W530" s="28"/>
      <c r="X530" s="28"/>
      <c r="Y530" s="26"/>
      <c r="Z530" s="29"/>
      <c r="AA530" s="28"/>
      <c r="AB530" s="26"/>
      <c r="AC530" s="29"/>
      <c r="AD530" s="25"/>
      <c r="AE530" s="29"/>
      <c r="AF530" s="25"/>
      <c r="AG530" s="25"/>
      <c r="AH530" s="25"/>
      <c r="AI530" s="25"/>
      <c r="AJ530" s="26"/>
      <c r="AK530" s="29"/>
      <c r="AL530" s="28"/>
      <c r="AM530" s="26"/>
      <c r="AN530" s="29"/>
      <c r="AO530" s="25"/>
      <c r="AP530" s="29"/>
      <c r="AQ530" s="25"/>
      <c r="AR530" s="25"/>
      <c r="AS530" s="25"/>
      <c r="AT530" s="25"/>
      <c r="AU530" s="26"/>
      <c r="AV530" s="26"/>
      <c r="AW530" s="26"/>
      <c r="AX530" s="26"/>
      <c r="AY530" s="26"/>
      <c r="AZ530" s="26"/>
      <c r="BA530" s="26"/>
    </row>
    <row r="531">
      <c r="A531" s="26"/>
      <c r="B531" s="26"/>
      <c r="C531" s="26"/>
      <c r="D531" s="27"/>
      <c r="E531" s="27"/>
      <c r="F531" s="26"/>
      <c r="G531" s="28"/>
      <c r="H531" s="28"/>
      <c r="I531" s="28"/>
      <c r="J531" s="28"/>
      <c r="K531" s="28"/>
      <c r="L531" s="28"/>
      <c r="M531" s="28"/>
      <c r="N531" s="26"/>
      <c r="O531" s="29"/>
      <c r="P531" s="27"/>
      <c r="Q531" s="26"/>
      <c r="R531" s="29"/>
      <c r="S531" s="28"/>
      <c r="T531" s="29"/>
      <c r="U531" s="28"/>
      <c r="V531" s="28"/>
      <c r="W531" s="28"/>
      <c r="X531" s="28"/>
      <c r="Y531" s="26"/>
      <c r="Z531" s="29"/>
      <c r="AA531" s="28"/>
      <c r="AB531" s="26"/>
      <c r="AC531" s="29"/>
      <c r="AD531" s="25"/>
      <c r="AE531" s="29"/>
      <c r="AF531" s="25"/>
      <c r="AG531" s="25"/>
      <c r="AH531" s="25"/>
      <c r="AI531" s="25"/>
      <c r="AJ531" s="26"/>
      <c r="AK531" s="29"/>
      <c r="AL531" s="28"/>
      <c r="AM531" s="26"/>
      <c r="AN531" s="29"/>
      <c r="AO531" s="25"/>
      <c r="AP531" s="29"/>
      <c r="AQ531" s="25"/>
      <c r="AR531" s="25"/>
      <c r="AS531" s="25"/>
      <c r="AT531" s="25"/>
      <c r="AU531" s="26"/>
      <c r="AV531" s="26"/>
      <c r="AW531" s="26"/>
      <c r="AX531" s="26"/>
      <c r="AY531" s="26"/>
      <c r="AZ531" s="26"/>
      <c r="BA531" s="26"/>
    </row>
    <row r="532">
      <c r="A532" s="26"/>
      <c r="B532" s="26"/>
      <c r="C532" s="26"/>
      <c r="D532" s="27"/>
      <c r="E532" s="27"/>
      <c r="F532" s="26"/>
      <c r="G532" s="28"/>
      <c r="H532" s="28"/>
      <c r="I532" s="28"/>
      <c r="J532" s="28"/>
      <c r="K532" s="28"/>
      <c r="L532" s="28"/>
      <c r="M532" s="28"/>
      <c r="N532" s="26"/>
      <c r="O532" s="29"/>
      <c r="P532" s="27"/>
      <c r="Q532" s="26"/>
      <c r="R532" s="29"/>
      <c r="S532" s="28"/>
      <c r="T532" s="29"/>
      <c r="U532" s="28"/>
      <c r="V532" s="28"/>
      <c r="W532" s="28"/>
      <c r="X532" s="28"/>
      <c r="Y532" s="26"/>
      <c r="Z532" s="29"/>
      <c r="AA532" s="28"/>
      <c r="AB532" s="26"/>
      <c r="AC532" s="29"/>
      <c r="AD532" s="25"/>
      <c r="AE532" s="29"/>
      <c r="AF532" s="25"/>
      <c r="AG532" s="25"/>
      <c r="AH532" s="25"/>
      <c r="AI532" s="25"/>
      <c r="AJ532" s="26"/>
      <c r="AK532" s="29"/>
      <c r="AL532" s="28"/>
      <c r="AM532" s="26"/>
      <c r="AN532" s="29"/>
      <c r="AO532" s="25"/>
      <c r="AP532" s="29"/>
      <c r="AQ532" s="25"/>
      <c r="AR532" s="25"/>
      <c r="AS532" s="25"/>
      <c r="AT532" s="25"/>
      <c r="AU532" s="26"/>
      <c r="AV532" s="26"/>
      <c r="AW532" s="26"/>
      <c r="AX532" s="26"/>
      <c r="AY532" s="26"/>
      <c r="AZ532" s="26"/>
      <c r="BA532" s="26"/>
    </row>
    <row r="533">
      <c r="A533" s="26"/>
      <c r="B533" s="26"/>
      <c r="C533" s="26"/>
      <c r="D533" s="27"/>
      <c r="E533" s="27"/>
      <c r="F533" s="26"/>
      <c r="G533" s="28"/>
      <c r="H533" s="28"/>
      <c r="I533" s="28"/>
      <c r="J533" s="28"/>
      <c r="K533" s="28"/>
      <c r="L533" s="28"/>
      <c r="M533" s="28"/>
      <c r="N533" s="26"/>
      <c r="O533" s="29"/>
      <c r="P533" s="27"/>
      <c r="Q533" s="26"/>
      <c r="R533" s="29"/>
      <c r="S533" s="28"/>
      <c r="T533" s="29"/>
      <c r="U533" s="28"/>
      <c r="V533" s="28"/>
      <c r="W533" s="28"/>
      <c r="X533" s="28"/>
      <c r="Y533" s="26"/>
      <c r="Z533" s="29"/>
      <c r="AA533" s="28"/>
      <c r="AB533" s="26"/>
      <c r="AC533" s="29"/>
      <c r="AD533" s="25"/>
      <c r="AE533" s="29"/>
      <c r="AF533" s="25"/>
      <c r="AG533" s="25"/>
      <c r="AH533" s="25"/>
      <c r="AI533" s="25"/>
      <c r="AJ533" s="26"/>
      <c r="AK533" s="29"/>
      <c r="AL533" s="28"/>
      <c r="AM533" s="26"/>
      <c r="AN533" s="29"/>
      <c r="AO533" s="25"/>
      <c r="AP533" s="29"/>
      <c r="AQ533" s="25"/>
      <c r="AR533" s="25"/>
      <c r="AS533" s="25"/>
      <c r="AT533" s="25"/>
      <c r="AU533" s="26"/>
      <c r="AV533" s="26"/>
      <c r="AW533" s="26"/>
      <c r="AX533" s="26"/>
      <c r="AY533" s="26"/>
      <c r="AZ533" s="26"/>
      <c r="BA533" s="26"/>
    </row>
    <row r="534">
      <c r="A534" s="26"/>
      <c r="B534" s="26"/>
      <c r="C534" s="26"/>
      <c r="D534" s="27"/>
      <c r="E534" s="27"/>
      <c r="F534" s="26"/>
      <c r="G534" s="28"/>
      <c r="H534" s="28"/>
      <c r="I534" s="28"/>
      <c r="J534" s="28"/>
      <c r="K534" s="28"/>
      <c r="L534" s="28"/>
      <c r="M534" s="28"/>
      <c r="N534" s="26"/>
      <c r="O534" s="29"/>
      <c r="P534" s="27"/>
      <c r="Q534" s="26"/>
      <c r="R534" s="29"/>
      <c r="S534" s="28"/>
      <c r="T534" s="29"/>
      <c r="U534" s="28"/>
      <c r="V534" s="28"/>
      <c r="W534" s="28"/>
      <c r="X534" s="28"/>
      <c r="Y534" s="26"/>
      <c r="Z534" s="29"/>
      <c r="AA534" s="28"/>
      <c r="AB534" s="26"/>
      <c r="AC534" s="29"/>
      <c r="AD534" s="25"/>
      <c r="AE534" s="29"/>
      <c r="AF534" s="25"/>
      <c r="AG534" s="25"/>
      <c r="AH534" s="25"/>
      <c r="AI534" s="25"/>
      <c r="AJ534" s="26"/>
      <c r="AK534" s="29"/>
      <c r="AL534" s="28"/>
      <c r="AM534" s="26"/>
      <c r="AN534" s="29"/>
      <c r="AO534" s="25"/>
      <c r="AP534" s="29"/>
      <c r="AQ534" s="25"/>
      <c r="AR534" s="25"/>
      <c r="AS534" s="25"/>
      <c r="AT534" s="25"/>
      <c r="AU534" s="26"/>
      <c r="AV534" s="26"/>
      <c r="AW534" s="26"/>
      <c r="AX534" s="26"/>
      <c r="AY534" s="26"/>
      <c r="AZ534" s="26"/>
      <c r="BA534" s="26"/>
    </row>
    <row r="535">
      <c r="A535" s="26"/>
      <c r="B535" s="26"/>
      <c r="C535" s="26"/>
      <c r="D535" s="27"/>
      <c r="E535" s="27"/>
      <c r="F535" s="26"/>
      <c r="G535" s="28"/>
      <c r="H535" s="28"/>
      <c r="I535" s="28"/>
      <c r="J535" s="28"/>
      <c r="K535" s="28"/>
      <c r="L535" s="28"/>
      <c r="M535" s="28"/>
      <c r="N535" s="26"/>
      <c r="O535" s="29"/>
      <c r="P535" s="27"/>
      <c r="Q535" s="26"/>
      <c r="R535" s="29"/>
      <c r="S535" s="28"/>
      <c r="T535" s="29"/>
      <c r="U535" s="28"/>
      <c r="V535" s="28"/>
      <c r="W535" s="28"/>
      <c r="X535" s="28"/>
      <c r="Y535" s="26"/>
      <c r="Z535" s="29"/>
      <c r="AA535" s="28"/>
      <c r="AB535" s="26"/>
      <c r="AC535" s="29"/>
      <c r="AD535" s="25"/>
      <c r="AE535" s="29"/>
      <c r="AF535" s="25"/>
      <c r="AG535" s="25"/>
      <c r="AH535" s="25"/>
      <c r="AI535" s="25"/>
      <c r="AJ535" s="26"/>
      <c r="AK535" s="29"/>
      <c r="AL535" s="28"/>
      <c r="AM535" s="26"/>
      <c r="AN535" s="29"/>
      <c r="AO535" s="25"/>
      <c r="AP535" s="29"/>
      <c r="AQ535" s="25"/>
      <c r="AR535" s="25"/>
      <c r="AS535" s="25"/>
      <c r="AT535" s="25"/>
      <c r="AU535" s="26"/>
      <c r="AV535" s="26"/>
      <c r="AW535" s="26"/>
      <c r="AX535" s="26"/>
      <c r="AY535" s="26"/>
      <c r="AZ535" s="26"/>
      <c r="BA535" s="26"/>
    </row>
    <row r="536">
      <c r="A536" s="26"/>
      <c r="B536" s="26"/>
      <c r="C536" s="26"/>
      <c r="D536" s="27"/>
      <c r="E536" s="27"/>
      <c r="F536" s="26"/>
      <c r="G536" s="28"/>
      <c r="H536" s="28"/>
      <c r="I536" s="28"/>
      <c r="J536" s="28"/>
      <c r="K536" s="28"/>
      <c r="L536" s="28"/>
      <c r="M536" s="28"/>
      <c r="N536" s="26"/>
      <c r="O536" s="29"/>
      <c r="P536" s="27"/>
      <c r="Q536" s="26"/>
      <c r="R536" s="29"/>
      <c r="S536" s="28"/>
      <c r="T536" s="29"/>
      <c r="U536" s="28"/>
      <c r="V536" s="28"/>
      <c r="W536" s="28"/>
      <c r="X536" s="28"/>
      <c r="Y536" s="26"/>
      <c r="Z536" s="29"/>
      <c r="AA536" s="28"/>
      <c r="AB536" s="26"/>
      <c r="AC536" s="29"/>
      <c r="AD536" s="25"/>
      <c r="AE536" s="29"/>
      <c r="AF536" s="25"/>
      <c r="AG536" s="25"/>
      <c r="AH536" s="25"/>
      <c r="AI536" s="25"/>
      <c r="AJ536" s="26"/>
      <c r="AK536" s="29"/>
      <c r="AL536" s="28"/>
      <c r="AM536" s="26"/>
      <c r="AN536" s="29"/>
      <c r="AO536" s="25"/>
      <c r="AP536" s="29"/>
      <c r="AQ536" s="25"/>
      <c r="AR536" s="25"/>
      <c r="AS536" s="25"/>
      <c r="AT536" s="25"/>
      <c r="AU536" s="26"/>
      <c r="AV536" s="26"/>
      <c r="AW536" s="26"/>
      <c r="AX536" s="26"/>
      <c r="AY536" s="26"/>
      <c r="AZ536" s="26"/>
      <c r="BA536" s="26"/>
    </row>
    <row r="537">
      <c r="A537" s="26"/>
      <c r="B537" s="26"/>
      <c r="C537" s="26"/>
      <c r="D537" s="27"/>
      <c r="E537" s="27"/>
      <c r="F537" s="26"/>
      <c r="G537" s="28"/>
      <c r="H537" s="28"/>
      <c r="I537" s="28"/>
      <c r="J537" s="28"/>
      <c r="K537" s="28"/>
      <c r="L537" s="28"/>
      <c r="M537" s="28"/>
      <c r="N537" s="26"/>
      <c r="O537" s="29"/>
      <c r="P537" s="27"/>
      <c r="Q537" s="26"/>
      <c r="R537" s="29"/>
      <c r="S537" s="28"/>
      <c r="T537" s="29"/>
      <c r="U537" s="28"/>
      <c r="V537" s="28"/>
      <c r="W537" s="28"/>
      <c r="X537" s="28"/>
      <c r="Y537" s="26"/>
      <c r="Z537" s="29"/>
      <c r="AA537" s="28"/>
      <c r="AB537" s="26"/>
      <c r="AC537" s="29"/>
      <c r="AD537" s="25"/>
      <c r="AE537" s="29"/>
      <c r="AF537" s="25"/>
      <c r="AG537" s="25"/>
      <c r="AH537" s="25"/>
      <c r="AI537" s="25"/>
      <c r="AJ537" s="26"/>
      <c r="AK537" s="29"/>
      <c r="AL537" s="28"/>
      <c r="AM537" s="26"/>
      <c r="AN537" s="29"/>
      <c r="AO537" s="25"/>
      <c r="AP537" s="29"/>
      <c r="AQ537" s="25"/>
      <c r="AR537" s="25"/>
      <c r="AS537" s="25"/>
      <c r="AT537" s="25"/>
      <c r="AU537" s="26"/>
      <c r="AV537" s="26"/>
      <c r="AW537" s="26"/>
      <c r="AX537" s="26"/>
      <c r="AY537" s="26"/>
      <c r="AZ537" s="26"/>
      <c r="BA537" s="26"/>
    </row>
    <row r="538">
      <c r="A538" s="26"/>
      <c r="B538" s="26"/>
      <c r="C538" s="26"/>
      <c r="D538" s="27"/>
      <c r="E538" s="27"/>
      <c r="F538" s="26"/>
      <c r="G538" s="28"/>
      <c r="H538" s="28"/>
      <c r="I538" s="28"/>
      <c r="J538" s="28"/>
      <c r="K538" s="28"/>
      <c r="L538" s="28"/>
      <c r="M538" s="28"/>
      <c r="N538" s="26"/>
      <c r="O538" s="29"/>
      <c r="P538" s="27"/>
      <c r="Q538" s="26"/>
      <c r="R538" s="29"/>
      <c r="S538" s="28"/>
      <c r="T538" s="29"/>
      <c r="U538" s="28"/>
      <c r="V538" s="28"/>
      <c r="W538" s="28"/>
      <c r="X538" s="28"/>
      <c r="Y538" s="26"/>
      <c r="Z538" s="29"/>
      <c r="AA538" s="28"/>
      <c r="AB538" s="26"/>
      <c r="AC538" s="29"/>
      <c r="AD538" s="25"/>
      <c r="AE538" s="29"/>
      <c r="AF538" s="25"/>
      <c r="AG538" s="25"/>
      <c r="AH538" s="25"/>
      <c r="AI538" s="25"/>
      <c r="AJ538" s="26"/>
      <c r="AK538" s="29"/>
      <c r="AL538" s="28"/>
      <c r="AM538" s="26"/>
      <c r="AN538" s="29"/>
      <c r="AO538" s="25"/>
      <c r="AP538" s="29"/>
      <c r="AQ538" s="25"/>
      <c r="AR538" s="25"/>
      <c r="AS538" s="25"/>
      <c r="AT538" s="25"/>
      <c r="AU538" s="26"/>
      <c r="AV538" s="26"/>
      <c r="AW538" s="26"/>
      <c r="AX538" s="26"/>
      <c r="AY538" s="26"/>
      <c r="AZ538" s="26"/>
      <c r="BA538" s="26"/>
    </row>
    <row r="539">
      <c r="A539" s="26"/>
      <c r="B539" s="26"/>
      <c r="C539" s="26"/>
      <c r="D539" s="27"/>
      <c r="E539" s="27"/>
      <c r="F539" s="26"/>
      <c r="G539" s="28"/>
      <c r="H539" s="28"/>
      <c r="I539" s="28"/>
      <c r="J539" s="28"/>
      <c r="K539" s="28"/>
      <c r="L539" s="28"/>
      <c r="M539" s="28"/>
      <c r="N539" s="26"/>
      <c r="O539" s="29"/>
      <c r="P539" s="27"/>
      <c r="Q539" s="26"/>
      <c r="R539" s="29"/>
      <c r="S539" s="28"/>
      <c r="T539" s="29"/>
      <c r="U539" s="28"/>
      <c r="V539" s="28"/>
      <c r="W539" s="28"/>
      <c r="X539" s="28"/>
      <c r="Y539" s="26"/>
      <c r="Z539" s="29"/>
      <c r="AA539" s="28"/>
      <c r="AB539" s="26"/>
      <c r="AC539" s="29"/>
      <c r="AD539" s="25"/>
      <c r="AE539" s="29"/>
      <c r="AF539" s="25"/>
      <c r="AG539" s="25"/>
      <c r="AH539" s="25"/>
      <c r="AI539" s="25"/>
      <c r="AJ539" s="26"/>
      <c r="AK539" s="29"/>
      <c r="AL539" s="28"/>
      <c r="AM539" s="26"/>
      <c r="AN539" s="29"/>
      <c r="AO539" s="25"/>
      <c r="AP539" s="29"/>
      <c r="AQ539" s="25"/>
      <c r="AR539" s="25"/>
      <c r="AS539" s="25"/>
      <c r="AT539" s="25"/>
      <c r="AU539" s="26"/>
      <c r="AV539" s="26"/>
      <c r="AW539" s="26"/>
      <c r="AX539" s="26"/>
      <c r="AY539" s="26"/>
      <c r="AZ539" s="26"/>
      <c r="BA539" s="26"/>
    </row>
    <row r="540">
      <c r="A540" s="26"/>
      <c r="B540" s="26"/>
      <c r="C540" s="26"/>
      <c r="D540" s="27"/>
      <c r="E540" s="27"/>
      <c r="F540" s="26"/>
      <c r="G540" s="28"/>
      <c r="H540" s="28"/>
      <c r="I540" s="28"/>
      <c r="J540" s="28"/>
      <c r="K540" s="28"/>
      <c r="L540" s="28"/>
      <c r="M540" s="28"/>
      <c r="N540" s="26"/>
      <c r="O540" s="29"/>
      <c r="P540" s="27"/>
      <c r="Q540" s="26"/>
      <c r="R540" s="29"/>
      <c r="S540" s="28"/>
      <c r="T540" s="29"/>
      <c r="U540" s="28"/>
      <c r="V540" s="28"/>
      <c r="W540" s="28"/>
      <c r="X540" s="28"/>
      <c r="Y540" s="26"/>
      <c r="Z540" s="29"/>
      <c r="AA540" s="28"/>
      <c r="AB540" s="26"/>
      <c r="AC540" s="29"/>
      <c r="AD540" s="25"/>
      <c r="AE540" s="29"/>
      <c r="AF540" s="25"/>
      <c r="AG540" s="25"/>
      <c r="AH540" s="25"/>
      <c r="AI540" s="25"/>
      <c r="AJ540" s="26"/>
      <c r="AK540" s="29"/>
      <c r="AL540" s="28"/>
      <c r="AM540" s="26"/>
      <c r="AN540" s="29"/>
      <c r="AO540" s="25"/>
      <c r="AP540" s="29"/>
      <c r="AQ540" s="25"/>
      <c r="AR540" s="25"/>
      <c r="AS540" s="25"/>
      <c r="AT540" s="25"/>
      <c r="AU540" s="26"/>
      <c r="AV540" s="26"/>
      <c r="AW540" s="26"/>
      <c r="AX540" s="26"/>
      <c r="AY540" s="26"/>
      <c r="AZ540" s="26"/>
      <c r="BA540" s="26"/>
    </row>
    <row r="541">
      <c r="A541" s="26"/>
      <c r="B541" s="26"/>
      <c r="C541" s="26"/>
      <c r="D541" s="27"/>
      <c r="E541" s="27"/>
      <c r="F541" s="26"/>
      <c r="G541" s="28"/>
      <c r="H541" s="28"/>
      <c r="I541" s="28"/>
      <c r="J541" s="28"/>
      <c r="K541" s="28"/>
      <c r="L541" s="28"/>
      <c r="M541" s="28"/>
      <c r="N541" s="26"/>
      <c r="O541" s="29"/>
      <c r="P541" s="27"/>
      <c r="Q541" s="26"/>
      <c r="R541" s="29"/>
      <c r="S541" s="28"/>
      <c r="T541" s="29"/>
      <c r="U541" s="28"/>
      <c r="V541" s="28"/>
      <c r="W541" s="28"/>
      <c r="X541" s="28"/>
      <c r="Y541" s="26"/>
      <c r="Z541" s="29"/>
      <c r="AA541" s="28"/>
      <c r="AB541" s="26"/>
      <c r="AC541" s="29"/>
      <c r="AD541" s="25"/>
      <c r="AE541" s="29"/>
      <c r="AF541" s="25"/>
      <c r="AG541" s="25"/>
      <c r="AH541" s="25"/>
      <c r="AI541" s="25"/>
      <c r="AJ541" s="26"/>
      <c r="AK541" s="29"/>
      <c r="AL541" s="28"/>
      <c r="AM541" s="26"/>
      <c r="AN541" s="29"/>
      <c r="AO541" s="25"/>
      <c r="AP541" s="29"/>
      <c r="AQ541" s="25"/>
      <c r="AR541" s="25"/>
      <c r="AS541" s="25"/>
      <c r="AT541" s="25"/>
      <c r="AU541" s="26"/>
      <c r="AV541" s="26"/>
      <c r="AW541" s="26"/>
      <c r="AX541" s="26"/>
      <c r="AY541" s="26"/>
      <c r="AZ541" s="26"/>
      <c r="BA541" s="26"/>
    </row>
    <row r="542">
      <c r="A542" s="26"/>
      <c r="B542" s="26"/>
      <c r="C542" s="26"/>
      <c r="D542" s="27"/>
      <c r="E542" s="27"/>
      <c r="F542" s="26"/>
      <c r="G542" s="28"/>
      <c r="H542" s="28"/>
      <c r="I542" s="28"/>
      <c r="J542" s="28"/>
      <c r="K542" s="28"/>
      <c r="L542" s="28"/>
      <c r="M542" s="28"/>
      <c r="N542" s="26"/>
      <c r="O542" s="29"/>
      <c r="P542" s="27"/>
      <c r="Q542" s="26"/>
      <c r="R542" s="29"/>
      <c r="S542" s="28"/>
      <c r="T542" s="29"/>
      <c r="U542" s="28"/>
      <c r="V542" s="28"/>
      <c r="W542" s="28"/>
      <c r="X542" s="28"/>
      <c r="Y542" s="26"/>
      <c r="Z542" s="29"/>
      <c r="AA542" s="28"/>
      <c r="AB542" s="26"/>
      <c r="AC542" s="29"/>
      <c r="AD542" s="25"/>
      <c r="AE542" s="29"/>
      <c r="AF542" s="25"/>
      <c r="AG542" s="25"/>
      <c r="AH542" s="25"/>
      <c r="AI542" s="25"/>
      <c r="AJ542" s="26"/>
      <c r="AK542" s="29"/>
      <c r="AL542" s="28"/>
      <c r="AM542" s="26"/>
      <c r="AN542" s="29"/>
      <c r="AO542" s="25"/>
      <c r="AP542" s="29"/>
      <c r="AQ542" s="25"/>
      <c r="AR542" s="25"/>
      <c r="AS542" s="25"/>
      <c r="AT542" s="25"/>
      <c r="AU542" s="26"/>
      <c r="AV542" s="26"/>
      <c r="AW542" s="26"/>
      <c r="AX542" s="26"/>
      <c r="AY542" s="26"/>
      <c r="AZ542" s="26"/>
      <c r="BA542" s="26"/>
    </row>
    <row r="543">
      <c r="A543" s="26"/>
      <c r="B543" s="26"/>
      <c r="C543" s="26"/>
      <c r="D543" s="27"/>
      <c r="E543" s="27"/>
      <c r="F543" s="26"/>
      <c r="G543" s="28"/>
      <c r="H543" s="28"/>
      <c r="I543" s="28"/>
      <c r="J543" s="28"/>
      <c r="K543" s="28"/>
      <c r="L543" s="28"/>
      <c r="M543" s="28"/>
      <c r="N543" s="26"/>
      <c r="O543" s="29"/>
      <c r="P543" s="27"/>
      <c r="Q543" s="26"/>
      <c r="R543" s="29"/>
      <c r="S543" s="28"/>
      <c r="T543" s="29"/>
      <c r="U543" s="28"/>
      <c r="V543" s="28"/>
      <c r="W543" s="28"/>
      <c r="X543" s="28"/>
      <c r="Y543" s="26"/>
      <c r="Z543" s="29"/>
      <c r="AA543" s="28"/>
      <c r="AB543" s="26"/>
      <c r="AC543" s="29"/>
      <c r="AD543" s="25"/>
      <c r="AE543" s="29"/>
      <c r="AF543" s="25"/>
      <c r="AG543" s="25"/>
      <c r="AH543" s="25"/>
      <c r="AI543" s="25"/>
      <c r="AJ543" s="26"/>
      <c r="AK543" s="29"/>
      <c r="AL543" s="28"/>
      <c r="AM543" s="26"/>
      <c r="AN543" s="29"/>
      <c r="AO543" s="25"/>
      <c r="AP543" s="29"/>
      <c r="AQ543" s="25"/>
      <c r="AR543" s="25"/>
      <c r="AS543" s="25"/>
      <c r="AT543" s="25"/>
      <c r="AU543" s="26"/>
      <c r="AV543" s="26"/>
      <c r="AW543" s="26"/>
      <c r="AX543" s="26"/>
      <c r="AY543" s="26"/>
      <c r="AZ543" s="26"/>
      <c r="BA543" s="26"/>
    </row>
    <row r="544">
      <c r="A544" s="26"/>
      <c r="B544" s="26"/>
      <c r="C544" s="26"/>
      <c r="D544" s="27"/>
      <c r="E544" s="27"/>
      <c r="F544" s="26"/>
      <c r="G544" s="28"/>
      <c r="H544" s="28"/>
      <c r="I544" s="28"/>
      <c r="J544" s="28"/>
      <c r="K544" s="28"/>
      <c r="L544" s="28"/>
      <c r="M544" s="28"/>
      <c r="N544" s="26"/>
      <c r="O544" s="29"/>
      <c r="P544" s="27"/>
      <c r="Q544" s="26"/>
      <c r="R544" s="29"/>
      <c r="S544" s="28"/>
      <c r="T544" s="29"/>
      <c r="U544" s="28"/>
      <c r="V544" s="28"/>
      <c r="W544" s="28"/>
      <c r="X544" s="28"/>
      <c r="Y544" s="26"/>
      <c r="Z544" s="29"/>
      <c r="AA544" s="28"/>
      <c r="AB544" s="26"/>
      <c r="AC544" s="29"/>
      <c r="AD544" s="25"/>
      <c r="AE544" s="29"/>
      <c r="AF544" s="25"/>
      <c r="AG544" s="25"/>
      <c r="AH544" s="25"/>
      <c r="AI544" s="25"/>
      <c r="AJ544" s="26"/>
      <c r="AK544" s="29"/>
      <c r="AL544" s="28"/>
      <c r="AM544" s="26"/>
      <c r="AN544" s="29"/>
      <c r="AO544" s="25"/>
      <c r="AP544" s="29"/>
      <c r="AQ544" s="25"/>
      <c r="AR544" s="25"/>
      <c r="AS544" s="25"/>
      <c r="AT544" s="25"/>
      <c r="AU544" s="26"/>
      <c r="AV544" s="26"/>
      <c r="AW544" s="26"/>
      <c r="AX544" s="26"/>
      <c r="AY544" s="26"/>
      <c r="AZ544" s="26"/>
      <c r="BA544" s="26"/>
    </row>
    <row r="545">
      <c r="A545" s="26"/>
      <c r="B545" s="26"/>
      <c r="C545" s="26"/>
      <c r="D545" s="27"/>
      <c r="E545" s="27"/>
      <c r="F545" s="26"/>
      <c r="G545" s="28"/>
      <c r="H545" s="28"/>
      <c r="I545" s="28"/>
      <c r="J545" s="28"/>
      <c r="K545" s="28"/>
      <c r="L545" s="28"/>
      <c r="M545" s="28"/>
      <c r="N545" s="26"/>
      <c r="O545" s="29"/>
      <c r="P545" s="27"/>
      <c r="Q545" s="26"/>
      <c r="R545" s="29"/>
      <c r="S545" s="28"/>
      <c r="T545" s="29"/>
      <c r="U545" s="28"/>
      <c r="V545" s="28"/>
      <c r="W545" s="28"/>
      <c r="X545" s="28"/>
      <c r="Y545" s="26"/>
      <c r="Z545" s="29"/>
      <c r="AA545" s="28"/>
      <c r="AB545" s="26"/>
      <c r="AC545" s="29"/>
      <c r="AD545" s="25"/>
      <c r="AE545" s="29"/>
      <c r="AF545" s="25"/>
      <c r="AG545" s="25"/>
      <c r="AH545" s="25"/>
      <c r="AI545" s="25"/>
      <c r="AJ545" s="26"/>
      <c r="AK545" s="29"/>
      <c r="AL545" s="28"/>
      <c r="AM545" s="26"/>
      <c r="AN545" s="29"/>
      <c r="AO545" s="25"/>
      <c r="AP545" s="29"/>
      <c r="AQ545" s="25"/>
      <c r="AR545" s="25"/>
      <c r="AS545" s="25"/>
      <c r="AT545" s="25"/>
      <c r="AU545" s="26"/>
      <c r="AV545" s="26"/>
      <c r="AW545" s="26"/>
      <c r="AX545" s="26"/>
      <c r="AY545" s="26"/>
      <c r="AZ545" s="26"/>
      <c r="BA545" s="26"/>
    </row>
    <row r="546">
      <c r="A546" s="26"/>
      <c r="B546" s="26"/>
      <c r="C546" s="26"/>
      <c r="D546" s="27"/>
      <c r="E546" s="27"/>
      <c r="F546" s="26"/>
      <c r="G546" s="28"/>
      <c r="H546" s="28"/>
      <c r="I546" s="28"/>
      <c r="J546" s="28"/>
      <c r="K546" s="28"/>
      <c r="L546" s="28"/>
      <c r="M546" s="28"/>
      <c r="N546" s="26"/>
      <c r="O546" s="29"/>
      <c r="P546" s="27"/>
      <c r="Q546" s="26"/>
      <c r="R546" s="29"/>
      <c r="S546" s="28"/>
      <c r="T546" s="29"/>
      <c r="U546" s="28"/>
      <c r="V546" s="28"/>
      <c r="W546" s="28"/>
      <c r="X546" s="28"/>
      <c r="Y546" s="26"/>
      <c r="Z546" s="29"/>
      <c r="AA546" s="28"/>
      <c r="AB546" s="26"/>
      <c r="AC546" s="29"/>
      <c r="AD546" s="25"/>
      <c r="AE546" s="29"/>
      <c r="AF546" s="25"/>
      <c r="AG546" s="25"/>
      <c r="AH546" s="25"/>
      <c r="AI546" s="25"/>
      <c r="AJ546" s="26"/>
      <c r="AK546" s="29"/>
      <c r="AL546" s="28"/>
      <c r="AM546" s="26"/>
      <c r="AN546" s="29"/>
      <c r="AO546" s="25"/>
      <c r="AP546" s="29"/>
      <c r="AQ546" s="25"/>
      <c r="AR546" s="25"/>
      <c r="AS546" s="25"/>
      <c r="AT546" s="25"/>
      <c r="AU546" s="26"/>
      <c r="AV546" s="26"/>
      <c r="AW546" s="26"/>
      <c r="AX546" s="26"/>
      <c r="AY546" s="26"/>
      <c r="AZ546" s="26"/>
      <c r="BA546" s="26"/>
    </row>
    <row r="547">
      <c r="A547" s="26"/>
      <c r="B547" s="26"/>
      <c r="C547" s="26"/>
      <c r="D547" s="27"/>
      <c r="E547" s="27"/>
      <c r="F547" s="26"/>
      <c r="G547" s="28"/>
      <c r="H547" s="28"/>
      <c r="I547" s="28"/>
      <c r="J547" s="28"/>
      <c r="K547" s="28"/>
      <c r="L547" s="28"/>
      <c r="M547" s="28"/>
      <c r="N547" s="26"/>
      <c r="O547" s="29"/>
      <c r="P547" s="27"/>
      <c r="Q547" s="26"/>
      <c r="R547" s="29"/>
      <c r="S547" s="28"/>
      <c r="T547" s="29"/>
      <c r="U547" s="28"/>
      <c r="V547" s="28"/>
      <c r="W547" s="28"/>
      <c r="X547" s="28"/>
      <c r="Y547" s="26"/>
      <c r="Z547" s="29"/>
      <c r="AA547" s="28"/>
      <c r="AB547" s="26"/>
      <c r="AC547" s="29"/>
      <c r="AD547" s="25"/>
      <c r="AE547" s="29"/>
      <c r="AF547" s="25"/>
      <c r="AG547" s="25"/>
      <c r="AH547" s="25"/>
      <c r="AI547" s="25"/>
      <c r="AJ547" s="26"/>
      <c r="AK547" s="29"/>
      <c r="AL547" s="28"/>
      <c r="AM547" s="26"/>
      <c r="AN547" s="29"/>
      <c r="AO547" s="25"/>
      <c r="AP547" s="29"/>
      <c r="AQ547" s="25"/>
      <c r="AR547" s="25"/>
      <c r="AS547" s="25"/>
      <c r="AT547" s="25"/>
      <c r="AU547" s="26"/>
      <c r="AV547" s="26"/>
      <c r="AW547" s="26"/>
      <c r="AX547" s="26"/>
      <c r="AY547" s="26"/>
      <c r="AZ547" s="26"/>
      <c r="BA547" s="26"/>
    </row>
    <row r="548">
      <c r="A548" s="26"/>
      <c r="B548" s="26"/>
      <c r="C548" s="26"/>
      <c r="D548" s="27"/>
      <c r="E548" s="27"/>
      <c r="F548" s="26"/>
      <c r="G548" s="28"/>
      <c r="H548" s="28"/>
      <c r="I548" s="28"/>
      <c r="J548" s="28"/>
      <c r="K548" s="28"/>
      <c r="L548" s="28"/>
      <c r="M548" s="28"/>
      <c r="N548" s="26"/>
      <c r="O548" s="29"/>
      <c r="P548" s="27"/>
      <c r="Q548" s="26"/>
      <c r="R548" s="29"/>
      <c r="S548" s="28"/>
      <c r="T548" s="29"/>
      <c r="U548" s="28"/>
      <c r="V548" s="28"/>
      <c r="W548" s="28"/>
      <c r="X548" s="28"/>
      <c r="Y548" s="26"/>
      <c r="Z548" s="29"/>
      <c r="AA548" s="28"/>
      <c r="AB548" s="26"/>
      <c r="AC548" s="29"/>
      <c r="AD548" s="25"/>
      <c r="AE548" s="29"/>
      <c r="AF548" s="25"/>
      <c r="AG548" s="25"/>
      <c r="AH548" s="25"/>
      <c r="AI548" s="25"/>
      <c r="AJ548" s="26"/>
      <c r="AK548" s="29"/>
      <c r="AL548" s="28"/>
      <c r="AM548" s="26"/>
      <c r="AN548" s="29"/>
      <c r="AO548" s="25"/>
      <c r="AP548" s="29"/>
      <c r="AQ548" s="25"/>
      <c r="AR548" s="25"/>
      <c r="AS548" s="25"/>
      <c r="AT548" s="25"/>
      <c r="AU548" s="26"/>
      <c r="AV548" s="26"/>
      <c r="AW548" s="26"/>
      <c r="AX548" s="26"/>
      <c r="AY548" s="26"/>
      <c r="AZ548" s="26"/>
      <c r="BA548" s="26"/>
    </row>
    <row r="549">
      <c r="A549" s="26"/>
      <c r="B549" s="26"/>
      <c r="C549" s="26"/>
      <c r="D549" s="27"/>
      <c r="E549" s="27"/>
      <c r="F549" s="26"/>
      <c r="G549" s="28"/>
      <c r="H549" s="28"/>
      <c r="I549" s="28"/>
      <c r="J549" s="28"/>
      <c r="K549" s="28"/>
      <c r="L549" s="28"/>
      <c r="M549" s="28"/>
      <c r="N549" s="26"/>
      <c r="O549" s="29"/>
      <c r="P549" s="27"/>
      <c r="Q549" s="26"/>
      <c r="R549" s="29"/>
      <c r="S549" s="28"/>
      <c r="T549" s="29"/>
      <c r="U549" s="28"/>
      <c r="V549" s="28"/>
      <c r="W549" s="28"/>
      <c r="X549" s="28"/>
      <c r="Y549" s="26"/>
      <c r="Z549" s="29"/>
      <c r="AA549" s="28"/>
      <c r="AB549" s="26"/>
      <c r="AC549" s="29"/>
      <c r="AD549" s="25"/>
      <c r="AE549" s="29"/>
      <c r="AF549" s="25"/>
      <c r="AG549" s="25"/>
      <c r="AH549" s="25"/>
      <c r="AI549" s="25"/>
      <c r="AJ549" s="26"/>
      <c r="AK549" s="29"/>
      <c r="AL549" s="28"/>
      <c r="AM549" s="26"/>
      <c r="AN549" s="29"/>
      <c r="AO549" s="25"/>
      <c r="AP549" s="29"/>
      <c r="AQ549" s="25"/>
      <c r="AR549" s="25"/>
      <c r="AS549" s="25"/>
      <c r="AT549" s="25"/>
      <c r="AU549" s="26"/>
      <c r="AV549" s="26"/>
      <c r="AW549" s="26"/>
      <c r="AX549" s="26"/>
      <c r="AY549" s="26"/>
      <c r="AZ549" s="26"/>
      <c r="BA549" s="26"/>
    </row>
    <row r="550">
      <c r="A550" s="26"/>
      <c r="B550" s="26"/>
      <c r="C550" s="26"/>
      <c r="D550" s="27"/>
      <c r="E550" s="27"/>
      <c r="F550" s="26"/>
      <c r="G550" s="28"/>
      <c r="H550" s="28"/>
      <c r="I550" s="28"/>
      <c r="J550" s="28"/>
      <c r="K550" s="28"/>
      <c r="L550" s="28"/>
      <c r="M550" s="28"/>
      <c r="N550" s="26"/>
      <c r="O550" s="29"/>
      <c r="P550" s="27"/>
      <c r="Q550" s="26"/>
      <c r="R550" s="29"/>
      <c r="S550" s="28"/>
      <c r="T550" s="29"/>
      <c r="U550" s="28"/>
      <c r="V550" s="28"/>
      <c r="W550" s="28"/>
      <c r="X550" s="28"/>
      <c r="Y550" s="26"/>
      <c r="Z550" s="29"/>
      <c r="AA550" s="28"/>
      <c r="AB550" s="26"/>
      <c r="AC550" s="29"/>
      <c r="AD550" s="25"/>
      <c r="AE550" s="29"/>
      <c r="AF550" s="25"/>
      <c r="AG550" s="25"/>
      <c r="AH550" s="25"/>
      <c r="AI550" s="25"/>
      <c r="AJ550" s="26"/>
      <c r="AK550" s="29"/>
      <c r="AL550" s="28"/>
      <c r="AM550" s="26"/>
      <c r="AN550" s="29"/>
      <c r="AO550" s="25"/>
      <c r="AP550" s="29"/>
      <c r="AQ550" s="25"/>
      <c r="AR550" s="25"/>
      <c r="AS550" s="25"/>
      <c r="AT550" s="25"/>
      <c r="AU550" s="26"/>
      <c r="AV550" s="26"/>
      <c r="AW550" s="26"/>
      <c r="AX550" s="26"/>
      <c r="AY550" s="26"/>
      <c r="AZ550" s="26"/>
      <c r="BA550" s="26"/>
    </row>
    <row r="551">
      <c r="A551" s="26"/>
      <c r="B551" s="26"/>
      <c r="C551" s="26"/>
      <c r="D551" s="27"/>
      <c r="E551" s="27"/>
      <c r="F551" s="26"/>
      <c r="G551" s="28"/>
      <c r="H551" s="28"/>
      <c r="I551" s="28"/>
      <c r="J551" s="28"/>
      <c r="K551" s="28"/>
      <c r="L551" s="28"/>
      <c r="M551" s="28"/>
      <c r="N551" s="26"/>
      <c r="O551" s="29"/>
      <c r="P551" s="27"/>
      <c r="Q551" s="26"/>
      <c r="R551" s="29"/>
      <c r="S551" s="28"/>
      <c r="T551" s="29"/>
      <c r="U551" s="28"/>
      <c r="V551" s="28"/>
      <c r="W551" s="28"/>
      <c r="X551" s="28"/>
      <c r="Y551" s="26"/>
      <c r="Z551" s="29"/>
      <c r="AA551" s="28"/>
      <c r="AB551" s="26"/>
      <c r="AC551" s="29"/>
      <c r="AD551" s="25"/>
      <c r="AE551" s="29"/>
      <c r="AF551" s="25"/>
      <c r="AG551" s="25"/>
      <c r="AH551" s="25"/>
      <c r="AI551" s="25"/>
      <c r="AJ551" s="26"/>
      <c r="AK551" s="29"/>
      <c r="AL551" s="28"/>
      <c r="AM551" s="26"/>
      <c r="AN551" s="29"/>
      <c r="AO551" s="25"/>
      <c r="AP551" s="29"/>
      <c r="AQ551" s="25"/>
      <c r="AR551" s="25"/>
      <c r="AS551" s="25"/>
      <c r="AT551" s="25"/>
      <c r="AU551" s="26"/>
      <c r="AV551" s="26"/>
      <c r="AW551" s="26"/>
      <c r="AX551" s="26"/>
      <c r="AY551" s="26"/>
      <c r="AZ551" s="26"/>
      <c r="BA551" s="26"/>
    </row>
    <row r="552">
      <c r="A552" s="26"/>
      <c r="B552" s="26"/>
      <c r="C552" s="26"/>
      <c r="D552" s="27"/>
      <c r="E552" s="27"/>
      <c r="F552" s="26"/>
      <c r="G552" s="28"/>
      <c r="H552" s="28"/>
      <c r="I552" s="28"/>
      <c r="J552" s="28"/>
      <c r="K552" s="28"/>
      <c r="L552" s="28"/>
      <c r="M552" s="28"/>
      <c r="N552" s="26"/>
      <c r="O552" s="29"/>
      <c r="P552" s="27"/>
      <c r="Q552" s="26"/>
      <c r="R552" s="29"/>
      <c r="S552" s="28"/>
      <c r="T552" s="29"/>
      <c r="U552" s="28"/>
      <c r="V552" s="28"/>
      <c r="W552" s="28"/>
      <c r="X552" s="28"/>
      <c r="Y552" s="26"/>
      <c r="Z552" s="29"/>
      <c r="AA552" s="28"/>
      <c r="AB552" s="26"/>
      <c r="AC552" s="29"/>
      <c r="AD552" s="25"/>
      <c r="AE552" s="29"/>
      <c r="AF552" s="25"/>
      <c r="AG552" s="25"/>
      <c r="AH552" s="25"/>
      <c r="AI552" s="25"/>
      <c r="AJ552" s="26"/>
      <c r="AK552" s="29"/>
      <c r="AL552" s="28"/>
      <c r="AM552" s="26"/>
      <c r="AN552" s="29"/>
      <c r="AO552" s="25"/>
      <c r="AP552" s="29"/>
      <c r="AQ552" s="25"/>
      <c r="AR552" s="25"/>
      <c r="AS552" s="25"/>
      <c r="AT552" s="25"/>
      <c r="AU552" s="26"/>
      <c r="AV552" s="26"/>
      <c r="AW552" s="26"/>
      <c r="AX552" s="26"/>
      <c r="AY552" s="26"/>
      <c r="AZ552" s="26"/>
      <c r="BA552" s="26"/>
    </row>
    <row r="553">
      <c r="A553" s="26"/>
      <c r="B553" s="26"/>
      <c r="C553" s="26"/>
      <c r="D553" s="27"/>
      <c r="E553" s="27"/>
      <c r="F553" s="26"/>
      <c r="G553" s="28"/>
      <c r="H553" s="28"/>
      <c r="I553" s="28"/>
      <c r="J553" s="28"/>
      <c r="K553" s="28"/>
      <c r="L553" s="28"/>
      <c r="M553" s="28"/>
      <c r="N553" s="26"/>
      <c r="O553" s="29"/>
      <c r="P553" s="27"/>
      <c r="Q553" s="26"/>
      <c r="R553" s="29"/>
      <c r="S553" s="28"/>
      <c r="T553" s="29"/>
      <c r="U553" s="28"/>
      <c r="V553" s="28"/>
      <c r="W553" s="28"/>
      <c r="X553" s="28"/>
      <c r="Y553" s="26"/>
      <c r="Z553" s="29"/>
      <c r="AA553" s="28"/>
      <c r="AB553" s="26"/>
      <c r="AC553" s="29"/>
      <c r="AD553" s="25"/>
      <c r="AE553" s="29"/>
      <c r="AF553" s="25"/>
      <c r="AG553" s="25"/>
      <c r="AH553" s="25"/>
      <c r="AI553" s="25"/>
      <c r="AJ553" s="26"/>
      <c r="AK553" s="29"/>
      <c r="AL553" s="28"/>
      <c r="AM553" s="26"/>
      <c r="AN553" s="29"/>
      <c r="AO553" s="25"/>
      <c r="AP553" s="29"/>
      <c r="AQ553" s="25"/>
      <c r="AR553" s="25"/>
      <c r="AS553" s="25"/>
      <c r="AT553" s="25"/>
      <c r="AU553" s="26"/>
      <c r="AV553" s="26"/>
      <c r="AW553" s="26"/>
      <c r="AX553" s="26"/>
      <c r="AY553" s="26"/>
      <c r="AZ553" s="26"/>
      <c r="BA553" s="26"/>
    </row>
    <row r="554">
      <c r="A554" s="26"/>
      <c r="B554" s="26"/>
      <c r="C554" s="26"/>
      <c r="D554" s="27"/>
      <c r="E554" s="27"/>
      <c r="F554" s="26"/>
      <c r="G554" s="28"/>
      <c r="H554" s="28"/>
      <c r="I554" s="28"/>
      <c r="J554" s="28"/>
      <c r="K554" s="28"/>
      <c r="L554" s="28"/>
      <c r="M554" s="28"/>
      <c r="N554" s="26"/>
      <c r="O554" s="29"/>
      <c r="P554" s="27"/>
      <c r="Q554" s="26"/>
      <c r="R554" s="29"/>
      <c r="S554" s="28"/>
      <c r="T554" s="29"/>
      <c r="U554" s="28"/>
      <c r="V554" s="28"/>
      <c r="W554" s="28"/>
      <c r="X554" s="28"/>
      <c r="Y554" s="26"/>
      <c r="Z554" s="29"/>
      <c r="AA554" s="28"/>
      <c r="AB554" s="26"/>
      <c r="AC554" s="29"/>
      <c r="AD554" s="25"/>
      <c r="AE554" s="29"/>
      <c r="AF554" s="25"/>
      <c r="AG554" s="25"/>
      <c r="AH554" s="25"/>
      <c r="AI554" s="25"/>
      <c r="AJ554" s="26"/>
      <c r="AK554" s="29"/>
      <c r="AL554" s="28"/>
      <c r="AM554" s="26"/>
      <c r="AN554" s="29"/>
      <c r="AO554" s="25"/>
      <c r="AP554" s="29"/>
      <c r="AQ554" s="25"/>
      <c r="AR554" s="25"/>
      <c r="AS554" s="25"/>
      <c r="AT554" s="25"/>
      <c r="AU554" s="26"/>
      <c r="AV554" s="26"/>
      <c r="AW554" s="26"/>
      <c r="AX554" s="26"/>
      <c r="AY554" s="26"/>
      <c r="AZ554" s="26"/>
      <c r="BA554" s="26"/>
    </row>
    <row r="555">
      <c r="A555" s="26"/>
      <c r="B555" s="26"/>
      <c r="C555" s="26"/>
      <c r="D555" s="27"/>
      <c r="E555" s="27"/>
      <c r="F555" s="26"/>
      <c r="G555" s="28"/>
      <c r="H555" s="28"/>
      <c r="I555" s="28"/>
      <c r="J555" s="28"/>
      <c r="K555" s="28"/>
      <c r="L555" s="28"/>
      <c r="M555" s="28"/>
      <c r="N555" s="26"/>
      <c r="O555" s="29"/>
      <c r="P555" s="27"/>
      <c r="Q555" s="26"/>
      <c r="R555" s="29"/>
      <c r="S555" s="28"/>
      <c r="T555" s="29"/>
      <c r="U555" s="28"/>
      <c r="V555" s="28"/>
      <c r="W555" s="28"/>
      <c r="X555" s="28"/>
      <c r="Y555" s="26"/>
      <c r="Z555" s="29"/>
      <c r="AA555" s="28"/>
      <c r="AB555" s="26"/>
      <c r="AC555" s="29"/>
      <c r="AD555" s="25"/>
      <c r="AE555" s="29"/>
      <c r="AF555" s="25"/>
      <c r="AG555" s="25"/>
      <c r="AH555" s="25"/>
      <c r="AI555" s="25"/>
      <c r="AJ555" s="26"/>
      <c r="AK555" s="29"/>
      <c r="AL555" s="28"/>
      <c r="AM555" s="26"/>
      <c r="AN555" s="29"/>
      <c r="AO555" s="25"/>
      <c r="AP555" s="29"/>
      <c r="AQ555" s="25"/>
      <c r="AR555" s="25"/>
      <c r="AS555" s="25"/>
      <c r="AT555" s="25"/>
      <c r="AU555" s="26"/>
      <c r="AV555" s="26"/>
      <c r="AW555" s="26"/>
      <c r="AX555" s="26"/>
      <c r="AY555" s="26"/>
      <c r="AZ555" s="26"/>
      <c r="BA555" s="26"/>
    </row>
    <row r="556">
      <c r="A556" s="26"/>
      <c r="B556" s="26"/>
      <c r="C556" s="26"/>
      <c r="D556" s="27"/>
      <c r="E556" s="27"/>
      <c r="F556" s="26"/>
      <c r="G556" s="28"/>
      <c r="H556" s="28"/>
      <c r="I556" s="28"/>
      <c r="J556" s="28"/>
      <c r="K556" s="28"/>
      <c r="L556" s="28"/>
      <c r="M556" s="28"/>
      <c r="N556" s="26"/>
      <c r="O556" s="29"/>
      <c r="P556" s="27"/>
      <c r="Q556" s="26"/>
      <c r="R556" s="29"/>
      <c r="S556" s="28"/>
      <c r="T556" s="29"/>
      <c r="U556" s="28"/>
      <c r="V556" s="28"/>
      <c r="W556" s="28"/>
      <c r="X556" s="28"/>
      <c r="Y556" s="26"/>
      <c r="Z556" s="29"/>
      <c r="AA556" s="28"/>
      <c r="AB556" s="26"/>
      <c r="AC556" s="29"/>
      <c r="AD556" s="25"/>
      <c r="AE556" s="29"/>
      <c r="AF556" s="25"/>
      <c r="AG556" s="25"/>
      <c r="AH556" s="25"/>
      <c r="AI556" s="25"/>
      <c r="AJ556" s="26"/>
      <c r="AK556" s="29"/>
      <c r="AL556" s="28"/>
      <c r="AM556" s="26"/>
      <c r="AN556" s="29"/>
      <c r="AO556" s="25"/>
      <c r="AP556" s="29"/>
      <c r="AQ556" s="25"/>
      <c r="AR556" s="25"/>
      <c r="AS556" s="25"/>
      <c r="AT556" s="25"/>
      <c r="AU556" s="26"/>
      <c r="AV556" s="26"/>
      <c r="AW556" s="26"/>
      <c r="AX556" s="26"/>
      <c r="AY556" s="26"/>
      <c r="AZ556" s="26"/>
      <c r="BA556" s="26"/>
    </row>
    <row r="557">
      <c r="A557" s="26"/>
      <c r="B557" s="26"/>
      <c r="C557" s="26"/>
      <c r="D557" s="27"/>
      <c r="E557" s="27"/>
      <c r="F557" s="26"/>
      <c r="G557" s="28"/>
      <c r="H557" s="28"/>
      <c r="I557" s="28"/>
      <c r="J557" s="28"/>
      <c r="K557" s="28"/>
      <c r="L557" s="28"/>
      <c r="M557" s="28"/>
      <c r="N557" s="26"/>
      <c r="O557" s="29"/>
      <c r="P557" s="27"/>
      <c r="Q557" s="26"/>
      <c r="R557" s="29"/>
      <c r="S557" s="28"/>
      <c r="T557" s="29"/>
      <c r="U557" s="28"/>
      <c r="V557" s="28"/>
      <c r="W557" s="28"/>
      <c r="X557" s="28"/>
      <c r="Y557" s="26"/>
      <c r="Z557" s="29"/>
      <c r="AA557" s="28"/>
      <c r="AB557" s="26"/>
      <c r="AC557" s="29"/>
      <c r="AD557" s="25"/>
      <c r="AE557" s="29"/>
      <c r="AF557" s="25"/>
      <c r="AG557" s="25"/>
      <c r="AH557" s="25"/>
      <c r="AI557" s="25"/>
      <c r="AJ557" s="26"/>
      <c r="AK557" s="29"/>
      <c r="AL557" s="28"/>
      <c r="AM557" s="26"/>
      <c r="AN557" s="29"/>
      <c r="AO557" s="25"/>
      <c r="AP557" s="29"/>
      <c r="AQ557" s="25"/>
      <c r="AR557" s="25"/>
      <c r="AS557" s="25"/>
      <c r="AT557" s="25"/>
      <c r="AU557" s="26"/>
      <c r="AV557" s="26"/>
      <c r="AW557" s="26"/>
      <c r="AX557" s="26"/>
      <c r="AY557" s="26"/>
      <c r="AZ557" s="26"/>
      <c r="BA557" s="26"/>
    </row>
    <row r="558">
      <c r="A558" s="26"/>
      <c r="B558" s="26"/>
      <c r="C558" s="26"/>
      <c r="D558" s="27"/>
      <c r="E558" s="27"/>
      <c r="F558" s="26"/>
      <c r="G558" s="28"/>
      <c r="H558" s="28"/>
      <c r="I558" s="28"/>
      <c r="J558" s="28"/>
      <c r="K558" s="28"/>
      <c r="L558" s="28"/>
      <c r="M558" s="28"/>
      <c r="N558" s="26"/>
      <c r="O558" s="29"/>
      <c r="P558" s="27"/>
      <c r="Q558" s="26"/>
      <c r="R558" s="29"/>
      <c r="S558" s="28"/>
      <c r="T558" s="29"/>
      <c r="U558" s="28"/>
      <c r="V558" s="28"/>
      <c r="W558" s="28"/>
      <c r="X558" s="28"/>
      <c r="Y558" s="26"/>
      <c r="Z558" s="29"/>
      <c r="AA558" s="28"/>
      <c r="AB558" s="26"/>
      <c r="AC558" s="29"/>
      <c r="AD558" s="25"/>
      <c r="AE558" s="29"/>
      <c r="AF558" s="25"/>
      <c r="AG558" s="25"/>
      <c r="AH558" s="25"/>
      <c r="AI558" s="25"/>
      <c r="AJ558" s="26"/>
      <c r="AK558" s="29"/>
      <c r="AL558" s="28"/>
      <c r="AM558" s="26"/>
      <c r="AN558" s="29"/>
      <c r="AO558" s="25"/>
      <c r="AP558" s="29"/>
      <c r="AQ558" s="25"/>
      <c r="AR558" s="25"/>
      <c r="AS558" s="25"/>
      <c r="AT558" s="25"/>
      <c r="AU558" s="26"/>
      <c r="AV558" s="26"/>
      <c r="AW558" s="26"/>
      <c r="AX558" s="26"/>
      <c r="AY558" s="26"/>
      <c r="AZ558" s="26"/>
      <c r="BA558" s="26"/>
    </row>
    <row r="559">
      <c r="A559" s="26"/>
      <c r="B559" s="26"/>
      <c r="C559" s="26"/>
      <c r="D559" s="27"/>
      <c r="E559" s="27"/>
      <c r="F559" s="26"/>
      <c r="G559" s="28"/>
      <c r="H559" s="28"/>
      <c r="I559" s="28"/>
      <c r="J559" s="28"/>
      <c r="K559" s="28"/>
      <c r="L559" s="28"/>
      <c r="M559" s="28"/>
      <c r="N559" s="26"/>
      <c r="O559" s="29"/>
      <c r="P559" s="27"/>
      <c r="Q559" s="26"/>
      <c r="R559" s="29"/>
      <c r="S559" s="28"/>
      <c r="T559" s="29"/>
      <c r="U559" s="28"/>
      <c r="V559" s="28"/>
      <c r="W559" s="28"/>
      <c r="X559" s="28"/>
      <c r="Y559" s="26"/>
      <c r="Z559" s="29"/>
      <c r="AA559" s="28"/>
      <c r="AB559" s="26"/>
      <c r="AC559" s="29"/>
      <c r="AD559" s="25"/>
      <c r="AE559" s="29"/>
      <c r="AF559" s="25"/>
      <c r="AG559" s="25"/>
      <c r="AH559" s="25"/>
      <c r="AI559" s="25"/>
      <c r="AJ559" s="26"/>
      <c r="AK559" s="29"/>
      <c r="AL559" s="28"/>
      <c r="AM559" s="26"/>
      <c r="AN559" s="29"/>
      <c r="AO559" s="25"/>
      <c r="AP559" s="29"/>
      <c r="AQ559" s="25"/>
      <c r="AR559" s="25"/>
      <c r="AS559" s="25"/>
      <c r="AT559" s="25"/>
      <c r="AU559" s="26"/>
      <c r="AV559" s="26"/>
      <c r="AW559" s="26"/>
      <c r="AX559" s="26"/>
      <c r="AY559" s="26"/>
      <c r="AZ559" s="26"/>
      <c r="BA559" s="26"/>
    </row>
    <row r="560">
      <c r="A560" s="26"/>
      <c r="B560" s="26"/>
      <c r="C560" s="26"/>
      <c r="D560" s="27"/>
      <c r="E560" s="27"/>
      <c r="F560" s="26"/>
      <c r="G560" s="28"/>
      <c r="H560" s="28"/>
      <c r="I560" s="28"/>
      <c r="J560" s="28"/>
      <c r="K560" s="28"/>
      <c r="L560" s="28"/>
      <c r="M560" s="28"/>
      <c r="N560" s="26"/>
      <c r="O560" s="29"/>
      <c r="P560" s="27"/>
      <c r="Q560" s="26"/>
      <c r="R560" s="29"/>
      <c r="S560" s="28"/>
      <c r="T560" s="29"/>
      <c r="U560" s="28"/>
      <c r="V560" s="28"/>
      <c r="W560" s="28"/>
      <c r="X560" s="28"/>
      <c r="Y560" s="26"/>
      <c r="Z560" s="29"/>
      <c r="AA560" s="28"/>
      <c r="AB560" s="26"/>
      <c r="AC560" s="29"/>
      <c r="AD560" s="25"/>
      <c r="AE560" s="29"/>
      <c r="AF560" s="25"/>
      <c r="AG560" s="25"/>
      <c r="AH560" s="25"/>
      <c r="AI560" s="25"/>
      <c r="AJ560" s="26"/>
      <c r="AK560" s="29"/>
      <c r="AL560" s="28"/>
      <c r="AM560" s="26"/>
      <c r="AN560" s="29"/>
      <c r="AO560" s="25"/>
      <c r="AP560" s="29"/>
      <c r="AQ560" s="25"/>
      <c r="AR560" s="25"/>
      <c r="AS560" s="25"/>
      <c r="AT560" s="25"/>
      <c r="AU560" s="26"/>
      <c r="AV560" s="26"/>
      <c r="AW560" s="26"/>
      <c r="AX560" s="26"/>
      <c r="AY560" s="26"/>
      <c r="AZ560" s="26"/>
      <c r="BA560" s="26"/>
    </row>
    <row r="561">
      <c r="A561" s="26"/>
      <c r="B561" s="26"/>
      <c r="C561" s="26"/>
      <c r="D561" s="27"/>
      <c r="E561" s="27"/>
      <c r="F561" s="26"/>
      <c r="G561" s="28"/>
      <c r="H561" s="28"/>
      <c r="I561" s="28"/>
      <c r="J561" s="28"/>
      <c r="K561" s="28"/>
      <c r="L561" s="28"/>
      <c r="M561" s="28"/>
      <c r="N561" s="26"/>
      <c r="O561" s="29"/>
      <c r="P561" s="27"/>
      <c r="Q561" s="26"/>
      <c r="R561" s="29"/>
      <c r="S561" s="28"/>
      <c r="T561" s="29"/>
      <c r="U561" s="28"/>
      <c r="V561" s="28"/>
      <c r="W561" s="28"/>
      <c r="X561" s="28"/>
      <c r="Y561" s="26"/>
      <c r="Z561" s="29"/>
      <c r="AA561" s="28"/>
      <c r="AB561" s="26"/>
      <c r="AC561" s="29"/>
      <c r="AD561" s="25"/>
      <c r="AE561" s="29"/>
      <c r="AF561" s="25"/>
      <c r="AG561" s="25"/>
      <c r="AH561" s="25"/>
      <c r="AI561" s="25"/>
      <c r="AJ561" s="26"/>
      <c r="AK561" s="29"/>
      <c r="AL561" s="28"/>
      <c r="AM561" s="26"/>
      <c r="AN561" s="29"/>
      <c r="AO561" s="25"/>
      <c r="AP561" s="29"/>
      <c r="AQ561" s="25"/>
      <c r="AR561" s="25"/>
      <c r="AS561" s="25"/>
      <c r="AT561" s="25"/>
      <c r="AU561" s="26"/>
      <c r="AV561" s="26"/>
      <c r="AW561" s="26"/>
      <c r="AX561" s="26"/>
      <c r="AY561" s="26"/>
      <c r="AZ561" s="26"/>
      <c r="BA561" s="26"/>
    </row>
    <row r="562">
      <c r="A562" s="26"/>
      <c r="B562" s="26"/>
      <c r="C562" s="26"/>
      <c r="D562" s="27"/>
      <c r="E562" s="27"/>
      <c r="F562" s="26"/>
      <c r="G562" s="28"/>
      <c r="H562" s="28"/>
      <c r="I562" s="28"/>
      <c r="J562" s="28"/>
      <c r="K562" s="28"/>
      <c r="L562" s="28"/>
      <c r="M562" s="28"/>
      <c r="N562" s="26"/>
      <c r="O562" s="29"/>
      <c r="P562" s="27"/>
      <c r="Q562" s="26"/>
      <c r="R562" s="29"/>
      <c r="S562" s="28"/>
      <c r="T562" s="29"/>
      <c r="U562" s="28"/>
      <c r="V562" s="28"/>
      <c r="W562" s="28"/>
      <c r="X562" s="28"/>
      <c r="Y562" s="26"/>
      <c r="Z562" s="29"/>
      <c r="AA562" s="28"/>
      <c r="AB562" s="26"/>
      <c r="AC562" s="29"/>
      <c r="AD562" s="25"/>
      <c r="AE562" s="29"/>
      <c r="AF562" s="25"/>
      <c r="AG562" s="25"/>
      <c r="AH562" s="25"/>
      <c r="AI562" s="25"/>
      <c r="AJ562" s="26"/>
      <c r="AK562" s="29"/>
      <c r="AL562" s="28"/>
      <c r="AM562" s="26"/>
      <c r="AN562" s="29"/>
      <c r="AO562" s="25"/>
      <c r="AP562" s="29"/>
      <c r="AQ562" s="25"/>
      <c r="AR562" s="25"/>
      <c r="AS562" s="25"/>
      <c r="AT562" s="25"/>
      <c r="AU562" s="26"/>
      <c r="AV562" s="26"/>
      <c r="AW562" s="26"/>
      <c r="AX562" s="26"/>
      <c r="AY562" s="26"/>
      <c r="AZ562" s="26"/>
      <c r="BA562" s="26"/>
    </row>
    <row r="563">
      <c r="A563" s="26"/>
      <c r="B563" s="26"/>
      <c r="C563" s="26"/>
      <c r="D563" s="27"/>
      <c r="E563" s="27"/>
      <c r="F563" s="26"/>
      <c r="G563" s="28"/>
      <c r="H563" s="28"/>
      <c r="I563" s="28"/>
      <c r="J563" s="28"/>
      <c r="K563" s="28"/>
      <c r="L563" s="28"/>
      <c r="M563" s="28"/>
      <c r="N563" s="26"/>
      <c r="O563" s="29"/>
      <c r="P563" s="27"/>
      <c r="Q563" s="26"/>
      <c r="R563" s="29"/>
      <c r="S563" s="28"/>
      <c r="T563" s="29"/>
      <c r="U563" s="28"/>
      <c r="V563" s="28"/>
      <c r="W563" s="28"/>
      <c r="X563" s="28"/>
      <c r="Y563" s="26"/>
      <c r="Z563" s="29"/>
      <c r="AA563" s="28"/>
      <c r="AB563" s="26"/>
      <c r="AC563" s="29"/>
      <c r="AD563" s="25"/>
      <c r="AE563" s="29"/>
      <c r="AF563" s="25"/>
      <c r="AG563" s="25"/>
      <c r="AH563" s="25"/>
      <c r="AI563" s="25"/>
      <c r="AJ563" s="26"/>
      <c r="AK563" s="29"/>
      <c r="AL563" s="28"/>
      <c r="AM563" s="26"/>
      <c r="AN563" s="29"/>
      <c r="AO563" s="25"/>
      <c r="AP563" s="29"/>
      <c r="AQ563" s="25"/>
      <c r="AR563" s="25"/>
      <c r="AS563" s="25"/>
      <c r="AT563" s="25"/>
      <c r="AU563" s="26"/>
      <c r="AV563" s="26"/>
      <c r="AW563" s="26"/>
      <c r="AX563" s="26"/>
      <c r="AY563" s="26"/>
      <c r="AZ563" s="26"/>
      <c r="BA563" s="26"/>
    </row>
    <row r="564">
      <c r="A564" s="26"/>
      <c r="B564" s="26"/>
      <c r="C564" s="26"/>
      <c r="D564" s="27"/>
      <c r="E564" s="27"/>
      <c r="F564" s="26"/>
      <c r="G564" s="28"/>
      <c r="H564" s="28"/>
      <c r="I564" s="28"/>
      <c r="J564" s="28"/>
      <c r="K564" s="28"/>
      <c r="L564" s="28"/>
      <c r="M564" s="28"/>
      <c r="N564" s="26"/>
      <c r="O564" s="29"/>
      <c r="P564" s="27"/>
      <c r="Q564" s="26"/>
      <c r="R564" s="29"/>
      <c r="S564" s="28"/>
      <c r="T564" s="29"/>
      <c r="U564" s="28"/>
      <c r="V564" s="28"/>
      <c r="W564" s="28"/>
      <c r="X564" s="28"/>
      <c r="Y564" s="26"/>
      <c r="Z564" s="29"/>
      <c r="AA564" s="28"/>
      <c r="AB564" s="26"/>
      <c r="AC564" s="29"/>
      <c r="AD564" s="25"/>
      <c r="AE564" s="29"/>
      <c r="AF564" s="25"/>
      <c r="AG564" s="25"/>
      <c r="AH564" s="25"/>
      <c r="AI564" s="25"/>
      <c r="AJ564" s="26"/>
      <c r="AK564" s="29"/>
      <c r="AL564" s="28"/>
      <c r="AM564" s="26"/>
      <c r="AN564" s="29"/>
      <c r="AO564" s="25"/>
      <c r="AP564" s="29"/>
      <c r="AQ564" s="25"/>
      <c r="AR564" s="25"/>
      <c r="AS564" s="25"/>
      <c r="AT564" s="25"/>
      <c r="AU564" s="26"/>
      <c r="AV564" s="26"/>
      <c r="AW564" s="26"/>
      <c r="AX564" s="26"/>
      <c r="AY564" s="26"/>
      <c r="AZ564" s="26"/>
      <c r="BA564" s="26"/>
    </row>
    <row r="565">
      <c r="A565" s="26"/>
      <c r="B565" s="26"/>
      <c r="C565" s="26"/>
      <c r="D565" s="27"/>
      <c r="E565" s="27"/>
      <c r="F565" s="26"/>
      <c r="G565" s="28"/>
      <c r="H565" s="28"/>
      <c r="I565" s="28"/>
      <c r="J565" s="28"/>
      <c r="K565" s="28"/>
      <c r="L565" s="28"/>
      <c r="M565" s="28"/>
      <c r="N565" s="26"/>
      <c r="O565" s="29"/>
      <c r="P565" s="27"/>
      <c r="Q565" s="26"/>
      <c r="R565" s="29"/>
      <c r="S565" s="28"/>
      <c r="T565" s="29"/>
      <c r="U565" s="28"/>
      <c r="V565" s="28"/>
      <c r="W565" s="28"/>
      <c r="X565" s="28"/>
      <c r="Y565" s="26"/>
      <c r="Z565" s="29"/>
      <c r="AA565" s="28"/>
      <c r="AB565" s="26"/>
      <c r="AC565" s="29"/>
      <c r="AD565" s="25"/>
      <c r="AE565" s="29"/>
      <c r="AF565" s="25"/>
      <c r="AG565" s="25"/>
      <c r="AH565" s="25"/>
      <c r="AI565" s="25"/>
      <c r="AJ565" s="26"/>
      <c r="AK565" s="29"/>
      <c r="AL565" s="28"/>
      <c r="AM565" s="26"/>
      <c r="AN565" s="29"/>
      <c r="AO565" s="25"/>
      <c r="AP565" s="29"/>
      <c r="AQ565" s="25"/>
      <c r="AR565" s="25"/>
      <c r="AS565" s="25"/>
      <c r="AT565" s="25"/>
      <c r="AU565" s="26"/>
      <c r="AV565" s="26"/>
      <c r="AW565" s="26"/>
      <c r="AX565" s="26"/>
      <c r="AY565" s="26"/>
      <c r="AZ565" s="26"/>
      <c r="BA565" s="26"/>
    </row>
    <row r="566">
      <c r="A566" s="26"/>
      <c r="B566" s="26"/>
      <c r="C566" s="26"/>
      <c r="D566" s="27"/>
      <c r="E566" s="27"/>
      <c r="F566" s="26"/>
      <c r="G566" s="28"/>
      <c r="H566" s="28"/>
      <c r="I566" s="28"/>
      <c r="J566" s="28"/>
      <c r="K566" s="28"/>
      <c r="L566" s="28"/>
      <c r="M566" s="28"/>
      <c r="N566" s="26"/>
      <c r="O566" s="29"/>
      <c r="P566" s="27"/>
      <c r="Q566" s="26"/>
      <c r="R566" s="29"/>
      <c r="S566" s="28"/>
      <c r="T566" s="29"/>
      <c r="U566" s="28"/>
      <c r="V566" s="28"/>
      <c r="W566" s="28"/>
      <c r="X566" s="28"/>
      <c r="Y566" s="26"/>
      <c r="Z566" s="29"/>
      <c r="AA566" s="28"/>
      <c r="AB566" s="26"/>
      <c r="AC566" s="29"/>
      <c r="AD566" s="25"/>
      <c r="AE566" s="29"/>
      <c r="AF566" s="25"/>
      <c r="AG566" s="25"/>
      <c r="AH566" s="25"/>
      <c r="AI566" s="25"/>
      <c r="AJ566" s="26"/>
      <c r="AK566" s="29"/>
      <c r="AL566" s="28"/>
      <c r="AM566" s="26"/>
      <c r="AN566" s="29"/>
      <c r="AO566" s="25"/>
      <c r="AP566" s="29"/>
      <c r="AQ566" s="25"/>
      <c r="AR566" s="25"/>
      <c r="AS566" s="25"/>
      <c r="AT566" s="25"/>
      <c r="AU566" s="26"/>
      <c r="AV566" s="26"/>
      <c r="AW566" s="26"/>
      <c r="AX566" s="26"/>
      <c r="AY566" s="26"/>
      <c r="AZ566" s="26"/>
      <c r="BA566" s="26"/>
    </row>
    <row r="567">
      <c r="A567" s="26"/>
      <c r="B567" s="26"/>
      <c r="C567" s="26"/>
      <c r="D567" s="27"/>
      <c r="E567" s="27"/>
      <c r="F567" s="26"/>
      <c r="G567" s="28"/>
      <c r="H567" s="28"/>
      <c r="I567" s="28"/>
      <c r="J567" s="28"/>
      <c r="K567" s="28"/>
      <c r="L567" s="28"/>
      <c r="M567" s="28"/>
      <c r="N567" s="26"/>
      <c r="O567" s="29"/>
      <c r="P567" s="27"/>
      <c r="Q567" s="26"/>
      <c r="R567" s="29"/>
      <c r="S567" s="28"/>
      <c r="T567" s="29"/>
      <c r="U567" s="28"/>
      <c r="V567" s="28"/>
      <c r="W567" s="28"/>
      <c r="X567" s="28"/>
      <c r="Y567" s="26"/>
      <c r="Z567" s="29"/>
      <c r="AA567" s="28"/>
      <c r="AB567" s="26"/>
      <c r="AC567" s="29"/>
      <c r="AD567" s="25"/>
      <c r="AE567" s="29"/>
      <c r="AF567" s="25"/>
      <c r="AG567" s="25"/>
      <c r="AH567" s="25"/>
      <c r="AI567" s="25"/>
      <c r="AJ567" s="26"/>
      <c r="AK567" s="29"/>
      <c r="AL567" s="28"/>
      <c r="AM567" s="26"/>
      <c r="AN567" s="29"/>
      <c r="AO567" s="25"/>
      <c r="AP567" s="29"/>
      <c r="AQ567" s="25"/>
      <c r="AR567" s="25"/>
      <c r="AS567" s="25"/>
      <c r="AT567" s="25"/>
      <c r="AU567" s="26"/>
      <c r="AV567" s="26"/>
      <c r="AW567" s="26"/>
      <c r="AX567" s="26"/>
      <c r="AY567" s="26"/>
      <c r="AZ567" s="26"/>
      <c r="BA567" s="26"/>
    </row>
    <row r="568">
      <c r="A568" s="26"/>
      <c r="B568" s="26"/>
      <c r="C568" s="26"/>
      <c r="D568" s="27"/>
      <c r="E568" s="27"/>
      <c r="F568" s="26"/>
      <c r="G568" s="28"/>
      <c r="H568" s="28"/>
      <c r="I568" s="28"/>
      <c r="J568" s="28"/>
      <c r="K568" s="28"/>
      <c r="L568" s="28"/>
      <c r="M568" s="28"/>
      <c r="N568" s="26"/>
      <c r="O568" s="29"/>
      <c r="P568" s="27"/>
      <c r="Q568" s="26"/>
      <c r="R568" s="29"/>
      <c r="S568" s="28"/>
      <c r="T568" s="29"/>
      <c r="U568" s="28"/>
      <c r="V568" s="28"/>
      <c r="W568" s="28"/>
      <c r="X568" s="28"/>
      <c r="Y568" s="26"/>
      <c r="Z568" s="29"/>
      <c r="AA568" s="28"/>
      <c r="AB568" s="26"/>
      <c r="AC568" s="29"/>
      <c r="AD568" s="25"/>
      <c r="AE568" s="29"/>
      <c r="AF568" s="25"/>
      <c r="AG568" s="25"/>
      <c r="AH568" s="25"/>
      <c r="AI568" s="25"/>
      <c r="AJ568" s="26"/>
      <c r="AK568" s="29"/>
      <c r="AL568" s="28"/>
      <c r="AM568" s="26"/>
      <c r="AN568" s="29"/>
      <c r="AO568" s="25"/>
      <c r="AP568" s="29"/>
      <c r="AQ568" s="25"/>
      <c r="AR568" s="25"/>
      <c r="AS568" s="25"/>
      <c r="AT568" s="25"/>
      <c r="AU568" s="26"/>
      <c r="AV568" s="26"/>
      <c r="AW568" s="26"/>
      <c r="AX568" s="26"/>
      <c r="AY568" s="26"/>
      <c r="AZ568" s="26"/>
      <c r="BA568" s="26"/>
    </row>
    <row r="569">
      <c r="A569" s="26"/>
      <c r="B569" s="26"/>
      <c r="C569" s="26"/>
      <c r="D569" s="27"/>
      <c r="E569" s="27"/>
      <c r="F569" s="26"/>
      <c r="G569" s="28"/>
      <c r="H569" s="28"/>
      <c r="I569" s="28"/>
      <c r="J569" s="28"/>
      <c r="K569" s="28"/>
      <c r="L569" s="28"/>
      <c r="M569" s="28"/>
      <c r="N569" s="26"/>
      <c r="O569" s="29"/>
      <c r="P569" s="27"/>
      <c r="Q569" s="26"/>
      <c r="R569" s="29"/>
      <c r="S569" s="28"/>
      <c r="T569" s="29"/>
      <c r="U569" s="28"/>
      <c r="V569" s="28"/>
      <c r="W569" s="28"/>
      <c r="X569" s="28"/>
      <c r="Y569" s="26"/>
      <c r="Z569" s="29"/>
      <c r="AA569" s="28"/>
      <c r="AB569" s="26"/>
      <c r="AC569" s="29"/>
      <c r="AD569" s="25"/>
      <c r="AE569" s="29"/>
      <c r="AF569" s="25"/>
      <c r="AG569" s="25"/>
      <c r="AH569" s="25"/>
      <c r="AI569" s="25"/>
      <c r="AJ569" s="26"/>
      <c r="AK569" s="29"/>
      <c r="AL569" s="28"/>
      <c r="AM569" s="26"/>
      <c r="AN569" s="29"/>
      <c r="AO569" s="25"/>
      <c r="AP569" s="29"/>
      <c r="AQ569" s="25"/>
      <c r="AR569" s="25"/>
      <c r="AS569" s="25"/>
      <c r="AT569" s="25"/>
      <c r="AU569" s="26"/>
      <c r="AV569" s="26"/>
      <c r="AW569" s="26"/>
      <c r="AX569" s="26"/>
      <c r="AY569" s="26"/>
      <c r="AZ569" s="26"/>
      <c r="BA569" s="26"/>
    </row>
    <row r="570">
      <c r="A570" s="26"/>
      <c r="B570" s="26"/>
      <c r="C570" s="26"/>
      <c r="D570" s="27"/>
      <c r="E570" s="27"/>
      <c r="F570" s="26"/>
      <c r="G570" s="28"/>
      <c r="H570" s="28"/>
      <c r="I570" s="28"/>
      <c r="J570" s="28"/>
      <c r="K570" s="28"/>
      <c r="L570" s="28"/>
      <c r="M570" s="28"/>
      <c r="N570" s="26"/>
      <c r="O570" s="29"/>
      <c r="P570" s="27"/>
      <c r="Q570" s="26"/>
      <c r="R570" s="29"/>
      <c r="S570" s="28"/>
      <c r="T570" s="29"/>
      <c r="U570" s="28"/>
      <c r="V570" s="28"/>
      <c r="W570" s="28"/>
      <c r="X570" s="28"/>
      <c r="Y570" s="26"/>
      <c r="Z570" s="29"/>
      <c r="AA570" s="28"/>
      <c r="AB570" s="26"/>
      <c r="AC570" s="29"/>
      <c r="AD570" s="25"/>
      <c r="AE570" s="29"/>
      <c r="AF570" s="25"/>
      <c r="AG570" s="25"/>
      <c r="AH570" s="25"/>
      <c r="AI570" s="25"/>
      <c r="AJ570" s="26"/>
      <c r="AK570" s="29"/>
      <c r="AL570" s="28"/>
      <c r="AM570" s="26"/>
      <c r="AN570" s="29"/>
      <c r="AO570" s="25"/>
      <c r="AP570" s="29"/>
      <c r="AQ570" s="25"/>
      <c r="AR570" s="25"/>
      <c r="AS570" s="25"/>
      <c r="AT570" s="25"/>
      <c r="AU570" s="26"/>
      <c r="AV570" s="26"/>
      <c r="AW570" s="26"/>
      <c r="AX570" s="26"/>
      <c r="AY570" s="26"/>
      <c r="AZ570" s="26"/>
      <c r="BA570" s="26"/>
    </row>
    <row r="571">
      <c r="A571" s="26"/>
      <c r="B571" s="26"/>
      <c r="C571" s="26"/>
      <c r="D571" s="27"/>
      <c r="E571" s="27"/>
      <c r="F571" s="26"/>
      <c r="G571" s="28"/>
      <c r="H571" s="28"/>
      <c r="I571" s="28"/>
      <c r="J571" s="28"/>
      <c r="K571" s="28"/>
      <c r="L571" s="28"/>
      <c r="M571" s="28"/>
      <c r="N571" s="26"/>
      <c r="O571" s="29"/>
      <c r="P571" s="27"/>
      <c r="Q571" s="26"/>
      <c r="R571" s="29"/>
      <c r="S571" s="28"/>
      <c r="T571" s="29"/>
      <c r="U571" s="28"/>
      <c r="V571" s="28"/>
      <c r="W571" s="28"/>
      <c r="X571" s="28"/>
      <c r="Y571" s="26"/>
      <c r="Z571" s="29"/>
      <c r="AA571" s="28"/>
      <c r="AB571" s="26"/>
      <c r="AC571" s="29"/>
      <c r="AD571" s="25"/>
      <c r="AE571" s="29"/>
      <c r="AF571" s="25"/>
      <c r="AG571" s="25"/>
      <c r="AH571" s="25"/>
      <c r="AI571" s="25"/>
      <c r="AJ571" s="26"/>
      <c r="AK571" s="29"/>
      <c r="AL571" s="28"/>
      <c r="AM571" s="26"/>
      <c r="AN571" s="29"/>
      <c r="AO571" s="25"/>
      <c r="AP571" s="29"/>
      <c r="AQ571" s="25"/>
      <c r="AR571" s="25"/>
      <c r="AS571" s="25"/>
      <c r="AT571" s="25"/>
      <c r="AU571" s="26"/>
      <c r="AV571" s="26"/>
      <c r="AW571" s="26"/>
      <c r="AX571" s="26"/>
      <c r="AY571" s="26"/>
      <c r="AZ571" s="26"/>
      <c r="BA571" s="26"/>
    </row>
    <row r="572">
      <c r="A572" s="26"/>
      <c r="B572" s="26"/>
      <c r="C572" s="26"/>
      <c r="D572" s="27"/>
      <c r="E572" s="27"/>
      <c r="F572" s="26"/>
      <c r="G572" s="28"/>
      <c r="H572" s="28"/>
      <c r="I572" s="28"/>
      <c r="J572" s="28"/>
      <c r="K572" s="28"/>
      <c r="L572" s="28"/>
      <c r="M572" s="28"/>
      <c r="N572" s="26"/>
      <c r="O572" s="29"/>
      <c r="P572" s="27"/>
      <c r="Q572" s="26"/>
      <c r="R572" s="29"/>
      <c r="S572" s="28"/>
      <c r="T572" s="29"/>
      <c r="U572" s="28"/>
      <c r="V572" s="28"/>
      <c r="W572" s="28"/>
      <c r="X572" s="28"/>
      <c r="Y572" s="26"/>
      <c r="Z572" s="29"/>
      <c r="AA572" s="28"/>
      <c r="AB572" s="26"/>
      <c r="AC572" s="29"/>
      <c r="AD572" s="25"/>
      <c r="AE572" s="29"/>
      <c r="AF572" s="25"/>
      <c r="AG572" s="25"/>
      <c r="AH572" s="25"/>
      <c r="AI572" s="25"/>
      <c r="AJ572" s="26"/>
      <c r="AK572" s="29"/>
      <c r="AL572" s="28"/>
      <c r="AM572" s="26"/>
      <c r="AN572" s="29"/>
      <c r="AO572" s="25"/>
      <c r="AP572" s="29"/>
      <c r="AQ572" s="25"/>
      <c r="AR572" s="25"/>
      <c r="AS572" s="25"/>
      <c r="AT572" s="25"/>
      <c r="AU572" s="26"/>
      <c r="AV572" s="26"/>
      <c r="AW572" s="26"/>
      <c r="AX572" s="26"/>
      <c r="AY572" s="26"/>
      <c r="AZ572" s="26"/>
      <c r="BA572" s="26"/>
    </row>
    <row r="573">
      <c r="A573" s="26"/>
      <c r="B573" s="26"/>
      <c r="C573" s="26"/>
      <c r="D573" s="27"/>
      <c r="E573" s="27"/>
      <c r="F573" s="26"/>
      <c r="G573" s="28"/>
      <c r="H573" s="28"/>
      <c r="I573" s="28"/>
      <c r="J573" s="28"/>
      <c r="K573" s="28"/>
      <c r="L573" s="28"/>
      <c r="M573" s="28"/>
      <c r="N573" s="26"/>
      <c r="O573" s="29"/>
      <c r="P573" s="27"/>
      <c r="Q573" s="26"/>
      <c r="R573" s="29"/>
      <c r="S573" s="28"/>
      <c r="T573" s="29"/>
      <c r="U573" s="28"/>
      <c r="V573" s="28"/>
      <c r="W573" s="28"/>
      <c r="X573" s="28"/>
      <c r="Y573" s="26"/>
      <c r="Z573" s="29"/>
      <c r="AA573" s="28"/>
      <c r="AB573" s="26"/>
      <c r="AC573" s="29"/>
      <c r="AD573" s="25"/>
      <c r="AE573" s="29"/>
      <c r="AF573" s="25"/>
      <c r="AG573" s="25"/>
      <c r="AH573" s="25"/>
      <c r="AI573" s="25"/>
      <c r="AJ573" s="26"/>
      <c r="AK573" s="29"/>
      <c r="AL573" s="28"/>
      <c r="AM573" s="26"/>
      <c r="AN573" s="29"/>
      <c r="AO573" s="25"/>
      <c r="AP573" s="29"/>
      <c r="AQ573" s="25"/>
      <c r="AR573" s="25"/>
      <c r="AS573" s="25"/>
      <c r="AT573" s="25"/>
      <c r="AU573" s="26"/>
      <c r="AV573" s="26"/>
      <c r="AW573" s="26"/>
      <c r="AX573" s="26"/>
      <c r="AY573" s="26"/>
      <c r="AZ573" s="26"/>
      <c r="BA573" s="26"/>
    </row>
    <row r="574">
      <c r="A574" s="26"/>
      <c r="B574" s="26"/>
      <c r="C574" s="26"/>
      <c r="D574" s="27"/>
      <c r="E574" s="27"/>
      <c r="F574" s="26"/>
      <c r="G574" s="28"/>
      <c r="H574" s="28"/>
      <c r="I574" s="28"/>
      <c r="J574" s="28"/>
      <c r="K574" s="28"/>
      <c r="L574" s="28"/>
      <c r="M574" s="28"/>
      <c r="N574" s="26"/>
      <c r="O574" s="29"/>
      <c r="P574" s="27"/>
      <c r="Q574" s="26"/>
      <c r="R574" s="29"/>
      <c r="S574" s="28"/>
      <c r="T574" s="29"/>
      <c r="U574" s="28"/>
      <c r="V574" s="28"/>
      <c r="W574" s="28"/>
      <c r="X574" s="28"/>
      <c r="Y574" s="26"/>
      <c r="Z574" s="29"/>
      <c r="AA574" s="28"/>
      <c r="AB574" s="26"/>
      <c r="AC574" s="29"/>
      <c r="AD574" s="25"/>
      <c r="AE574" s="29"/>
      <c r="AF574" s="25"/>
      <c r="AG574" s="25"/>
      <c r="AH574" s="25"/>
      <c r="AI574" s="25"/>
      <c r="AJ574" s="26"/>
      <c r="AK574" s="29"/>
      <c r="AL574" s="28"/>
      <c r="AM574" s="26"/>
      <c r="AN574" s="29"/>
      <c r="AO574" s="25"/>
      <c r="AP574" s="29"/>
      <c r="AQ574" s="25"/>
      <c r="AR574" s="25"/>
      <c r="AS574" s="25"/>
      <c r="AT574" s="25"/>
      <c r="AU574" s="26"/>
      <c r="AV574" s="26"/>
      <c r="AW574" s="26"/>
      <c r="AX574" s="26"/>
      <c r="AY574" s="26"/>
      <c r="AZ574" s="26"/>
      <c r="BA574" s="26"/>
    </row>
    <row r="575">
      <c r="A575" s="26"/>
      <c r="B575" s="26"/>
      <c r="C575" s="26"/>
      <c r="D575" s="27"/>
      <c r="E575" s="27"/>
      <c r="F575" s="26"/>
      <c r="G575" s="28"/>
      <c r="H575" s="28"/>
      <c r="I575" s="28"/>
      <c r="J575" s="28"/>
      <c r="K575" s="28"/>
      <c r="L575" s="28"/>
      <c r="M575" s="28"/>
      <c r="N575" s="26"/>
      <c r="O575" s="29"/>
      <c r="P575" s="27"/>
      <c r="Q575" s="26"/>
      <c r="R575" s="29"/>
      <c r="S575" s="28"/>
      <c r="T575" s="29"/>
      <c r="U575" s="28"/>
      <c r="V575" s="28"/>
      <c r="W575" s="28"/>
      <c r="X575" s="28"/>
      <c r="Y575" s="26"/>
      <c r="Z575" s="29"/>
      <c r="AA575" s="28"/>
      <c r="AB575" s="26"/>
      <c r="AC575" s="29"/>
      <c r="AD575" s="25"/>
      <c r="AE575" s="29"/>
      <c r="AF575" s="25"/>
      <c r="AG575" s="25"/>
      <c r="AH575" s="25"/>
      <c r="AI575" s="25"/>
      <c r="AJ575" s="26"/>
      <c r="AK575" s="29"/>
      <c r="AL575" s="28"/>
      <c r="AM575" s="26"/>
      <c r="AN575" s="29"/>
      <c r="AO575" s="25"/>
      <c r="AP575" s="29"/>
      <c r="AQ575" s="25"/>
      <c r="AR575" s="25"/>
      <c r="AS575" s="25"/>
      <c r="AT575" s="25"/>
      <c r="AU575" s="26"/>
      <c r="AV575" s="26"/>
      <c r="AW575" s="26"/>
      <c r="AX575" s="26"/>
      <c r="AY575" s="26"/>
      <c r="AZ575" s="26"/>
      <c r="BA575" s="26"/>
    </row>
    <row r="576">
      <c r="A576" s="26"/>
      <c r="B576" s="26"/>
      <c r="C576" s="26"/>
      <c r="D576" s="27"/>
      <c r="E576" s="27"/>
      <c r="F576" s="26"/>
      <c r="G576" s="28"/>
      <c r="H576" s="28"/>
      <c r="I576" s="28"/>
      <c r="J576" s="28"/>
      <c r="K576" s="28"/>
      <c r="L576" s="28"/>
      <c r="M576" s="28"/>
      <c r="N576" s="26"/>
      <c r="O576" s="29"/>
      <c r="P576" s="27"/>
      <c r="Q576" s="26"/>
      <c r="R576" s="29"/>
      <c r="S576" s="28"/>
      <c r="T576" s="29"/>
      <c r="U576" s="28"/>
      <c r="V576" s="28"/>
      <c r="W576" s="28"/>
      <c r="X576" s="28"/>
      <c r="Y576" s="26"/>
      <c r="Z576" s="29"/>
      <c r="AA576" s="28"/>
      <c r="AB576" s="26"/>
      <c r="AC576" s="29"/>
      <c r="AD576" s="25"/>
      <c r="AE576" s="29"/>
      <c r="AF576" s="25"/>
      <c r="AG576" s="25"/>
      <c r="AH576" s="25"/>
      <c r="AI576" s="25"/>
      <c r="AJ576" s="26"/>
      <c r="AK576" s="29"/>
      <c r="AL576" s="28"/>
      <c r="AM576" s="26"/>
      <c r="AN576" s="29"/>
      <c r="AO576" s="25"/>
      <c r="AP576" s="29"/>
      <c r="AQ576" s="25"/>
      <c r="AR576" s="25"/>
      <c r="AS576" s="25"/>
      <c r="AT576" s="25"/>
      <c r="AU576" s="26"/>
      <c r="AV576" s="26"/>
      <c r="AW576" s="26"/>
      <c r="AX576" s="26"/>
      <c r="AY576" s="26"/>
      <c r="AZ576" s="26"/>
      <c r="BA576" s="26"/>
    </row>
    <row r="577">
      <c r="A577" s="26"/>
      <c r="B577" s="26"/>
      <c r="C577" s="26"/>
      <c r="D577" s="27"/>
      <c r="E577" s="27"/>
      <c r="F577" s="26"/>
      <c r="G577" s="28"/>
      <c r="H577" s="28"/>
      <c r="I577" s="28"/>
      <c r="J577" s="28"/>
      <c r="K577" s="28"/>
      <c r="L577" s="28"/>
      <c r="M577" s="28"/>
      <c r="N577" s="26"/>
      <c r="O577" s="29"/>
      <c r="P577" s="27"/>
      <c r="Q577" s="26"/>
      <c r="R577" s="29"/>
      <c r="S577" s="28"/>
      <c r="T577" s="29"/>
      <c r="U577" s="28"/>
      <c r="V577" s="28"/>
      <c r="W577" s="28"/>
      <c r="X577" s="28"/>
      <c r="Y577" s="26"/>
      <c r="Z577" s="29"/>
      <c r="AA577" s="28"/>
      <c r="AB577" s="26"/>
      <c r="AC577" s="29"/>
      <c r="AD577" s="25"/>
      <c r="AE577" s="29"/>
      <c r="AF577" s="25"/>
      <c r="AG577" s="25"/>
      <c r="AH577" s="25"/>
      <c r="AI577" s="25"/>
      <c r="AJ577" s="26"/>
      <c r="AK577" s="29"/>
      <c r="AL577" s="28"/>
      <c r="AM577" s="26"/>
      <c r="AN577" s="29"/>
      <c r="AO577" s="25"/>
      <c r="AP577" s="29"/>
      <c r="AQ577" s="25"/>
      <c r="AR577" s="25"/>
      <c r="AS577" s="25"/>
      <c r="AT577" s="25"/>
      <c r="AU577" s="26"/>
      <c r="AV577" s="26"/>
      <c r="AW577" s="26"/>
      <c r="AX577" s="26"/>
      <c r="AY577" s="26"/>
      <c r="AZ577" s="26"/>
      <c r="BA577" s="26"/>
    </row>
    <row r="578">
      <c r="A578" s="26"/>
      <c r="B578" s="26"/>
      <c r="C578" s="26"/>
      <c r="D578" s="27"/>
      <c r="E578" s="27"/>
      <c r="F578" s="26"/>
      <c r="G578" s="28"/>
      <c r="H578" s="28"/>
      <c r="I578" s="28"/>
      <c r="J578" s="28"/>
      <c r="K578" s="28"/>
      <c r="L578" s="28"/>
      <c r="M578" s="28"/>
      <c r="N578" s="26"/>
      <c r="O578" s="29"/>
      <c r="P578" s="27"/>
      <c r="Q578" s="26"/>
      <c r="R578" s="29"/>
      <c r="S578" s="28"/>
      <c r="T578" s="29"/>
      <c r="U578" s="28"/>
      <c r="V578" s="28"/>
      <c r="W578" s="28"/>
      <c r="X578" s="28"/>
      <c r="Y578" s="26"/>
      <c r="Z578" s="29"/>
      <c r="AA578" s="28"/>
      <c r="AB578" s="26"/>
      <c r="AC578" s="29"/>
      <c r="AD578" s="25"/>
      <c r="AE578" s="29"/>
      <c r="AF578" s="25"/>
      <c r="AG578" s="25"/>
      <c r="AH578" s="25"/>
      <c r="AI578" s="25"/>
      <c r="AJ578" s="26"/>
      <c r="AK578" s="29"/>
      <c r="AL578" s="28"/>
      <c r="AM578" s="26"/>
      <c r="AN578" s="29"/>
      <c r="AO578" s="25"/>
      <c r="AP578" s="29"/>
      <c r="AQ578" s="25"/>
      <c r="AR578" s="25"/>
      <c r="AS578" s="25"/>
      <c r="AT578" s="25"/>
      <c r="AU578" s="26"/>
      <c r="AV578" s="26"/>
      <c r="AW578" s="26"/>
      <c r="AX578" s="26"/>
      <c r="AY578" s="26"/>
      <c r="AZ578" s="26"/>
      <c r="BA578" s="26"/>
    </row>
    <row r="579">
      <c r="A579" s="26"/>
      <c r="B579" s="26"/>
      <c r="C579" s="26"/>
      <c r="D579" s="27"/>
      <c r="E579" s="27"/>
      <c r="F579" s="26"/>
      <c r="G579" s="28"/>
      <c r="H579" s="28"/>
      <c r="I579" s="28"/>
      <c r="J579" s="28"/>
      <c r="K579" s="28"/>
      <c r="L579" s="28"/>
      <c r="M579" s="28"/>
      <c r="N579" s="26"/>
      <c r="O579" s="29"/>
      <c r="P579" s="27"/>
      <c r="Q579" s="26"/>
      <c r="R579" s="29"/>
      <c r="S579" s="28"/>
      <c r="T579" s="29"/>
      <c r="U579" s="28"/>
      <c r="V579" s="28"/>
      <c r="W579" s="28"/>
      <c r="X579" s="28"/>
      <c r="Y579" s="26"/>
      <c r="Z579" s="29"/>
      <c r="AA579" s="28"/>
      <c r="AB579" s="26"/>
      <c r="AC579" s="29"/>
      <c r="AD579" s="25"/>
      <c r="AE579" s="29"/>
      <c r="AF579" s="25"/>
      <c r="AG579" s="25"/>
      <c r="AH579" s="25"/>
      <c r="AI579" s="25"/>
      <c r="AJ579" s="26"/>
      <c r="AK579" s="29"/>
      <c r="AL579" s="28"/>
      <c r="AM579" s="26"/>
      <c r="AN579" s="29"/>
      <c r="AO579" s="25"/>
      <c r="AP579" s="29"/>
      <c r="AQ579" s="25"/>
      <c r="AR579" s="25"/>
      <c r="AS579" s="25"/>
      <c r="AT579" s="25"/>
      <c r="AU579" s="26"/>
      <c r="AV579" s="26"/>
      <c r="AW579" s="26"/>
      <c r="AX579" s="26"/>
      <c r="AY579" s="26"/>
      <c r="AZ579" s="26"/>
      <c r="BA579" s="26"/>
    </row>
    <row r="580">
      <c r="A580" s="26"/>
      <c r="B580" s="26"/>
      <c r="C580" s="26"/>
      <c r="D580" s="27"/>
      <c r="E580" s="27"/>
      <c r="F580" s="26"/>
      <c r="G580" s="28"/>
      <c r="H580" s="28"/>
      <c r="I580" s="28"/>
      <c r="J580" s="28"/>
      <c r="K580" s="28"/>
      <c r="L580" s="28"/>
      <c r="M580" s="28"/>
      <c r="N580" s="26"/>
      <c r="O580" s="29"/>
      <c r="P580" s="27"/>
      <c r="Q580" s="26"/>
      <c r="R580" s="29"/>
      <c r="S580" s="28"/>
      <c r="T580" s="29"/>
      <c r="U580" s="28"/>
      <c r="V580" s="28"/>
      <c r="W580" s="28"/>
      <c r="X580" s="28"/>
      <c r="Y580" s="26"/>
      <c r="Z580" s="29"/>
      <c r="AA580" s="28"/>
      <c r="AB580" s="26"/>
      <c r="AC580" s="29"/>
      <c r="AD580" s="25"/>
      <c r="AE580" s="29"/>
      <c r="AF580" s="25"/>
      <c r="AG580" s="25"/>
      <c r="AH580" s="25"/>
      <c r="AI580" s="25"/>
      <c r="AJ580" s="26"/>
      <c r="AK580" s="29"/>
      <c r="AL580" s="28"/>
      <c r="AM580" s="26"/>
      <c r="AN580" s="29"/>
      <c r="AO580" s="25"/>
      <c r="AP580" s="29"/>
      <c r="AQ580" s="25"/>
      <c r="AR580" s="25"/>
      <c r="AS580" s="25"/>
      <c r="AT580" s="25"/>
      <c r="AU580" s="26"/>
      <c r="AV580" s="26"/>
      <c r="AW580" s="26"/>
      <c r="AX580" s="26"/>
      <c r="AY580" s="26"/>
      <c r="AZ580" s="26"/>
      <c r="BA580" s="26"/>
    </row>
    <row r="581">
      <c r="A581" s="26"/>
      <c r="B581" s="26"/>
      <c r="C581" s="26"/>
      <c r="D581" s="27"/>
      <c r="E581" s="27"/>
      <c r="F581" s="26"/>
      <c r="G581" s="28"/>
      <c r="H581" s="28"/>
      <c r="I581" s="28"/>
      <c r="J581" s="28"/>
      <c r="K581" s="28"/>
      <c r="L581" s="28"/>
      <c r="M581" s="28"/>
      <c r="N581" s="26"/>
      <c r="O581" s="29"/>
      <c r="P581" s="27"/>
      <c r="Q581" s="26"/>
      <c r="R581" s="29"/>
      <c r="S581" s="28"/>
      <c r="T581" s="29"/>
      <c r="U581" s="28"/>
      <c r="V581" s="28"/>
      <c r="W581" s="28"/>
      <c r="X581" s="28"/>
      <c r="Y581" s="26"/>
      <c r="Z581" s="29"/>
      <c r="AA581" s="28"/>
      <c r="AB581" s="26"/>
      <c r="AC581" s="29"/>
      <c r="AD581" s="25"/>
      <c r="AE581" s="29"/>
      <c r="AF581" s="25"/>
      <c r="AG581" s="25"/>
      <c r="AH581" s="25"/>
      <c r="AI581" s="25"/>
      <c r="AJ581" s="26"/>
      <c r="AK581" s="29"/>
      <c r="AL581" s="28"/>
      <c r="AM581" s="26"/>
      <c r="AN581" s="29"/>
      <c r="AO581" s="25"/>
      <c r="AP581" s="29"/>
      <c r="AQ581" s="25"/>
      <c r="AR581" s="25"/>
      <c r="AS581" s="25"/>
      <c r="AT581" s="25"/>
      <c r="AU581" s="26"/>
      <c r="AV581" s="26"/>
      <c r="AW581" s="26"/>
      <c r="AX581" s="26"/>
      <c r="AY581" s="26"/>
      <c r="AZ581" s="26"/>
      <c r="BA581" s="26"/>
    </row>
    <row r="582">
      <c r="A582" s="26"/>
      <c r="B582" s="26"/>
      <c r="C582" s="26"/>
      <c r="D582" s="27"/>
      <c r="E582" s="27"/>
      <c r="F582" s="26"/>
      <c r="G582" s="28"/>
      <c r="H582" s="28"/>
      <c r="I582" s="28"/>
      <c r="J582" s="28"/>
      <c r="K582" s="28"/>
      <c r="L582" s="28"/>
      <c r="M582" s="28"/>
      <c r="N582" s="26"/>
      <c r="O582" s="29"/>
      <c r="P582" s="27"/>
      <c r="Q582" s="26"/>
      <c r="R582" s="29"/>
      <c r="S582" s="28"/>
      <c r="T582" s="29"/>
      <c r="U582" s="28"/>
      <c r="V582" s="28"/>
      <c r="W582" s="28"/>
      <c r="X582" s="28"/>
      <c r="Y582" s="26"/>
      <c r="Z582" s="29"/>
      <c r="AA582" s="28"/>
      <c r="AB582" s="26"/>
      <c r="AC582" s="29"/>
      <c r="AD582" s="25"/>
      <c r="AE582" s="29"/>
      <c r="AF582" s="25"/>
      <c r="AG582" s="25"/>
      <c r="AH582" s="25"/>
      <c r="AI582" s="25"/>
      <c r="AJ582" s="26"/>
      <c r="AK582" s="29"/>
      <c r="AL582" s="28"/>
      <c r="AM582" s="26"/>
      <c r="AN582" s="29"/>
      <c r="AO582" s="25"/>
      <c r="AP582" s="29"/>
      <c r="AQ582" s="25"/>
      <c r="AR582" s="25"/>
      <c r="AS582" s="25"/>
      <c r="AT582" s="25"/>
      <c r="AU582" s="26"/>
      <c r="AV582" s="26"/>
      <c r="AW582" s="26"/>
      <c r="AX582" s="26"/>
      <c r="AY582" s="26"/>
      <c r="AZ582" s="26"/>
      <c r="BA582" s="26"/>
    </row>
    <row r="583">
      <c r="A583" s="26"/>
      <c r="B583" s="26"/>
      <c r="C583" s="26"/>
      <c r="D583" s="27"/>
      <c r="E583" s="27"/>
      <c r="F583" s="26"/>
      <c r="G583" s="28"/>
      <c r="H583" s="28"/>
      <c r="I583" s="28"/>
      <c r="J583" s="28"/>
      <c r="K583" s="28"/>
      <c r="L583" s="28"/>
      <c r="M583" s="28"/>
      <c r="N583" s="26"/>
      <c r="O583" s="29"/>
      <c r="P583" s="27"/>
      <c r="Q583" s="26"/>
      <c r="R583" s="29"/>
      <c r="S583" s="28"/>
      <c r="T583" s="29"/>
      <c r="U583" s="28"/>
      <c r="V583" s="28"/>
      <c r="W583" s="28"/>
      <c r="X583" s="28"/>
      <c r="Y583" s="26"/>
      <c r="Z583" s="29"/>
      <c r="AA583" s="28"/>
      <c r="AB583" s="26"/>
      <c r="AC583" s="29"/>
      <c r="AD583" s="25"/>
      <c r="AE583" s="29"/>
      <c r="AF583" s="25"/>
      <c r="AG583" s="25"/>
      <c r="AH583" s="25"/>
      <c r="AI583" s="25"/>
      <c r="AJ583" s="26"/>
      <c r="AK583" s="29"/>
      <c r="AL583" s="28"/>
      <c r="AM583" s="26"/>
      <c r="AN583" s="29"/>
      <c r="AO583" s="25"/>
      <c r="AP583" s="29"/>
      <c r="AQ583" s="25"/>
      <c r="AR583" s="25"/>
      <c r="AS583" s="25"/>
      <c r="AT583" s="25"/>
      <c r="AU583" s="26"/>
      <c r="AV583" s="26"/>
      <c r="AW583" s="26"/>
      <c r="AX583" s="26"/>
      <c r="AY583" s="26"/>
      <c r="AZ583" s="26"/>
      <c r="BA583" s="26"/>
    </row>
    <row r="584">
      <c r="A584" s="26"/>
      <c r="B584" s="26"/>
      <c r="C584" s="26"/>
      <c r="D584" s="27"/>
      <c r="E584" s="27"/>
      <c r="F584" s="26"/>
      <c r="G584" s="28"/>
      <c r="H584" s="28"/>
      <c r="I584" s="28"/>
      <c r="J584" s="28"/>
      <c r="K584" s="28"/>
      <c r="L584" s="28"/>
      <c r="M584" s="28"/>
      <c r="N584" s="26"/>
      <c r="O584" s="29"/>
      <c r="P584" s="27"/>
      <c r="Q584" s="26"/>
      <c r="R584" s="29"/>
      <c r="S584" s="28"/>
      <c r="T584" s="29"/>
      <c r="U584" s="28"/>
      <c r="V584" s="28"/>
      <c r="W584" s="28"/>
      <c r="X584" s="28"/>
      <c r="Y584" s="26"/>
      <c r="Z584" s="29"/>
      <c r="AA584" s="28"/>
      <c r="AB584" s="26"/>
      <c r="AC584" s="29"/>
      <c r="AD584" s="25"/>
      <c r="AE584" s="29"/>
      <c r="AF584" s="25"/>
      <c r="AG584" s="25"/>
      <c r="AH584" s="25"/>
      <c r="AI584" s="25"/>
      <c r="AJ584" s="26"/>
      <c r="AK584" s="29"/>
      <c r="AL584" s="28"/>
      <c r="AM584" s="26"/>
      <c r="AN584" s="29"/>
      <c r="AO584" s="25"/>
      <c r="AP584" s="29"/>
      <c r="AQ584" s="25"/>
      <c r="AR584" s="25"/>
      <c r="AS584" s="25"/>
      <c r="AT584" s="25"/>
      <c r="AU584" s="26"/>
      <c r="AV584" s="26"/>
      <c r="AW584" s="26"/>
      <c r="AX584" s="26"/>
      <c r="AY584" s="26"/>
      <c r="AZ584" s="26"/>
      <c r="BA584" s="26"/>
    </row>
    <row r="585">
      <c r="A585" s="26"/>
      <c r="B585" s="26"/>
      <c r="C585" s="26"/>
      <c r="D585" s="27"/>
      <c r="E585" s="27"/>
      <c r="F585" s="26"/>
      <c r="G585" s="28"/>
      <c r="H585" s="28"/>
      <c r="I585" s="28"/>
      <c r="J585" s="28"/>
      <c r="K585" s="28"/>
      <c r="L585" s="28"/>
      <c r="M585" s="28"/>
      <c r="N585" s="26"/>
      <c r="O585" s="29"/>
      <c r="P585" s="27"/>
      <c r="Q585" s="26"/>
      <c r="R585" s="29"/>
      <c r="S585" s="28"/>
      <c r="T585" s="29"/>
      <c r="U585" s="28"/>
      <c r="V585" s="28"/>
      <c r="W585" s="28"/>
      <c r="X585" s="28"/>
      <c r="Y585" s="26"/>
      <c r="Z585" s="29"/>
      <c r="AA585" s="28"/>
      <c r="AB585" s="26"/>
      <c r="AC585" s="29"/>
      <c r="AD585" s="25"/>
      <c r="AE585" s="29"/>
      <c r="AF585" s="25"/>
      <c r="AG585" s="25"/>
      <c r="AH585" s="25"/>
      <c r="AI585" s="25"/>
      <c r="AJ585" s="26"/>
      <c r="AK585" s="29"/>
      <c r="AL585" s="28"/>
      <c r="AM585" s="26"/>
      <c r="AN585" s="29"/>
      <c r="AO585" s="25"/>
      <c r="AP585" s="29"/>
      <c r="AQ585" s="25"/>
      <c r="AR585" s="25"/>
      <c r="AS585" s="25"/>
      <c r="AT585" s="25"/>
      <c r="AU585" s="26"/>
      <c r="AV585" s="26"/>
      <c r="AW585" s="26"/>
      <c r="AX585" s="26"/>
      <c r="AY585" s="26"/>
      <c r="AZ585" s="26"/>
      <c r="BA585" s="26"/>
    </row>
    <row r="586">
      <c r="A586" s="26"/>
      <c r="B586" s="26"/>
      <c r="C586" s="26"/>
      <c r="D586" s="27"/>
      <c r="E586" s="27"/>
      <c r="F586" s="26"/>
      <c r="G586" s="28"/>
      <c r="H586" s="28"/>
      <c r="I586" s="28"/>
      <c r="J586" s="28"/>
      <c r="K586" s="28"/>
      <c r="L586" s="28"/>
      <c r="M586" s="28"/>
      <c r="N586" s="26"/>
      <c r="O586" s="29"/>
      <c r="P586" s="27"/>
      <c r="Q586" s="26"/>
      <c r="R586" s="29"/>
      <c r="S586" s="28"/>
      <c r="T586" s="29"/>
      <c r="U586" s="28"/>
      <c r="V586" s="28"/>
      <c r="W586" s="28"/>
      <c r="X586" s="28"/>
      <c r="Y586" s="26"/>
      <c r="Z586" s="29"/>
      <c r="AA586" s="28"/>
      <c r="AB586" s="26"/>
      <c r="AC586" s="29"/>
      <c r="AD586" s="25"/>
      <c r="AE586" s="29"/>
      <c r="AF586" s="25"/>
      <c r="AG586" s="25"/>
      <c r="AH586" s="25"/>
      <c r="AI586" s="25"/>
      <c r="AJ586" s="26"/>
      <c r="AK586" s="29"/>
      <c r="AL586" s="28"/>
      <c r="AM586" s="26"/>
      <c r="AN586" s="29"/>
      <c r="AO586" s="25"/>
      <c r="AP586" s="29"/>
      <c r="AQ586" s="25"/>
      <c r="AR586" s="25"/>
      <c r="AS586" s="25"/>
      <c r="AT586" s="25"/>
      <c r="AU586" s="26"/>
      <c r="AV586" s="26"/>
      <c r="AW586" s="26"/>
      <c r="AX586" s="26"/>
      <c r="AY586" s="26"/>
      <c r="AZ586" s="26"/>
      <c r="BA586" s="26"/>
    </row>
    <row r="587">
      <c r="A587" s="26"/>
      <c r="B587" s="26"/>
      <c r="C587" s="26"/>
      <c r="D587" s="27"/>
      <c r="E587" s="27"/>
      <c r="F587" s="26"/>
      <c r="G587" s="28"/>
      <c r="H587" s="28"/>
      <c r="I587" s="28"/>
      <c r="J587" s="28"/>
      <c r="K587" s="28"/>
      <c r="L587" s="28"/>
      <c r="M587" s="28"/>
      <c r="N587" s="26"/>
      <c r="O587" s="29"/>
      <c r="P587" s="27"/>
      <c r="Q587" s="26"/>
      <c r="R587" s="29"/>
      <c r="S587" s="28"/>
      <c r="T587" s="29"/>
      <c r="U587" s="28"/>
      <c r="V587" s="28"/>
      <c r="W587" s="28"/>
      <c r="X587" s="28"/>
      <c r="Y587" s="26"/>
      <c r="Z587" s="29"/>
      <c r="AA587" s="28"/>
      <c r="AB587" s="26"/>
      <c r="AC587" s="29"/>
      <c r="AD587" s="25"/>
      <c r="AE587" s="29"/>
      <c r="AF587" s="25"/>
      <c r="AG587" s="25"/>
      <c r="AH587" s="25"/>
      <c r="AI587" s="25"/>
      <c r="AJ587" s="26"/>
      <c r="AK587" s="29"/>
      <c r="AL587" s="28"/>
      <c r="AM587" s="26"/>
      <c r="AN587" s="29"/>
      <c r="AO587" s="25"/>
      <c r="AP587" s="29"/>
      <c r="AQ587" s="25"/>
      <c r="AR587" s="25"/>
      <c r="AS587" s="25"/>
      <c r="AT587" s="25"/>
      <c r="AU587" s="26"/>
      <c r="AV587" s="26"/>
      <c r="AW587" s="26"/>
      <c r="AX587" s="26"/>
      <c r="AY587" s="26"/>
      <c r="AZ587" s="26"/>
      <c r="BA587" s="26"/>
    </row>
    <row r="588">
      <c r="A588" s="26"/>
      <c r="B588" s="26"/>
      <c r="C588" s="26"/>
      <c r="D588" s="27"/>
      <c r="E588" s="27"/>
      <c r="F588" s="26"/>
      <c r="G588" s="28"/>
      <c r="H588" s="28"/>
      <c r="I588" s="28"/>
      <c r="J588" s="28"/>
      <c r="K588" s="28"/>
      <c r="L588" s="28"/>
      <c r="M588" s="28"/>
      <c r="N588" s="26"/>
      <c r="O588" s="29"/>
      <c r="P588" s="27"/>
      <c r="Q588" s="26"/>
      <c r="R588" s="29"/>
      <c r="S588" s="28"/>
      <c r="T588" s="29"/>
      <c r="U588" s="28"/>
      <c r="V588" s="28"/>
      <c r="W588" s="28"/>
      <c r="X588" s="28"/>
      <c r="Y588" s="26"/>
      <c r="Z588" s="29"/>
      <c r="AA588" s="28"/>
      <c r="AB588" s="26"/>
      <c r="AC588" s="29"/>
      <c r="AD588" s="25"/>
      <c r="AE588" s="29"/>
      <c r="AF588" s="25"/>
      <c r="AG588" s="25"/>
      <c r="AH588" s="25"/>
      <c r="AI588" s="25"/>
      <c r="AJ588" s="26"/>
      <c r="AK588" s="29"/>
      <c r="AL588" s="28"/>
      <c r="AM588" s="26"/>
      <c r="AN588" s="29"/>
      <c r="AO588" s="25"/>
      <c r="AP588" s="29"/>
      <c r="AQ588" s="25"/>
      <c r="AR588" s="25"/>
      <c r="AS588" s="25"/>
      <c r="AT588" s="25"/>
      <c r="AU588" s="26"/>
      <c r="AV588" s="26"/>
      <c r="AW588" s="26"/>
      <c r="AX588" s="26"/>
      <c r="AY588" s="26"/>
      <c r="AZ588" s="26"/>
      <c r="BA588" s="26"/>
    </row>
    <row r="589">
      <c r="A589" s="26"/>
      <c r="B589" s="26"/>
      <c r="C589" s="26"/>
      <c r="D589" s="27"/>
      <c r="E589" s="27"/>
      <c r="F589" s="26"/>
      <c r="G589" s="28"/>
      <c r="H589" s="28"/>
      <c r="I589" s="28"/>
      <c r="J589" s="28"/>
      <c r="K589" s="28"/>
      <c r="L589" s="28"/>
      <c r="M589" s="28"/>
      <c r="N589" s="26"/>
      <c r="O589" s="29"/>
      <c r="P589" s="27"/>
      <c r="Q589" s="26"/>
      <c r="R589" s="29"/>
      <c r="S589" s="28"/>
      <c r="T589" s="29"/>
      <c r="U589" s="28"/>
      <c r="V589" s="28"/>
      <c r="W589" s="28"/>
      <c r="X589" s="28"/>
      <c r="Y589" s="26"/>
      <c r="Z589" s="29"/>
      <c r="AA589" s="28"/>
      <c r="AB589" s="26"/>
      <c r="AC589" s="29"/>
      <c r="AD589" s="25"/>
      <c r="AE589" s="29"/>
      <c r="AF589" s="25"/>
      <c r="AG589" s="25"/>
      <c r="AH589" s="25"/>
      <c r="AI589" s="25"/>
      <c r="AJ589" s="26"/>
      <c r="AK589" s="29"/>
      <c r="AL589" s="28"/>
      <c r="AM589" s="26"/>
      <c r="AN589" s="29"/>
      <c r="AO589" s="25"/>
      <c r="AP589" s="29"/>
      <c r="AQ589" s="25"/>
      <c r="AR589" s="25"/>
      <c r="AS589" s="25"/>
      <c r="AT589" s="25"/>
      <c r="AU589" s="26"/>
      <c r="AV589" s="26"/>
      <c r="AW589" s="26"/>
      <c r="AX589" s="26"/>
      <c r="AY589" s="26"/>
      <c r="AZ589" s="26"/>
      <c r="BA589" s="26"/>
    </row>
    <row r="590">
      <c r="A590" s="26"/>
      <c r="B590" s="26"/>
      <c r="C590" s="26"/>
      <c r="D590" s="27"/>
      <c r="E590" s="27"/>
      <c r="F590" s="26"/>
      <c r="G590" s="28"/>
      <c r="H590" s="28"/>
      <c r="I590" s="28"/>
      <c r="J590" s="28"/>
      <c r="K590" s="28"/>
      <c r="L590" s="28"/>
      <c r="M590" s="28"/>
      <c r="N590" s="26"/>
      <c r="O590" s="29"/>
      <c r="P590" s="27"/>
      <c r="Q590" s="26"/>
      <c r="R590" s="29"/>
      <c r="S590" s="28"/>
      <c r="T590" s="29"/>
      <c r="U590" s="28"/>
      <c r="V590" s="28"/>
      <c r="W590" s="28"/>
      <c r="X590" s="28"/>
      <c r="Y590" s="26"/>
      <c r="Z590" s="29"/>
      <c r="AA590" s="28"/>
      <c r="AB590" s="26"/>
      <c r="AC590" s="29"/>
      <c r="AD590" s="25"/>
      <c r="AE590" s="29"/>
      <c r="AF590" s="25"/>
      <c r="AG590" s="25"/>
      <c r="AH590" s="25"/>
      <c r="AI590" s="25"/>
      <c r="AJ590" s="26"/>
      <c r="AK590" s="29"/>
      <c r="AL590" s="28"/>
      <c r="AM590" s="26"/>
      <c r="AN590" s="29"/>
      <c r="AO590" s="25"/>
      <c r="AP590" s="29"/>
      <c r="AQ590" s="25"/>
      <c r="AR590" s="25"/>
      <c r="AS590" s="25"/>
      <c r="AT590" s="25"/>
      <c r="AU590" s="26"/>
      <c r="AV590" s="26"/>
      <c r="AW590" s="26"/>
      <c r="AX590" s="26"/>
      <c r="AY590" s="26"/>
      <c r="AZ590" s="26"/>
      <c r="BA590" s="26"/>
    </row>
    <row r="591">
      <c r="A591" s="26"/>
      <c r="B591" s="26"/>
      <c r="C591" s="26"/>
      <c r="D591" s="27"/>
      <c r="E591" s="27"/>
      <c r="F591" s="26"/>
      <c r="G591" s="28"/>
      <c r="H591" s="28"/>
      <c r="I591" s="28"/>
      <c r="J591" s="28"/>
      <c r="K591" s="28"/>
      <c r="L591" s="28"/>
      <c r="M591" s="28"/>
      <c r="N591" s="26"/>
      <c r="O591" s="29"/>
      <c r="P591" s="27"/>
      <c r="Q591" s="26"/>
      <c r="R591" s="29"/>
      <c r="S591" s="28"/>
      <c r="T591" s="29"/>
      <c r="U591" s="28"/>
      <c r="V591" s="28"/>
      <c r="W591" s="28"/>
      <c r="X591" s="28"/>
      <c r="Y591" s="26"/>
      <c r="Z591" s="29"/>
      <c r="AA591" s="28"/>
      <c r="AB591" s="26"/>
      <c r="AC591" s="29"/>
      <c r="AD591" s="25"/>
      <c r="AE591" s="29"/>
      <c r="AF591" s="25"/>
      <c r="AG591" s="25"/>
      <c r="AH591" s="25"/>
      <c r="AI591" s="25"/>
      <c r="AJ591" s="26"/>
      <c r="AK591" s="29"/>
      <c r="AL591" s="28"/>
      <c r="AM591" s="26"/>
      <c r="AN591" s="29"/>
      <c r="AO591" s="25"/>
      <c r="AP591" s="29"/>
      <c r="AQ591" s="25"/>
      <c r="AR591" s="25"/>
      <c r="AS591" s="25"/>
      <c r="AT591" s="25"/>
      <c r="AU591" s="26"/>
      <c r="AV591" s="26"/>
      <c r="AW591" s="26"/>
      <c r="AX591" s="26"/>
      <c r="AY591" s="26"/>
      <c r="AZ591" s="26"/>
      <c r="BA591" s="26"/>
    </row>
    <row r="592">
      <c r="A592" s="26"/>
      <c r="B592" s="26"/>
      <c r="C592" s="26"/>
      <c r="D592" s="27"/>
      <c r="E592" s="27"/>
      <c r="F592" s="26"/>
      <c r="G592" s="28"/>
      <c r="H592" s="28"/>
      <c r="I592" s="28"/>
      <c r="J592" s="28"/>
      <c r="K592" s="28"/>
      <c r="L592" s="28"/>
      <c r="M592" s="28"/>
      <c r="N592" s="26"/>
      <c r="O592" s="29"/>
      <c r="P592" s="27"/>
      <c r="Q592" s="26"/>
      <c r="R592" s="29"/>
      <c r="S592" s="28"/>
      <c r="T592" s="29"/>
      <c r="U592" s="28"/>
      <c r="V592" s="28"/>
      <c r="W592" s="28"/>
      <c r="X592" s="28"/>
      <c r="Y592" s="26"/>
      <c r="Z592" s="29"/>
      <c r="AA592" s="28"/>
      <c r="AB592" s="26"/>
      <c r="AC592" s="29"/>
      <c r="AD592" s="25"/>
      <c r="AE592" s="29"/>
      <c r="AF592" s="25"/>
      <c r="AG592" s="25"/>
      <c r="AH592" s="25"/>
      <c r="AI592" s="25"/>
      <c r="AJ592" s="26"/>
      <c r="AK592" s="29"/>
      <c r="AL592" s="28"/>
      <c r="AM592" s="26"/>
      <c r="AN592" s="29"/>
      <c r="AO592" s="25"/>
      <c r="AP592" s="29"/>
      <c r="AQ592" s="25"/>
      <c r="AR592" s="25"/>
      <c r="AS592" s="25"/>
      <c r="AT592" s="25"/>
      <c r="AU592" s="26"/>
      <c r="AV592" s="26"/>
      <c r="AW592" s="26"/>
      <c r="AX592" s="26"/>
      <c r="AY592" s="26"/>
      <c r="AZ592" s="26"/>
      <c r="BA592" s="26"/>
    </row>
    <row r="593">
      <c r="A593" s="26"/>
      <c r="B593" s="26"/>
      <c r="C593" s="26"/>
      <c r="D593" s="27"/>
      <c r="E593" s="27"/>
      <c r="F593" s="26"/>
      <c r="G593" s="28"/>
      <c r="H593" s="28"/>
      <c r="I593" s="28"/>
      <c r="J593" s="28"/>
      <c r="K593" s="28"/>
      <c r="L593" s="28"/>
      <c r="M593" s="28"/>
      <c r="N593" s="26"/>
      <c r="O593" s="29"/>
      <c r="P593" s="27"/>
      <c r="Q593" s="26"/>
      <c r="R593" s="29"/>
      <c r="S593" s="28"/>
      <c r="T593" s="29"/>
      <c r="U593" s="28"/>
      <c r="V593" s="28"/>
      <c r="W593" s="28"/>
      <c r="X593" s="28"/>
      <c r="Y593" s="26"/>
      <c r="Z593" s="29"/>
      <c r="AA593" s="28"/>
      <c r="AB593" s="26"/>
      <c r="AC593" s="29"/>
      <c r="AD593" s="25"/>
      <c r="AE593" s="29"/>
      <c r="AF593" s="25"/>
      <c r="AG593" s="25"/>
      <c r="AH593" s="25"/>
      <c r="AI593" s="25"/>
      <c r="AJ593" s="26"/>
      <c r="AK593" s="29"/>
      <c r="AL593" s="28"/>
      <c r="AM593" s="26"/>
      <c r="AN593" s="29"/>
      <c r="AO593" s="25"/>
      <c r="AP593" s="29"/>
      <c r="AQ593" s="25"/>
      <c r="AR593" s="25"/>
      <c r="AS593" s="25"/>
      <c r="AT593" s="25"/>
      <c r="AU593" s="26"/>
      <c r="AV593" s="26"/>
      <c r="AW593" s="26"/>
      <c r="AX593" s="26"/>
      <c r="AY593" s="26"/>
      <c r="AZ593" s="26"/>
      <c r="BA593" s="26"/>
    </row>
    <row r="594">
      <c r="A594" s="26"/>
      <c r="B594" s="26"/>
      <c r="C594" s="26"/>
      <c r="D594" s="27"/>
      <c r="E594" s="27"/>
      <c r="F594" s="26"/>
      <c r="G594" s="28"/>
      <c r="H594" s="28"/>
      <c r="I594" s="28"/>
      <c r="J594" s="28"/>
      <c r="K594" s="28"/>
      <c r="L594" s="28"/>
      <c r="M594" s="28"/>
      <c r="N594" s="26"/>
      <c r="O594" s="29"/>
      <c r="P594" s="27"/>
      <c r="Q594" s="26"/>
      <c r="R594" s="29"/>
      <c r="S594" s="28"/>
      <c r="T594" s="29"/>
      <c r="U594" s="28"/>
      <c r="V594" s="28"/>
      <c r="W594" s="28"/>
      <c r="X594" s="28"/>
      <c r="Y594" s="26"/>
      <c r="Z594" s="29"/>
      <c r="AA594" s="28"/>
      <c r="AB594" s="26"/>
      <c r="AC594" s="29"/>
      <c r="AD594" s="25"/>
      <c r="AE594" s="29"/>
      <c r="AF594" s="25"/>
      <c r="AG594" s="25"/>
      <c r="AH594" s="25"/>
      <c r="AI594" s="25"/>
      <c r="AJ594" s="26"/>
      <c r="AK594" s="29"/>
      <c r="AL594" s="28"/>
      <c r="AM594" s="26"/>
      <c r="AN594" s="29"/>
      <c r="AO594" s="25"/>
      <c r="AP594" s="29"/>
      <c r="AQ594" s="25"/>
      <c r="AR594" s="25"/>
      <c r="AS594" s="25"/>
      <c r="AT594" s="25"/>
      <c r="AU594" s="26"/>
      <c r="AV594" s="26"/>
      <c r="AW594" s="26"/>
      <c r="AX594" s="26"/>
      <c r="AY594" s="26"/>
      <c r="AZ594" s="26"/>
      <c r="BA594" s="26"/>
    </row>
    <row r="595">
      <c r="A595" s="26"/>
      <c r="B595" s="26"/>
      <c r="C595" s="26"/>
      <c r="D595" s="27"/>
      <c r="E595" s="27"/>
      <c r="F595" s="26"/>
      <c r="G595" s="28"/>
      <c r="H595" s="28"/>
      <c r="I595" s="28"/>
      <c r="J595" s="28"/>
      <c r="K595" s="28"/>
      <c r="L595" s="28"/>
      <c r="M595" s="28"/>
      <c r="N595" s="26"/>
      <c r="O595" s="29"/>
      <c r="P595" s="27"/>
      <c r="Q595" s="26"/>
      <c r="R595" s="29"/>
      <c r="S595" s="28"/>
      <c r="T595" s="29"/>
      <c r="U595" s="28"/>
      <c r="V595" s="28"/>
      <c r="W595" s="28"/>
      <c r="X595" s="28"/>
      <c r="Y595" s="26"/>
      <c r="Z595" s="29"/>
      <c r="AA595" s="28"/>
      <c r="AB595" s="26"/>
      <c r="AC595" s="29"/>
      <c r="AD595" s="25"/>
      <c r="AE595" s="29"/>
      <c r="AF595" s="25"/>
      <c r="AG595" s="25"/>
      <c r="AH595" s="25"/>
      <c r="AI595" s="25"/>
      <c r="AJ595" s="26"/>
      <c r="AK595" s="29"/>
      <c r="AL595" s="28"/>
      <c r="AM595" s="26"/>
      <c r="AN595" s="29"/>
      <c r="AO595" s="25"/>
      <c r="AP595" s="29"/>
      <c r="AQ595" s="25"/>
      <c r="AR595" s="25"/>
      <c r="AS595" s="25"/>
      <c r="AT595" s="25"/>
      <c r="AU595" s="26"/>
      <c r="AV595" s="26"/>
      <c r="AW595" s="26"/>
      <c r="AX595" s="26"/>
      <c r="AY595" s="26"/>
      <c r="AZ595" s="26"/>
      <c r="BA595" s="26"/>
    </row>
    <row r="596">
      <c r="A596" s="26"/>
      <c r="B596" s="26"/>
      <c r="C596" s="26"/>
      <c r="D596" s="27"/>
      <c r="E596" s="27"/>
      <c r="F596" s="26"/>
      <c r="G596" s="28"/>
      <c r="H596" s="28"/>
      <c r="I596" s="28"/>
      <c r="J596" s="28"/>
      <c r="K596" s="28"/>
      <c r="L596" s="28"/>
      <c r="M596" s="28"/>
      <c r="N596" s="26"/>
      <c r="O596" s="29"/>
      <c r="P596" s="27"/>
      <c r="Q596" s="26"/>
      <c r="R596" s="29"/>
      <c r="S596" s="28"/>
      <c r="T596" s="29"/>
      <c r="U596" s="28"/>
      <c r="V596" s="28"/>
      <c r="W596" s="28"/>
      <c r="X596" s="28"/>
      <c r="Y596" s="26"/>
      <c r="Z596" s="29"/>
      <c r="AA596" s="28"/>
      <c r="AB596" s="26"/>
      <c r="AC596" s="29"/>
      <c r="AD596" s="25"/>
      <c r="AE596" s="29"/>
      <c r="AF596" s="25"/>
      <c r="AG596" s="25"/>
      <c r="AH596" s="25"/>
      <c r="AI596" s="25"/>
      <c r="AJ596" s="26"/>
      <c r="AK596" s="29"/>
      <c r="AL596" s="28"/>
      <c r="AM596" s="26"/>
      <c r="AN596" s="29"/>
      <c r="AO596" s="25"/>
      <c r="AP596" s="29"/>
      <c r="AQ596" s="25"/>
      <c r="AR596" s="25"/>
      <c r="AS596" s="25"/>
      <c r="AT596" s="25"/>
      <c r="AU596" s="26"/>
      <c r="AV596" s="26"/>
      <c r="AW596" s="26"/>
      <c r="AX596" s="26"/>
      <c r="AY596" s="26"/>
      <c r="AZ596" s="26"/>
      <c r="BA596" s="26"/>
    </row>
    <row r="597">
      <c r="A597" s="26"/>
      <c r="B597" s="26"/>
      <c r="C597" s="26"/>
      <c r="D597" s="27"/>
      <c r="E597" s="27"/>
      <c r="F597" s="26"/>
      <c r="G597" s="28"/>
      <c r="H597" s="28"/>
      <c r="I597" s="28"/>
      <c r="J597" s="28"/>
      <c r="K597" s="28"/>
      <c r="L597" s="28"/>
      <c r="M597" s="28"/>
      <c r="N597" s="26"/>
      <c r="O597" s="29"/>
      <c r="P597" s="27"/>
      <c r="Q597" s="26"/>
      <c r="R597" s="29"/>
      <c r="S597" s="28"/>
      <c r="T597" s="29"/>
      <c r="U597" s="28"/>
      <c r="V597" s="28"/>
      <c r="W597" s="28"/>
      <c r="X597" s="28"/>
      <c r="Y597" s="26"/>
      <c r="Z597" s="29"/>
      <c r="AA597" s="28"/>
      <c r="AB597" s="26"/>
      <c r="AC597" s="29"/>
      <c r="AD597" s="25"/>
      <c r="AE597" s="29"/>
      <c r="AF597" s="25"/>
      <c r="AG597" s="25"/>
      <c r="AH597" s="25"/>
      <c r="AI597" s="25"/>
      <c r="AJ597" s="26"/>
      <c r="AK597" s="29"/>
      <c r="AL597" s="28"/>
      <c r="AM597" s="26"/>
      <c r="AN597" s="29"/>
      <c r="AO597" s="25"/>
      <c r="AP597" s="29"/>
      <c r="AQ597" s="25"/>
      <c r="AR597" s="25"/>
      <c r="AS597" s="25"/>
      <c r="AT597" s="25"/>
      <c r="AU597" s="26"/>
      <c r="AV597" s="26"/>
      <c r="AW597" s="26"/>
      <c r="AX597" s="26"/>
      <c r="AY597" s="26"/>
      <c r="AZ597" s="26"/>
      <c r="BA597" s="26"/>
    </row>
    <row r="598">
      <c r="A598" s="26"/>
      <c r="B598" s="26"/>
      <c r="C598" s="26"/>
      <c r="D598" s="27"/>
      <c r="E598" s="27"/>
      <c r="F598" s="26"/>
      <c r="G598" s="28"/>
      <c r="H598" s="28"/>
      <c r="I598" s="28"/>
      <c r="J598" s="28"/>
      <c r="K598" s="28"/>
      <c r="L598" s="28"/>
      <c r="M598" s="28"/>
      <c r="N598" s="26"/>
      <c r="O598" s="29"/>
      <c r="P598" s="27"/>
      <c r="Q598" s="26"/>
      <c r="R598" s="29"/>
      <c r="S598" s="28"/>
      <c r="T598" s="29"/>
      <c r="U598" s="28"/>
      <c r="V598" s="28"/>
      <c r="W598" s="28"/>
      <c r="X598" s="28"/>
      <c r="Y598" s="26"/>
      <c r="Z598" s="29"/>
      <c r="AA598" s="28"/>
      <c r="AB598" s="26"/>
      <c r="AC598" s="29"/>
      <c r="AD598" s="25"/>
      <c r="AE598" s="29"/>
      <c r="AF598" s="25"/>
      <c r="AG598" s="25"/>
      <c r="AH598" s="25"/>
      <c r="AI598" s="25"/>
      <c r="AJ598" s="26"/>
      <c r="AK598" s="29"/>
      <c r="AL598" s="28"/>
      <c r="AM598" s="26"/>
      <c r="AN598" s="29"/>
      <c r="AO598" s="25"/>
      <c r="AP598" s="29"/>
      <c r="AQ598" s="25"/>
      <c r="AR598" s="25"/>
      <c r="AS598" s="25"/>
      <c r="AT598" s="25"/>
      <c r="AU598" s="26"/>
      <c r="AV598" s="26"/>
      <c r="AW598" s="26"/>
      <c r="AX598" s="26"/>
      <c r="AY598" s="26"/>
      <c r="AZ598" s="26"/>
      <c r="BA598" s="26"/>
    </row>
    <row r="599">
      <c r="A599" s="26"/>
      <c r="B599" s="26"/>
      <c r="C599" s="26"/>
      <c r="D599" s="27"/>
      <c r="E599" s="27"/>
      <c r="F599" s="26"/>
      <c r="G599" s="28"/>
      <c r="H599" s="28"/>
      <c r="I599" s="28"/>
      <c r="J599" s="28"/>
      <c r="K599" s="28"/>
      <c r="L599" s="28"/>
      <c r="M599" s="28"/>
      <c r="N599" s="26"/>
      <c r="O599" s="29"/>
      <c r="P599" s="27"/>
      <c r="Q599" s="26"/>
      <c r="R599" s="29"/>
      <c r="S599" s="28"/>
      <c r="T599" s="29"/>
      <c r="U599" s="28"/>
      <c r="V599" s="28"/>
      <c r="W599" s="28"/>
      <c r="X599" s="28"/>
      <c r="Y599" s="26"/>
      <c r="Z599" s="29"/>
      <c r="AA599" s="28"/>
      <c r="AB599" s="26"/>
      <c r="AC599" s="29"/>
      <c r="AD599" s="25"/>
      <c r="AE599" s="29"/>
      <c r="AF599" s="25"/>
      <c r="AG599" s="25"/>
      <c r="AH599" s="25"/>
      <c r="AI599" s="25"/>
      <c r="AJ599" s="26"/>
      <c r="AK599" s="29"/>
      <c r="AL599" s="28"/>
      <c r="AM599" s="26"/>
      <c r="AN599" s="29"/>
      <c r="AO599" s="25"/>
      <c r="AP599" s="29"/>
      <c r="AQ599" s="25"/>
      <c r="AR599" s="25"/>
      <c r="AS599" s="25"/>
      <c r="AT599" s="25"/>
      <c r="AU599" s="26"/>
      <c r="AV599" s="26"/>
      <c r="AW599" s="26"/>
      <c r="AX599" s="26"/>
      <c r="AY599" s="26"/>
      <c r="AZ599" s="26"/>
      <c r="BA599" s="26"/>
    </row>
    <row r="600">
      <c r="A600" s="26"/>
      <c r="B600" s="26"/>
      <c r="C600" s="26"/>
      <c r="D600" s="27"/>
      <c r="E600" s="27"/>
      <c r="F600" s="26"/>
      <c r="G600" s="28"/>
      <c r="H600" s="28"/>
      <c r="I600" s="28"/>
      <c r="J600" s="28"/>
      <c r="K600" s="28"/>
      <c r="L600" s="28"/>
      <c r="M600" s="28"/>
      <c r="N600" s="26"/>
      <c r="O600" s="29"/>
      <c r="P600" s="27"/>
      <c r="Q600" s="26"/>
      <c r="R600" s="29"/>
      <c r="S600" s="28"/>
      <c r="T600" s="29"/>
      <c r="U600" s="28"/>
      <c r="V600" s="28"/>
      <c r="W600" s="28"/>
      <c r="X600" s="28"/>
      <c r="Y600" s="26"/>
      <c r="Z600" s="29"/>
      <c r="AA600" s="28"/>
      <c r="AB600" s="26"/>
      <c r="AC600" s="29"/>
      <c r="AD600" s="25"/>
      <c r="AE600" s="29"/>
      <c r="AF600" s="25"/>
      <c r="AG600" s="25"/>
      <c r="AH600" s="25"/>
      <c r="AI600" s="25"/>
      <c r="AJ600" s="26"/>
      <c r="AK600" s="29"/>
      <c r="AL600" s="28"/>
      <c r="AM600" s="26"/>
      <c r="AN600" s="29"/>
      <c r="AO600" s="25"/>
      <c r="AP600" s="29"/>
      <c r="AQ600" s="25"/>
      <c r="AR600" s="25"/>
      <c r="AS600" s="25"/>
      <c r="AT600" s="25"/>
      <c r="AU600" s="26"/>
      <c r="AV600" s="26"/>
      <c r="AW600" s="26"/>
      <c r="AX600" s="26"/>
      <c r="AY600" s="26"/>
      <c r="AZ600" s="26"/>
      <c r="BA600" s="26"/>
    </row>
    <row r="601">
      <c r="A601" s="26"/>
      <c r="B601" s="26"/>
      <c r="C601" s="26"/>
      <c r="D601" s="27"/>
      <c r="E601" s="27"/>
      <c r="F601" s="26"/>
      <c r="G601" s="28"/>
      <c r="H601" s="28"/>
      <c r="I601" s="28"/>
      <c r="J601" s="28"/>
      <c r="K601" s="28"/>
      <c r="L601" s="28"/>
      <c r="M601" s="28"/>
      <c r="N601" s="26"/>
      <c r="O601" s="29"/>
      <c r="P601" s="27"/>
      <c r="Q601" s="26"/>
      <c r="R601" s="29"/>
      <c r="S601" s="28"/>
      <c r="T601" s="29"/>
      <c r="U601" s="28"/>
      <c r="V601" s="28"/>
      <c r="W601" s="28"/>
      <c r="X601" s="28"/>
      <c r="Y601" s="26"/>
      <c r="Z601" s="29"/>
      <c r="AA601" s="28"/>
      <c r="AB601" s="26"/>
      <c r="AC601" s="29"/>
      <c r="AD601" s="25"/>
      <c r="AE601" s="29"/>
      <c r="AF601" s="25"/>
      <c r="AG601" s="25"/>
      <c r="AH601" s="25"/>
      <c r="AI601" s="25"/>
      <c r="AJ601" s="26"/>
      <c r="AK601" s="29"/>
      <c r="AL601" s="28"/>
      <c r="AM601" s="26"/>
      <c r="AN601" s="29"/>
      <c r="AO601" s="25"/>
      <c r="AP601" s="29"/>
      <c r="AQ601" s="25"/>
      <c r="AR601" s="25"/>
      <c r="AS601" s="25"/>
      <c r="AT601" s="25"/>
      <c r="AU601" s="26"/>
      <c r="AV601" s="26"/>
      <c r="AW601" s="26"/>
      <c r="AX601" s="26"/>
      <c r="AY601" s="26"/>
      <c r="AZ601" s="26"/>
      <c r="BA601" s="26"/>
    </row>
    <row r="602">
      <c r="A602" s="26"/>
      <c r="B602" s="26"/>
      <c r="C602" s="26"/>
      <c r="D602" s="27"/>
      <c r="E602" s="27"/>
      <c r="F602" s="26"/>
      <c r="G602" s="28"/>
      <c r="H602" s="28"/>
      <c r="I602" s="28"/>
      <c r="J602" s="28"/>
      <c r="K602" s="28"/>
      <c r="L602" s="28"/>
      <c r="M602" s="28"/>
      <c r="N602" s="26"/>
      <c r="O602" s="29"/>
      <c r="P602" s="27"/>
      <c r="Q602" s="26"/>
      <c r="R602" s="29"/>
      <c r="S602" s="28"/>
      <c r="T602" s="29"/>
      <c r="U602" s="28"/>
      <c r="V602" s="28"/>
      <c r="W602" s="28"/>
      <c r="X602" s="28"/>
      <c r="Y602" s="26"/>
      <c r="Z602" s="29"/>
      <c r="AA602" s="28"/>
      <c r="AB602" s="26"/>
      <c r="AC602" s="29"/>
      <c r="AD602" s="25"/>
      <c r="AE602" s="29"/>
      <c r="AF602" s="25"/>
      <c r="AG602" s="25"/>
      <c r="AH602" s="25"/>
      <c r="AI602" s="25"/>
      <c r="AJ602" s="26"/>
      <c r="AK602" s="29"/>
      <c r="AL602" s="28"/>
      <c r="AM602" s="26"/>
      <c r="AN602" s="29"/>
      <c r="AO602" s="25"/>
      <c r="AP602" s="29"/>
      <c r="AQ602" s="25"/>
      <c r="AR602" s="25"/>
      <c r="AS602" s="25"/>
      <c r="AT602" s="25"/>
      <c r="AU602" s="26"/>
      <c r="AV602" s="26"/>
      <c r="AW602" s="26"/>
      <c r="AX602" s="26"/>
      <c r="AY602" s="26"/>
      <c r="AZ602" s="26"/>
      <c r="BA602" s="26"/>
    </row>
    <row r="603">
      <c r="A603" s="26"/>
      <c r="B603" s="26"/>
      <c r="C603" s="26"/>
      <c r="D603" s="27"/>
      <c r="E603" s="27"/>
      <c r="F603" s="26"/>
      <c r="G603" s="28"/>
      <c r="H603" s="28"/>
      <c r="I603" s="28"/>
      <c r="J603" s="28"/>
      <c r="K603" s="28"/>
      <c r="L603" s="28"/>
      <c r="M603" s="28"/>
      <c r="N603" s="26"/>
      <c r="O603" s="29"/>
      <c r="P603" s="27"/>
      <c r="Q603" s="26"/>
      <c r="R603" s="29"/>
      <c r="S603" s="28"/>
      <c r="T603" s="29"/>
      <c r="U603" s="28"/>
      <c r="V603" s="28"/>
      <c r="W603" s="28"/>
      <c r="X603" s="28"/>
      <c r="Y603" s="26"/>
      <c r="Z603" s="29"/>
      <c r="AA603" s="28"/>
      <c r="AB603" s="26"/>
      <c r="AC603" s="29"/>
      <c r="AD603" s="25"/>
      <c r="AE603" s="29"/>
      <c r="AF603" s="25"/>
      <c r="AG603" s="25"/>
      <c r="AH603" s="25"/>
      <c r="AI603" s="25"/>
      <c r="AJ603" s="26"/>
      <c r="AK603" s="29"/>
      <c r="AL603" s="28"/>
      <c r="AM603" s="26"/>
      <c r="AN603" s="29"/>
      <c r="AO603" s="25"/>
      <c r="AP603" s="29"/>
      <c r="AQ603" s="25"/>
      <c r="AR603" s="25"/>
      <c r="AS603" s="25"/>
      <c r="AT603" s="25"/>
      <c r="AU603" s="26"/>
      <c r="AV603" s="26"/>
      <c r="AW603" s="26"/>
      <c r="AX603" s="26"/>
      <c r="AY603" s="26"/>
      <c r="AZ603" s="26"/>
      <c r="BA603" s="26"/>
    </row>
    <row r="604">
      <c r="A604" s="26"/>
      <c r="B604" s="26"/>
      <c r="C604" s="26"/>
      <c r="D604" s="27"/>
      <c r="E604" s="27"/>
      <c r="F604" s="26"/>
      <c r="G604" s="28"/>
      <c r="H604" s="28"/>
      <c r="I604" s="28"/>
      <c r="J604" s="28"/>
      <c r="K604" s="28"/>
      <c r="L604" s="28"/>
      <c r="M604" s="28"/>
      <c r="N604" s="26"/>
      <c r="O604" s="29"/>
      <c r="P604" s="27"/>
      <c r="Q604" s="26"/>
      <c r="R604" s="29"/>
      <c r="S604" s="28"/>
      <c r="T604" s="29"/>
      <c r="U604" s="28"/>
      <c r="V604" s="28"/>
      <c r="W604" s="28"/>
      <c r="X604" s="28"/>
      <c r="Y604" s="26"/>
      <c r="Z604" s="29"/>
      <c r="AA604" s="28"/>
      <c r="AB604" s="26"/>
      <c r="AC604" s="29"/>
      <c r="AD604" s="25"/>
      <c r="AE604" s="29"/>
      <c r="AF604" s="25"/>
      <c r="AG604" s="25"/>
      <c r="AH604" s="25"/>
      <c r="AI604" s="25"/>
      <c r="AJ604" s="26"/>
      <c r="AK604" s="29"/>
      <c r="AL604" s="28"/>
      <c r="AM604" s="26"/>
      <c r="AN604" s="29"/>
      <c r="AO604" s="25"/>
      <c r="AP604" s="29"/>
      <c r="AQ604" s="25"/>
      <c r="AR604" s="25"/>
      <c r="AS604" s="25"/>
      <c r="AT604" s="25"/>
      <c r="AU604" s="26"/>
      <c r="AV604" s="26"/>
      <c r="AW604" s="26"/>
      <c r="AX604" s="26"/>
      <c r="AY604" s="26"/>
      <c r="AZ604" s="26"/>
      <c r="BA604" s="26"/>
    </row>
    <row r="605">
      <c r="A605" s="26"/>
      <c r="B605" s="26"/>
      <c r="C605" s="26"/>
      <c r="D605" s="27"/>
      <c r="E605" s="27"/>
      <c r="F605" s="26"/>
      <c r="G605" s="28"/>
      <c r="H605" s="28"/>
      <c r="I605" s="28"/>
      <c r="J605" s="28"/>
      <c r="K605" s="28"/>
      <c r="L605" s="28"/>
      <c r="M605" s="28"/>
      <c r="N605" s="26"/>
      <c r="O605" s="29"/>
      <c r="P605" s="27"/>
      <c r="Q605" s="26"/>
      <c r="R605" s="29"/>
      <c r="S605" s="28"/>
      <c r="T605" s="29"/>
      <c r="U605" s="28"/>
      <c r="V605" s="28"/>
      <c r="W605" s="28"/>
      <c r="X605" s="28"/>
      <c r="Y605" s="26"/>
      <c r="Z605" s="29"/>
      <c r="AA605" s="28"/>
      <c r="AB605" s="26"/>
      <c r="AC605" s="29"/>
      <c r="AD605" s="25"/>
      <c r="AE605" s="29"/>
      <c r="AF605" s="25"/>
      <c r="AG605" s="25"/>
      <c r="AH605" s="25"/>
      <c r="AI605" s="25"/>
      <c r="AJ605" s="26"/>
      <c r="AK605" s="29"/>
      <c r="AL605" s="28"/>
      <c r="AM605" s="26"/>
      <c r="AN605" s="29"/>
      <c r="AO605" s="25"/>
      <c r="AP605" s="29"/>
      <c r="AQ605" s="25"/>
      <c r="AR605" s="25"/>
      <c r="AS605" s="25"/>
      <c r="AT605" s="25"/>
      <c r="AU605" s="26"/>
      <c r="AV605" s="26"/>
      <c r="AW605" s="26"/>
      <c r="AX605" s="26"/>
      <c r="AY605" s="26"/>
      <c r="AZ605" s="26"/>
      <c r="BA605" s="26"/>
    </row>
    <row r="606">
      <c r="A606" s="26"/>
      <c r="B606" s="26"/>
      <c r="C606" s="26"/>
      <c r="D606" s="27"/>
      <c r="E606" s="27"/>
      <c r="F606" s="26"/>
      <c r="G606" s="28"/>
      <c r="H606" s="28"/>
      <c r="I606" s="28"/>
      <c r="J606" s="28"/>
      <c r="K606" s="28"/>
      <c r="L606" s="28"/>
      <c r="M606" s="28"/>
      <c r="N606" s="26"/>
      <c r="O606" s="29"/>
      <c r="P606" s="27"/>
      <c r="Q606" s="26"/>
      <c r="R606" s="29"/>
      <c r="S606" s="28"/>
      <c r="T606" s="29"/>
      <c r="U606" s="28"/>
      <c r="V606" s="28"/>
      <c r="W606" s="28"/>
      <c r="X606" s="28"/>
      <c r="Y606" s="26"/>
      <c r="Z606" s="29"/>
      <c r="AA606" s="28"/>
      <c r="AB606" s="26"/>
      <c r="AC606" s="29"/>
      <c r="AD606" s="25"/>
      <c r="AE606" s="29"/>
      <c r="AF606" s="25"/>
      <c r="AG606" s="25"/>
      <c r="AH606" s="25"/>
      <c r="AI606" s="25"/>
      <c r="AJ606" s="26"/>
      <c r="AK606" s="29"/>
      <c r="AL606" s="28"/>
      <c r="AM606" s="26"/>
      <c r="AN606" s="29"/>
      <c r="AO606" s="25"/>
      <c r="AP606" s="29"/>
      <c r="AQ606" s="25"/>
      <c r="AR606" s="25"/>
      <c r="AS606" s="25"/>
      <c r="AT606" s="25"/>
      <c r="AU606" s="26"/>
      <c r="AV606" s="26"/>
      <c r="AW606" s="26"/>
      <c r="AX606" s="26"/>
      <c r="AY606" s="26"/>
      <c r="AZ606" s="26"/>
      <c r="BA606" s="26"/>
    </row>
    <row r="607">
      <c r="A607" s="26"/>
      <c r="B607" s="26"/>
      <c r="C607" s="26"/>
      <c r="D607" s="27"/>
      <c r="E607" s="27"/>
      <c r="F607" s="26"/>
      <c r="G607" s="28"/>
      <c r="H607" s="28"/>
      <c r="I607" s="28"/>
      <c r="J607" s="28"/>
      <c r="K607" s="28"/>
      <c r="L607" s="28"/>
      <c r="M607" s="28"/>
      <c r="N607" s="26"/>
      <c r="O607" s="29"/>
      <c r="P607" s="27"/>
      <c r="Q607" s="26"/>
      <c r="R607" s="29"/>
      <c r="S607" s="28"/>
      <c r="T607" s="29"/>
      <c r="U607" s="28"/>
      <c r="V607" s="28"/>
      <c r="W607" s="28"/>
      <c r="X607" s="28"/>
      <c r="Y607" s="26"/>
      <c r="Z607" s="29"/>
      <c r="AA607" s="28"/>
      <c r="AB607" s="26"/>
      <c r="AC607" s="29"/>
      <c r="AD607" s="25"/>
      <c r="AE607" s="29"/>
      <c r="AF607" s="25"/>
      <c r="AG607" s="25"/>
      <c r="AH607" s="25"/>
      <c r="AI607" s="25"/>
      <c r="AJ607" s="26"/>
      <c r="AK607" s="29"/>
      <c r="AL607" s="28"/>
      <c r="AM607" s="26"/>
      <c r="AN607" s="29"/>
      <c r="AO607" s="25"/>
      <c r="AP607" s="29"/>
      <c r="AQ607" s="25"/>
      <c r="AR607" s="25"/>
      <c r="AS607" s="25"/>
      <c r="AT607" s="25"/>
      <c r="AU607" s="26"/>
      <c r="AV607" s="26"/>
      <c r="AW607" s="26"/>
      <c r="AX607" s="26"/>
      <c r="AY607" s="26"/>
      <c r="AZ607" s="26"/>
      <c r="BA607" s="26"/>
    </row>
    <row r="608">
      <c r="A608" s="26"/>
      <c r="B608" s="26"/>
      <c r="C608" s="26"/>
      <c r="D608" s="27"/>
      <c r="E608" s="27"/>
      <c r="F608" s="26"/>
      <c r="G608" s="28"/>
      <c r="H608" s="28"/>
      <c r="I608" s="28"/>
      <c r="J608" s="28"/>
      <c r="K608" s="28"/>
      <c r="L608" s="28"/>
      <c r="M608" s="28"/>
      <c r="N608" s="26"/>
      <c r="O608" s="29"/>
      <c r="P608" s="27"/>
      <c r="Q608" s="26"/>
      <c r="R608" s="29"/>
      <c r="S608" s="28"/>
      <c r="T608" s="29"/>
      <c r="U608" s="28"/>
      <c r="V608" s="28"/>
      <c r="W608" s="28"/>
      <c r="X608" s="28"/>
      <c r="Y608" s="26"/>
      <c r="Z608" s="29"/>
      <c r="AA608" s="28"/>
      <c r="AB608" s="26"/>
      <c r="AC608" s="29"/>
      <c r="AD608" s="25"/>
      <c r="AE608" s="29"/>
      <c r="AF608" s="25"/>
      <c r="AG608" s="25"/>
      <c r="AH608" s="25"/>
      <c r="AI608" s="25"/>
      <c r="AJ608" s="26"/>
      <c r="AK608" s="29"/>
      <c r="AL608" s="28"/>
      <c r="AM608" s="26"/>
      <c r="AN608" s="29"/>
      <c r="AO608" s="25"/>
      <c r="AP608" s="29"/>
      <c r="AQ608" s="25"/>
      <c r="AR608" s="25"/>
      <c r="AS608" s="25"/>
      <c r="AT608" s="25"/>
      <c r="AU608" s="26"/>
      <c r="AV608" s="26"/>
      <c r="AW608" s="26"/>
      <c r="AX608" s="26"/>
      <c r="AY608" s="26"/>
      <c r="AZ608" s="26"/>
      <c r="BA608" s="26"/>
    </row>
    <row r="609">
      <c r="A609" s="26"/>
      <c r="B609" s="26"/>
      <c r="C609" s="26"/>
      <c r="D609" s="27"/>
      <c r="E609" s="27"/>
      <c r="F609" s="26"/>
      <c r="G609" s="28"/>
      <c r="H609" s="28"/>
      <c r="I609" s="28"/>
      <c r="J609" s="28"/>
      <c r="K609" s="28"/>
      <c r="L609" s="28"/>
      <c r="M609" s="28"/>
      <c r="N609" s="26"/>
      <c r="O609" s="29"/>
      <c r="P609" s="27"/>
      <c r="Q609" s="26"/>
      <c r="R609" s="29"/>
      <c r="S609" s="28"/>
      <c r="T609" s="29"/>
      <c r="U609" s="28"/>
      <c r="V609" s="28"/>
      <c r="W609" s="28"/>
      <c r="X609" s="28"/>
      <c r="Y609" s="26"/>
      <c r="Z609" s="29"/>
      <c r="AA609" s="28"/>
      <c r="AB609" s="26"/>
      <c r="AC609" s="29"/>
      <c r="AD609" s="25"/>
      <c r="AE609" s="29"/>
      <c r="AF609" s="25"/>
      <c r="AG609" s="25"/>
      <c r="AH609" s="25"/>
      <c r="AI609" s="25"/>
      <c r="AJ609" s="26"/>
      <c r="AK609" s="29"/>
      <c r="AL609" s="28"/>
      <c r="AM609" s="26"/>
      <c r="AN609" s="29"/>
      <c r="AO609" s="25"/>
      <c r="AP609" s="29"/>
      <c r="AQ609" s="25"/>
      <c r="AR609" s="25"/>
      <c r="AS609" s="25"/>
      <c r="AT609" s="25"/>
      <c r="AU609" s="26"/>
      <c r="AV609" s="26"/>
      <c r="AW609" s="26"/>
      <c r="AX609" s="26"/>
      <c r="AY609" s="26"/>
      <c r="AZ609" s="26"/>
      <c r="BA609" s="26"/>
    </row>
    <row r="610">
      <c r="A610" s="26"/>
      <c r="B610" s="26"/>
      <c r="C610" s="26"/>
      <c r="D610" s="27"/>
      <c r="E610" s="27"/>
      <c r="F610" s="26"/>
      <c r="G610" s="28"/>
      <c r="H610" s="28"/>
      <c r="I610" s="28"/>
      <c r="J610" s="28"/>
      <c r="K610" s="28"/>
      <c r="L610" s="28"/>
      <c r="M610" s="28"/>
      <c r="N610" s="26"/>
      <c r="O610" s="29"/>
      <c r="P610" s="27"/>
      <c r="Q610" s="26"/>
      <c r="R610" s="29"/>
      <c r="S610" s="28"/>
      <c r="T610" s="29"/>
      <c r="U610" s="28"/>
      <c r="V610" s="28"/>
      <c r="W610" s="28"/>
      <c r="X610" s="28"/>
      <c r="Y610" s="26"/>
      <c r="Z610" s="29"/>
      <c r="AA610" s="28"/>
      <c r="AB610" s="26"/>
      <c r="AC610" s="29"/>
      <c r="AD610" s="25"/>
      <c r="AE610" s="29"/>
      <c r="AF610" s="25"/>
      <c r="AG610" s="25"/>
      <c r="AH610" s="25"/>
      <c r="AI610" s="25"/>
      <c r="AJ610" s="26"/>
      <c r="AK610" s="29"/>
      <c r="AL610" s="28"/>
      <c r="AM610" s="26"/>
      <c r="AN610" s="29"/>
      <c r="AO610" s="25"/>
      <c r="AP610" s="29"/>
      <c r="AQ610" s="25"/>
      <c r="AR610" s="25"/>
      <c r="AS610" s="25"/>
      <c r="AT610" s="25"/>
      <c r="AU610" s="26"/>
      <c r="AV610" s="26"/>
      <c r="AW610" s="26"/>
      <c r="AX610" s="26"/>
      <c r="AY610" s="26"/>
      <c r="AZ610" s="26"/>
      <c r="BA610" s="26"/>
    </row>
    <row r="611">
      <c r="A611" s="26"/>
      <c r="B611" s="26"/>
      <c r="C611" s="26"/>
      <c r="D611" s="27"/>
      <c r="E611" s="27"/>
      <c r="F611" s="26"/>
      <c r="G611" s="28"/>
      <c r="H611" s="28"/>
      <c r="I611" s="28"/>
      <c r="J611" s="28"/>
      <c r="K611" s="28"/>
      <c r="L611" s="28"/>
      <c r="M611" s="28"/>
      <c r="N611" s="26"/>
      <c r="O611" s="29"/>
      <c r="P611" s="27"/>
      <c r="Q611" s="26"/>
      <c r="R611" s="29"/>
      <c r="S611" s="28"/>
      <c r="T611" s="29"/>
      <c r="U611" s="28"/>
      <c r="V611" s="28"/>
      <c r="W611" s="28"/>
      <c r="X611" s="28"/>
      <c r="Y611" s="26"/>
      <c r="Z611" s="29"/>
      <c r="AA611" s="28"/>
      <c r="AB611" s="26"/>
      <c r="AC611" s="29"/>
      <c r="AD611" s="25"/>
      <c r="AE611" s="29"/>
      <c r="AF611" s="25"/>
      <c r="AG611" s="25"/>
      <c r="AH611" s="25"/>
      <c r="AI611" s="25"/>
      <c r="AJ611" s="26"/>
      <c r="AK611" s="29"/>
      <c r="AL611" s="28"/>
      <c r="AM611" s="26"/>
      <c r="AN611" s="29"/>
      <c r="AO611" s="25"/>
      <c r="AP611" s="29"/>
      <c r="AQ611" s="25"/>
      <c r="AR611" s="25"/>
      <c r="AS611" s="25"/>
      <c r="AT611" s="25"/>
      <c r="AU611" s="26"/>
      <c r="AV611" s="26"/>
      <c r="AW611" s="26"/>
      <c r="AX611" s="26"/>
      <c r="AY611" s="26"/>
      <c r="AZ611" s="26"/>
      <c r="BA611" s="26"/>
    </row>
    <row r="612">
      <c r="A612" s="26"/>
      <c r="B612" s="26"/>
      <c r="C612" s="26"/>
      <c r="D612" s="27"/>
      <c r="E612" s="27"/>
      <c r="F612" s="26"/>
      <c r="G612" s="28"/>
      <c r="H612" s="28"/>
      <c r="I612" s="28"/>
      <c r="J612" s="28"/>
      <c r="K612" s="28"/>
      <c r="L612" s="28"/>
      <c r="M612" s="28"/>
      <c r="N612" s="26"/>
      <c r="O612" s="29"/>
      <c r="P612" s="27"/>
      <c r="Q612" s="26"/>
      <c r="R612" s="29"/>
      <c r="S612" s="28"/>
      <c r="T612" s="29"/>
      <c r="U612" s="28"/>
      <c r="V612" s="28"/>
      <c r="W612" s="28"/>
      <c r="X612" s="28"/>
      <c r="Y612" s="26"/>
      <c r="Z612" s="29"/>
      <c r="AA612" s="28"/>
      <c r="AB612" s="26"/>
      <c r="AC612" s="29"/>
      <c r="AD612" s="25"/>
      <c r="AE612" s="29"/>
      <c r="AF612" s="25"/>
      <c r="AG612" s="25"/>
      <c r="AH612" s="25"/>
      <c r="AI612" s="25"/>
      <c r="AJ612" s="26"/>
      <c r="AK612" s="29"/>
      <c r="AL612" s="28"/>
      <c r="AM612" s="26"/>
      <c r="AN612" s="29"/>
      <c r="AO612" s="25"/>
      <c r="AP612" s="29"/>
      <c r="AQ612" s="25"/>
      <c r="AR612" s="25"/>
      <c r="AS612" s="25"/>
      <c r="AT612" s="25"/>
      <c r="AU612" s="26"/>
      <c r="AV612" s="26"/>
      <c r="AW612" s="26"/>
      <c r="AX612" s="26"/>
      <c r="AY612" s="26"/>
      <c r="AZ612" s="26"/>
      <c r="BA612" s="26"/>
    </row>
    <row r="613">
      <c r="A613" s="26"/>
      <c r="B613" s="26"/>
      <c r="C613" s="26"/>
      <c r="D613" s="27"/>
      <c r="E613" s="27"/>
      <c r="F613" s="26"/>
      <c r="G613" s="28"/>
      <c r="H613" s="28"/>
      <c r="I613" s="28"/>
      <c r="J613" s="28"/>
      <c r="K613" s="28"/>
      <c r="L613" s="28"/>
      <c r="M613" s="28"/>
      <c r="N613" s="26"/>
      <c r="O613" s="29"/>
      <c r="P613" s="27"/>
      <c r="Q613" s="26"/>
      <c r="R613" s="29"/>
      <c r="S613" s="28"/>
      <c r="T613" s="29"/>
      <c r="U613" s="28"/>
      <c r="V613" s="28"/>
      <c r="W613" s="28"/>
      <c r="X613" s="28"/>
      <c r="Y613" s="26"/>
      <c r="Z613" s="29"/>
      <c r="AA613" s="28"/>
      <c r="AB613" s="26"/>
      <c r="AC613" s="29"/>
      <c r="AD613" s="25"/>
      <c r="AE613" s="29"/>
      <c r="AF613" s="25"/>
      <c r="AG613" s="25"/>
      <c r="AH613" s="25"/>
      <c r="AI613" s="25"/>
      <c r="AJ613" s="26"/>
      <c r="AK613" s="29"/>
      <c r="AL613" s="28"/>
      <c r="AM613" s="26"/>
      <c r="AN613" s="29"/>
      <c r="AO613" s="25"/>
      <c r="AP613" s="29"/>
      <c r="AQ613" s="25"/>
      <c r="AR613" s="25"/>
      <c r="AS613" s="25"/>
      <c r="AT613" s="25"/>
      <c r="AU613" s="26"/>
      <c r="AV613" s="26"/>
      <c r="AW613" s="26"/>
      <c r="AX613" s="26"/>
      <c r="AY613" s="26"/>
      <c r="AZ613" s="26"/>
      <c r="BA613" s="26"/>
    </row>
    <row r="614">
      <c r="A614" s="26"/>
      <c r="B614" s="26"/>
      <c r="C614" s="26"/>
      <c r="D614" s="27"/>
      <c r="E614" s="27"/>
      <c r="F614" s="26"/>
      <c r="G614" s="28"/>
      <c r="H614" s="28"/>
      <c r="I614" s="28"/>
      <c r="J614" s="28"/>
      <c r="K614" s="28"/>
      <c r="L614" s="28"/>
      <c r="M614" s="28"/>
      <c r="N614" s="26"/>
      <c r="O614" s="29"/>
      <c r="P614" s="27"/>
      <c r="Q614" s="26"/>
      <c r="R614" s="29"/>
      <c r="S614" s="28"/>
      <c r="T614" s="29"/>
      <c r="U614" s="28"/>
      <c r="V614" s="28"/>
      <c r="W614" s="28"/>
      <c r="X614" s="28"/>
      <c r="Y614" s="26"/>
      <c r="Z614" s="29"/>
      <c r="AA614" s="28"/>
      <c r="AB614" s="26"/>
      <c r="AC614" s="29"/>
      <c r="AD614" s="25"/>
      <c r="AE614" s="29"/>
      <c r="AF614" s="25"/>
      <c r="AG614" s="25"/>
      <c r="AH614" s="25"/>
      <c r="AI614" s="25"/>
      <c r="AJ614" s="26"/>
      <c r="AK614" s="29"/>
      <c r="AL614" s="28"/>
      <c r="AM614" s="26"/>
      <c r="AN614" s="29"/>
      <c r="AO614" s="25"/>
      <c r="AP614" s="29"/>
      <c r="AQ614" s="25"/>
      <c r="AR614" s="25"/>
      <c r="AS614" s="25"/>
      <c r="AT614" s="25"/>
      <c r="AU614" s="26"/>
      <c r="AV614" s="26"/>
      <c r="AW614" s="26"/>
      <c r="AX614" s="26"/>
      <c r="AY614" s="26"/>
      <c r="AZ614" s="26"/>
      <c r="BA614" s="26"/>
    </row>
    <row r="615">
      <c r="A615" s="26"/>
      <c r="B615" s="26"/>
      <c r="C615" s="26"/>
      <c r="D615" s="27"/>
      <c r="E615" s="27"/>
      <c r="F615" s="26"/>
      <c r="G615" s="28"/>
      <c r="H615" s="28"/>
      <c r="I615" s="28"/>
      <c r="J615" s="28"/>
      <c r="K615" s="28"/>
      <c r="L615" s="28"/>
      <c r="M615" s="28"/>
      <c r="N615" s="26"/>
      <c r="O615" s="29"/>
      <c r="P615" s="27"/>
      <c r="Q615" s="26"/>
      <c r="R615" s="29"/>
      <c r="S615" s="28"/>
      <c r="T615" s="29"/>
      <c r="U615" s="28"/>
      <c r="V615" s="28"/>
      <c r="W615" s="28"/>
      <c r="X615" s="28"/>
      <c r="Y615" s="26"/>
      <c r="Z615" s="29"/>
      <c r="AA615" s="28"/>
      <c r="AB615" s="26"/>
      <c r="AC615" s="29"/>
      <c r="AD615" s="25"/>
      <c r="AE615" s="29"/>
      <c r="AF615" s="25"/>
      <c r="AG615" s="25"/>
      <c r="AH615" s="25"/>
      <c r="AI615" s="25"/>
      <c r="AJ615" s="26"/>
      <c r="AK615" s="29"/>
      <c r="AL615" s="28"/>
      <c r="AM615" s="26"/>
      <c r="AN615" s="29"/>
      <c r="AO615" s="25"/>
      <c r="AP615" s="29"/>
      <c r="AQ615" s="25"/>
      <c r="AR615" s="25"/>
      <c r="AS615" s="25"/>
      <c r="AT615" s="25"/>
      <c r="AU615" s="26"/>
      <c r="AV615" s="26"/>
      <c r="AW615" s="26"/>
      <c r="AX615" s="26"/>
      <c r="AY615" s="26"/>
      <c r="AZ615" s="26"/>
      <c r="BA615" s="26"/>
    </row>
    <row r="616">
      <c r="A616" s="26"/>
      <c r="B616" s="26"/>
      <c r="C616" s="26"/>
      <c r="D616" s="27"/>
      <c r="E616" s="27"/>
      <c r="F616" s="26"/>
      <c r="G616" s="28"/>
      <c r="H616" s="28"/>
      <c r="I616" s="28"/>
      <c r="J616" s="28"/>
      <c r="K616" s="28"/>
      <c r="L616" s="28"/>
      <c r="M616" s="28"/>
      <c r="N616" s="26"/>
      <c r="O616" s="29"/>
      <c r="P616" s="27"/>
      <c r="Q616" s="26"/>
      <c r="R616" s="29"/>
      <c r="S616" s="28"/>
      <c r="T616" s="29"/>
      <c r="U616" s="28"/>
      <c r="V616" s="28"/>
      <c r="W616" s="28"/>
      <c r="X616" s="28"/>
      <c r="Y616" s="26"/>
      <c r="Z616" s="29"/>
      <c r="AA616" s="28"/>
      <c r="AB616" s="26"/>
      <c r="AC616" s="29"/>
      <c r="AD616" s="25"/>
      <c r="AE616" s="29"/>
      <c r="AF616" s="25"/>
      <c r="AG616" s="25"/>
      <c r="AH616" s="25"/>
      <c r="AI616" s="25"/>
      <c r="AJ616" s="26"/>
      <c r="AK616" s="29"/>
      <c r="AL616" s="28"/>
      <c r="AM616" s="26"/>
      <c r="AN616" s="29"/>
      <c r="AO616" s="25"/>
      <c r="AP616" s="29"/>
      <c r="AQ616" s="25"/>
      <c r="AR616" s="25"/>
      <c r="AS616" s="25"/>
      <c r="AT616" s="25"/>
      <c r="AU616" s="26"/>
      <c r="AV616" s="26"/>
      <c r="AW616" s="26"/>
      <c r="AX616" s="26"/>
      <c r="AY616" s="26"/>
      <c r="AZ616" s="26"/>
      <c r="BA616" s="26"/>
    </row>
    <row r="617">
      <c r="A617" s="26"/>
      <c r="B617" s="26"/>
      <c r="C617" s="26"/>
      <c r="D617" s="27"/>
      <c r="E617" s="27"/>
      <c r="F617" s="26"/>
      <c r="G617" s="28"/>
      <c r="H617" s="28"/>
      <c r="I617" s="28"/>
      <c r="J617" s="28"/>
      <c r="K617" s="28"/>
      <c r="L617" s="28"/>
      <c r="M617" s="28"/>
      <c r="N617" s="26"/>
      <c r="O617" s="29"/>
      <c r="P617" s="27"/>
      <c r="Q617" s="26"/>
      <c r="R617" s="29"/>
      <c r="S617" s="28"/>
      <c r="T617" s="29"/>
      <c r="U617" s="28"/>
      <c r="V617" s="28"/>
      <c r="W617" s="28"/>
      <c r="X617" s="28"/>
      <c r="Y617" s="26"/>
      <c r="Z617" s="29"/>
      <c r="AA617" s="28"/>
      <c r="AB617" s="26"/>
      <c r="AC617" s="29"/>
      <c r="AD617" s="25"/>
      <c r="AE617" s="29"/>
      <c r="AF617" s="25"/>
      <c r="AG617" s="25"/>
      <c r="AH617" s="25"/>
      <c r="AI617" s="25"/>
      <c r="AJ617" s="26"/>
      <c r="AK617" s="29"/>
      <c r="AL617" s="28"/>
      <c r="AM617" s="26"/>
      <c r="AN617" s="29"/>
      <c r="AO617" s="25"/>
      <c r="AP617" s="29"/>
      <c r="AQ617" s="25"/>
      <c r="AR617" s="25"/>
      <c r="AS617" s="25"/>
      <c r="AT617" s="25"/>
      <c r="AU617" s="26"/>
      <c r="AV617" s="26"/>
      <c r="AW617" s="26"/>
      <c r="AX617" s="26"/>
      <c r="AY617" s="26"/>
      <c r="AZ617" s="26"/>
      <c r="BA617" s="26"/>
    </row>
    <row r="618">
      <c r="A618" s="26"/>
      <c r="B618" s="26"/>
      <c r="C618" s="26"/>
      <c r="D618" s="27"/>
      <c r="E618" s="27"/>
      <c r="F618" s="26"/>
      <c r="G618" s="28"/>
      <c r="H618" s="28"/>
      <c r="I618" s="28"/>
      <c r="J618" s="28"/>
      <c r="K618" s="28"/>
      <c r="L618" s="28"/>
      <c r="M618" s="28"/>
      <c r="N618" s="26"/>
      <c r="O618" s="29"/>
      <c r="P618" s="27"/>
      <c r="Q618" s="26"/>
      <c r="R618" s="29"/>
      <c r="S618" s="28"/>
      <c r="T618" s="29"/>
      <c r="U618" s="28"/>
      <c r="V618" s="28"/>
      <c r="W618" s="28"/>
      <c r="X618" s="28"/>
      <c r="Y618" s="26"/>
      <c r="Z618" s="29"/>
      <c r="AA618" s="28"/>
      <c r="AB618" s="26"/>
      <c r="AC618" s="29"/>
      <c r="AD618" s="25"/>
      <c r="AE618" s="29"/>
      <c r="AF618" s="25"/>
      <c r="AG618" s="25"/>
      <c r="AH618" s="25"/>
      <c r="AI618" s="25"/>
      <c r="AJ618" s="26"/>
      <c r="AK618" s="29"/>
      <c r="AL618" s="28"/>
      <c r="AM618" s="26"/>
      <c r="AN618" s="29"/>
      <c r="AO618" s="25"/>
      <c r="AP618" s="29"/>
      <c r="AQ618" s="25"/>
      <c r="AR618" s="25"/>
      <c r="AS618" s="25"/>
      <c r="AT618" s="25"/>
      <c r="AU618" s="26"/>
      <c r="AV618" s="26"/>
      <c r="AW618" s="26"/>
      <c r="AX618" s="26"/>
      <c r="AY618" s="26"/>
      <c r="AZ618" s="26"/>
      <c r="BA618" s="26"/>
    </row>
    <row r="619">
      <c r="A619" s="26"/>
      <c r="B619" s="26"/>
      <c r="C619" s="26"/>
      <c r="D619" s="27"/>
      <c r="E619" s="27"/>
      <c r="F619" s="26"/>
      <c r="G619" s="28"/>
      <c r="H619" s="28"/>
      <c r="I619" s="28"/>
      <c r="J619" s="28"/>
      <c r="K619" s="28"/>
      <c r="L619" s="28"/>
      <c r="M619" s="28"/>
      <c r="N619" s="26"/>
      <c r="O619" s="29"/>
      <c r="P619" s="27"/>
      <c r="Q619" s="26"/>
      <c r="R619" s="29"/>
      <c r="S619" s="28"/>
      <c r="T619" s="29"/>
      <c r="U619" s="28"/>
      <c r="V619" s="28"/>
      <c r="W619" s="28"/>
      <c r="X619" s="28"/>
      <c r="Y619" s="26"/>
      <c r="Z619" s="29"/>
      <c r="AA619" s="28"/>
      <c r="AB619" s="26"/>
      <c r="AC619" s="29"/>
      <c r="AD619" s="25"/>
      <c r="AE619" s="29"/>
      <c r="AF619" s="25"/>
      <c r="AG619" s="25"/>
      <c r="AH619" s="25"/>
      <c r="AI619" s="25"/>
      <c r="AJ619" s="26"/>
      <c r="AK619" s="29"/>
      <c r="AL619" s="28"/>
      <c r="AM619" s="26"/>
      <c r="AN619" s="29"/>
      <c r="AO619" s="25"/>
      <c r="AP619" s="29"/>
      <c r="AQ619" s="25"/>
      <c r="AR619" s="25"/>
      <c r="AS619" s="25"/>
      <c r="AT619" s="25"/>
      <c r="AU619" s="26"/>
      <c r="AV619" s="26"/>
      <c r="AW619" s="26"/>
      <c r="AX619" s="26"/>
      <c r="AY619" s="26"/>
      <c r="AZ619" s="26"/>
      <c r="BA619" s="26"/>
    </row>
    <row r="620">
      <c r="A620" s="26"/>
      <c r="B620" s="26"/>
      <c r="C620" s="26"/>
      <c r="D620" s="27"/>
      <c r="E620" s="27"/>
      <c r="F620" s="26"/>
      <c r="G620" s="28"/>
      <c r="H620" s="28"/>
      <c r="I620" s="28"/>
      <c r="J620" s="28"/>
      <c r="K620" s="28"/>
      <c r="L620" s="28"/>
      <c r="M620" s="28"/>
      <c r="N620" s="26"/>
      <c r="O620" s="29"/>
      <c r="P620" s="27"/>
      <c r="Q620" s="26"/>
      <c r="R620" s="29"/>
      <c r="S620" s="28"/>
      <c r="T620" s="29"/>
      <c r="U620" s="28"/>
      <c r="V620" s="28"/>
      <c r="W620" s="28"/>
      <c r="X620" s="28"/>
      <c r="Y620" s="26"/>
      <c r="Z620" s="29"/>
      <c r="AA620" s="28"/>
      <c r="AB620" s="26"/>
      <c r="AC620" s="29"/>
      <c r="AD620" s="25"/>
      <c r="AE620" s="29"/>
      <c r="AF620" s="25"/>
      <c r="AG620" s="25"/>
      <c r="AH620" s="25"/>
      <c r="AI620" s="25"/>
      <c r="AJ620" s="26"/>
      <c r="AK620" s="29"/>
      <c r="AL620" s="28"/>
      <c r="AM620" s="26"/>
      <c r="AN620" s="29"/>
      <c r="AO620" s="25"/>
      <c r="AP620" s="29"/>
      <c r="AQ620" s="25"/>
      <c r="AR620" s="25"/>
      <c r="AS620" s="25"/>
      <c r="AT620" s="25"/>
      <c r="AU620" s="26"/>
      <c r="AV620" s="26"/>
      <c r="AW620" s="26"/>
      <c r="AX620" s="26"/>
      <c r="AY620" s="26"/>
      <c r="AZ620" s="26"/>
      <c r="BA620" s="26"/>
    </row>
    <row r="621">
      <c r="A621" s="26"/>
      <c r="B621" s="26"/>
      <c r="C621" s="26"/>
      <c r="D621" s="27"/>
      <c r="E621" s="27"/>
      <c r="F621" s="26"/>
      <c r="G621" s="28"/>
      <c r="H621" s="28"/>
      <c r="I621" s="28"/>
      <c r="J621" s="28"/>
      <c r="K621" s="28"/>
      <c r="L621" s="28"/>
      <c r="M621" s="28"/>
      <c r="N621" s="26"/>
      <c r="O621" s="29"/>
      <c r="P621" s="27"/>
      <c r="Q621" s="26"/>
      <c r="R621" s="29"/>
      <c r="S621" s="28"/>
      <c r="T621" s="29"/>
      <c r="U621" s="28"/>
      <c r="V621" s="28"/>
      <c r="W621" s="28"/>
      <c r="X621" s="28"/>
      <c r="Y621" s="26"/>
      <c r="Z621" s="29"/>
      <c r="AA621" s="28"/>
      <c r="AB621" s="26"/>
      <c r="AC621" s="29"/>
      <c r="AD621" s="25"/>
      <c r="AE621" s="29"/>
      <c r="AF621" s="25"/>
      <c r="AG621" s="25"/>
      <c r="AH621" s="25"/>
      <c r="AI621" s="25"/>
      <c r="AJ621" s="26"/>
      <c r="AK621" s="29"/>
      <c r="AL621" s="28"/>
      <c r="AM621" s="26"/>
      <c r="AN621" s="29"/>
      <c r="AO621" s="25"/>
      <c r="AP621" s="29"/>
      <c r="AQ621" s="25"/>
      <c r="AR621" s="25"/>
      <c r="AS621" s="25"/>
      <c r="AT621" s="25"/>
      <c r="AU621" s="26"/>
      <c r="AV621" s="26"/>
      <c r="AW621" s="26"/>
      <c r="AX621" s="26"/>
      <c r="AY621" s="26"/>
      <c r="AZ621" s="26"/>
      <c r="BA621" s="26"/>
    </row>
    <row r="622">
      <c r="A622" s="26"/>
      <c r="B622" s="26"/>
      <c r="C622" s="26"/>
      <c r="D622" s="27"/>
      <c r="E622" s="27"/>
      <c r="F622" s="26"/>
      <c r="G622" s="28"/>
      <c r="H622" s="28"/>
      <c r="I622" s="28"/>
      <c r="J622" s="28"/>
      <c r="K622" s="28"/>
      <c r="L622" s="28"/>
      <c r="M622" s="28"/>
      <c r="N622" s="26"/>
      <c r="O622" s="29"/>
      <c r="P622" s="27"/>
      <c r="Q622" s="26"/>
      <c r="R622" s="29"/>
      <c r="S622" s="28"/>
      <c r="T622" s="29"/>
      <c r="U622" s="28"/>
      <c r="V622" s="28"/>
      <c r="W622" s="28"/>
      <c r="X622" s="28"/>
      <c r="Y622" s="26"/>
      <c r="Z622" s="29"/>
      <c r="AA622" s="28"/>
      <c r="AB622" s="26"/>
      <c r="AC622" s="29"/>
      <c r="AD622" s="25"/>
      <c r="AE622" s="29"/>
      <c r="AF622" s="25"/>
      <c r="AG622" s="25"/>
      <c r="AH622" s="25"/>
      <c r="AI622" s="25"/>
      <c r="AJ622" s="26"/>
      <c r="AK622" s="29"/>
      <c r="AL622" s="28"/>
      <c r="AM622" s="26"/>
      <c r="AN622" s="29"/>
      <c r="AO622" s="25"/>
      <c r="AP622" s="29"/>
      <c r="AQ622" s="25"/>
      <c r="AR622" s="25"/>
      <c r="AS622" s="25"/>
      <c r="AT622" s="25"/>
      <c r="AU622" s="26"/>
      <c r="AV622" s="26"/>
      <c r="AW622" s="26"/>
      <c r="AX622" s="26"/>
      <c r="AY622" s="26"/>
      <c r="AZ622" s="26"/>
      <c r="BA622" s="26"/>
    </row>
    <row r="623">
      <c r="A623" s="26"/>
      <c r="B623" s="26"/>
      <c r="C623" s="26"/>
      <c r="D623" s="27"/>
      <c r="E623" s="27"/>
      <c r="F623" s="26"/>
      <c r="G623" s="28"/>
      <c r="H623" s="28"/>
      <c r="I623" s="28"/>
      <c r="J623" s="28"/>
      <c r="K623" s="28"/>
      <c r="L623" s="28"/>
      <c r="M623" s="28"/>
      <c r="N623" s="26"/>
      <c r="O623" s="29"/>
      <c r="P623" s="27"/>
      <c r="Q623" s="26"/>
      <c r="R623" s="29"/>
      <c r="S623" s="28"/>
      <c r="T623" s="29"/>
      <c r="U623" s="28"/>
      <c r="V623" s="28"/>
      <c r="W623" s="28"/>
      <c r="X623" s="28"/>
      <c r="Y623" s="26"/>
      <c r="Z623" s="29"/>
      <c r="AA623" s="28"/>
      <c r="AB623" s="26"/>
      <c r="AC623" s="29"/>
      <c r="AD623" s="25"/>
      <c r="AE623" s="29"/>
      <c r="AF623" s="25"/>
      <c r="AG623" s="25"/>
      <c r="AH623" s="25"/>
      <c r="AI623" s="25"/>
      <c r="AJ623" s="26"/>
      <c r="AK623" s="29"/>
      <c r="AL623" s="28"/>
      <c r="AM623" s="26"/>
      <c r="AN623" s="29"/>
      <c r="AO623" s="25"/>
      <c r="AP623" s="29"/>
      <c r="AQ623" s="25"/>
      <c r="AR623" s="25"/>
      <c r="AS623" s="25"/>
      <c r="AT623" s="25"/>
      <c r="AU623" s="26"/>
      <c r="AV623" s="26"/>
      <c r="AW623" s="26"/>
      <c r="AX623" s="26"/>
      <c r="AY623" s="26"/>
      <c r="AZ623" s="26"/>
      <c r="BA623" s="26"/>
    </row>
    <row r="624">
      <c r="A624" s="26"/>
      <c r="B624" s="26"/>
      <c r="C624" s="26"/>
      <c r="D624" s="27"/>
      <c r="E624" s="27"/>
      <c r="F624" s="26"/>
      <c r="G624" s="28"/>
      <c r="H624" s="28"/>
      <c r="I624" s="28"/>
      <c r="J624" s="28"/>
      <c r="K624" s="28"/>
      <c r="L624" s="28"/>
      <c r="M624" s="28"/>
      <c r="N624" s="26"/>
      <c r="O624" s="29"/>
      <c r="P624" s="27"/>
      <c r="Q624" s="26"/>
      <c r="R624" s="29"/>
      <c r="S624" s="28"/>
      <c r="T624" s="29"/>
      <c r="U624" s="28"/>
      <c r="V624" s="28"/>
      <c r="W624" s="28"/>
      <c r="X624" s="28"/>
      <c r="Y624" s="26"/>
      <c r="Z624" s="29"/>
      <c r="AA624" s="28"/>
      <c r="AB624" s="26"/>
      <c r="AC624" s="29"/>
      <c r="AD624" s="25"/>
      <c r="AE624" s="29"/>
      <c r="AF624" s="25"/>
      <c r="AG624" s="25"/>
      <c r="AH624" s="25"/>
      <c r="AI624" s="25"/>
      <c r="AJ624" s="26"/>
      <c r="AK624" s="29"/>
      <c r="AL624" s="28"/>
      <c r="AM624" s="26"/>
      <c r="AN624" s="29"/>
      <c r="AO624" s="25"/>
      <c r="AP624" s="29"/>
      <c r="AQ624" s="25"/>
      <c r="AR624" s="25"/>
      <c r="AS624" s="25"/>
      <c r="AT624" s="25"/>
      <c r="AU624" s="26"/>
      <c r="AV624" s="26"/>
      <c r="AW624" s="26"/>
      <c r="AX624" s="26"/>
      <c r="AY624" s="26"/>
      <c r="AZ624" s="26"/>
      <c r="BA624" s="26"/>
    </row>
    <row r="625">
      <c r="A625" s="26"/>
      <c r="B625" s="26"/>
      <c r="C625" s="26"/>
      <c r="D625" s="27"/>
      <c r="E625" s="27"/>
      <c r="F625" s="26"/>
      <c r="G625" s="28"/>
      <c r="H625" s="28"/>
      <c r="I625" s="28"/>
      <c r="J625" s="28"/>
      <c r="K625" s="28"/>
      <c r="L625" s="28"/>
      <c r="M625" s="28"/>
      <c r="N625" s="26"/>
      <c r="O625" s="29"/>
      <c r="P625" s="27"/>
      <c r="Q625" s="26"/>
      <c r="R625" s="29"/>
      <c r="S625" s="28"/>
      <c r="T625" s="29"/>
      <c r="U625" s="28"/>
      <c r="V625" s="28"/>
      <c r="W625" s="28"/>
      <c r="X625" s="28"/>
      <c r="Y625" s="26"/>
      <c r="Z625" s="29"/>
      <c r="AA625" s="28"/>
      <c r="AB625" s="26"/>
      <c r="AC625" s="29"/>
      <c r="AD625" s="25"/>
      <c r="AE625" s="29"/>
      <c r="AF625" s="25"/>
      <c r="AG625" s="25"/>
      <c r="AH625" s="25"/>
      <c r="AI625" s="25"/>
      <c r="AJ625" s="26"/>
      <c r="AK625" s="29"/>
      <c r="AL625" s="28"/>
      <c r="AM625" s="26"/>
      <c r="AN625" s="29"/>
      <c r="AO625" s="25"/>
      <c r="AP625" s="29"/>
      <c r="AQ625" s="25"/>
      <c r="AR625" s="25"/>
      <c r="AS625" s="25"/>
      <c r="AT625" s="25"/>
      <c r="AU625" s="26"/>
      <c r="AV625" s="26"/>
      <c r="AW625" s="26"/>
      <c r="AX625" s="26"/>
      <c r="AY625" s="26"/>
      <c r="AZ625" s="26"/>
      <c r="BA625" s="26"/>
    </row>
    <row r="626">
      <c r="A626" s="26"/>
      <c r="B626" s="26"/>
      <c r="C626" s="26"/>
      <c r="D626" s="27"/>
      <c r="E626" s="27"/>
      <c r="F626" s="26"/>
      <c r="G626" s="28"/>
      <c r="H626" s="28"/>
      <c r="I626" s="28"/>
      <c r="J626" s="28"/>
      <c r="K626" s="28"/>
      <c r="L626" s="28"/>
      <c r="M626" s="28"/>
      <c r="N626" s="26"/>
      <c r="O626" s="29"/>
      <c r="P626" s="27"/>
      <c r="Q626" s="26"/>
      <c r="R626" s="29"/>
      <c r="S626" s="28"/>
      <c r="T626" s="29"/>
      <c r="U626" s="28"/>
      <c r="V626" s="28"/>
      <c r="W626" s="28"/>
      <c r="X626" s="28"/>
      <c r="Y626" s="26"/>
      <c r="Z626" s="29"/>
      <c r="AA626" s="28"/>
      <c r="AB626" s="26"/>
      <c r="AC626" s="29"/>
      <c r="AD626" s="25"/>
      <c r="AE626" s="29"/>
      <c r="AF626" s="25"/>
      <c r="AG626" s="25"/>
      <c r="AH626" s="25"/>
      <c r="AI626" s="25"/>
      <c r="AJ626" s="26"/>
      <c r="AK626" s="29"/>
      <c r="AL626" s="28"/>
      <c r="AM626" s="26"/>
      <c r="AN626" s="29"/>
      <c r="AO626" s="25"/>
      <c r="AP626" s="29"/>
      <c r="AQ626" s="25"/>
      <c r="AR626" s="25"/>
      <c r="AS626" s="25"/>
      <c r="AT626" s="25"/>
      <c r="AU626" s="26"/>
      <c r="AV626" s="26"/>
      <c r="AW626" s="26"/>
      <c r="AX626" s="26"/>
      <c r="AY626" s="26"/>
      <c r="AZ626" s="26"/>
      <c r="BA626" s="26"/>
    </row>
    <row r="627">
      <c r="A627" s="26"/>
      <c r="B627" s="26"/>
      <c r="C627" s="26"/>
      <c r="D627" s="27"/>
      <c r="E627" s="27"/>
      <c r="F627" s="26"/>
      <c r="G627" s="28"/>
      <c r="H627" s="28"/>
      <c r="I627" s="28"/>
      <c r="J627" s="28"/>
      <c r="K627" s="28"/>
      <c r="L627" s="28"/>
      <c r="M627" s="28"/>
      <c r="N627" s="26"/>
      <c r="O627" s="29"/>
      <c r="P627" s="27"/>
      <c r="Q627" s="26"/>
      <c r="R627" s="29"/>
      <c r="S627" s="28"/>
      <c r="T627" s="29"/>
      <c r="U627" s="28"/>
      <c r="V627" s="28"/>
      <c r="W627" s="28"/>
      <c r="X627" s="28"/>
      <c r="Y627" s="26"/>
      <c r="Z627" s="29"/>
      <c r="AA627" s="28"/>
      <c r="AB627" s="26"/>
      <c r="AC627" s="29"/>
      <c r="AD627" s="25"/>
      <c r="AE627" s="29"/>
      <c r="AF627" s="25"/>
      <c r="AG627" s="25"/>
      <c r="AH627" s="25"/>
      <c r="AI627" s="25"/>
      <c r="AJ627" s="26"/>
      <c r="AK627" s="29"/>
      <c r="AL627" s="28"/>
      <c r="AM627" s="26"/>
      <c r="AN627" s="29"/>
      <c r="AO627" s="25"/>
      <c r="AP627" s="29"/>
      <c r="AQ627" s="25"/>
      <c r="AR627" s="25"/>
      <c r="AS627" s="25"/>
      <c r="AT627" s="25"/>
      <c r="AU627" s="26"/>
      <c r="AV627" s="26"/>
      <c r="AW627" s="26"/>
      <c r="AX627" s="26"/>
      <c r="AY627" s="26"/>
      <c r="AZ627" s="26"/>
      <c r="BA627" s="26"/>
    </row>
    <row r="628">
      <c r="A628" s="26"/>
      <c r="B628" s="26"/>
      <c r="C628" s="26"/>
      <c r="D628" s="27"/>
      <c r="E628" s="27"/>
      <c r="F628" s="26"/>
      <c r="G628" s="28"/>
      <c r="H628" s="28"/>
      <c r="I628" s="28"/>
      <c r="J628" s="28"/>
      <c r="K628" s="28"/>
      <c r="L628" s="28"/>
      <c r="M628" s="28"/>
      <c r="N628" s="26"/>
      <c r="O628" s="29"/>
      <c r="P628" s="27"/>
      <c r="Q628" s="26"/>
      <c r="R628" s="29"/>
      <c r="S628" s="28"/>
      <c r="T628" s="29"/>
      <c r="U628" s="28"/>
      <c r="V628" s="28"/>
      <c r="W628" s="28"/>
      <c r="X628" s="28"/>
      <c r="Y628" s="26"/>
      <c r="Z628" s="29"/>
      <c r="AA628" s="28"/>
      <c r="AB628" s="26"/>
      <c r="AC628" s="29"/>
      <c r="AD628" s="25"/>
      <c r="AE628" s="29"/>
      <c r="AF628" s="25"/>
      <c r="AG628" s="25"/>
      <c r="AH628" s="25"/>
      <c r="AI628" s="25"/>
      <c r="AJ628" s="26"/>
      <c r="AK628" s="29"/>
      <c r="AL628" s="28"/>
      <c r="AM628" s="26"/>
      <c r="AN628" s="29"/>
      <c r="AO628" s="25"/>
      <c r="AP628" s="29"/>
      <c r="AQ628" s="25"/>
      <c r="AR628" s="25"/>
      <c r="AS628" s="25"/>
      <c r="AT628" s="25"/>
      <c r="AU628" s="26"/>
      <c r="AV628" s="26"/>
      <c r="AW628" s="26"/>
      <c r="AX628" s="26"/>
      <c r="AY628" s="26"/>
      <c r="AZ628" s="26"/>
      <c r="BA628" s="26"/>
    </row>
    <row r="629">
      <c r="A629" s="26"/>
      <c r="B629" s="26"/>
      <c r="C629" s="26"/>
      <c r="D629" s="27"/>
      <c r="E629" s="27"/>
      <c r="F629" s="26"/>
      <c r="G629" s="28"/>
      <c r="H629" s="28"/>
      <c r="I629" s="28"/>
      <c r="J629" s="28"/>
      <c r="K629" s="28"/>
      <c r="L629" s="28"/>
      <c r="M629" s="28"/>
      <c r="N629" s="26"/>
      <c r="O629" s="29"/>
      <c r="P629" s="27"/>
      <c r="Q629" s="26"/>
      <c r="R629" s="29"/>
      <c r="S629" s="28"/>
      <c r="T629" s="29"/>
      <c r="U629" s="28"/>
      <c r="V629" s="28"/>
      <c r="W629" s="28"/>
      <c r="X629" s="28"/>
      <c r="Y629" s="26"/>
      <c r="Z629" s="29"/>
      <c r="AA629" s="28"/>
      <c r="AB629" s="26"/>
      <c r="AC629" s="29"/>
      <c r="AD629" s="25"/>
      <c r="AE629" s="29"/>
      <c r="AF629" s="25"/>
      <c r="AG629" s="25"/>
      <c r="AH629" s="25"/>
      <c r="AI629" s="25"/>
      <c r="AJ629" s="26"/>
      <c r="AK629" s="29"/>
      <c r="AL629" s="28"/>
      <c r="AM629" s="26"/>
      <c r="AN629" s="29"/>
      <c r="AO629" s="25"/>
      <c r="AP629" s="29"/>
      <c r="AQ629" s="25"/>
      <c r="AR629" s="25"/>
      <c r="AS629" s="25"/>
      <c r="AT629" s="25"/>
      <c r="AU629" s="26"/>
      <c r="AV629" s="26"/>
      <c r="AW629" s="26"/>
      <c r="AX629" s="26"/>
      <c r="AY629" s="26"/>
      <c r="AZ629" s="26"/>
      <c r="BA629" s="26"/>
    </row>
    <row r="630">
      <c r="A630" s="26"/>
      <c r="B630" s="26"/>
      <c r="C630" s="26"/>
      <c r="D630" s="27"/>
      <c r="E630" s="27"/>
      <c r="F630" s="26"/>
      <c r="G630" s="28"/>
      <c r="H630" s="28"/>
      <c r="I630" s="28"/>
      <c r="J630" s="28"/>
      <c r="K630" s="28"/>
      <c r="L630" s="28"/>
      <c r="M630" s="28"/>
      <c r="N630" s="26"/>
      <c r="O630" s="29"/>
      <c r="P630" s="27"/>
      <c r="Q630" s="26"/>
      <c r="R630" s="29"/>
      <c r="S630" s="28"/>
      <c r="T630" s="29"/>
      <c r="U630" s="28"/>
      <c r="V630" s="28"/>
      <c r="W630" s="28"/>
      <c r="X630" s="28"/>
      <c r="Y630" s="26"/>
      <c r="Z630" s="29"/>
      <c r="AA630" s="28"/>
      <c r="AB630" s="26"/>
      <c r="AC630" s="29"/>
      <c r="AD630" s="25"/>
      <c r="AE630" s="29"/>
      <c r="AF630" s="25"/>
      <c r="AG630" s="25"/>
      <c r="AH630" s="25"/>
      <c r="AI630" s="25"/>
      <c r="AJ630" s="26"/>
      <c r="AK630" s="29"/>
      <c r="AL630" s="28"/>
      <c r="AM630" s="26"/>
      <c r="AN630" s="29"/>
      <c r="AO630" s="25"/>
      <c r="AP630" s="29"/>
      <c r="AQ630" s="25"/>
      <c r="AR630" s="25"/>
      <c r="AS630" s="25"/>
      <c r="AT630" s="25"/>
      <c r="AU630" s="26"/>
      <c r="AV630" s="26"/>
      <c r="AW630" s="26"/>
      <c r="AX630" s="26"/>
      <c r="AY630" s="26"/>
      <c r="AZ630" s="26"/>
      <c r="BA630" s="26"/>
    </row>
    <row r="631">
      <c r="A631" s="26"/>
      <c r="B631" s="26"/>
      <c r="C631" s="26"/>
      <c r="D631" s="27"/>
      <c r="E631" s="27"/>
      <c r="F631" s="26"/>
      <c r="G631" s="28"/>
      <c r="H631" s="28"/>
      <c r="I631" s="28"/>
      <c r="J631" s="28"/>
      <c r="K631" s="28"/>
      <c r="L631" s="28"/>
      <c r="M631" s="28"/>
      <c r="N631" s="26"/>
      <c r="O631" s="29"/>
      <c r="P631" s="27"/>
      <c r="Q631" s="26"/>
      <c r="R631" s="29"/>
      <c r="S631" s="28"/>
      <c r="T631" s="29"/>
      <c r="U631" s="28"/>
      <c r="V631" s="28"/>
      <c r="W631" s="28"/>
      <c r="X631" s="28"/>
      <c r="Y631" s="26"/>
      <c r="Z631" s="29"/>
      <c r="AA631" s="28"/>
      <c r="AB631" s="26"/>
      <c r="AC631" s="29"/>
      <c r="AD631" s="25"/>
      <c r="AE631" s="29"/>
      <c r="AF631" s="25"/>
      <c r="AG631" s="25"/>
      <c r="AH631" s="25"/>
      <c r="AI631" s="25"/>
      <c r="AJ631" s="26"/>
      <c r="AK631" s="29"/>
      <c r="AL631" s="28"/>
      <c r="AM631" s="26"/>
      <c r="AN631" s="29"/>
      <c r="AO631" s="25"/>
      <c r="AP631" s="29"/>
      <c r="AQ631" s="25"/>
      <c r="AR631" s="25"/>
      <c r="AS631" s="25"/>
      <c r="AT631" s="25"/>
      <c r="AU631" s="26"/>
      <c r="AV631" s="26"/>
      <c r="AW631" s="26"/>
      <c r="AX631" s="26"/>
      <c r="AY631" s="26"/>
      <c r="AZ631" s="26"/>
      <c r="BA631" s="26"/>
    </row>
    <row r="632">
      <c r="A632" s="26"/>
      <c r="B632" s="26"/>
      <c r="C632" s="26"/>
      <c r="D632" s="27"/>
      <c r="E632" s="27"/>
      <c r="F632" s="26"/>
      <c r="G632" s="28"/>
      <c r="H632" s="28"/>
      <c r="I632" s="28"/>
      <c r="J632" s="28"/>
      <c r="K632" s="28"/>
      <c r="L632" s="28"/>
      <c r="M632" s="28"/>
      <c r="N632" s="26"/>
      <c r="O632" s="29"/>
      <c r="P632" s="27"/>
      <c r="Q632" s="26"/>
      <c r="R632" s="29"/>
      <c r="S632" s="28"/>
      <c r="T632" s="29"/>
      <c r="U632" s="28"/>
      <c r="V632" s="28"/>
      <c r="W632" s="28"/>
      <c r="X632" s="28"/>
      <c r="Y632" s="26"/>
      <c r="Z632" s="29"/>
      <c r="AA632" s="28"/>
      <c r="AB632" s="26"/>
      <c r="AC632" s="29"/>
      <c r="AD632" s="25"/>
      <c r="AE632" s="29"/>
      <c r="AF632" s="25"/>
      <c r="AG632" s="25"/>
      <c r="AH632" s="25"/>
      <c r="AI632" s="25"/>
      <c r="AJ632" s="26"/>
      <c r="AK632" s="29"/>
      <c r="AL632" s="28"/>
      <c r="AM632" s="26"/>
      <c r="AN632" s="29"/>
      <c r="AO632" s="25"/>
      <c r="AP632" s="29"/>
      <c r="AQ632" s="25"/>
      <c r="AR632" s="25"/>
      <c r="AS632" s="25"/>
      <c r="AT632" s="25"/>
      <c r="AU632" s="26"/>
      <c r="AV632" s="26"/>
      <c r="AW632" s="26"/>
      <c r="AX632" s="26"/>
      <c r="AY632" s="26"/>
      <c r="AZ632" s="26"/>
      <c r="BA632" s="26"/>
    </row>
    <row r="633">
      <c r="A633" s="26"/>
      <c r="B633" s="26"/>
      <c r="C633" s="26"/>
      <c r="D633" s="27"/>
      <c r="E633" s="27"/>
      <c r="F633" s="26"/>
      <c r="G633" s="28"/>
      <c r="H633" s="28"/>
      <c r="I633" s="28"/>
      <c r="J633" s="28"/>
      <c r="K633" s="28"/>
      <c r="L633" s="28"/>
      <c r="M633" s="28"/>
      <c r="N633" s="26"/>
      <c r="O633" s="29"/>
      <c r="P633" s="27"/>
      <c r="Q633" s="26"/>
      <c r="R633" s="29"/>
      <c r="S633" s="28"/>
      <c r="T633" s="29"/>
      <c r="U633" s="28"/>
      <c r="V633" s="28"/>
      <c r="W633" s="28"/>
      <c r="X633" s="28"/>
      <c r="Y633" s="26"/>
      <c r="Z633" s="29"/>
      <c r="AA633" s="28"/>
      <c r="AB633" s="26"/>
      <c r="AC633" s="29"/>
      <c r="AD633" s="25"/>
      <c r="AE633" s="29"/>
      <c r="AF633" s="25"/>
      <c r="AG633" s="25"/>
      <c r="AH633" s="25"/>
      <c r="AI633" s="25"/>
      <c r="AJ633" s="26"/>
      <c r="AK633" s="29"/>
      <c r="AL633" s="28"/>
      <c r="AM633" s="26"/>
      <c r="AN633" s="29"/>
      <c r="AO633" s="25"/>
      <c r="AP633" s="29"/>
      <c r="AQ633" s="25"/>
      <c r="AR633" s="25"/>
      <c r="AS633" s="25"/>
      <c r="AT633" s="25"/>
      <c r="AU633" s="26"/>
      <c r="AV633" s="26"/>
      <c r="AW633" s="26"/>
      <c r="AX633" s="26"/>
      <c r="AY633" s="26"/>
      <c r="AZ633" s="26"/>
      <c r="BA633" s="26"/>
    </row>
    <row r="634">
      <c r="A634" s="26"/>
      <c r="B634" s="26"/>
      <c r="C634" s="26"/>
      <c r="D634" s="27"/>
      <c r="E634" s="27"/>
      <c r="F634" s="26"/>
      <c r="G634" s="28"/>
      <c r="H634" s="28"/>
      <c r="I634" s="28"/>
      <c r="J634" s="28"/>
      <c r="K634" s="28"/>
      <c r="L634" s="28"/>
      <c r="M634" s="28"/>
      <c r="N634" s="26"/>
      <c r="O634" s="29"/>
      <c r="P634" s="27"/>
      <c r="Q634" s="26"/>
      <c r="R634" s="29"/>
      <c r="S634" s="28"/>
      <c r="T634" s="29"/>
      <c r="U634" s="28"/>
      <c r="V634" s="28"/>
      <c r="W634" s="28"/>
      <c r="X634" s="28"/>
      <c r="Y634" s="26"/>
      <c r="Z634" s="29"/>
      <c r="AA634" s="28"/>
      <c r="AB634" s="26"/>
      <c r="AC634" s="29"/>
      <c r="AD634" s="25"/>
      <c r="AE634" s="29"/>
      <c r="AF634" s="25"/>
      <c r="AG634" s="25"/>
      <c r="AH634" s="25"/>
      <c r="AI634" s="25"/>
      <c r="AJ634" s="26"/>
      <c r="AK634" s="29"/>
      <c r="AL634" s="28"/>
      <c r="AM634" s="26"/>
      <c r="AN634" s="29"/>
      <c r="AO634" s="25"/>
      <c r="AP634" s="29"/>
      <c r="AQ634" s="25"/>
      <c r="AR634" s="25"/>
      <c r="AS634" s="25"/>
      <c r="AT634" s="25"/>
      <c r="AU634" s="26"/>
      <c r="AV634" s="26"/>
      <c r="AW634" s="26"/>
      <c r="AX634" s="26"/>
      <c r="AY634" s="26"/>
      <c r="AZ634" s="26"/>
      <c r="BA634" s="26"/>
    </row>
    <row r="635">
      <c r="A635" s="26"/>
      <c r="B635" s="26"/>
      <c r="C635" s="26"/>
      <c r="D635" s="27"/>
      <c r="E635" s="27"/>
      <c r="F635" s="26"/>
      <c r="G635" s="28"/>
      <c r="H635" s="28"/>
      <c r="I635" s="28"/>
      <c r="J635" s="28"/>
      <c r="K635" s="28"/>
      <c r="L635" s="28"/>
      <c r="M635" s="28"/>
      <c r="N635" s="26"/>
      <c r="O635" s="29"/>
      <c r="P635" s="27"/>
      <c r="Q635" s="26"/>
      <c r="R635" s="29"/>
      <c r="S635" s="28"/>
      <c r="T635" s="29"/>
      <c r="U635" s="28"/>
      <c r="V635" s="28"/>
      <c r="W635" s="28"/>
      <c r="X635" s="28"/>
      <c r="Y635" s="26"/>
      <c r="Z635" s="29"/>
      <c r="AA635" s="28"/>
      <c r="AB635" s="26"/>
      <c r="AC635" s="29"/>
      <c r="AD635" s="25"/>
      <c r="AE635" s="29"/>
      <c r="AF635" s="25"/>
      <c r="AG635" s="25"/>
      <c r="AH635" s="25"/>
      <c r="AI635" s="25"/>
      <c r="AJ635" s="26"/>
      <c r="AK635" s="29"/>
      <c r="AL635" s="28"/>
      <c r="AM635" s="26"/>
      <c r="AN635" s="29"/>
      <c r="AO635" s="25"/>
      <c r="AP635" s="29"/>
      <c r="AQ635" s="25"/>
      <c r="AR635" s="25"/>
      <c r="AS635" s="25"/>
      <c r="AT635" s="25"/>
      <c r="AU635" s="26"/>
      <c r="AV635" s="26"/>
      <c r="AW635" s="26"/>
      <c r="AX635" s="26"/>
      <c r="AY635" s="26"/>
      <c r="AZ635" s="26"/>
      <c r="BA635" s="26"/>
    </row>
    <row r="636">
      <c r="A636" s="26"/>
      <c r="B636" s="26"/>
      <c r="C636" s="26"/>
      <c r="D636" s="27"/>
      <c r="E636" s="27"/>
      <c r="F636" s="26"/>
      <c r="G636" s="28"/>
      <c r="H636" s="28"/>
      <c r="I636" s="28"/>
      <c r="J636" s="28"/>
      <c r="K636" s="28"/>
      <c r="L636" s="28"/>
      <c r="M636" s="28"/>
      <c r="N636" s="26"/>
      <c r="O636" s="29"/>
      <c r="P636" s="27"/>
      <c r="Q636" s="26"/>
      <c r="R636" s="29"/>
      <c r="S636" s="28"/>
      <c r="T636" s="29"/>
      <c r="U636" s="28"/>
      <c r="V636" s="28"/>
      <c r="W636" s="28"/>
      <c r="X636" s="28"/>
      <c r="Y636" s="26"/>
      <c r="Z636" s="29"/>
      <c r="AA636" s="28"/>
      <c r="AB636" s="26"/>
      <c r="AC636" s="29"/>
      <c r="AD636" s="25"/>
      <c r="AE636" s="29"/>
      <c r="AF636" s="25"/>
      <c r="AG636" s="25"/>
      <c r="AH636" s="25"/>
      <c r="AI636" s="25"/>
      <c r="AJ636" s="26"/>
      <c r="AK636" s="29"/>
      <c r="AL636" s="28"/>
      <c r="AM636" s="26"/>
      <c r="AN636" s="29"/>
      <c r="AO636" s="25"/>
      <c r="AP636" s="29"/>
      <c r="AQ636" s="25"/>
      <c r="AR636" s="25"/>
      <c r="AS636" s="25"/>
      <c r="AT636" s="25"/>
      <c r="AU636" s="26"/>
      <c r="AV636" s="26"/>
      <c r="AW636" s="26"/>
      <c r="AX636" s="26"/>
      <c r="AY636" s="26"/>
      <c r="AZ636" s="26"/>
      <c r="BA636" s="26"/>
    </row>
    <row r="637">
      <c r="A637" s="26"/>
      <c r="B637" s="26"/>
      <c r="C637" s="26"/>
      <c r="D637" s="27"/>
      <c r="E637" s="27"/>
      <c r="F637" s="26"/>
      <c r="G637" s="28"/>
      <c r="H637" s="28"/>
      <c r="I637" s="28"/>
      <c r="J637" s="28"/>
      <c r="K637" s="28"/>
      <c r="L637" s="28"/>
      <c r="M637" s="28"/>
      <c r="N637" s="26"/>
      <c r="O637" s="29"/>
      <c r="P637" s="27"/>
      <c r="Q637" s="26"/>
      <c r="R637" s="29"/>
      <c r="S637" s="28"/>
      <c r="T637" s="29"/>
      <c r="U637" s="28"/>
      <c r="V637" s="28"/>
      <c r="W637" s="28"/>
      <c r="X637" s="28"/>
      <c r="Y637" s="26"/>
      <c r="Z637" s="29"/>
      <c r="AA637" s="28"/>
      <c r="AB637" s="26"/>
      <c r="AC637" s="29"/>
      <c r="AD637" s="25"/>
      <c r="AE637" s="29"/>
      <c r="AF637" s="25"/>
      <c r="AG637" s="25"/>
      <c r="AH637" s="25"/>
      <c r="AI637" s="25"/>
      <c r="AJ637" s="26"/>
      <c r="AK637" s="29"/>
      <c r="AL637" s="28"/>
      <c r="AM637" s="26"/>
      <c r="AN637" s="29"/>
      <c r="AO637" s="25"/>
      <c r="AP637" s="29"/>
      <c r="AQ637" s="25"/>
      <c r="AR637" s="25"/>
      <c r="AS637" s="25"/>
      <c r="AT637" s="25"/>
      <c r="AU637" s="26"/>
      <c r="AV637" s="26"/>
      <c r="AW637" s="26"/>
      <c r="AX637" s="26"/>
      <c r="AY637" s="26"/>
      <c r="AZ637" s="26"/>
      <c r="BA637" s="26"/>
    </row>
    <row r="638">
      <c r="A638" s="26"/>
      <c r="B638" s="26"/>
      <c r="C638" s="26"/>
      <c r="D638" s="27"/>
      <c r="E638" s="27"/>
      <c r="F638" s="26"/>
      <c r="G638" s="28"/>
      <c r="H638" s="28"/>
      <c r="I638" s="28"/>
      <c r="J638" s="28"/>
      <c r="K638" s="28"/>
      <c r="L638" s="28"/>
      <c r="M638" s="28"/>
      <c r="N638" s="26"/>
      <c r="O638" s="29"/>
      <c r="P638" s="27"/>
      <c r="Q638" s="26"/>
      <c r="R638" s="29"/>
      <c r="S638" s="28"/>
      <c r="T638" s="29"/>
      <c r="U638" s="28"/>
      <c r="V638" s="28"/>
      <c r="W638" s="28"/>
      <c r="X638" s="28"/>
      <c r="Y638" s="26"/>
      <c r="Z638" s="29"/>
      <c r="AA638" s="28"/>
      <c r="AB638" s="26"/>
      <c r="AC638" s="29"/>
      <c r="AD638" s="25"/>
      <c r="AE638" s="29"/>
      <c r="AF638" s="25"/>
      <c r="AG638" s="25"/>
      <c r="AH638" s="25"/>
      <c r="AI638" s="25"/>
      <c r="AJ638" s="26"/>
      <c r="AK638" s="29"/>
      <c r="AL638" s="28"/>
      <c r="AM638" s="26"/>
      <c r="AN638" s="29"/>
      <c r="AO638" s="25"/>
      <c r="AP638" s="29"/>
      <c r="AQ638" s="25"/>
      <c r="AR638" s="25"/>
      <c r="AS638" s="25"/>
      <c r="AT638" s="25"/>
      <c r="AU638" s="26"/>
      <c r="AV638" s="26"/>
      <c r="AW638" s="26"/>
      <c r="AX638" s="26"/>
      <c r="AY638" s="26"/>
      <c r="AZ638" s="26"/>
      <c r="BA638" s="26"/>
    </row>
    <row r="639">
      <c r="A639" s="26"/>
      <c r="B639" s="26"/>
      <c r="C639" s="26"/>
      <c r="D639" s="27"/>
      <c r="E639" s="27"/>
      <c r="F639" s="26"/>
      <c r="G639" s="28"/>
      <c r="H639" s="28"/>
      <c r="I639" s="28"/>
      <c r="J639" s="28"/>
      <c r="K639" s="28"/>
      <c r="L639" s="28"/>
      <c r="M639" s="28"/>
      <c r="N639" s="26"/>
      <c r="O639" s="29"/>
      <c r="P639" s="27"/>
      <c r="Q639" s="26"/>
      <c r="R639" s="29"/>
      <c r="S639" s="28"/>
      <c r="T639" s="29"/>
      <c r="U639" s="28"/>
      <c r="V639" s="28"/>
      <c r="W639" s="28"/>
      <c r="X639" s="28"/>
      <c r="Y639" s="26"/>
      <c r="Z639" s="29"/>
      <c r="AA639" s="28"/>
      <c r="AB639" s="26"/>
      <c r="AC639" s="29"/>
      <c r="AD639" s="25"/>
      <c r="AE639" s="29"/>
      <c r="AF639" s="25"/>
      <c r="AG639" s="25"/>
      <c r="AH639" s="25"/>
      <c r="AI639" s="25"/>
      <c r="AJ639" s="26"/>
      <c r="AK639" s="29"/>
      <c r="AL639" s="28"/>
      <c r="AM639" s="26"/>
      <c r="AN639" s="29"/>
      <c r="AO639" s="25"/>
      <c r="AP639" s="29"/>
      <c r="AQ639" s="25"/>
      <c r="AR639" s="25"/>
      <c r="AS639" s="25"/>
      <c r="AT639" s="25"/>
      <c r="AU639" s="26"/>
      <c r="AV639" s="26"/>
      <c r="AW639" s="26"/>
      <c r="AX639" s="26"/>
      <c r="AY639" s="26"/>
      <c r="AZ639" s="26"/>
      <c r="BA639" s="26"/>
    </row>
    <row r="640">
      <c r="A640" s="26"/>
      <c r="B640" s="26"/>
      <c r="C640" s="26"/>
      <c r="D640" s="27"/>
      <c r="E640" s="27"/>
      <c r="F640" s="26"/>
      <c r="G640" s="28"/>
      <c r="H640" s="28"/>
      <c r="I640" s="28"/>
      <c r="J640" s="28"/>
      <c r="K640" s="28"/>
      <c r="L640" s="28"/>
      <c r="M640" s="28"/>
      <c r="N640" s="26"/>
      <c r="O640" s="29"/>
      <c r="P640" s="27"/>
      <c r="Q640" s="26"/>
      <c r="R640" s="29"/>
      <c r="S640" s="28"/>
      <c r="T640" s="29"/>
      <c r="U640" s="28"/>
      <c r="V640" s="28"/>
      <c r="W640" s="28"/>
      <c r="X640" s="28"/>
      <c r="Y640" s="26"/>
      <c r="Z640" s="29"/>
      <c r="AA640" s="28"/>
      <c r="AB640" s="26"/>
      <c r="AC640" s="29"/>
      <c r="AD640" s="25"/>
      <c r="AE640" s="29"/>
      <c r="AF640" s="25"/>
      <c r="AG640" s="25"/>
      <c r="AH640" s="25"/>
      <c r="AI640" s="25"/>
      <c r="AJ640" s="26"/>
      <c r="AK640" s="29"/>
      <c r="AL640" s="28"/>
      <c r="AM640" s="26"/>
      <c r="AN640" s="29"/>
      <c r="AO640" s="25"/>
      <c r="AP640" s="29"/>
      <c r="AQ640" s="25"/>
      <c r="AR640" s="25"/>
      <c r="AS640" s="25"/>
      <c r="AT640" s="25"/>
      <c r="AU640" s="26"/>
      <c r="AV640" s="26"/>
      <c r="AW640" s="26"/>
      <c r="AX640" s="26"/>
      <c r="AY640" s="26"/>
      <c r="AZ640" s="26"/>
      <c r="BA640" s="26"/>
    </row>
    <row r="641">
      <c r="A641" s="26"/>
      <c r="B641" s="26"/>
      <c r="C641" s="26"/>
      <c r="D641" s="27"/>
      <c r="E641" s="27"/>
      <c r="F641" s="26"/>
      <c r="G641" s="28"/>
      <c r="H641" s="28"/>
      <c r="I641" s="28"/>
      <c r="J641" s="28"/>
      <c r="K641" s="28"/>
      <c r="L641" s="28"/>
      <c r="M641" s="28"/>
      <c r="N641" s="26"/>
      <c r="O641" s="29"/>
      <c r="P641" s="27"/>
      <c r="Q641" s="26"/>
      <c r="R641" s="29"/>
      <c r="S641" s="28"/>
      <c r="T641" s="29"/>
      <c r="U641" s="28"/>
      <c r="V641" s="28"/>
      <c r="W641" s="28"/>
      <c r="X641" s="28"/>
      <c r="Y641" s="26"/>
      <c r="Z641" s="29"/>
      <c r="AA641" s="28"/>
      <c r="AB641" s="26"/>
      <c r="AC641" s="29"/>
      <c r="AD641" s="25"/>
      <c r="AE641" s="29"/>
      <c r="AF641" s="25"/>
      <c r="AG641" s="25"/>
      <c r="AH641" s="25"/>
      <c r="AI641" s="25"/>
      <c r="AJ641" s="26"/>
      <c r="AK641" s="29"/>
      <c r="AL641" s="28"/>
      <c r="AM641" s="26"/>
      <c r="AN641" s="29"/>
      <c r="AO641" s="25"/>
      <c r="AP641" s="29"/>
      <c r="AQ641" s="25"/>
      <c r="AR641" s="25"/>
      <c r="AS641" s="25"/>
      <c r="AT641" s="25"/>
      <c r="AU641" s="26"/>
      <c r="AV641" s="26"/>
      <c r="AW641" s="26"/>
      <c r="AX641" s="26"/>
      <c r="AY641" s="26"/>
      <c r="AZ641" s="26"/>
      <c r="BA641" s="26"/>
    </row>
    <row r="642">
      <c r="A642" s="26"/>
      <c r="B642" s="26"/>
      <c r="C642" s="26"/>
      <c r="D642" s="27"/>
      <c r="E642" s="27"/>
      <c r="F642" s="26"/>
      <c r="G642" s="28"/>
      <c r="H642" s="28"/>
      <c r="I642" s="28"/>
      <c r="J642" s="28"/>
      <c r="K642" s="28"/>
      <c r="L642" s="28"/>
      <c r="M642" s="28"/>
      <c r="N642" s="26"/>
      <c r="O642" s="29"/>
      <c r="P642" s="27"/>
      <c r="Q642" s="26"/>
      <c r="R642" s="29"/>
      <c r="S642" s="28"/>
      <c r="T642" s="29"/>
      <c r="U642" s="28"/>
      <c r="V642" s="28"/>
      <c r="W642" s="28"/>
      <c r="X642" s="28"/>
      <c r="Y642" s="26"/>
      <c r="Z642" s="29"/>
      <c r="AA642" s="28"/>
      <c r="AB642" s="26"/>
      <c r="AC642" s="29"/>
      <c r="AD642" s="25"/>
      <c r="AE642" s="29"/>
      <c r="AF642" s="25"/>
      <c r="AG642" s="25"/>
      <c r="AH642" s="25"/>
      <c r="AI642" s="25"/>
      <c r="AJ642" s="26"/>
      <c r="AK642" s="29"/>
      <c r="AL642" s="28"/>
      <c r="AM642" s="26"/>
      <c r="AN642" s="29"/>
      <c r="AO642" s="25"/>
      <c r="AP642" s="29"/>
      <c r="AQ642" s="25"/>
      <c r="AR642" s="25"/>
      <c r="AS642" s="25"/>
      <c r="AT642" s="25"/>
      <c r="AU642" s="26"/>
      <c r="AV642" s="26"/>
      <c r="AW642" s="26"/>
      <c r="AX642" s="26"/>
      <c r="AY642" s="26"/>
      <c r="AZ642" s="26"/>
      <c r="BA642" s="26"/>
    </row>
    <row r="643">
      <c r="A643" s="26"/>
      <c r="B643" s="26"/>
      <c r="C643" s="26"/>
      <c r="D643" s="27"/>
      <c r="E643" s="27"/>
      <c r="F643" s="26"/>
      <c r="G643" s="28"/>
      <c r="H643" s="28"/>
      <c r="I643" s="28"/>
      <c r="J643" s="28"/>
      <c r="K643" s="28"/>
      <c r="L643" s="28"/>
      <c r="M643" s="28"/>
      <c r="N643" s="26"/>
      <c r="O643" s="29"/>
      <c r="P643" s="27"/>
      <c r="Q643" s="26"/>
      <c r="R643" s="29"/>
      <c r="S643" s="28"/>
      <c r="T643" s="29"/>
      <c r="U643" s="28"/>
      <c r="V643" s="28"/>
      <c r="W643" s="28"/>
      <c r="X643" s="28"/>
      <c r="Y643" s="26"/>
      <c r="Z643" s="29"/>
      <c r="AA643" s="28"/>
      <c r="AB643" s="26"/>
      <c r="AC643" s="29"/>
      <c r="AD643" s="25"/>
      <c r="AE643" s="29"/>
      <c r="AF643" s="25"/>
      <c r="AG643" s="25"/>
      <c r="AH643" s="25"/>
      <c r="AI643" s="25"/>
      <c r="AJ643" s="26"/>
      <c r="AK643" s="29"/>
      <c r="AL643" s="28"/>
      <c r="AM643" s="26"/>
      <c r="AN643" s="29"/>
      <c r="AO643" s="25"/>
      <c r="AP643" s="29"/>
      <c r="AQ643" s="25"/>
      <c r="AR643" s="25"/>
      <c r="AS643" s="25"/>
      <c r="AT643" s="25"/>
      <c r="AU643" s="26"/>
      <c r="AV643" s="26"/>
      <c r="AW643" s="26"/>
      <c r="AX643" s="26"/>
      <c r="AY643" s="26"/>
      <c r="AZ643" s="26"/>
      <c r="BA643" s="26"/>
    </row>
    <row r="644">
      <c r="A644" s="26"/>
      <c r="B644" s="26"/>
      <c r="C644" s="26"/>
      <c r="D644" s="27"/>
      <c r="E644" s="27"/>
      <c r="F644" s="26"/>
      <c r="G644" s="28"/>
      <c r="H644" s="28"/>
      <c r="I644" s="28"/>
      <c r="J644" s="28"/>
      <c r="K644" s="28"/>
      <c r="L644" s="28"/>
      <c r="M644" s="28"/>
      <c r="N644" s="26"/>
      <c r="O644" s="29"/>
      <c r="P644" s="27"/>
      <c r="Q644" s="26"/>
      <c r="R644" s="29"/>
      <c r="S644" s="28"/>
      <c r="T644" s="29"/>
      <c r="U644" s="28"/>
      <c r="V644" s="28"/>
      <c r="W644" s="28"/>
      <c r="X644" s="28"/>
      <c r="Y644" s="26"/>
      <c r="Z644" s="29"/>
      <c r="AA644" s="28"/>
      <c r="AB644" s="26"/>
      <c r="AC644" s="29"/>
      <c r="AD644" s="25"/>
      <c r="AE644" s="29"/>
      <c r="AF644" s="25"/>
      <c r="AG644" s="25"/>
      <c r="AH644" s="25"/>
      <c r="AI644" s="25"/>
      <c r="AJ644" s="26"/>
      <c r="AK644" s="29"/>
      <c r="AL644" s="28"/>
      <c r="AM644" s="26"/>
      <c r="AN644" s="29"/>
      <c r="AO644" s="25"/>
      <c r="AP644" s="29"/>
      <c r="AQ644" s="25"/>
      <c r="AR644" s="25"/>
      <c r="AS644" s="25"/>
      <c r="AT644" s="25"/>
      <c r="AU644" s="26"/>
      <c r="AV644" s="26"/>
      <c r="AW644" s="26"/>
      <c r="AX644" s="26"/>
      <c r="AY644" s="26"/>
      <c r="AZ644" s="26"/>
      <c r="BA644" s="26"/>
    </row>
    <row r="645">
      <c r="A645" s="26"/>
      <c r="B645" s="26"/>
      <c r="C645" s="26"/>
      <c r="D645" s="27"/>
      <c r="E645" s="27"/>
      <c r="F645" s="26"/>
      <c r="G645" s="28"/>
      <c r="H645" s="28"/>
      <c r="I645" s="28"/>
      <c r="J645" s="28"/>
      <c r="K645" s="28"/>
      <c r="L645" s="28"/>
      <c r="M645" s="28"/>
      <c r="N645" s="26"/>
      <c r="O645" s="29"/>
      <c r="P645" s="27"/>
      <c r="Q645" s="26"/>
      <c r="R645" s="29"/>
      <c r="S645" s="28"/>
      <c r="T645" s="29"/>
      <c r="U645" s="28"/>
      <c r="V645" s="28"/>
      <c r="W645" s="28"/>
      <c r="X645" s="28"/>
      <c r="Y645" s="26"/>
      <c r="Z645" s="29"/>
      <c r="AA645" s="28"/>
      <c r="AB645" s="26"/>
      <c r="AC645" s="29"/>
      <c r="AD645" s="25"/>
      <c r="AE645" s="29"/>
      <c r="AF645" s="25"/>
      <c r="AG645" s="25"/>
      <c r="AH645" s="25"/>
      <c r="AI645" s="25"/>
      <c r="AJ645" s="26"/>
      <c r="AK645" s="29"/>
      <c r="AL645" s="28"/>
      <c r="AM645" s="26"/>
      <c r="AN645" s="29"/>
      <c r="AO645" s="25"/>
      <c r="AP645" s="29"/>
      <c r="AQ645" s="25"/>
      <c r="AR645" s="25"/>
      <c r="AS645" s="25"/>
      <c r="AT645" s="25"/>
      <c r="AU645" s="26"/>
      <c r="AV645" s="26"/>
      <c r="AW645" s="26"/>
      <c r="AX645" s="26"/>
      <c r="AY645" s="26"/>
      <c r="AZ645" s="26"/>
      <c r="BA645" s="26"/>
    </row>
    <row r="646">
      <c r="A646" s="26"/>
      <c r="B646" s="26"/>
      <c r="C646" s="26"/>
      <c r="D646" s="27"/>
      <c r="E646" s="27"/>
      <c r="F646" s="26"/>
      <c r="G646" s="28"/>
      <c r="H646" s="28"/>
      <c r="I646" s="28"/>
      <c r="J646" s="28"/>
      <c r="K646" s="28"/>
      <c r="L646" s="28"/>
      <c r="M646" s="28"/>
      <c r="N646" s="26"/>
      <c r="O646" s="29"/>
      <c r="P646" s="27"/>
      <c r="Q646" s="26"/>
      <c r="R646" s="29"/>
      <c r="S646" s="28"/>
      <c r="T646" s="29"/>
      <c r="U646" s="28"/>
      <c r="V646" s="28"/>
      <c r="W646" s="28"/>
      <c r="X646" s="28"/>
      <c r="Y646" s="26"/>
      <c r="Z646" s="29"/>
      <c r="AA646" s="28"/>
      <c r="AB646" s="26"/>
      <c r="AC646" s="29"/>
      <c r="AD646" s="25"/>
      <c r="AE646" s="29"/>
      <c r="AF646" s="25"/>
      <c r="AG646" s="25"/>
      <c r="AH646" s="25"/>
      <c r="AI646" s="25"/>
      <c r="AJ646" s="26"/>
      <c r="AK646" s="29"/>
      <c r="AL646" s="28"/>
      <c r="AM646" s="26"/>
      <c r="AN646" s="29"/>
      <c r="AO646" s="25"/>
      <c r="AP646" s="29"/>
      <c r="AQ646" s="25"/>
      <c r="AR646" s="25"/>
      <c r="AS646" s="25"/>
      <c r="AT646" s="25"/>
      <c r="AU646" s="26"/>
      <c r="AV646" s="26"/>
      <c r="AW646" s="26"/>
      <c r="AX646" s="26"/>
      <c r="AY646" s="26"/>
      <c r="AZ646" s="26"/>
      <c r="BA646" s="26"/>
    </row>
    <row r="647">
      <c r="A647" s="26"/>
      <c r="B647" s="26"/>
      <c r="C647" s="26"/>
      <c r="D647" s="27"/>
      <c r="E647" s="27"/>
      <c r="F647" s="26"/>
      <c r="G647" s="28"/>
      <c r="H647" s="28"/>
      <c r="I647" s="28"/>
      <c r="J647" s="28"/>
      <c r="K647" s="28"/>
      <c r="L647" s="28"/>
      <c r="M647" s="28"/>
      <c r="N647" s="26"/>
      <c r="O647" s="29"/>
      <c r="P647" s="27"/>
      <c r="Q647" s="26"/>
      <c r="R647" s="29"/>
      <c r="S647" s="28"/>
      <c r="T647" s="29"/>
      <c r="U647" s="28"/>
      <c r="V647" s="28"/>
      <c r="W647" s="28"/>
      <c r="X647" s="28"/>
      <c r="Y647" s="26"/>
      <c r="Z647" s="29"/>
      <c r="AA647" s="28"/>
      <c r="AB647" s="26"/>
      <c r="AC647" s="29"/>
      <c r="AD647" s="25"/>
      <c r="AE647" s="29"/>
      <c r="AF647" s="25"/>
      <c r="AG647" s="25"/>
      <c r="AH647" s="25"/>
      <c r="AI647" s="25"/>
      <c r="AJ647" s="26"/>
      <c r="AK647" s="29"/>
      <c r="AL647" s="28"/>
      <c r="AM647" s="26"/>
      <c r="AN647" s="29"/>
      <c r="AO647" s="25"/>
      <c r="AP647" s="29"/>
      <c r="AQ647" s="25"/>
      <c r="AR647" s="25"/>
      <c r="AS647" s="25"/>
      <c r="AT647" s="25"/>
      <c r="AU647" s="26"/>
      <c r="AV647" s="26"/>
      <c r="AW647" s="26"/>
      <c r="AX647" s="26"/>
      <c r="AY647" s="26"/>
      <c r="AZ647" s="26"/>
      <c r="BA647" s="26"/>
    </row>
    <row r="648">
      <c r="A648" s="26"/>
      <c r="B648" s="26"/>
      <c r="C648" s="26"/>
      <c r="D648" s="27"/>
      <c r="E648" s="27"/>
      <c r="F648" s="26"/>
      <c r="G648" s="28"/>
      <c r="H648" s="28"/>
      <c r="I648" s="28"/>
      <c r="J648" s="28"/>
      <c r="K648" s="28"/>
      <c r="L648" s="28"/>
      <c r="M648" s="28"/>
      <c r="N648" s="26"/>
      <c r="O648" s="29"/>
      <c r="P648" s="27"/>
      <c r="Q648" s="26"/>
      <c r="R648" s="29"/>
      <c r="S648" s="28"/>
      <c r="T648" s="29"/>
      <c r="U648" s="28"/>
      <c r="V648" s="28"/>
      <c r="W648" s="28"/>
      <c r="X648" s="28"/>
      <c r="Y648" s="26"/>
      <c r="Z648" s="29"/>
      <c r="AA648" s="28"/>
      <c r="AB648" s="26"/>
      <c r="AC648" s="29"/>
      <c r="AD648" s="25"/>
      <c r="AE648" s="29"/>
      <c r="AF648" s="25"/>
      <c r="AG648" s="25"/>
      <c r="AH648" s="25"/>
      <c r="AI648" s="25"/>
      <c r="AJ648" s="26"/>
      <c r="AK648" s="29"/>
      <c r="AL648" s="28"/>
      <c r="AM648" s="26"/>
      <c r="AN648" s="29"/>
      <c r="AO648" s="25"/>
      <c r="AP648" s="29"/>
      <c r="AQ648" s="25"/>
      <c r="AR648" s="25"/>
      <c r="AS648" s="25"/>
      <c r="AT648" s="25"/>
      <c r="AU648" s="26"/>
      <c r="AV648" s="26"/>
      <c r="AW648" s="26"/>
      <c r="AX648" s="26"/>
      <c r="AY648" s="26"/>
      <c r="AZ648" s="26"/>
      <c r="BA648" s="26"/>
    </row>
    <row r="649">
      <c r="A649" s="26"/>
      <c r="B649" s="26"/>
      <c r="C649" s="26"/>
      <c r="D649" s="27"/>
      <c r="E649" s="27"/>
      <c r="F649" s="26"/>
      <c r="G649" s="28"/>
      <c r="H649" s="28"/>
      <c r="I649" s="28"/>
      <c r="J649" s="28"/>
      <c r="K649" s="28"/>
      <c r="L649" s="28"/>
      <c r="M649" s="28"/>
      <c r="N649" s="26"/>
      <c r="O649" s="29"/>
      <c r="P649" s="27"/>
      <c r="Q649" s="26"/>
      <c r="R649" s="29"/>
      <c r="S649" s="28"/>
      <c r="T649" s="29"/>
      <c r="U649" s="28"/>
      <c r="V649" s="28"/>
      <c r="W649" s="28"/>
      <c r="X649" s="28"/>
      <c r="Y649" s="26"/>
      <c r="Z649" s="29"/>
      <c r="AA649" s="28"/>
      <c r="AB649" s="26"/>
      <c r="AC649" s="29"/>
      <c r="AD649" s="25"/>
      <c r="AE649" s="29"/>
      <c r="AF649" s="25"/>
      <c r="AG649" s="25"/>
      <c r="AH649" s="25"/>
      <c r="AI649" s="25"/>
      <c r="AJ649" s="26"/>
      <c r="AK649" s="29"/>
      <c r="AL649" s="28"/>
      <c r="AM649" s="26"/>
      <c r="AN649" s="29"/>
      <c r="AO649" s="25"/>
      <c r="AP649" s="29"/>
      <c r="AQ649" s="25"/>
      <c r="AR649" s="25"/>
      <c r="AS649" s="25"/>
      <c r="AT649" s="25"/>
      <c r="AU649" s="26"/>
      <c r="AV649" s="26"/>
      <c r="AW649" s="26"/>
      <c r="AX649" s="26"/>
      <c r="AY649" s="26"/>
      <c r="AZ649" s="26"/>
      <c r="BA649" s="26"/>
    </row>
    <row r="650">
      <c r="A650" s="26"/>
      <c r="B650" s="26"/>
      <c r="C650" s="26"/>
      <c r="D650" s="27"/>
      <c r="E650" s="27"/>
      <c r="F650" s="26"/>
      <c r="G650" s="28"/>
      <c r="H650" s="28"/>
      <c r="I650" s="28"/>
      <c r="J650" s="28"/>
      <c r="K650" s="28"/>
      <c r="L650" s="28"/>
      <c r="M650" s="28"/>
      <c r="N650" s="26"/>
      <c r="O650" s="29"/>
      <c r="P650" s="27"/>
      <c r="Q650" s="26"/>
      <c r="R650" s="29"/>
      <c r="S650" s="28"/>
      <c r="T650" s="29"/>
      <c r="U650" s="28"/>
      <c r="V650" s="28"/>
      <c r="W650" s="28"/>
      <c r="X650" s="28"/>
      <c r="Y650" s="26"/>
      <c r="Z650" s="29"/>
      <c r="AA650" s="28"/>
      <c r="AB650" s="26"/>
      <c r="AC650" s="29"/>
      <c r="AD650" s="25"/>
      <c r="AE650" s="29"/>
      <c r="AF650" s="25"/>
      <c r="AG650" s="25"/>
      <c r="AH650" s="25"/>
      <c r="AI650" s="25"/>
      <c r="AJ650" s="26"/>
      <c r="AK650" s="29"/>
      <c r="AL650" s="28"/>
      <c r="AM650" s="26"/>
      <c r="AN650" s="29"/>
      <c r="AO650" s="25"/>
      <c r="AP650" s="29"/>
      <c r="AQ650" s="25"/>
      <c r="AR650" s="25"/>
      <c r="AS650" s="25"/>
      <c r="AT650" s="25"/>
      <c r="AU650" s="26"/>
      <c r="AV650" s="26"/>
      <c r="AW650" s="26"/>
      <c r="AX650" s="26"/>
      <c r="AY650" s="26"/>
      <c r="AZ650" s="26"/>
      <c r="BA650" s="26"/>
    </row>
    <row r="651">
      <c r="A651" s="26"/>
      <c r="B651" s="26"/>
      <c r="C651" s="26"/>
      <c r="D651" s="27"/>
      <c r="E651" s="27"/>
      <c r="F651" s="26"/>
      <c r="G651" s="28"/>
      <c r="H651" s="28"/>
      <c r="I651" s="28"/>
      <c r="J651" s="28"/>
      <c r="K651" s="28"/>
      <c r="L651" s="28"/>
      <c r="M651" s="28"/>
      <c r="N651" s="26"/>
      <c r="O651" s="29"/>
      <c r="P651" s="27"/>
      <c r="Q651" s="26"/>
      <c r="R651" s="29"/>
      <c r="S651" s="28"/>
      <c r="T651" s="29"/>
      <c r="U651" s="28"/>
      <c r="V651" s="28"/>
      <c r="W651" s="28"/>
      <c r="X651" s="28"/>
      <c r="Y651" s="26"/>
      <c r="Z651" s="29"/>
      <c r="AA651" s="28"/>
      <c r="AB651" s="26"/>
      <c r="AC651" s="29"/>
      <c r="AD651" s="25"/>
      <c r="AE651" s="29"/>
      <c r="AF651" s="25"/>
      <c r="AG651" s="25"/>
      <c r="AH651" s="25"/>
      <c r="AI651" s="25"/>
      <c r="AJ651" s="26"/>
      <c r="AK651" s="29"/>
      <c r="AL651" s="28"/>
      <c r="AM651" s="26"/>
      <c r="AN651" s="29"/>
      <c r="AO651" s="25"/>
      <c r="AP651" s="29"/>
      <c r="AQ651" s="25"/>
      <c r="AR651" s="25"/>
      <c r="AS651" s="25"/>
      <c r="AT651" s="25"/>
      <c r="AU651" s="26"/>
      <c r="AV651" s="26"/>
      <c r="AW651" s="26"/>
      <c r="AX651" s="26"/>
      <c r="AY651" s="26"/>
      <c r="AZ651" s="26"/>
      <c r="BA651" s="26"/>
    </row>
    <row r="652">
      <c r="A652" s="26"/>
      <c r="B652" s="26"/>
      <c r="C652" s="26"/>
      <c r="D652" s="27"/>
      <c r="E652" s="27"/>
      <c r="F652" s="26"/>
      <c r="G652" s="28"/>
      <c r="H652" s="28"/>
      <c r="I652" s="28"/>
      <c r="J652" s="28"/>
      <c r="K652" s="28"/>
      <c r="L652" s="28"/>
      <c r="M652" s="28"/>
      <c r="N652" s="26"/>
      <c r="O652" s="29"/>
      <c r="P652" s="27"/>
      <c r="Q652" s="26"/>
      <c r="R652" s="29"/>
      <c r="S652" s="28"/>
      <c r="T652" s="29"/>
      <c r="U652" s="28"/>
      <c r="V652" s="28"/>
      <c r="W652" s="28"/>
      <c r="X652" s="28"/>
      <c r="Y652" s="26"/>
      <c r="Z652" s="29"/>
      <c r="AA652" s="28"/>
      <c r="AB652" s="26"/>
      <c r="AC652" s="29"/>
      <c r="AD652" s="25"/>
      <c r="AE652" s="29"/>
      <c r="AF652" s="25"/>
      <c r="AG652" s="25"/>
      <c r="AH652" s="25"/>
      <c r="AI652" s="25"/>
      <c r="AJ652" s="26"/>
      <c r="AK652" s="29"/>
      <c r="AL652" s="28"/>
      <c r="AM652" s="26"/>
      <c r="AN652" s="29"/>
      <c r="AO652" s="25"/>
      <c r="AP652" s="29"/>
      <c r="AQ652" s="25"/>
      <c r="AR652" s="25"/>
      <c r="AS652" s="25"/>
      <c r="AT652" s="25"/>
      <c r="AU652" s="26"/>
      <c r="AV652" s="26"/>
      <c r="AW652" s="26"/>
      <c r="AX652" s="26"/>
      <c r="AY652" s="26"/>
      <c r="AZ652" s="26"/>
      <c r="BA652" s="26"/>
    </row>
    <row r="653">
      <c r="A653" s="26"/>
      <c r="B653" s="26"/>
      <c r="C653" s="26"/>
      <c r="D653" s="27"/>
      <c r="E653" s="27"/>
      <c r="F653" s="26"/>
      <c r="G653" s="28"/>
      <c r="H653" s="28"/>
      <c r="I653" s="28"/>
      <c r="J653" s="28"/>
      <c r="K653" s="28"/>
      <c r="L653" s="28"/>
      <c r="M653" s="28"/>
      <c r="N653" s="26"/>
      <c r="O653" s="29"/>
      <c r="P653" s="27"/>
      <c r="Q653" s="26"/>
      <c r="R653" s="29"/>
      <c r="S653" s="28"/>
      <c r="T653" s="29"/>
      <c r="U653" s="28"/>
      <c r="V653" s="28"/>
      <c r="W653" s="28"/>
      <c r="X653" s="28"/>
      <c r="Y653" s="26"/>
      <c r="Z653" s="29"/>
      <c r="AA653" s="28"/>
      <c r="AB653" s="26"/>
      <c r="AC653" s="29"/>
      <c r="AD653" s="25"/>
      <c r="AE653" s="29"/>
      <c r="AF653" s="25"/>
      <c r="AG653" s="25"/>
      <c r="AH653" s="25"/>
      <c r="AI653" s="25"/>
      <c r="AJ653" s="26"/>
      <c r="AK653" s="29"/>
      <c r="AL653" s="28"/>
      <c r="AM653" s="26"/>
      <c r="AN653" s="29"/>
      <c r="AO653" s="25"/>
      <c r="AP653" s="29"/>
      <c r="AQ653" s="25"/>
      <c r="AR653" s="25"/>
      <c r="AS653" s="25"/>
      <c r="AT653" s="25"/>
      <c r="AU653" s="26"/>
      <c r="AV653" s="26"/>
      <c r="AW653" s="26"/>
      <c r="AX653" s="26"/>
      <c r="AY653" s="26"/>
      <c r="AZ653" s="26"/>
      <c r="BA653" s="26"/>
    </row>
    <row r="654">
      <c r="A654" s="26"/>
      <c r="B654" s="26"/>
      <c r="C654" s="26"/>
      <c r="D654" s="27"/>
      <c r="E654" s="27"/>
      <c r="F654" s="26"/>
      <c r="G654" s="28"/>
      <c r="H654" s="28"/>
      <c r="I654" s="28"/>
      <c r="J654" s="28"/>
      <c r="K654" s="28"/>
      <c r="L654" s="28"/>
      <c r="M654" s="28"/>
      <c r="N654" s="26"/>
      <c r="O654" s="29"/>
      <c r="P654" s="27"/>
      <c r="Q654" s="26"/>
      <c r="R654" s="29"/>
      <c r="S654" s="28"/>
      <c r="T654" s="29"/>
      <c r="U654" s="28"/>
      <c r="V654" s="28"/>
      <c r="W654" s="28"/>
      <c r="X654" s="28"/>
      <c r="Y654" s="26"/>
      <c r="Z654" s="29"/>
      <c r="AA654" s="28"/>
      <c r="AB654" s="26"/>
      <c r="AC654" s="29"/>
      <c r="AD654" s="25"/>
      <c r="AE654" s="29"/>
      <c r="AF654" s="25"/>
      <c r="AG654" s="25"/>
      <c r="AH654" s="25"/>
      <c r="AI654" s="25"/>
      <c r="AJ654" s="26"/>
      <c r="AK654" s="29"/>
      <c r="AL654" s="28"/>
      <c r="AM654" s="26"/>
      <c r="AN654" s="29"/>
      <c r="AO654" s="25"/>
      <c r="AP654" s="29"/>
      <c r="AQ654" s="25"/>
      <c r="AR654" s="25"/>
      <c r="AS654" s="25"/>
      <c r="AT654" s="25"/>
      <c r="AU654" s="26"/>
      <c r="AV654" s="26"/>
      <c r="AW654" s="26"/>
      <c r="AX654" s="26"/>
      <c r="AY654" s="26"/>
      <c r="AZ654" s="26"/>
      <c r="BA654" s="26"/>
    </row>
    <row r="655">
      <c r="A655" s="26"/>
      <c r="B655" s="26"/>
      <c r="C655" s="26"/>
      <c r="D655" s="27"/>
      <c r="E655" s="27"/>
      <c r="F655" s="26"/>
      <c r="G655" s="28"/>
      <c r="H655" s="28"/>
      <c r="I655" s="28"/>
      <c r="J655" s="28"/>
      <c r="K655" s="28"/>
      <c r="L655" s="28"/>
      <c r="M655" s="28"/>
      <c r="N655" s="26"/>
      <c r="O655" s="29"/>
      <c r="P655" s="27"/>
      <c r="Q655" s="26"/>
      <c r="R655" s="29"/>
      <c r="S655" s="28"/>
      <c r="T655" s="29"/>
      <c r="U655" s="28"/>
      <c r="V655" s="28"/>
      <c r="W655" s="28"/>
      <c r="X655" s="28"/>
      <c r="Y655" s="26"/>
      <c r="Z655" s="29"/>
      <c r="AA655" s="28"/>
      <c r="AB655" s="26"/>
      <c r="AC655" s="29"/>
      <c r="AD655" s="25"/>
      <c r="AE655" s="29"/>
      <c r="AF655" s="25"/>
      <c r="AG655" s="25"/>
      <c r="AH655" s="25"/>
      <c r="AI655" s="25"/>
      <c r="AJ655" s="26"/>
      <c r="AK655" s="29"/>
      <c r="AL655" s="28"/>
      <c r="AM655" s="26"/>
      <c r="AN655" s="29"/>
      <c r="AO655" s="25"/>
      <c r="AP655" s="29"/>
      <c r="AQ655" s="25"/>
      <c r="AR655" s="25"/>
      <c r="AS655" s="25"/>
      <c r="AT655" s="25"/>
      <c r="AU655" s="26"/>
      <c r="AV655" s="26"/>
      <c r="AW655" s="26"/>
      <c r="AX655" s="26"/>
      <c r="AY655" s="26"/>
      <c r="AZ655" s="26"/>
      <c r="BA655" s="26"/>
    </row>
    <row r="656">
      <c r="A656" s="26"/>
      <c r="B656" s="26"/>
      <c r="C656" s="26"/>
      <c r="D656" s="27"/>
      <c r="E656" s="27"/>
      <c r="F656" s="26"/>
      <c r="G656" s="28"/>
      <c r="H656" s="28"/>
      <c r="I656" s="28"/>
      <c r="J656" s="28"/>
      <c r="K656" s="28"/>
      <c r="L656" s="28"/>
      <c r="M656" s="28"/>
      <c r="N656" s="26"/>
      <c r="O656" s="29"/>
      <c r="P656" s="27"/>
      <c r="Q656" s="26"/>
      <c r="R656" s="29"/>
      <c r="S656" s="28"/>
      <c r="T656" s="29"/>
      <c r="U656" s="28"/>
      <c r="V656" s="28"/>
      <c r="W656" s="28"/>
      <c r="X656" s="28"/>
      <c r="Y656" s="26"/>
      <c r="Z656" s="29"/>
      <c r="AA656" s="28"/>
      <c r="AB656" s="26"/>
      <c r="AC656" s="29"/>
      <c r="AD656" s="25"/>
      <c r="AE656" s="29"/>
      <c r="AF656" s="25"/>
      <c r="AG656" s="25"/>
      <c r="AH656" s="25"/>
      <c r="AI656" s="25"/>
      <c r="AJ656" s="26"/>
      <c r="AK656" s="29"/>
      <c r="AL656" s="28"/>
      <c r="AM656" s="26"/>
      <c r="AN656" s="29"/>
      <c r="AO656" s="25"/>
      <c r="AP656" s="29"/>
      <c r="AQ656" s="25"/>
      <c r="AR656" s="25"/>
      <c r="AS656" s="25"/>
      <c r="AT656" s="25"/>
      <c r="AU656" s="26"/>
      <c r="AV656" s="26"/>
      <c r="AW656" s="26"/>
      <c r="AX656" s="26"/>
      <c r="AY656" s="26"/>
      <c r="AZ656" s="26"/>
      <c r="BA656" s="26"/>
    </row>
    <row r="657">
      <c r="A657" s="26"/>
      <c r="B657" s="26"/>
      <c r="C657" s="26"/>
      <c r="D657" s="27"/>
      <c r="E657" s="27"/>
      <c r="F657" s="26"/>
      <c r="G657" s="28"/>
      <c r="H657" s="28"/>
      <c r="I657" s="28"/>
      <c r="J657" s="28"/>
      <c r="K657" s="28"/>
      <c r="L657" s="28"/>
      <c r="M657" s="28"/>
      <c r="N657" s="26"/>
      <c r="O657" s="29"/>
      <c r="P657" s="27"/>
      <c r="Q657" s="26"/>
      <c r="R657" s="29"/>
      <c r="S657" s="28"/>
      <c r="T657" s="29"/>
      <c r="U657" s="28"/>
      <c r="V657" s="28"/>
      <c r="W657" s="28"/>
      <c r="X657" s="28"/>
      <c r="Y657" s="26"/>
      <c r="Z657" s="29"/>
      <c r="AA657" s="28"/>
      <c r="AB657" s="26"/>
      <c r="AC657" s="29"/>
      <c r="AD657" s="25"/>
      <c r="AE657" s="29"/>
      <c r="AF657" s="25"/>
      <c r="AG657" s="25"/>
      <c r="AH657" s="25"/>
      <c r="AI657" s="25"/>
      <c r="AJ657" s="26"/>
      <c r="AK657" s="29"/>
      <c r="AL657" s="28"/>
      <c r="AM657" s="26"/>
      <c r="AN657" s="29"/>
      <c r="AO657" s="25"/>
      <c r="AP657" s="29"/>
      <c r="AQ657" s="25"/>
      <c r="AR657" s="25"/>
      <c r="AS657" s="25"/>
      <c r="AT657" s="25"/>
      <c r="AU657" s="26"/>
      <c r="AV657" s="26"/>
      <c r="AW657" s="26"/>
      <c r="AX657" s="26"/>
      <c r="AY657" s="26"/>
      <c r="AZ657" s="26"/>
      <c r="BA657" s="26"/>
    </row>
    <row r="658">
      <c r="A658" s="26"/>
      <c r="B658" s="26"/>
      <c r="C658" s="26"/>
      <c r="D658" s="27"/>
      <c r="E658" s="27"/>
      <c r="F658" s="26"/>
      <c r="G658" s="28"/>
      <c r="H658" s="28"/>
      <c r="I658" s="28"/>
      <c r="J658" s="28"/>
      <c r="K658" s="28"/>
      <c r="L658" s="28"/>
      <c r="M658" s="28"/>
      <c r="N658" s="26"/>
      <c r="O658" s="29"/>
      <c r="P658" s="27"/>
      <c r="Q658" s="26"/>
      <c r="R658" s="29"/>
      <c r="S658" s="28"/>
      <c r="T658" s="29"/>
      <c r="U658" s="28"/>
      <c r="V658" s="28"/>
      <c r="W658" s="28"/>
      <c r="X658" s="28"/>
      <c r="Y658" s="26"/>
      <c r="Z658" s="29"/>
      <c r="AA658" s="28"/>
      <c r="AB658" s="26"/>
      <c r="AC658" s="29"/>
      <c r="AD658" s="25"/>
      <c r="AE658" s="29"/>
      <c r="AF658" s="25"/>
      <c r="AG658" s="25"/>
      <c r="AH658" s="25"/>
      <c r="AI658" s="25"/>
      <c r="AJ658" s="26"/>
      <c r="AK658" s="29"/>
      <c r="AL658" s="28"/>
      <c r="AM658" s="26"/>
      <c r="AN658" s="29"/>
      <c r="AO658" s="25"/>
      <c r="AP658" s="29"/>
      <c r="AQ658" s="25"/>
      <c r="AR658" s="25"/>
      <c r="AS658" s="25"/>
      <c r="AT658" s="25"/>
      <c r="AU658" s="26"/>
      <c r="AV658" s="26"/>
      <c r="AW658" s="26"/>
      <c r="AX658" s="26"/>
      <c r="AY658" s="26"/>
      <c r="AZ658" s="26"/>
      <c r="BA658" s="26"/>
    </row>
    <row r="659">
      <c r="A659" s="26"/>
      <c r="B659" s="26"/>
      <c r="C659" s="26"/>
      <c r="D659" s="27"/>
      <c r="E659" s="27"/>
      <c r="F659" s="26"/>
      <c r="G659" s="28"/>
      <c r="H659" s="28"/>
      <c r="I659" s="28"/>
      <c r="J659" s="28"/>
      <c r="K659" s="28"/>
      <c r="L659" s="28"/>
      <c r="M659" s="28"/>
      <c r="N659" s="26"/>
      <c r="O659" s="29"/>
      <c r="P659" s="27"/>
      <c r="Q659" s="26"/>
      <c r="R659" s="29"/>
      <c r="S659" s="28"/>
      <c r="T659" s="29"/>
      <c r="U659" s="28"/>
      <c r="V659" s="28"/>
      <c r="W659" s="28"/>
      <c r="X659" s="28"/>
      <c r="Y659" s="26"/>
      <c r="Z659" s="29"/>
      <c r="AA659" s="28"/>
      <c r="AB659" s="26"/>
      <c r="AC659" s="29"/>
      <c r="AD659" s="25"/>
      <c r="AE659" s="29"/>
      <c r="AF659" s="25"/>
      <c r="AG659" s="25"/>
      <c r="AH659" s="25"/>
      <c r="AI659" s="25"/>
      <c r="AJ659" s="26"/>
      <c r="AK659" s="29"/>
      <c r="AL659" s="28"/>
      <c r="AM659" s="26"/>
      <c r="AN659" s="29"/>
      <c r="AO659" s="25"/>
      <c r="AP659" s="29"/>
      <c r="AQ659" s="25"/>
      <c r="AR659" s="25"/>
      <c r="AS659" s="25"/>
      <c r="AT659" s="25"/>
      <c r="AU659" s="26"/>
      <c r="AV659" s="26"/>
      <c r="AW659" s="26"/>
      <c r="AX659" s="26"/>
      <c r="AY659" s="26"/>
      <c r="AZ659" s="26"/>
      <c r="BA659" s="26"/>
    </row>
    <row r="660">
      <c r="A660" s="26"/>
      <c r="B660" s="26"/>
      <c r="C660" s="26"/>
      <c r="D660" s="27"/>
      <c r="E660" s="27"/>
      <c r="F660" s="26"/>
      <c r="G660" s="28"/>
      <c r="H660" s="28"/>
      <c r="I660" s="28"/>
      <c r="J660" s="28"/>
      <c r="K660" s="28"/>
      <c r="L660" s="28"/>
      <c r="M660" s="28"/>
      <c r="N660" s="26"/>
      <c r="O660" s="29"/>
      <c r="P660" s="27"/>
      <c r="Q660" s="26"/>
      <c r="R660" s="29"/>
      <c r="S660" s="28"/>
      <c r="T660" s="29"/>
      <c r="U660" s="28"/>
      <c r="V660" s="28"/>
      <c r="W660" s="28"/>
      <c r="X660" s="28"/>
      <c r="Y660" s="26"/>
      <c r="Z660" s="29"/>
      <c r="AA660" s="28"/>
      <c r="AB660" s="26"/>
      <c r="AC660" s="29"/>
      <c r="AD660" s="25"/>
      <c r="AE660" s="29"/>
      <c r="AF660" s="25"/>
      <c r="AG660" s="25"/>
      <c r="AH660" s="25"/>
      <c r="AI660" s="25"/>
      <c r="AJ660" s="26"/>
      <c r="AK660" s="29"/>
      <c r="AL660" s="28"/>
      <c r="AM660" s="26"/>
      <c r="AN660" s="29"/>
      <c r="AO660" s="25"/>
      <c r="AP660" s="29"/>
      <c r="AQ660" s="25"/>
      <c r="AR660" s="25"/>
      <c r="AS660" s="25"/>
      <c r="AT660" s="25"/>
      <c r="AU660" s="26"/>
      <c r="AV660" s="26"/>
      <c r="AW660" s="26"/>
      <c r="AX660" s="26"/>
      <c r="AY660" s="26"/>
      <c r="AZ660" s="26"/>
      <c r="BA660" s="26"/>
    </row>
    <row r="661">
      <c r="A661" s="26"/>
      <c r="B661" s="26"/>
      <c r="C661" s="26"/>
      <c r="D661" s="27"/>
      <c r="E661" s="27"/>
      <c r="F661" s="26"/>
      <c r="G661" s="28"/>
      <c r="H661" s="28"/>
      <c r="I661" s="28"/>
      <c r="J661" s="28"/>
      <c r="K661" s="28"/>
      <c r="L661" s="28"/>
      <c r="M661" s="28"/>
      <c r="N661" s="26"/>
      <c r="O661" s="29"/>
      <c r="P661" s="27"/>
      <c r="Q661" s="26"/>
      <c r="R661" s="29"/>
      <c r="S661" s="28"/>
      <c r="T661" s="29"/>
      <c r="U661" s="28"/>
      <c r="V661" s="28"/>
      <c r="W661" s="28"/>
      <c r="X661" s="28"/>
      <c r="Y661" s="26"/>
      <c r="Z661" s="29"/>
      <c r="AA661" s="28"/>
      <c r="AB661" s="26"/>
      <c r="AC661" s="29"/>
      <c r="AD661" s="25"/>
      <c r="AE661" s="29"/>
      <c r="AF661" s="25"/>
      <c r="AG661" s="25"/>
      <c r="AH661" s="25"/>
      <c r="AI661" s="25"/>
      <c r="AJ661" s="26"/>
      <c r="AK661" s="29"/>
      <c r="AL661" s="28"/>
      <c r="AM661" s="26"/>
      <c r="AN661" s="29"/>
      <c r="AO661" s="25"/>
      <c r="AP661" s="29"/>
      <c r="AQ661" s="25"/>
      <c r="AR661" s="25"/>
      <c r="AS661" s="25"/>
      <c r="AT661" s="25"/>
      <c r="AU661" s="26"/>
      <c r="AV661" s="26"/>
      <c r="AW661" s="26"/>
      <c r="AX661" s="26"/>
      <c r="AY661" s="26"/>
      <c r="AZ661" s="26"/>
      <c r="BA661" s="26"/>
    </row>
    <row r="662">
      <c r="A662" s="26"/>
      <c r="B662" s="26"/>
      <c r="C662" s="26"/>
      <c r="D662" s="27"/>
      <c r="E662" s="27"/>
      <c r="F662" s="26"/>
      <c r="G662" s="28"/>
      <c r="H662" s="28"/>
      <c r="I662" s="28"/>
      <c r="J662" s="28"/>
      <c r="K662" s="28"/>
      <c r="L662" s="28"/>
      <c r="M662" s="28"/>
      <c r="N662" s="26"/>
      <c r="O662" s="29"/>
      <c r="P662" s="27"/>
      <c r="Q662" s="26"/>
      <c r="R662" s="29"/>
      <c r="S662" s="28"/>
      <c r="T662" s="29"/>
      <c r="U662" s="28"/>
      <c r="V662" s="28"/>
      <c r="W662" s="28"/>
      <c r="X662" s="28"/>
      <c r="Y662" s="26"/>
      <c r="Z662" s="29"/>
      <c r="AA662" s="28"/>
      <c r="AB662" s="26"/>
      <c r="AC662" s="29"/>
      <c r="AD662" s="25"/>
      <c r="AE662" s="29"/>
      <c r="AF662" s="25"/>
      <c r="AG662" s="25"/>
      <c r="AH662" s="25"/>
      <c r="AI662" s="25"/>
      <c r="AJ662" s="26"/>
      <c r="AK662" s="29"/>
      <c r="AL662" s="28"/>
      <c r="AM662" s="26"/>
      <c r="AN662" s="29"/>
      <c r="AO662" s="25"/>
      <c r="AP662" s="29"/>
      <c r="AQ662" s="25"/>
      <c r="AR662" s="25"/>
      <c r="AS662" s="25"/>
      <c r="AT662" s="25"/>
      <c r="AU662" s="26"/>
      <c r="AV662" s="26"/>
      <c r="AW662" s="26"/>
      <c r="AX662" s="26"/>
      <c r="AY662" s="26"/>
      <c r="AZ662" s="26"/>
      <c r="BA662" s="26"/>
    </row>
    <row r="663">
      <c r="A663" s="26"/>
      <c r="B663" s="26"/>
      <c r="C663" s="26"/>
      <c r="D663" s="27"/>
      <c r="E663" s="27"/>
      <c r="F663" s="26"/>
      <c r="G663" s="28"/>
      <c r="H663" s="28"/>
      <c r="I663" s="28"/>
      <c r="J663" s="28"/>
      <c r="K663" s="28"/>
      <c r="L663" s="28"/>
      <c r="M663" s="28"/>
      <c r="N663" s="26"/>
      <c r="O663" s="29"/>
      <c r="P663" s="27"/>
      <c r="Q663" s="26"/>
      <c r="R663" s="29"/>
      <c r="S663" s="28"/>
      <c r="T663" s="29"/>
      <c r="U663" s="28"/>
      <c r="V663" s="28"/>
      <c r="W663" s="28"/>
      <c r="X663" s="28"/>
      <c r="Y663" s="26"/>
      <c r="Z663" s="29"/>
      <c r="AA663" s="28"/>
      <c r="AB663" s="26"/>
      <c r="AC663" s="29"/>
      <c r="AD663" s="25"/>
      <c r="AE663" s="29"/>
      <c r="AF663" s="25"/>
      <c r="AG663" s="25"/>
      <c r="AH663" s="25"/>
      <c r="AI663" s="25"/>
      <c r="AJ663" s="26"/>
      <c r="AK663" s="29"/>
      <c r="AL663" s="28"/>
      <c r="AM663" s="26"/>
      <c r="AN663" s="29"/>
      <c r="AO663" s="25"/>
      <c r="AP663" s="29"/>
      <c r="AQ663" s="25"/>
      <c r="AR663" s="25"/>
      <c r="AS663" s="25"/>
      <c r="AT663" s="25"/>
      <c r="AU663" s="26"/>
      <c r="AV663" s="26"/>
      <c r="AW663" s="26"/>
      <c r="AX663" s="26"/>
      <c r="AY663" s="26"/>
      <c r="AZ663" s="26"/>
      <c r="BA663" s="26"/>
    </row>
    <row r="664">
      <c r="A664" s="26"/>
      <c r="B664" s="26"/>
      <c r="C664" s="26"/>
      <c r="D664" s="27"/>
      <c r="E664" s="27"/>
      <c r="F664" s="26"/>
      <c r="G664" s="28"/>
      <c r="H664" s="28"/>
      <c r="I664" s="28"/>
      <c r="J664" s="28"/>
      <c r="K664" s="28"/>
      <c r="L664" s="28"/>
      <c r="M664" s="28"/>
      <c r="N664" s="26"/>
      <c r="O664" s="29"/>
      <c r="P664" s="27"/>
      <c r="Q664" s="26"/>
      <c r="R664" s="29"/>
      <c r="S664" s="28"/>
      <c r="T664" s="29"/>
      <c r="U664" s="28"/>
      <c r="V664" s="28"/>
      <c r="W664" s="28"/>
      <c r="X664" s="28"/>
      <c r="Y664" s="26"/>
      <c r="Z664" s="29"/>
      <c r="AA664" s="28"/>
      <c r="AB664" s="26"/>
      <c r="AC664" s="29"/>
      <c r="AD664" s="25"/>
      <c r="AE664" s="29"/>
      <c r="AF664" s="25"/>
      <c r="AG664" s="25"/>
      <c r="AH664" s="25"/>
      <c r="AI664" s="25"/>
      <c r="AJ664" s="26"/>
      <c r="AK664" s="29"/>
      <c r="AL664" s="28"/>
      <c r="AM664" s="26"/>
      <c r="AN664" s="29"/>
      <c r="AO664" s="25"/>
      <c r="AP664" s="29"/>
      <c r="AQ664" s="25"/>
      <c r="AR664" s="25"/>
      <c r="AS664" s="25"/>
      <c r="AT664" s="25"/>
      <c r="AU664" s="26"/>
      <c r="AV664" s="26"/>
      <c r="AW664" s="26"/>
      <c r="AX664" s="26"/>
      <c r="AY664" s="26"/>
      <c r="AZ664" s="26"/>
      <c r="BA664" s="26"/>
    </row>
    <row r="665">
      <c r="A665" s="26"/>
      <c r="B665" s="26"/>
      <c r="C665" s="26"/>
      <c r="D665" s="27"/>
      <c r="E665" s="27"/>
      <c r="F665" s="26"/>
      <c r="G665" s="28"/>
      <c r="H665" s="28"/>
      <c r="I665" s="28"/>
      <c r="J665" s="28"/>
      <c r="K665" s="28"/>
      <c r="L665" s="28"/>
      <c r="M665" s="28"/>
      <c r="N665" s="26"/>
      <c r="O665" s="29"/>
      <c r="P665" s="27"/>
      <c r="Q665" s="26"/>
      <c r="R665" s="29"/>
      <c r="S665" s="28"/>
      <c r="T665" s="29"/>
      <c r="U665" s="28"/>
      <c r="V665" s="28"/>
      <c r="W665" s="28"/>
      <c r="X665" s="28"/>
      <c r="Y665" s="26"/>
      <c r="Z665" s="29"/>
      <c r="AA665" s="28"/>
      <c r="AB665" s="26"/>
      <c r="AC665" s="29"/>
      <c r="AD665" s="25"/>
      <c r="AE665" s="29"/>
      <c r="AF665" s="25"/>
      <c r="AG665" s="25"/>
      <c r="AH665" s="25"/>
      <c r="AI665" s="25"/>
      <c r="AJ665" s="26"/>
      <c r="AK665" s="29"/>
      <c r="AL665" s="28"/>
      <c r="AM665" s="26"/>
      <c r="AN665" s="29"/>
      <c r="AO665" s="25"/>
      <c r="AP665" s="29"/>
      <c r="AQ665" s="25"/>
      <c r="AR665" s="25"/>
      <c r="AS665" s="25"/>
      <c r="AT665" s="25"/>
      <c r="AU665" s="26"/>
      <c r="AV665" s="26"/>
      <c r="AW665" s="26"/>
      <c r="AX665" s="26"/>
      <c r="AY665" s="26"/>
      <c r="AZ665" s="26"/>
      <c r="BA665" s="26"/>
    </row>
    <row r="666">
      <c r="A666" s="26"/>
      <c r="B666" s="26"/>
      <c r="C666" s="26"/>
      <c r="D666" s="27"/>
      <c r="E666" s="27"/>
      <c r="F666" s="26"/>
      <c r="G666" s="28"/>
      <c r="H666" s="28"/>
      <c r="I666" s="28"/>
      <c r="J666" s="28"/>
      <c r="K666" s="28"/>
      <c r="L666" s="28"/>
      <c r="M666" s="28"/>
      <c r="N666" s="26"/>
      <c r="O666" s="29"/>
      <c r="P666" s="27"/>
      <c r="Q666" s="26"/>
      <c r="R666" s="29"/>
      <c r="S666" s="28"/>
      <c r="T666" s="29"/>
      <c r="U666" s="28"/>
      <c r="V666" s="28"/>
      <c r="W666" s="28"/>
      <c r="X666" s="28"/>
      <c r="Y666" s="26"/>
      <c r="Z666" s="29"/>
      <c r="AA666" s="28"/>
      <c r="AB666" s="26"/>
      <c r="AC666" s="29"/>
      <c r="AD666" s="25"/>
      <c r="AE666" s="29"/>
      <c r="AF666" s="25"/>
      <c r="AG666" s="25"/>
      <c r="AH666" s="25"/>
      <c r="AI666" s="25"/>
      <c r="AJ666" s="26"/>
      <c r="AK666" s="29"/>
      <c r="AL666" s="28"/>
      <c r="AM666" s="26"/>
      <c r="AN666" s="29"/>
      <c r="AO666" s="25"/>
      <c r="AP666" s="29"/>
      <c r="AQ666" s="25"/>
      <c r="AR666" s="25"/>
      <c r="AS666" s="25"/>
      <c r="AT666" s="25"/>
      <c r="AU666" s="26"/>
      <c r="AV666" s="26"/>
      <c r="AW666" s="26"/>
      <c r="AX666" s="26"/>
      <c r="AY666" s="26"/>
      <c r="AZ666" s="26"/>
      <c r="BA666" s="26"/>
    </row>
    <row r="667">
      <c r="A667" s="26"/>
      <c r="B667" s="26"/>
      <c r="C667" s="26"/>
      <c r="D667" s="27"/>
      <c r="E667" s="27"/>
      <c r="F667" s="26"/>
      <c r="G667" s="28"/>
      <c r="H667" s="28"/>
      <c r="I667" s="28"/>
      <c r="J667" s="28"/>
      <c r="K667" s="28"/>
      <c r="L667" s="28"/>
      <c r="M667" s="28"/>
      <c r="N667" s="26"/>
      <c r="O667" s="29"/>
      <c r="P667" s="27"/>
      <c r="Q667" s="26"/>
      <c r="R667" s="29"/>
      <c r="S667" s="28"/>
      <c r="T667" s="29"/>
      <c r="U667" s="28"/>
      <c r="V667" s="28"/>
      <c r="W667" s="28"/>
      <c r="X667" s="28"/>
      <c r="Y667" s="26"/>
      <c r="Z667" s="29"/>
      <c r="AA667" s="28"/>
      <c r="AB667" s="26"/>
      <c r="AC667" s="29"/>
      <c r="AD667" s="25"/>
      <c r="AE667" s="29"/>
      <c r="AF667" s="25"/>
      <c r="AG667" s="25"/>
      <c r="AH667" s="25"/>
      <c r="AI667" s="25"/>
      <c r="AJ667" s="26"/>
      <c r="AK667" s="29"/>
      <c r="AL667" s="28"/>
      <c r="AM667" s="26"/>
      <c r="AN667" s="29"/>
      <c r="AO667" s="25"/>
      <c r="AP667" s="29"/>
      <c r="AQ667" s="25"/>
      <c r="AR667" s="25"/>
      <c r="AS667" s="25"/>
      <c r="AT667" s="25"/>
      <c r="AU667" s="26"/>
      <c r="AV667" s="26"/>
      <c r="AW667" s="26"/>
      <c r="AX667" s="26"/>
      <c r="AY667" s="26"/>
      <c r="AZ667" s="26"/>
      <c r="BA667" s="26"/>
    </row>
    <row r="668">
      <c r="A668" s="26"/>
      <c r="B668" s="26"/>
      <c r="C668" s="26"/>
      <c r="D668" s="27"/>
      <c r="E668" s="27"/>
      <c r="F668" s="26"/>
      <c r="G668" s="28"/>
      <c r="H668" s="28"/>
      <c r="I668" s="28"/>
      <c r="J668" s="28"/>
      <c r="K668" s="28"/>
      <c r="L668" s="28"/>
      <c r="M668" s="28"/>
      <c r="N668" s="26"/>
      <c r="O668" s="29"/>
      <c r="P668" s="27"/>
      <c r="Q668" s="26"/>
      <c r="R668" s="29"/>
      <c r="S668" s="28"/>
      <c r="T668" s="29"/>
      <c r="U668" s="28"/>
      <c r="V668" s="28"/>
      <c r="W668" s="28"/>
      <c r="X668" s="28"/>
      <c r="Y668" s="26"/>
      <c r="Z668" s="29"/>
      <c r="AA668" s="28"/>
      <c r="AB668" s="26"/>
      <c r="AC668" s="29"/>
      <c r="AD668" s="25"/>
      <c r="AE668" s="29"/>
      <c r="AF668" s="25"/>
      <c r="AG668" s="25"/>
      <c r="AH668" s="25"/>
      <c r="AI668" s="25"/>
      <c r="AJ668" s="26"/>
      <c r="AK668" s="29"/>
      <c r="AL668" s="28"/>
      <c r="AM668" s="26"/>
      <c r="AN668" s="29"/>
      <c r="AO668" s="25"/>
      <c r="AP668" s="29"/>
      <c r="AQ668" s="25"/>
      <c r="AR668" s="25"/>
      <c r="AS668" s="25"/>
      <c r="AT668" s="25"/>
      <c r="AU668" s="26"/>
      <c r="AV668" s="26"/>
      <c r="AW668" s="26"/>
      <c r="AX668" s="26"/>
      <c r="AY668" s="26"/>
      <c r="AZ668" s="26"/>
      <c r="BA668" s="26"/>
    </row>
    <row r="669">
      <c r="A669" s="26"/>
      <c r="B669" s="26"/>
      <c r="C669" s="26"/>
      <c r="D669" s="27"/>
      <c r="E669" s="27"/>
      <c r="F669" s="26"/>
      <c r="G669" s="28"/>
      <c r="H669" s="28"/>
      <c r="I669" s="28"/>
      <c r="J669" s="28"/>
      <c r="K669" s="28"/>
      <c r="L669" s="28"/>
      <c r="M669" s="28"/>
      <c r="N669" s="26"/>
      <c r="O669" s="29"/>
      <c r="P669" s="27"/>
      <c r="Q669" s="26"/>
      <c r="R669" s="29"/>
      <c r="S669" s="28"/>
      <c r="T669" s="29"/>
      <c r="U669" s="28"/>
      <c r="V669" s="28"/>
      <c r="W669" s="28"/>
      <c r="X669" s="28"/>
      <c r="Y669" s="26"/>
      <c r="Z669" s="29"/>
      <c r="AA669" s="28"/>
      <c r="AB669" s="26"/>
      <c r="AC669" s="29"/>
      <c r="AD669" s="25"/>
      <c r="AE669" s="29"/>
      <c r="AF669" s="25"/>
      <c r="AG669" s="25"/>
      <c r="AH669" s="25"/>
      <c r="AI669" s="25"/>
      <c r="AJ669" s="26"/>
      <c r="AK669" s="29"/>
      <c r="AL669" s="28"/>
      <c r="AM669" s="26"/>
      <c r="AN669" s="29"/>
      <c r="AO669" s="25"/>
      <c r="AP669" s="29"/>
      <c r="AQ669" s="25"/>
      <c r="AR669" s="25"/>
      <c r="AS669" s="25"/>
      <c r="AT669" s="25"/>
      <c r="AU669" s="26"/>
      <c r="AV669" s="26"/>
      <c r="AW669" s="26"/>
      <c r="AX669" s="26"/>
      <c r="AY669" s="26"/>
      <c r="AZ669" s="26"/>
      <c r="BA669" s="26"/>
    </row>
    <row r="670">
      <c r="A670" s="26"/>
      <c r="B670" s="26"/>
      <c r="C670" s="26"/>
      <c r="D670" s="27"/>
      <c r="E670" s="27"/>
      <c r="F670" s="26"/>
      <c r="G670" s="28"/>
      <c r="H670" s="28"/>
      <c r="I670" s="28"/>
      <c r="J670" s="28"/>
      <c r="K670" s="28"/>
      <c r="L670" s="28"/>
      <c r="M670" s="28"/>
      <c r="N670" s="26"/>
      <c r="O670" s="29"/>
      <c r="P670" s="27"/>
      <c r="Q670" s="26"/>
      <c r="R670" s="29"/>
      <c r="S670" s="28"/>
      <c r="T670" s="29"/>
      <c r="U670" s="28"/>
      <c r="V670" s="28"/>
      <c r="W670" s="28"/>
      <c r="X670" s="28"/>
      <c r="Y670" s="26"/>
      <c r="Z670" s="29"/>
      <c r="AA670" s="28"/>
      <c r="AB670" s="26"/>
      <c r="AC670" s="29"/>
      <c r="AD670" s="25"/>
      <c r="AE670" s="29"/>
      <c r="AF670" s="25"/>
      <c r="AG670" s="25"/>
      <c r="AH670" s="25"/>
      <c r="AI670" s="25"/>
      <c r="AJ670" s="26"/>
      <c r="AK670" s="29"/>
      <c r="AL670" s="28"/>
      <c r="AM670" s="26"/>
      <c r="AN670" s="29"/>
      <c r="AO670" s="25"/>
      <c r="AP670" s="29"/>
      <c r="AQ670" s="25"/>
      <c r="AR670" s="25"/>
      <c r="AS670" s="25"/>
      <c r="AT670" s="25"/>
      <c r="AU670" s="26"/>
      <c r="AV670" s="26"/>
      <c r="AW670" s="26"/>
      <c r="AX670" s="26"/>
      <c r="AY670" s="26"/>
      <c r="AZ670" s="26"/>
      <c r="BA670" s="26"/>
    </row>
    <row r="671">
      <c r="A671" s="26"/>
      <c r="B671" s="26"/>
      <c r="C671" s="26"/>
      <c r="D671" s="27"/>
      <c r="E671" s="27"/>
      <c r="F671" s="26"/>
      <c r="G671" s="28"/>
      <c r="H671" s="28"/>
      <c r="I671" s="28"/>
      <c r="J671" s="28"/>
      <c r="K671" s="28"/>
      <c r="L671" s="28"/>
      <c r="M671" s="28"/>
      <c r="N671" s="26"/>
      <c r="O671" s="29"/>
      <c r="P671" s="27"/>
      <c r="Q671" s="26"/>
      <c r="R671" s="29"/>
      <c r="S671" s="28"/>
      <c r="T671" s="29"/>
      <c r="U671" s="28"/>
      <c r="V671" s="28"/>
      <c r="W671" s="28"/>
      <c r="X671" s="28"/>
      <c r="Y671" s="26"/>
      <c r="Z671" s="29"/>
      <c r="AA671" s="28"/>
      <c r="AB671" s="26"/>
      <c r="AC671" s="29"/>
      <c r="AD671" s="25"/>
      <c r="AE671" s="29"/>
      <c r="AF671" s="25"/>
      <c r="AG671" s="25"/>
      <c r="AH671" s="25"/>
      <c r="AI671" s="25"/>
      <c r="AJ671" s="26"/>
      <c r="AK671" s="29"/>
      <c r="AL671" s="28"/>
      <c r="AM671" s="26"/>
      <c r="AN671" s="29"/>
      <c r="AO671" s="25"/>
      <c r="AP671" s="29"/>
      <c r="AQ671" s="25"/>
      <c r="AR671" s="25"/>
      <c r="AS671" s="25"/>
      <c r="AT671" s="25"/>
      <c r="AU671" s="26"/>
      <c r="AV671" s="26"/>
      <c r="AW671" s="26"/>
      <c r="AX671" s="26"/>
      <c r="AY671" s="26"/>
      <c r="AZ671" s="26"/>
      <c r="BA671" s="26"/>
    </row>
    <row r="672">
      <c r="A672" s="26"/>
      <c r="B672" s="26"/>
      <c r="C672" s="26"/>
      <c r="D672" s="27"/>
      <c r="E672" s="27"/>
      <c r="F672" s="26"/>
      <c r="G672" s="28"/>
      <c r="H672" s="28"/>
      <c r="I672" s="28"/>
      <c r="J672" s="28"/>
      <c r="K672" s="28"/>
      <c r="L672" s="28"/>
      <c r="M672" s="28"/>
      <c r="N672" s="26"/>
      <c r="O672" s="29"/>
      <c r="P672" s="27"/>
      <c r="Q672" s="26"/>
      <c r="R672" s="29"/>
      <c r="S672" s="28"/>
      <c r="T672" s="29"/>
      <c r="U672" s="28"/>
      <c r="V672" s="28"/>
      <c r="W672" s="28"/>
      <c r="X672" s="28"/>
      <c r="Y672" s="26"/>
      <c r="Z672" s="29"/>
      <c r="AA672" s="28"/>
      <c r="AB672" s="26"/>
      <c r="AC672" s="29"/>
      <c r="AD672" s="25"/>
      <c r="AE672" s="29"/>
      <c r="AF672" s="25"/>
      <c r="AG672" s="25"/>
      <c r="AH672" s="25"/>
      <c r="AI672" s="25"/>
      <c r="AJ672" s="26"/>
      <c r="AK672" s="29"/>
      <c r="AL672" s="28"/>
      <c r="AM672" s="26"/>
      <c r="AN672" s="29"/>
      <c r="AO672" s="25"/>
      <c r="AP672" s="29"/>
      <c r="AQ672" s="25"/>
      <c r="AR672" s="25"/>
      <c r="AS672" s="25"/>
      <c r="AT672" s="25"/>
      <c r="AU672" s="26"/>
      <c r="AV672" s="26"/>
      <c r="AW672" s="26"/>
      <c r="AX672" s="26"/>
      <c r="AY672" s="26"/>
      <c r="AZ672" s="26"/>
      <c r="BA672" s="26"/>
    </row>
    <row r="673">
      <c r="A673" s="26"/>
      <c r="B673" s="26"/>
      <c r="C673" s="26"/>
      <c r="D673" s="27"/>
      <c r="E673" s="27"/>
      <c r="F673" s="26"/>
      <c r="G673" s="28"/>
      <c r="H673" s="28"/>
      <c r="I673" s="28"/>
      <c r="J673" s="28"/>
      <c r="K673" s="28"/>
      <c r="L673" s="28"/>
      <c r="M673" s="28"/>
      <c r="N673" s="26"/>
      <c r="O673" s="29"/>
      <c r="P673" s="27"/>
      <c r="Q673" s="26"/>
      <c r="R673" s="29"/>
      <c r="S673" s="28"/>
      <c r="T673" s="29"/>
      <c r="U673" s="28"/>
      <c r="V673" s="28"/>
      <c r="W673" s="28"/>
      <c r="X673" s="28"/>
      <c r="Y673" s="26"/>
      <c r="Z673" s="29"/>
      <c r="AA673" s="28"/>
      <c r="AB673" s="26"/>
      <c r="AC673" s="29"/>
      <c r="AD673" s="25"/>
      <c r="AE673" s="29"/>
      <c r="AF673" s="25"/>
      <c r="AG673" s="25"/>
      <c r="AH673" s="25"/>
      <c r="AI673" s="25"/>
      <c r="AJ673" s="26"/>
      <c r="AK673" s="29"/>
      <c r="AL673" s="28"/>
      <c r="AM673" s="26"/>
      <c r="AN673" s="29"/>
      <c r="AO673" s="25"/>
      <c r="AP673" s="29"/>
      <c r="AQ673" s="25"/>
      <c r="AR673" s="25"/>
      <c r="AS673" s="25"/>
      <c r="AT673" s="25"/>
      <c r="AU673" s="26"/>
      <c r="AV673" s="26"/>
      <c r="AW673" s="26"/>
      <c r="AX673" s="26"/>
      <c r="AY673" s="26"/>
      <c r="AZ673" s="26"/>
      <c r="BA673" s="26"/>
    </row>
    <row r="674">
      <c r="A674" s="26"/>
      <c r="B674" s="26"/>
      <c r="C674" s="26"/>
      <c r="D674" s="27"/>
      <c r="E674" s="27"/>
      <c r="F674" s="26"/>
      <c r="G674" s="28"/>
      <c r="H674" s="28"/>
      <c r="I674" s="28"/>
      <c r="J674" s="28"/>
      <c r="K674" s="28"/>
      <c r="L674" s="28"/>
      <c r="M674" s="28"/>
      <c r="N674" s="26"/>
      <c r="O674" s="29"/>
      <c r="P674" s="27"/>
      <c r="Q674" s="26"/>
      <c r="R674" s="29"/>
      <c r="S674" s="28"/>
      <c r="T674" s="29"/>
      <c r="U674" s="28"/>
      <c r="V674" s="28"/>
      <c r="W674" s="28"/>
      <c r="X674" s="28"/>
      <c r="Y674" s="26"/>
      <c r="Z674" s="29"/>
      <c r="AA674" s="28"/>
      <c r="AB674" s="26"/>
      <c r="AC674" s="29"/>
      <c r="AD674" s="25"/>
      <c r="AE674" s="29"/>
      <c r="AF674" s="25"/>
      <c r="AG674" s="25"/>
      <c r="AH674" s="25"/>
      <c r="AI674" s="25"/>
      <c r="AJ674" s="26"/>
      <c r="AK674" s="29"/>
      <c r="AL674" s="28"/>
      <c r="AM674" s="26"/>
      <c r="AN674" s="29"/>
      <c r="AO674" s="25"/>
      <c r="AP674" s="29"/>
      <c r="AQ674" s="25"/>
      <c r="AR674" s="25"/>
      <c r="AS674" s="25"/>
      <c r="AT674" s="25"/>
      <c r="AU674" s="26"/>
      <c r="AV674" s="26"/>
      <c r="AW674" s="26"/>
      <c r="AX674" s="26"/>
      <c r="AY674" s="26"/>
      <c r="AZ674" s="26"/>
      <c r="BA674" s="26"/>
    </row>
    <row r="675">
      <c r="A675" s="26"/>
      <c r="B675" s="26"/>
      <c r="C675" s="26"/>
      <c r="D675" s="27"/>
      <c r="E675" s="27"/>
      <c r="F675" s="26"/>
      <c r="G675" s="28"/>
      <c r="H675" s="28"/>
      <c r="I675" s="28"/>
      <c r="J675" s="28"/>
      <c r="K675" s="28"/>
      <c r="L675" s="28"/>
      <c r="M675" s="28"/>
      <c r="N675" s="26"/>
      <c r="O675" s="29"/>
      <c r="P675" s="27"/>
      <c r="Q675" s="26"/>
      <c r="R675" s="29"/>
      <c r="S675" s="28"/>
      <c r="T675" s="29"/>
      <c r="U675" s="28"/>
      <c r="V675" s="28"/>
      <c r="W675" s="28"/>
      <c r="X675" s="28"/>
      <c r="Y675" s="26"/>
      <c r="Z675" s="29"/>
      <c r="AA675" s="28"/>
      <c r="AB675" s="26"/>
      <c r="AC675" s="29"/>
      <c r="AD675" s="25"/>
      <c r="AE675" s="29"/>
      <c r="AF675" s="25"/>
      <c r="AG675" s="25"/>
      <c r="AH675" s="25"/>
      <c r="AI675" s="25"/>
      <c r="AJ675" s="26"/>
      <c r="AK675" s="29"/>
      <c r="AL675" s="28"/>
      <c r="AM675" s="26"/>
      <c r="AN675" s="29"/>
      <c r="AO675" s="25"/>
      <c r="AP675" s="29"/>
      <c r="AQ675" s="25"/>
      <c r="AR675" s="25"/>
      <c r="AS675" s="25"/>
      <c r="AT675" s="25"/>
      <c r="AU675" s="26"/>
      <c r="AV675" s="26"/>
      <c r="AW675" s="26"/>
      <c r="AX675" s="26"/>
      <c r="AY675" s="26"/>
      <c r="AZ675" s="26"/>
      <c r="BA675" s="26"/>
    </row>
    <row r="676">
      <c r="A676" s="26"/>
      <c r="B676" s="26"/>
      <c r="C676" s="26"/>
      <c r="D676" s="27"/>
      <c r="E676" s="27"/>
      <c r="F676" s="26"/>
      <c r="G676" s="28"/>
      <c r="H676" s="28"/>
      <c r="I676" s="28"/>
      <c r="J676" s="28"/>
      <c r="K676" s="28"/>
      <c r="L676" s="28"/>
      <c r="M676" s="28"/>
      <c r="N676" s="26"/>
      <c r="O676" s="29"/>
      <c r="P676" s="27"/>
      <c r="Q676" s="26"/>
      <c r="R676" s="29"/>
      <c r="S676" s="28"/>
      <c r="T676" s="29"/>
      <c r="U676" s="28"/>
      <c r="V676" s="28"/>
      <c r="W676" s="28"/>
      <c r="X676" s="28"/>
      <c r="Y676" s="26"/>
      <c r="Z676" s="29"/>
      <c r="AA676" s="28"/>
      <c r="AB676" s="26"/>
      <c r="AC676" s="29"/>
      <c r="AD676" s="25"/>
      <c r="AE676" s="29"/>
      <c r="AF676" s="25"/>
      <c r="AG676" s="25"/>
      <c r="AH676" s="25"/>
      <c r="AI676" s="25"/>
      <c r="AJ676" s="26"/>
      <c r="AK676" s="29"/>
      <c r="AL676" s="28"/>
      <c r="AM676" s="26"/>
      <c r="AN676" s="29"/>
      <c r="AO676" s="25"/>
      <c r="AP676" s="29"/>
      <c r="AQ676" s="25"/>
      <c r="AR676" s="25"/>
      <c r="AS676" s="25"/>
      <c r="AT676" s="25"/>
      <c r="AU676" s="26"/>
      <c r="AV676" s="26"/>
      <c r="AW676" s="26"/>
      <c r="AX676" s="26"/>
      <c r="AY676" s="26"/>
      <c r="AZ676" s="26"/>
      <c r="BA676" s="26"/>
    </row>
    <row r="677">
      <c r="A677" s="26"/>
      <c r="B677" s="26"/>
      <c r="C677" s="26"/>
      <c r="D677" s="27"/>
      <c r="E677" s="27"/>
      <c r="F677" s="26"/>
      <c r="G677" s="28"/>
      <c r="H677" s="28"/>
      <c r="I677" s="28"/>
      <c r="J677" s="28"/>
      <c r="K677" s="28"/>
      <c r="L677" s="28"/>
      <c r="M677" s="28"/>
      <c r="N677" s="26"/>
      <c r="O677" s="29"/>
      <c r="P677" s="27"/>
      <c r="Q677" s="26"/>
      <c r="R677" s="29"/>
      <c r="S677" s="28"/>
      <c r="T677" s="29"/>
      <c r="U677" s="28"/>
      <c r="V677" s="28"/>
      <c r="W677" s="28"/>
      <c r="X677" s="28"/>
      <c r="Y677" s="26"/>
      <c r="Z677" s="29"/>
      <c r="AA677" s="28"/>
      <c r="AB677" s="26"/>
      <c r="AC677" s="29"/>
      <c r="AD677" s="25"/>
      <c r="AE677" s="29"/>
      <c r="AF677" s="25"/>
      <c r="AG677" s="25"/>
      <c r="AH677" s="25"/>
      <c r="AI677" s="25"/>
      <c r="AJ677" s="26"/>
      <c r="AK677" s="29"/>
      <c r="AL677" s="28"/>
      <c r="AM677" s="26"/>
      <c r="AN677" s="29"/>
      <c r="AO677" s="25"/>
      <c r="AP677" s="29"/>
      <c r="AQ677" s="25"/>
      <c r="AR677" s="25"/>
      <c r="AS677" s="25"/>
      <c r="AT677" s="25"/>
      <c r="AU677" s="26"/>
      <c r="AV677" s="26"/>
      <c r="AW677" s="26"/>
      <c r="AX677" s="26"/>
      <c r="AY677" s="26"/>
      <c r="AZ677" s="26"/>
      <c r="BA677" s="26"/>
    </row>
    <row r="678">
      <c r="A678" s="26"/>
      <c r="B678" s="26"/>
      <c r="C678" s="26"/>
      <c r="D678" s="27"/>
      <c r="E678" s="27"/>
      <c r="F678" s="26"/>
      <c r="G678" s="28"/>
      <c r="H678" s="28"/>
      <c r="I678" s="28"/>
      <c r="J678" s="28"/>
      <c r="K678" s="28"/>
      <c r="L678" s="28"/>
      <c r="M678" s="28"/>
      <c r="N678" s="26"/>
      <c r="O678" s="29"/>
      <c r="P678" s="27"/>
      <c r="Q678" s="26"/>
      <c r="R678" s="29"/>
      <c r="S678" s="28"/>
      <c r="T678" s="29"/>
      <c r="U678" s="28"/>
      <c r="V678" s="28"/>
      <c r="W678" s="28"/>
      <c r="X678" s="28"/>
      <c r="Y678" s="26"/>
      <c r="Z678" s="29"/>
      <c r="AA678" s="28"/>
      <c r="AB678" s="26"/>
      <c r="AC678" s="29"/>
      <c r="AD678" s="25"/>
      <c r="AE678" s="29"/>
      <c r="AF678" s="25"/>
      <c r="AG678" s="25"/>
      <c r="AH678" s="25"/>
      <c r="AI678" s="25"/>
      <c r="AJ678" s="26"/>
      <c r="AK678" s="29"/>
      <c r="AL678" s="28"/>
      <c r="AM678" s="26"/>
      <c r="AN678" s="29"/>
      <c r="AO678" s="25"/>
      <c r="AP678" s="29"/>
      <c r="AQ678" s="25"/>
      <c r="AR678" s="25"/>
      <c r="AS678" s="25"/>
      <c r="AT678" s="25"/>
      <c r="AU678" s="26"/>
      <c r="AV678" s="26"/>
      <c r="AW678" s="26"/>
      <c r="AX678" s="26"/>
      <c r="AY678" s="26"/>
      <c r="AZ678" s="26"/>
      <c r="BA678" s="26"/>
    </row>
    <row r="679">
      <c r="A679" s="26"/>
      <c r="B679" s="26"/>
      <c r="C679" s="26"/>
      <c r="D679" s="27"/>
      <c r="E679" s="27"/>
      <c r="F679" s="26"/>
      <c r="G679" s="28"/>
      <c r="H679" s="28"/>
      <c r="I679" s="28"/>
      <c r="J679" s="28"/>
      <c r="K679" s="28"/>
      <c r="L679" s="28"/>
      <c r="M679" s="28"/>
      <c r="N679" s="26"/>
      <c r="O679" s="29"/>
      <c r="P679" s="27"/>
      <c r="Q679" s="26"/>
      <c r="R679" s="29"/>
      <c r="S679" s="28"/>
      <c r="T679" s="29"/>
      <c r="U679" s="28"/>
      <c r="V679" s="28"/>
      <c r="W679" s="28"/>
      <c r="X679" s="28"/>
      <c r="Y679" s="26"/>
      <c r="Z679" s="29"/>
      <c r="AA679" s="28"/>
      <c r="AB679" s="26"/>
      <c r="AC679" s="29"/>
      <c r="AD679" s="25"/>
      <c r="AE679" s="29"/>
      <c r="AF679" s="25"/>
      <c r="AG679" s="25"/>
      <c r="AH679" s="25"/>
      <c r="AI679" s="25"/>
      <c r="AJ679" s="26"/>
      <c r="AK679" s="29"/>
      <c r="AL679" s="28"/>
      <c r="AM679" s="26"/>
      <c r="AN679" s="29"/>
      <c r="AO679" s="25"/>
      <c r="AP679" s="29"/>
      <c r="AQ679" s="25"/>
      <c r="AR679" s="25"/>
      <c r="AS679" s="25"/>
      <c r="AT679" s="25"/>
      <c r="AU679" s="26"/>
      <c r="AV679" s="26"/>
      <c r="AW679" s="26"/>
      <c r="AX679" s="26"/>
      <c r="AY679" s="26"/>
      <c r="AZ679" s="26"/>
      <c r="BA679" s="26"/>
    </row>
    <row r="680">
      <c r="A680" s="26"/>
      <c r="B680" s="26"/>
      <c r="C680" s="26"/>
      <c r="D680" s="27"/>
      <c r="E680" s="27"/>
      <c r="F680" s="26"/>
      <c r="G680" s="28"/>
      <c r="H680" s="28"/>
      <c r="I680" s="28"/>
      <c r="J680" s="28"/>
      <c r="K680" s="28"/>
      <c r="L680" s="28"/>
      <c r="M680" s="28"/>
      <c r="N680" s="26"/>
      <c r="O680" s="29"/>
      <c r="P680" s="27"/>
      <c r="Q680" s="26"/>
      <c r="R680" s="29"/>
      <c r="S680" s="28"/>
      <c r="T680" s="29"/>
      <c r="U680" s="28"/>
      <c r="V680" s="28"/>
      <c r="W680" s="28"/>
      <c r="X680" s="28"/>
      <c r="Y680" s="26"/>
      <c r="Z680" s="29"/>
      <c r="AA680" s="28"/>
      <c r="AB680" s="26"/>
      <c r="AC680" s="29"/>
      <c r="AD680" s="25"/>
      <c r="AE680" s="29"/>
      <c r="AF680" s="25"/>
      <c r="AG680" s="25"/>
      <c r="AH680" s="25"/>
      <c r="AI680" s="25"/>
      <c r="AJ680" s="26"/>
      <c r="AK680" s="29"/>
      <c r="AL680" s="28"/>
      <c r="AM680" s="26"/>
      <c r="AN680" s="29"/>
      <c r="AO680" s="25"/>
      <c r="AP680" s="29"/>
      <c r="AQ680" s="25"/>
      <c r="AR680" s="25"/>
      <c r="AS680" s="25"/>
      <c r="AT680" s="25"/>
      <c r="AU680" s="26"/>
      <c r="AV680" s="26"/>
      <c r="AW680" s="26"/>
      <c r="AX680" s="26"/>
      <c r="AY680" s="26"/>
      <c r="AZ680" s="26"/>
      <c r="BA680" s="26"/>
    </row>
    <row r="681">
      <c r="A681" s="26"/>
      <c r="B681" s="26"/>
      <c r="C681" s="26"/>
      <c r="D681" s="27"/>
      <c r="E681" s="27"/>
      <c r="F681" s="26"/>
      <c r="G681" s="28"/>
      <c r="H681" s="28"/>
      <c r="I681" s="28"/>
      <c r="J681" s="28"/>
      <c r="K681" s="28"/>
      <c r="L681" s="28"/>
      <c r="M681" s="28"/>
      <c r="N681" s="26"/>
      <c r="O681" s="29"/>
      <c r="P681" s="27"/>
      <c r="Q681" s="26"/>
      <c r="R681" s="29"/>
      <c r="S681" s="28"/>
      <c r="T681" s="29"/>
      <c r="U681" s="28"/>
      <c r="V681" s="28"/>
      <c r="W681" s="28"/>
      <c r="X681" s="28"/>
      <c r="Y681" s="26"/>
      <c r="Z681" s="29"/>
      <c r="AA681" s="28"/>
      <c r="AB681" s="26"/>
      <c r="AC681" s="29"/>
      <c r="AD681" s="25"/>
      <c r="AE681" s="29"/>
      <c r="AF681" s="25"/>
      <c r="AG681" s="25"/>
      <c r="AH681" s="25"/>
      <c r="AI681" s="25"/>
      <c r="AJ681" s="26"/>
      <c r="AK681" s="29"/>
      <c r="AL681" s="28"/>
      <c r="AM681" s="26"/>
      <c r="AN681" s="29"/>
      <c r="AO681" s="25"/>
      <c r="AP681" s="29"/>
      <c r="AQ681" s="25"/>
      <c r="AR681" s="25"/>
      <c r="AS681" s="25"/>
      <c r="AT681" s="25"/>
      <c r="AU681" s="26"/>
      <c r="AV681" s="26"/>
      <c r="AW681" s="26"/>
      <c r="AX681" s="26"/>
      <c r="AY681" s="26"/>
      <c r="AZ681" s="26"/>
      <c r="BA681" s="26"/>
    </row>
    <row r="682">
      <c r="A682" s="26"/>
      <c r="B682" s="26"/>
      <c r="C682" s="26"/>
      <c r="D682" s="27"/>
      <c r="E682" s="27"/>
      <c r="F682" s="26"/>
      <c r="G682" s="28"/>
      <c r="H682" s="28"/>
      <c r="I682" s="28"/>
      <c r="J682" s="28"/>
      <c r="K682" s="28"/>
      <c r="L682" s="28"/>
      <c r="M682" s="28"/>
      <c r="N682" s="26"/>
      <c r="O682" s="29"/>
      <c r="P682" s="27"/>
      <c r="Q682" s="26"/>
      <c r="R682" s="29"/>
      <c r="S682" s="28"/>
      <c r="T682" s="29"/>
      <c r="U682" s="28"/>
      <c r="V682" s="28"/>
      <c r="W682" s="28"/>
      <c r="X682" s="28"/>
      <c r="Y682" s="26"/>
      <c r="Z682" s="29"/>
      <c r="AA682" s="28"/>
      <c r="AB682" s="26"/>
      <c r="AC682" s="29"/>
      <c r="AD682" s="25"/>
      <c r="AE682" s="29"/>
      <c r="AF682" s="25"/>
      <c r="AG682" s="25"/>
      <c r="AH682" s="25"/>
      <c r="AI682" s="25"/>
      <c r="AJ682" s="26"/>
      <c r="AK682" s="29"/>
      <c r="AL682" s="28"/>
      <c r="AM682" s="26"/>
      <c r="AN682" s="29"/>
      <c r="AO682" s="25"/>
      <c r="AP682" s="29"/>
      <c r="AQ682" s="25"/>
      <c r="AR682" s="25"/>
      <c r="AS682" s="25"/>
      <c r="AT682" s="25"/>
      <c r="AU682" s="26"/>
      <c r="AV682" s="26"/>
      <c r="AW682" s="26"/>
      <c r="AX682" s="26"/>
      <c r="AY682" s="26"/>
      <c r="AZ682" s="26"/>
      <c r="BA682" s="26"/>
    </row>
    <row r="683">
      <c r="A683" s="26"/>
      <c r="B683" s="26"/>
      <c r="C683" s="26"/>
      <c r="D683" s="27"/>
      <c r="E683" s="27"/>
      <c r="F683" s="26"/>
      <c r="G683" s="28"/>
      <c r="H683" s="28"/>
      <c r="I683" s="28"/>
      <c r="J683" s="28"/>
      <c r="K683" s="28"/>
      <c r="L683" s="28"/>
      <c r="M683" s="28"/>
      <c r="N683" s="26"/>
      <c r="O683" s="29"/>
      <c r="P683" s="27"/>
      <c r="Q683" s="26"/>
      <c r="R683" s="29"/>
      <c r="S683" s="28"/>
      <c r="T683" s="29"/>
      <c r="U683" s="28"/>
      <c r="V683" s="28"/>
      <c r="W683" s="28"/>
      <c r="X683" s="28"/>
      <c r="Y683" s="26"/>
      <c r="Z683" s="29"/>
      <c r="AA683" s="28"/>
      <c r="AB683" s="26"/>
      <c r="AC683" s="29"/>
      <c r="AD683" s="25"/>
      <c r="AE683" s="29"/>
      <c r="AF683" s="25"/>
      <c r="AG683" s="25"/>
      <c r="AH683" s="25"/>
      <c r="AI683" s="25"/>
      <c r="AJ683" s="26"/>
      <c r="AK683" s="29"/>
      <c r="AL683" s="28"/>
      <c r="AM683" s="26"/>
      <c r="AN683" s="29"/>
      <c r="AO683" s="25"/>
      <c r="AP683" s="29"/>
      <c r="AQ683" s="25"/>
      <c r="AR683" s="25"/>
      <c r="AS683" s="25"/>
      <c r="AT683" s="25"/>
      <c r="AU683" s="26"/>
      <c r="AV683" s="26"/>
      <c r="AW683" s="26"/>
      <c r="AX683" s="26"/>
      <c r="AY683" s="26"/>
      <c r="AZ683" s="26"/>
      <c r="BA683" s="26"/>
    </row>
    <row r="684">
      <c r="A684" s="26"/>
      <c r="B684" s="26"/>
      <c r="C684" s="26"/>
      <c r="D684" s="27"/>
      <c r="E684" s="27"/>
      <c r="F684" s="26"/>
      <c r="G684" s="28"/>
      <c r="H684" s="28"/>
      <c r="I684" s="28"/>
      <c r="J684" s="28"/>
      <c r="K684" s="28"/>
      <c r="L684" s="28"/>
      <c r="M684" s="28"/>
      <c r="N684" s="26"/>
      <c r="O684" s="29"/>
      <c r="P684" s="27"/>
      <c r="Q684" s="26"/>
      <c r="R684" s="29"/>
      <c r="S684" s="28"/>
      <c r="T684" s="29"/>
      <c r="U684" s="28"/>
      <c r="V684" s="28"/>
      <c r="W684" s="28"/>
      <c r="X684" s="28"/>
      <c r="Y684" s="26"/>
      <c r="Z684" s="29"/>
      <c r="AA684" s="28"/>
      <c r="AB684" s="26"/>
      <c r="AC684" s="29"/>
      <c r="AD684" s="25"/>
      <c r="AE684" s="29"/>
      <c r="AF684" s="25"/>
      <c r="AG684" s="25"/>
      <c r="AH684" s="25"/>
      <c r="AI684" s="25"/>
      <c r="AJ684" s="26"/>
      <c r="AK684" s="29"/>
      <c r="AL684" s="28"/>
      <c r="AM684" s="26"/>
      <c r="AN684" s="29"/>
      <c r="AO684" s="25"/>
      <c r="AP684" s="29"/>
      <c r="AQ684" s="25"/>
      <c r="AR684" s="25"/>
      <c r="AS684" s="25"/>
      <c r="AT684" s="25"/>
      <c r="AU684" s="26"/>
      <c r="AV684" s="26"/>
      <c r="AW684" s="26"/>
      <c r="AX684" s="26"/>
      <c r="AY684" s="26"/>
      <c r="AZ684" s="26"/>
      <c r="BA684" s="26"/>
    </row>
    <row r="685">
      <c r="A685" s="26"/>
      <c r="B685" s="26"/>
      <c r="C685" s="26"/>
      <c r="D685" s="27"/>
      <c r="E685" s="27"/>
      <c r="F685" s="26"/>
      <c r="G685" s="28"/>
      <c r="H685" s="28"/>
      <c r="I685" s="28"/>
      <c r="J685" s="28"/>
      <c r="K685" s="28"/>
      <c r="L685" s="28"/>
      <c r="M685" s="28"/>
      <c r="N685" s="26"/>
      <c r="O685" s="29"/>
      <c r="P685" s="27"/>
      <c r="Q685" s="26"/>
      <c r="R685" s="29"/>
      <c r="S685" s="28"/>
      <c r="T685" s="29"/>
      <c r="U685" s="28"/>
      <c r="V685" s="28"/>
      <c r="W685" s="28"/>
      <c r="X685" s="28"/>
      <c r="Y685" s="26"/>
      <c r="Z685" s="29"/>
      <c r="AA685" s="28"/>
      <c r="AB685" s="26"/>
      <c r="AC685" s="29"/>
      <c r="AD685" s="25"/>
      <c r="AE685" s="29"/>
      <c r="AF685" s="25"/>
      <c r="AG685" s="25"/>
      <c r="AH685" s="25"/>
      <c r="AI685" s="25"/>
      <c r="AJ685" s="26"/>
      <c r="AK685" s="29"/>
      <c r="AL685" s="28"/>
      <c r="AM685" s="26"/>
      <c r="AN685" s="29"/>
      <c r="AO685" s="25"/>
      <c r="AP685" s="29"/>
      <c r="AQ685" s="25"/>
      <c r="AR685" s="25"/>
      <c r="AS685" s="25"/>
      <c r="AT685" s="25"/>
      <c r="AU685" s="26"/>
      <c r="AV685" s="26"/>
      <c r="AW685" s="26"/>
      <c r="AX685" s="26"/>
      <c r="AY685" s="26"/>
      <c r="AZ685" s="26"/>
      <c r="BA685" s="26"/>
    </row>
    <row r="686">
      <c r="A686" s="26"/>
      <c r="B686" s="26"/>
      <c r="C686" s="26"/>
      <c r="D686" s="27"/>
      <c r="E686" s="27"/>
      <c r="F686" s="26"/>
      <c r="G686" s="28"/>
      <c r="H686" s="28"/>
      <c r="I686" s="28"/>
      <c r="J686" s="28"/>
      <c r="K686" s="28"/>
      <c r="L686" s="28"/>
      <c r="M686" s="28"/>
      <c r="N686" s="26"/>
      <c r="O686" s="29"/>
      <c r="P686" s="27"/>
      <c r="Q686" s="26"/>
      <c r="R686" s="29"/>
      <c r="S686" s="28"/>
      <c r="T686" s="29"/>
      <c r="U686" s="28"/>
      <c r="V686" s="28"/>
      <c r="W686" s="28"/>
      <c r="X686" s="28"/>
      <c r="Y686" s="26"/>
      <c r="Z686" s="29"/>
      <c r="AA686" s="28"/>
      <c r="AB686" s="26"/>
      <c r="AC686" s="29"/>
      <c r="AD686" s="25"/>
      <c r="AE686" s="29"/>
      <c r="AF686" s="25"/>
      <c r="AG686" s="25"/>
      <c r="AH686" s="25"/>
      <c r="AI686" s="25"/>
      <c r="AJ686" s="26"/>
      <c r="AK686" s="29"/>
      <c r="AL686" s="28"/>
      <c r="AM686" s="26"/>
      <c r="AN686" s="29"/>
      <c r="AO686" s="25"/>
      <c r="AP686" s="29"/>
      <c r="AQ686" s="25"/>
      <c r="AR686" s="25"/>
      <c r="AS686" s="25"/>
      <c r="AT686" s="25"/>
      <c r="AU686" s="26"/>
      <c r="AV686" s="26"/>
      <c r="AW686" s="26"/>
      <c r="AX686" s="26"/>
      <c r="AY686" s="26"/>
      <c r="AZ686" s="26"/>
      <c r="BA686" s="26"/>
    </row>
    <row r="687">
      <c r="A687" s="26"/>
      <c r="B687" s="26"/>
      <c r="C687" s="26"/>
      <c r="D687" s="27"/>
      <c r="E687" s="27"/>
      <c r="F687" s="26"/>
      <c r="G687" s="28"/>
      <c r="H687" s="28"/>
      <c r="I687" s="28"/>
      <c r="J687" s="28"/>
      <c r="K687" s="28"/>
      <c r="L687" s="28"/>
      <c r="M687" s="28"/>
      <c r="N687" s="26"/>
      <c r="O687" s="29"/>
      <c r="P687" s="27"/>
      <c r="Q687" s="26"/>
      <c r="R687" s="29"/>
      <c r="S687" s="28"/>
      <c r="T687" s="29"/>
      <c r="U687" s="28"/>
      <c r="V687" s="28"/>
      <c r="W687" s="28"/>
      <c r="X687" s="28"/>
      <c r="Y687" s="26"/>
      <c r="Z687" s="29"/>
      <c r="AA687" s="28"/>
      <c r="AB687" s="26"/>
      <c r="AC687" s="29"/>
      <c r="AD687" s="25"/>
      <c r="AE687" s="29"/>
      <c r="AF687" s="25"/>
      <c r="AG687" s="25"/>
      <c r="AH687" s="25"/>
      <c r="AI687" s="25"/>
      <c r="AJ687" s="26"/>
      <c r="AK687" s="29"/>
      <c r="AL687" s="28"/>
      <c r="AM687" s="26"/>
      <c r="AN687" s="29"/>
      <c r="AO687" s="25"/>
      <c r="AP687" s="29"/>
      <c r="AQ687" s="25"/>
      <c r="AR687" s="25"/>
      <c r="AS687" s="25"/>
      <c r="AT687" s="25"/>
      <c r="AU687" s="26"/>
      <c r="AV687" s="26"/>
      <c r="AW687" s="26"/>
      <c r="AX687" s="26"/>
      <c r="AY687" s="26"/>
      <c r="AZ687" s="26"/>
      <c r="BA687" s="26"/>
    </row>
    <row r="688">
      <c r="A688" s="26"/>
      <c r="B688" s="26"/>
      <c r="C688" s="26"/>
      <c r="D688" s="27"/>
      <c r="E688" s="27"/>
      <c r="F688" s="26"/>
      <c r="G688" s="28"/>
      <c r="H688" s="28"/>
      <c r="I688" s="28"/>
      <c r="J688" s="28"/>
      <c r="K688" s="28"/>
      <c r="L688" s="28"/>
      <c r="M688" s="28"/>
      <c r="N688" s="26"/>
      <c r="O688" s="29"/>
      <c r="P688" s="27"/>
      <c r="Q688" s="26"/>
      <c r="R688" s="29"/>
      <c r="S688" s="28"/>
      <c r="T688" s="29"/>
      <c r="U688" s="28"/>
      <c r="V688" s="28"/>
      <c r="W688" s="28"/>
      <c r="X688" s="28"/>
      <c r="Y688" s="26"/>
      <c r="Z688" s="29"/>
      <c r="AA688" s="28"/>
      <c r="AB688" s="26"/>
      <c r="AC688" s="29"/>
      <c r="AD688" s="25"/>
      <c r="AE688" s="29"/>
      <c r="AF688" s="25"/>
      <c r="AG688" s="25"/>
      <c r="AH688" s="25"/>
      <c r="AI688" s="25"/>
      <c r="AJ688" s="26"/>
      <c r="AK688" s="29"/>
      <c r="AL688" s="28"/>
      <c r="AM688" s="26"/>
      <c r="AN688" s="29"/>
      <c r="AO688" s="25"/>
      <c r="AP688" s="29"/>
      <c r="AQ688" s="25"/>
      <c r="AR688" s="25"/>
      <c r="AS688" s="25"/>
      <c r="AT688" s="25"/>
      <c r="AU688" s="26"/>
      <c r="AV688" s="26"/>
      <c r="AW688" s="26"/>
      <c r="AX688" s="26"/>
      <c r="AY688" s="26"/>
      <c r="AZ688" s="26"/>
      <c r="BA688" s="26"/>
    </row>
    <row r="689">
      <c r="A689" s="26"/>
      <c r="B689" s="26"/>
      <c r="C689" s="26"/>
      <c r="D689" s="27"/>
      <c r="E689" s="27"/>
      <c r="F689" s="26"/>
      <c r="G689" s="28"/>
      <c r="H689" s="28"/>
      <c r="I689" s="28"/>
      <c r="J689" s="28"/>
      <c r="K689" s="28"/>
      <c r="L689" s="28"/>
      <c r="M689" s="28"/>
      <c r="N689" s="26"/>
      <c r="O689" s="29"/>
      <c r="P689" s="27"/>
      <c r="Q689" s="26"/>
      <c r="R689" s="29"/>
      <c r="S689" s="28"/>
      <c r="T689" s="29"/>
      <c r="U689" s="28"/>
      <c r="V689" s="28"/>
      <c r="W689" s="28"/>
      <c r="X689" s="28"/>
      <c r="Y689" s="26"/>
      <c r="Z689" s="29"/>
      <c r="AA689" s="28"/>
      <c r="AB689" s="26"/>
      <c r="AC689" s="29"/>
      <c r="AD689" s="25"/>
      <c r="AE689" s="29"/>
      <c r="AF689" s="25"/>
      <c r="AG689" s="25"/>
      <c r="AH689" s="25"/>
      <c r="AI689" s="25"/>
      <c r="AJ689" s="26"/>
      <c r="AK689" s="29"/>
      <c r="AL689" s="28"/>
      <c r="AM689" s="26"/>
      <c r="AN689" s="29"/>
      <c r="AO689" s="25"/>
      <c r="AP689" s="29"/>
      <c r="AQ689" s="25"/>
      <c r="AR689" s="25"/>
      <c r="AS689" s="25"/>
      <c r="AT689" s="25"/>
      <c r="AU689" s="26"/>
      <c r="AV689" s="26"/>
      <c r="AW689" s="26"/>
      <c r="AX689" s="26"/>
      <c r="AY689" s="26"/>
      <c r="AZ689" s="26"/>
      <c r="BA689" s="26"/>
    </row>
    <row r="690">
      <c r="A690" s="26"/>
      <c r="B690" s="26"/>
      <c r="C690" s="26"/>
      <c r="D690" s="27"/>
      <c r="E690" s="27"/>
      <c r="F690" s="26"/>
      <c r="G690" s="28"/>
      <c r="H690" s="28"/>
      <c r="I690" s="28"/>
      <c r="J690" s="28"/>
      <c r="K690" s="28"/>
      <c r="L690" s="28"/>
      <c r="M690" s="28"/>
      <c r="N690" s="26"/>
      <c r="O690" s="29"/>
      <c r="P690" s="27"/>
      <c r="Q690" s="26"/>
      <c r="R690" s="29"/>
      <c r="S690" s="28"/>
      <c r="T690" s="29"/>
      <c r="U690" s="28"/>
      <c r="V690" s="28"/>
      <c r="W690" s="28"/>
      <c r="X690" s="28"/>
      <c r="Y690" s="26"/>
      <c r="Z690" s="29"/>
      <c r="AA690" s="28"/>
      <c r="AB690" s="26"/>
      <c r="AC690" s="29"/>
      <c r="AD690" s="25"/>
      <c r="AE690" s="29"/>
      <c r="AF690" s="25"/>
      <c r="AG690" s="25"/>
      <c r="AH690" s="25"/>
      <c r="AI690" s="25"/>
      <c r="AJ690" s="26"/>
      <c r="AK690" s="29"/>
      <c r="AL690" s="28"/>
      <c r="AM690" s="26"/>
      <c r="AN690" s="29"/>
      <c r="AO690" s="25"/>
      <c r="AP690" s="29"/>
      <c r="AQ690" s="25"/>
      <c r="AR690" s="25"/>
      <c r="AS690" s="25"/>
      <c r="AT690" s="25"/>
      <c r="AU690" s="26"/>
      <c r="AV690" s="26"/>
      <c r="AW690" s="26"/>
      <c r="AX690" s="26"/>
      <c r="AY690" s="26"/>
      <c r="AZ690" s="26"/>
      <c r="BA690" s="26"/>
    </row>
    <row r="691">
      <c r="A691" s="26"/>
      <c r="B691" s="26"/>
      <c r="C691" s="26"/>
      <c r="D691" s="27"/>
      <c r="E691" s="27"/>
      <c r="F691" s="26"/>
      <c r="G691" s="28"/>
      <c r="H691" s="28"/>
      <c r="I691" s="28"/>
      <c r="J691" s="28"/>
      <c r="K691" s="28"/>
      <c r="L691" s="28"/>
      <c r="M691" s="28"/>
      <c r="N691" s="26"/>
      <c r="O691" s="29"/>
      <c r="P691" s="27"/>
      <c r="Q691" s="26"/>
      <c r="R691" s="29"/>
      <c r="S691" s="28"/>
      <c r="T691" s="29"/>
      <c r="U691" s="28"/>
      <c r="V691" s="28"/>
      <c r="W691" s="28"/>
      <c r="X691" s="28"/>
      <c r="Y691" s="26"/>
      <c r="Z691" s="29"/>
      <c r="AA691" s="28"/>
      <c r="AB691" s="26"/>
      <c r="AC691" s="29"/>
      <c r="AD691" s="25"/>
      <c r="AE691" s="29"/>
      <c r="AF691" s="25"/>
      <c r="AG691" s="25"/>
      <c r="AH691" s="25"/>
      <c r="AI691" s="25"/>
      <c r="AJ691" s="26"/>
      <c r="AK691" s="29"/>
      <c r="AL691" s="28"/>
      <c r="AM691" s="26"/>
      <c r="AN691" s="29"/>
      <c r="AO691" s="25"/>
      <c r="AP691" s="29"/>
      <c r="AQ691" s="25"/>
      <c r="AR691" s="25"/>
      <c r="AS691" s="25"/>
      <c r="AT691" s="25"/>
      <c r="AU691" s="26"/>
      <c r="AV691" s="26"/>
      <c r="AW691" s="26"/>
      <c r="AX691" s="26"/>
      <c r="AY691" s="26"/>
      <c r="AZ691" s="26"/>
      <c r="BA691" s="26"/>
    </row>
    <row r="692">
      <c r="A692" s="26"/>
      <c r="B692" s="26"/>
      <c r="C692" s="26"/>
      <c r="D692" s="27"/>
      <c r="E692" s="27"/>
      <c r="F692" s="26"/>
      <c r="G692" s="28"/>
      <c r="H692" s="28"/>
      <c r="I692" s="28"/>
      <c r="J692" s="28"/>
      <c r="K692" s="28"/>
      <c r="L692" s="28"/>
      <c r="M692" s="28"/>
      <c r="N692" s="26"/>
      <c r="O692" s="29"/>
      <c r="P692" s="27"/>
      <c r="Q692" s="26"/>
      <c r="R692" s="29"/>
      <c r="S692" s="28"/>
      <c r="T692" s="29"/>
      <c r="U692" s="28"/>
      <c r="V692" s="28"/>
      <c r="W692" s="28"/>
      <c r="X692" s="28"/>
      <c r="Y692" s="26"/>
      <c r="Z692" s="29"/>
      <c r="AA692" s="28"/>
      <c r="AB692" s="26"/>
      <c r="AC692" s="29"/>
      <c r="AD692" s="25"/>
      <c r="AE692" s="29"/>
      <c r="AF692" s="25"/>
      <c r="AG692" s="25"/>
      <c r="AH692" s="25"/>
      <c r="AI692" s="25"/>
      <c r="AJ692" s="26"/>
      <c r="AK692" s="29"/>
      <c r="AL692" s="28"/>
      <c r="AM692" s="26"/>
      <c r="AN692" s="29"/>
      <c r="AO692" s="25"/>
      <c r="AP692" s="29"/>
      <c r="AQ692" s="25"/>
      <c r="AR692" s="25"/>
      <c r="AS692" s="25"/>
      <c r="AT692" s="25"/>
      <c r="AU692" s="26"/>
      <c r="AV692" s="26"/>
      <c r="AW692" s="26"/>
      <c r="AX692" s="26"/>
      <c r="AY692" s="26"/>
      <c r="AZ692" s="26"/>
      <c r="BA692" s="26"/>
    </row>
    <row r="693">
      <c r="A693" s="26"/>
      <c r="B693" s="26"/>
      <c r="C693" s="26"/>
      <c r="D693" s="27"/>
      <c r="E693" s="27"/>
      <c r="F693" s="26"/>
      <c r="G693" s="28"/>
      <c r="H693" s="28"/>
      <c r="I693" s="28"/>
      <c r="J693" s="28"/>
      <c r="K693" s="28"/>
      <c r="L693" s="28"/>
      <c r="M693" s="28"/>
      <c r="N693" s="26"/>
      <c r="O693" s="29"/>
      <c r="P693" s="27"/>
      <c r="Q693" s="26"/>
      <c r="R693" s="29"/>
      <c r="S693" s="28"/>
      <c r="T693" s="29"/>
      <c r="U693" s="28"/>
      <c r="V693" s="28"/>
      <c r="W693" s="28"/>
      <c r="X693" s="28"/>
      <c r="Y693" s="26"/>
      <c r="Z693" s="29"/>
      <c r="AA693" s="28"/>
      <c r="AB693" s="26"/>
      <c r="AC693" s="29"/>
      <c r="AD693" s="25"/>
      <c r="AE693" s="29"/>
      <c r="AF693" s="25"/>
      <c r="AG693" s="25"/>
      <c r="AH693" s="25"/>
      <c r="AI693" s="25"/>
      <c r="AJ693" s="26"/>
      <c r="AK693" s="29"/>
      <c r="AL693" s="28"/>
      <c r="AM693" s="26"/>
      <c r="AN693" s="29"/>
      <c r="AO693" s="25"/>
      <c r="AP693" s="29"/>
      <c r="AQ693" s="25"/>
      <c r="AR693" s="25"/>
      <c r="AS693" s="25"/>
      <c r="AT693" s="25"/>
      <c r="AU693" s="26"/>
      <c r="AV693" s="26"/>
      <c r="AW693" s="26"/>
      <c r="AX693" s="26"/>
      <c r="AY693" s="26"/>
      <c r="AZ693" s="26"/>
      <c r="BA693" s="26"/>
    </row>
    <row r="694">
      <c r="A694" s="26"/>
      <c r="B694" s="26"/>
      <c r="C694" s="26"/>
      <c r="D694" s="27"/>
      <c r="E694" s="27"/>
      <c r="F694" s="26"/>
      <c r="G694" s="28"/>
      <c r="H694" s="28"/>
      <c r="I694" s="28"/>
      <c r="J694" s="28"/>
      <c r="K694" s="28"/>
      <c r="L694" s="28"/>
      <c r="M694" s="28"/>
      <c r="N694" s="26"/>
      <c r="O694" s="29"/>
      <c r="P694" s="27"/>
      <c r="Q694" s="26"/>
      <c r="R694" s="29"/>
      <c r="S694" s="28"/>
      <c r="T694" s="29"/>
      <c r="U694" s="28"/>
      <c r="V694" s="28"/>
      <c r="W694" s="28"/>
      <c r="X694" s="28"/>
      <c r="Y694" s="26"/>
      <c r="Z694" s="29"/>
      <c r="AA694" s="28"/>
      <c r="AB694" s="26"/>
      <c r="AC694" s="29"/>
      <c r="AD694" s="25"/>
      <c r="AE694" s="29"/>
      <c r="AF694" s="25"/>
      <c r="AG694" s="25"/>
      <c r="AH694" s="25"/>
      <c r="AI694" s="25"/>
      <c r="AJ694" s="26"/>
      <c r="AK694" s="29"/>
      <c r="AL694" s="28"/>
      <c r="AM694" s="26"/>
      <c r="AN694" s="29"/>
      <c r="AO694" s="25"/>
      <c r="AP694" s="29"/>
      <c r="AQ694" s="25"/>
      <c r="AR694" s="25"/>
      <c r="AS694" s="25"/>
      <c r="AT694" s="25"/>
      <c r="AU694" s="26"/>
      <c r="AV694" s="26"/>
      <c r="AW694" s="26"/>
      <c r="AX694" s="26"/>
      <c r="AY694" s="26"/>
      <c r="AZ694" s="26"/>
      <c r="BA694" s="26"/>
    </row>
    <row r="695">
      <c r="A695" s="26"/>
      <c r="B695" s="26"/>
      <c r="C695" s="26"/>
      <c r="D695" s="27"/>
      <c r="E695" s="27"/>
      <c r="F695" s="26"/>
      <c r="G695" s="28"/>
      <c r="H695" s="28"/>
      <c r="I695" s="28"/>
      <c r="J695" s="28"/>
      <c r="K695" s="28"/>
      <c r="L695" s="28"/>
      <c r="M695" s="28"/>
      <c r="N695" s="26"/>
      <c r="O695" s="29"/>
      <c r="P695" s="27"/>
      <c r="Q695" s="26"/>
      <c r="R695" s="29"/>
      <c r="S695" s="28"/>
      <c r="T695" s="29"/>
      <c r="U695" s="28"/>
      <c r="V695" s="28"/>
      <c r="W695" s="28"/>
      <c r="X695" s="28"/>
      <c r="Y695" s="26"/>
      <c r="Z695" s="29"/>
      <c r="AA695" s="28"/>
      <c r="AB695" s="26"/>
      <c r="AC695" s="29"/>
      <c r="AD695" s="25"/>
      <c r="AE695" s="29"/>
      <c r="AF695" s="25"/>
      <c r="AG695" s="25"/>
      <c r="AH695" s="25"/>
      <c r="AI695" s="25"/>
      <c r="AJ695" s="26"/>
      <c r="AK695" s="29"/>
      <c r="AL695" s="28"/>
      <c r="AM695" s="26"/>
      <c r="AN695" s="29"/>
      <c r="AO695" s="25"/>
      <c r="AP695" s="29"/>
      <c r="AQ695" s="25"/>
      <c r="AR695" s="25"/>
      <c r="AS695" s="25"/>
      <c r="AT695" s="25"/>
      <c r="AU695" s="26"/>
      <c r="AV695" s="26"/>
      <c r="AW695" s="26"/>
      <c r="AX695" s="26"/>
      <c r="AY695" s="26"/>
      <c r="AZ695" s="26"/>
      <c r="BA695" s="26"/>
    </row>
    <row r="696">
      <c r="A696" s="26"/>
      <c r="B696" s="26"/>
      <c r="C696" s="26"/>
      <c r="D696" s="27"/>
      <c r="E696" s="27"/>
      <c r="F696" s="26"/>
      <c r="G696" s="28"/>
      <c r="H696" s="28"/>
      <c r="I696" s="28"/>
      <c r="J696" s="28"/>
      <c r="K696" s="28"/>
      <c r="L696" s="28"/>
      <c r="M696" s="28"/>
      <c r="N696" s="26"/>
      <c r="O696" s="29"/>
      <c r="P696" s="27"/>
      <c r="Q696" s="26"/>
      <c r="R696" s="29"/>
      <c r="S696" s="28"/>
      <c r="T696" s="29"/>
      <c r="U696" s="28"/>
      <c r="V696" s="28"/>
      <c r="W696" s="28"/>
      <c r="X696" s="28"/>
      <c r="Y696" s="26"/>
      <c r="Z696" s="29"/>
      <c r="AA696" s="28"/>
      <c r="AB696" s="26"/>
      <c r="AC696" s="29"/>
      <c r="AD696" s="25"/>
      <c r="AE696" s="29"/>
      <c r="AF696" s="25"/>
      <c r="AG696" s="25"/>
      <c r="AH696" s="25"/>
      <c r="AI696" s="25"/>
      <c r="AJ696" s="26"/>
      <c r="AK696" s="29"/>
      <c r="AL696" s="28"/>
      <c r="AM696" s="26"/>
      <c r="AN696" s="29"/>
      <c r="AO696" s="25"/>
      <c r="AP696" s="29"/>
      <c r="AQ696" s="25"/>
      <c r="AR696" s="25"/>
      <c r="AS696" s="25"/>
      <c r="AT696" s="25"/>
      <c r="AU696" s="26"/>
      <c r="AV696" s="26"/>
      <c r="AW696" s="26"/>
      <c r="AX696" s="26"/>
      <c r="AY696" s="26"/>
      <c r="AZ696" s="26"/>
      <c r="BA696" s="26"/>
    </row>
    <row r="697">
      <c r="A697" s="26"/>
      <c r="B697" s="26"/>
      <c r="C697" s="26"/>
      <c r="D697" s="27"/>
      <c r="E697" s="27"/>
      <c r="F697" s="26"/>
      <c r="G697" s="28"/>
      <c r="H697" s="28"/>
      <c r="I697" s="28"/>
      <c r="J697" s="28"/>
      <c r="K697" s="28"/>
      <c r="L697" s="28"/>
      <c r="M697" s="28"/>
      <c r="N697" s="26"/>
      <c r="O697" s="29"/>
      <c r="P697" s="27"/>
      <c r="Q697" s="26"/>
      <c r="R697" s="29"/>
      <c r="S697" s="28"/>
      <c r="T697" s="29"/>
      <c r="U697" s="28"/>
      <c r="V697" s="28"/>
      <c r="W697" s="28"/>
      <c r="X697" s="28"/>
      <c r="Y697" s="26"/>
      <c r="Z697" s="29"/>
      <c r="AA697" s="28"/>
      <c r="AB697" s="26"/>
      <c r="AC697" s="29"/>
      <c r="AD697" s="25"/>
      <c r="AE697" s="29"/>
      <c r="AF697" s="25"/>
      <c r="AG697" s="25"/>
      <c r="AH697" s="25"/>
      <c r="AI697" s="25"/>
      <c r="AJ697" s="26"/>
      <c r="AK697" s="29"/>
      <c r="AL697" s="28"/>
      <c r="AM697" s="26"/>
      <c r="AN697" s="29"/>
      <c r="AO697" s="25"/>
      <c r="AP697" s="29"/>
      <c r="AQ697" s="25"/>
      <c r="AR697" s="25"/>
      <c r="AS697" s="25"/>
      <c r="AT697" s="25"/>
      <c r="AU697" s="26"/>
      <c r="AV697" s="26"/>
      <c r="AW697" s="26"/>
      <c r="AX697" s="26"/>
      <c r="AY697" s="26"/>
      <c r="AZ697" s="26"/>
      <c r="BA697" s="26"/>
    </row>
    <row r="698">
      <c r="A698" s="26"/>
      <c r="B698" s="26"/>
      <c r="C698" s="26"/>
      <c r="D698" s="27"/>
      <c r="E698" s="27"/>
      <c r="F698" s="26"/>
      <c r="G698" s="28"/>
      <c r="H698" s="28"/>
      <c r="I698" s="28"/>
      <c r="J698" s="28"/>
      <c r="K698" s="28"/>
      <c r="L698" s="28"/>
      <c r="M698" s="28"/>
      <c r="N698" s="26"/>
      <c r="O698" s="29"/>
      <c r="P698" s="27"/>
      <c r="Q698" s="26"/>
      <c r="R698" s="29"/>
      <c r="S698" s="28"/>
      <c r="T698" s="29"/>
      <c r="U698" s="28"/>
      <c r="V698" s="28"/>
      <c r="W698" s="28"/>
      <c r="X698" s="28"/>
      <c r="Y698" s="26"/>
      <c r="Z698" s="29"/>
      <c r="AA698" s="28"/>
      <c r="AB698" s="26"/>
      <c r="AC698" s="29"/>
      <c r="AD698" s="25"/>
      <c r="AE698" s="29"/>
      <c r="AF698" s="25"/>
      <c r="AG698" s="25"/>
      <c r="AH698" s="25"/>
      <c r="AI698" s="25"/>
      <c r="AJ698" s="26"/>
      <c r="AK698" s="29"/>
      <c r="AL698" s="28"/>
      <c r="AM698" s="26"/>
      <c r="AN698" s="29"/>
      <c r="AO698" s="25"/>
      <c r="AP698" s="29"/>
      <c r="AQ698" s="25"/>
      <c r="AR698" s="25"/>
      <c r="AS698" s="25"/>
      <c r="AT698" s="25"/>
      <c r="AU698" s="26"/>
      <c r="AV698" s="26"/>
      <c r="AW698" s="26"/>
      <c r="AX698" s="26"/>
      <c r="AY698" s="26"/>
      <c r="AZ698" s="26"/>
      <c r="BA698" s="26"/>
    </row>
    <row r="699">
      <c r="A699" s="26"/>
      <c r="B699" s="26"/>
      <c r="C699" s="26"/>
      <c r="D699" s="27"/>
      <c r="E699" s="27"/>
      <c r="F699" s="26"/>
      <c r="G699" s="28"/>
      <c r="H699" s="28"/>
      <c r="I699" s="28"/>
      <c r="J699" s="28"/>
      <c r="K699" s="28"/>
      <c r="L699" s="28"/>
      <c r="M699" s="28"/>
      <c r="N699" s="26"/>
      <c r="O699" s="29"/>
      <c r="P699" s="27"/>
      <c r="Q699" s="26"/>
      <c r="R699" s="29"/>
      <c r="S699" s="28"/>
      <c r="T699" s="29"/>
      <c r="U699" s="28"/>
      <c r="V699" s="28"/>
      <c r="W699" s="28"/>
      <c r="X699" s="28"/>
      <c r="Y699" s="26"/>
      <c r="Z699" s="29"/>
      <c r="AA699" s="28"/>
      <c r="AB699" s="26"/>
      <c r="AC699" s="29"/>
      <c r="AD699" s="25"/>
      <c r="AE699" s="29"/>
      <c r="AF699" s="25"/>
      <c r="AG699" s="25"/>
      <c r="AH699" s="25"/>
      <c r="AI699" s="25"/>
      <c r="AJ699" s="26"/>
      <c r="AK699" s="29"/>
      <c r="AL699" s="28"/>
      <c r="AM699" s="26"/>
      <c r="AN699" s="29"/>
      <c r="AO699" s="25"/>
      <c r="AP699" s="29"/>
      <c r="AQ699" s="25"/>
      <c r="AR699" s="25"/>
      <c r="AS699" s="25"/>
      <c r="AT699" s="25"/>
      <c r="AU699" s="26"/>
      <c r="AV699" s="26"/>
      <c r="AW699" s="26"/>
      <c r="AX699" s="26"/>
      <c r="AY699" s="26"/>
      <c r="AZ699" s="26"/>
      <c r="BA699" s="26"/>
    </row>
    <row r="700">
      <c r="A700" s="26"/>
      <c r="B700" s="26"/>
      <c r="C700" s="26"/>
      <c r="D700" s="27"/>
      <c r="E700" s="27"/>
      <c r="F700" s="26"/>
      <c r="G700" s="28"/>
      <c r="H700" s="28"/>
      <c r="I700" s="28"/>
      <c r="J700" s="28"/>
      <c r="K700" s="28"/>
      <c r="L700" s="28"/>
      <c r="M700" s="28"/>
      <c r="N700" s="26"/>
      <c r="O700" s="29"/>
      <c r="P700" s="27"/>
      <c r="Q700" s="26"/>
      <c r="R700" s="29"/>
      <c r="S700" s="28"/>
      <c r="T700" s="29"/>
      <c r="U700" s="28"/>
      <c r="V700" s="28"/>
      <c r="W700" s="28"/>
      <c r="X700" s="28"/>
      <c r="Y700" s="26"/>
      <c r="Z700" s="29"/>
      <c r="AA700" s="28"/>
      <c r="AB700" s="26"/>
      <c r="AC700" s="29"/>
      <c r="AD700" s="25"/>
      <c r="AE700" s="29"/>
      <c r="AF700" s="25"/>
      <c r="AG700" s="25"/>
      <c r="AH700" s="25"/>
      <c r="AI700" s="25"/>
      <c r="AJ700" s="26"/>
      <c r="AK700" s="29"/>
      <c r="AL700" s="28"/>
      <c r="AM700" s="26"/>
      <c r="AN700" s="29"/>
      <c r="AO700" s="25"/>
      <c r="AP700" s="29"/>
      <c r="AQ700" s="25"/>
      <c r="AR700" s="25"/>
      <c r="AS700" s="25"/>
      <c r="AT700" s="25"/>
      <c r="AU700" s="26"/>
      <c r="AV700" s="26"/>
      <c r="AW700" s="26"/>
      <c r="AX700" s="26"/>
      <c r="AY700" s="26"/>
      <c r="AZ700" s="26"/>
      <c r="BA700" s="26"/>
    </row>
    <row r="701">
      <c r="A701" s="26"/>
      <c r="B701" s="26"/>
      <c r="C701" s="26"/>
      <c r="D701" s="27"/>
      <c r="E701" s="27"/>
      <c r="F701" s="26"/>
      <c r="G701" s="28"/>
      <c r="H701" s="28"/>
      <c r="I701" s="28"/>
      <c r="J701" s="28"/>
      <c r="K701" s="28"/>
      <c r="L701" s="28"/>
      <c r="M701" s="28"/>
      <c r="N701" s="26"/>
      <c r="O701" s="29"/>
      <c r="P701" s="27"/>
      <c r="Q701" s="26"/>
      <c r="R701" s="29"/>
      <c r="S701" s="28"/>
      <c r="T701" s="29"/>
      <c r="U701" s="28"/>
      <c r="V701" s="28"/>
      <c r="W701" s="28"/>
      <c r="X701" s="28"/>
      <c r="Y701" s="26"/>
      <c r="Z701" s="29"/>
      <c r="AA701" s="28"/>
      <c r="AB701" s="26"/>
      <c r="AC701" s="29"/>
      <c r="AD701" s="25"/>
      <c r="AE701" s="29"/>
      <c r="AF701" s="25"/>
      <c r="AG701" s="25"/>
      <c r="AH701" s="25"/>
      <c r="AI701" s="25"/>
      <c r="AJ701" s="26"/>
      <c r="AK701" s="29"/>
      <c r="AL701" s="28"/>
      <c r="AM701" s="26"/>
      <c r="AN701" s="29"/>
      <c r="AO701" s="25"/>
      <c r="AP701" s="29"/>
      <c r="AQ701" s="25"/>
      <c r="AR701" s="25"/>
      <c r="AS701" s="25"/>
      <c r="AT701" s="25"/>
      <c r="AU701" s="26"/>
      <c r="AV701" s="26"/>
      <c r="AW701" s="26"/>
      <c r="AX701" s="26"/>
      <c r="AY701" s="26"/>
      <c r="AZ701" s="26"/>
      <c r="BA701" s="26"/>
    </row>
    <row r="702">
      <c r="A702" s="26"/>
      <c r="B702" s="26"/>
      <c r="C702" s="26"/>
      <c r="D702" s="27"/>
      <c r="E702" s="27"/>
      <c r="F702" s="26"/>
      <c r="G702" s="28"/>
      <c r="H702" s="28"/>
      <c r="I702" s="28"/>
      <c r="J702" s="28"/>
      <c r="K702" s="28"/>
      <c r="L702" s="28"/>
      <c r="M702" s="28"/>
      <c r="N702" s="26"/>
      <c r="O702" s="29"/>
      <c r="P702" s="27"/>
      <c r="Q702" s="26"/>
      <c r="R702" s="29"/>
      <c r="S702" s="28"/>
      <c r="T702" s="29"/>
      <c r="U702" s="28"/>
      <c r="V702" s="28"/>
      <c r="W702" s="28"/>
      <c r="X702" s="28"/>
      <c r="Y702" s="26"/>
      <c r="Z702" s="29"/>
      <c r="AA702" s="28"/>
      <c r="AB702" s="26"/>
      <c r="AC702" s="29"/>
      <c r="AD702" s="25"/>
      <c r="AE702" s="29"/>
      <c r="AF702" s="25"/>
      <c r="AG702" s="25"/>
      <c r="AH702" s="25"/>
      <c r="AI702" s="25"/>
      <c r="AJ702" s="26"/>
      <c r="AK702" s="29"/>
      <c r="AL702" s="28"/>
      <c r="AM702" s="26"/>
      <c r="AN702" s="29"/>
      <c r="AO702" s="25"/>
      <c r="AP702" s="29"/>
      <c r="AQ702" s="25"/>
      <c r="AR702" s="25"/>
      <c r="AS702" s="25"/>
      <c r="AT702" s="25"/>
      <c r="AU702" s="26"/>
      <c r="AV702" s="26"/>
      <c r="AW702" s="26"/>
      <c r="AX702" s="26"/>
      <c r="AY702" s="26"/>
      <c r="AZ702" s="26"/>
      <c r="BA702" s="26"/>
    </row>
    <row r="703">
      <c r="A703" s="26"/>
      <c r="B703" s="26"/>
      <c r="C703" s="26"/>
      <c r="D703" s="27"/>
      <c r="E703" s="27"/>
      <c r="F703" s="26"/>
      <c r="G703" s="28"/>
      <c r="H703" s="28"/>
      <c r="I703" s="28"/>
      <c r="J703" s="28"/>
      <c r="K703" s="28"/>
      <c r="L703" s="28"/>
      <c r="M703" s="28"/>
      <c r="N703" s="26"/>
      <c r="O703" s="29"/>
      <c r="P703" s="27"/>
      <c r="Q703" s="26"/>
      <c r="R703" s="29"/>
      <c r="S703" s="28"/>
      <c r="T703" s="29"/>
      <c r="U703" s="28"/>
      <c r="V703" s="28"/>
      <c r="W703" s="28"/>
      <c r="X703" s="28"/>
      <c r="Y703" s="26"/>
      <c r="Z703" s="29"/>
      <c r="AA703" s="28"/>
      <c r="AB703" s="26"/>
      <c r="AC703" s="29"/>
      <c r="AD703" s="25"/>
      <c r="AE703" s="29"/>
      <c r="AF703" s="25"/>
      <c r="AG703" s="25"/>
      <c r="AH703" s="25"/>
      <c r="AI703" s="25"/>
      <c r="AJ703" s="26"/>
      <c r="AK703" s="29"/>
      <c r="AL703" s="28"/>
      <c r="AM703" s="26"/>
      <c r="AN703" s="29"/>
      <c r="AO703" s="25"/>
      <c r="AP703" s="29"/>
      <c r="AQ703" s="25"/>
      <c r="AR703" s="25"/>
      <c r="AS703" s="25"/>
      <c r="AT703" s="25"/>
      <c r="AU703" s="26"/>
      <c r="AV703" s="26"/>
      <c r="AW703" s="26"/>
      <c r="AX703" s="26"/>
      <c r="AY703" s="26"/>
      <c r="AZ703" s="26"/>
      <c r="BA703" s="26"/>
    </row>
    <row r="704">
      <c r="A704" s="26"/>
      <c r="B704" s="26"/>
      <c r="C704" s="26"/>
      <c r="D704" s="27"/>
      <c r="E704" s="27"/>
      <c r="F704" s="26"/>
      <c r="G704" s="28"/>
      <c r="H704" s="28"/>
      <c r="I704" s="28"/>
      <c r="J704" s="28"/>
      <c r="K704" s="28"/>
      <c r="L704" s="28"/>
      <c r="M704" s="28"/>
      <c r="N704" s="26"/>
      <c r="O704" s="29"/>
      <c r="P704" s="27"/>
      <c r="Q704" s="26"/>
      <c r="R704" s="29"/>
      <c r="S704" s="28"/>
      <c r="T704" s="29"/>
      <c r="U704" s="28"/>
      <c r="V704" s="28"/>
      <c r="W704" s="28"/>
      <c r="X704" s="28"/>
      <c r="Y704" s="26"/>
      <c r="Z704" s="29"/>
      <c r="AA704" s="28"/>
      <c r="AB704" s="26"/>
      <c r="AC704" s="29"/>
      <c r="AD704" s="25"/>
      <c r="AE704" s="29"/>
      <c r="AF704" s="25"/>
      <c r="AG704" s="25"/>
      <c r="AH704" s="25"/>
      <c r="AI704" s="25"/>
      <c r="AJ704" s="26"/>
      <c r="AK704" s="29"/>
      <c r="AL704" s="28"/>
      <c r="AM704" s="26"/>
      <c r="AN704" s="29"/>
      <c r="AO704" s="25"/>
      <c r="AP704" s="29"/>
      <c r="AQ704" s="25"/>
      <c r="AR704" s="25"/>
      <c r="AS704" s="25"/>
      <c r="AT704" s="25"/>
      <c r="AU704" s="26"/>
      <c r="AV704" s="26"/>
      <c r="AW704" s="26"/>
      <c r="AX704" s="26"/>
      <c r="AY704" s="26"/>
      <c r="AZ704" s="26"/>
      <c r="BA704" s="26"/>
    </row>
    <row r="705">
      <c r="A705" s="26"/>
      <c r="B705" s="26"/>
      <c r="C705" s="26"/>
      <c r="D705" s="27"/>
      <c r="E705" s="27"/>
      <c r="F705" s="26"/>
      <c r="G705" s="28"/>
      <c r="H705" s="28"/>
      <c r="I705" s="28"/>
      <c r="J705" s="28"/>
      <c r="K705" s="28"/>
      <c r="L705" s="28"/>
      <c r="M705" s="28"/>
      <c r="N705" s="26"/>
      <c r="O705" s="29"/>
      <c r="P705" s="27"/>
      <c r="Q705" s="26"/>
      <c r="R705" s="29"/>
      <c r="S705" s="28"/>
      <c r="T705" s="29"/>
      <c r="U705" s="28"/>
      <c r="V705" s="28"/>
      <c r="W705" s="28"/>
      <c r="X705" s="28"/>
      <c r="Y705" s="26"/>
      <c r="Z705" s="29"/>
      <c r="AA705" s="28"/>
      <c r="AB705" s="26"/>
      <c r="AC705" s="29"/>
      <c r="AD705" s="25"/>
      <c r="AE705" s="29"/>
      <c r="AF705" s="25"/>
      <c r="AG705" s="25"/>
      <c r="AH705" s="25"/>
      <c r="AI705" s="25"/>
      <c r="AJ705" s="26"/>
      <c r="AK705" s="29"/>
      <c r="AL705" s="28"/>
      <c r="AM705" s="26"/>
      <c r="AN705" s="29"/>
      <c r="AO705" s="25"/>
      <c r="AP705" s="29"/>
      <c r="AQ705" s="25"/>
      <c r="AR705" s="25"/>
      <c r="AS705" s="25"/>
      <c r="AT705" s="25"/>
      <c r="AU705" s="26"/>
      <c r="AV705" s="26"/>
      <c r="AW705" s="26"/>
      <c r="AX705" s="26"/>
      <c r="AY705" s="26"/>
      <c r="AZ705" s="26"/>
      <c r="BA705" s="26"/>
    </row>
    <row r="706">
      <c r="A706" s="26"/>
      <c r="B706" s="26"/>
      <c r="C706" s="26"/>
      <c r="D706" s="27"/>
      <c r="E706" s="27"/>
      <c r="F706" s="26"/>
      <c r="G706" s="28"/>
      <c r="H706" s="28"/>
      <c r="I706" s="28"/>
      <c r="J706" s="28"/>
      <c r="K706" s="28"/>
      <c r="L706" s="28"/>
      <c r="M706" s="28"/>
      <c r="N706" s="26"/>
      <c r="O706" s="29"/>
      <c r="P706" s="27"/>
      <c r="Q706" s="26"/>
      <c r="R706" s="29"/>
      <c r="S706" s="28"/>
      <c r="T706" s="29"/>
      <c r="U706" s="28"/>
      <c r="V706" s="28"/>
      <c r="W706" s="28"/>
      <c r="X706" s="28"/>
      <c r="Y706" s="26"/>
      <c r="Z706" s="29"/>
      <c r="AA706" s="28"/>
      <c r="AB706" s="26"/>
      <c r="AC706" s="29"/>
      <c r="AD706" s="25"/>
      <c r="AE706" s="29"/>
      <c r="AF706" s="25"/>
      <c r="AG706" s="25"/>
      <c r="AH706" s="25"/>
      <c r="AI706" s="25"/>
      <c r="AJ706" s="26"/>
      <c r="AK706" s="29"/>
      <c r="AL706" s="28"/>
      <c r="AM706" s="26"/>
      <c r="AN706" s="29"/>
      <c r="AO706" s="25"/>
      <c r="AP706" s="29"/>
      <c r="AQ706" s="25"/>
      <c r="AR706" s="25"/>
      <c r="AS706" s="25"/>
      <c r="AT706" s="25"/>
      <c r="AU706" s="26"/>
      <c r="AV706" s="26"/>
      <c r="AW706" s="26"/>
      <c r="AX706" s="26"/>
      <c r="AY706" s="26"/>
      <c r="AZ706" s="26"/>
      <c r="BA706" s="26"/>
    </row>
    <row r="707">
      <c r="A707" s="26"/>
      <c r="B707" s="26"/>
      <c r="C707" s="26"/>
      <c r="D707" s="27"/>
      <c r="E707" s="27"/>
      <c r="F707" s="26"/>
      <c r="G707" s="28"/>
      <c r="H707" s="28"/>
      <c r="I707" s="28"/>
      <c r="J707" s="28"/>
      <c r="K707" s="28"/>
      <c r="L707" s="28"/>
      <c r="M707" s="28"/>
      <c r="N707" s="26"/>
      <c r="O707" s="29"/>
      <c r="P707" s="27"/>
      <c r="Q707" s="26"/>
      <c r="R707" s="29"/>
      <c r="S707" s="28"/>
      <c r="T707" s="29"/>
      <c r="U707" s="28"/>
      <c r="V707" s="28"/>
      <c r="W707" s="28"/>
      <c r="X707" s="28"/>
      <c r="Y707" s="26"/>
      <c r="Z707" s="29"/>
      <c r="AA707" s="28"/>
      <c r="AB707" s="26"/>
      <c r="AC707" s="29"/>
      <c r="AD707" s="25"/>
      <c r="AE707" s="29"/>
      <c r="AF707" s="25"/>
      <c r="AG707" s="25"/>
      <c r="AH707" s="25"/>
      <c r="AI707" s="25"/>
      <c r="AJ707" s="26"/>
      <c r="AK707" s="29"/>
      <c r="AL707" s="28"/>
      <c r="AM707" s="26"/>
      <c r="AN707" s="29"/>
      <c r="AO707" s="25"/>
      <c r="AP707" s="29"/>
      <c r="AQ707" s="25"/>
      <c r="AR707" s="25"/>
      <c r="AS707" s="25"/>
      <c r="AT707" s="25"/>
      <c r="AU707" s="26"/>
      <c r="AV707" s="26"/>
      <c r="AW707" s="26"/>
      <c r="AX707" s="26"/>
      <c r="AY707" s="26"/>
      <c r="AZ707" s="26"/>
      <c r="BA707" s="26"/>
    </row>
    <row r="708">
      <c r="A708" s="26"/>
      <c r="B708" s="26"/>
      <c r="C708" s="26"/>
      <c r="D708" s="27"/>
      <c r="E708" s="27"/>
      <c r="F708" s="26"/>
      <c r="G708" s="28"/>
      <c r="H708" s="28"/>
      <c r="I708" s="28"/>
      <c r="J708" s="28"/>
      <c r="K708" s="28"/>
      <c r="L708" s="28"/>
      <c r="M708" s="28"/>
      <c r="N708" s="26"/>
      <c r="O708" s="29"/>
      <c r="P708" s="27"/>
      <c r="Q708" s="26"/>
      <c r="R708" s="29"/>
      <c r="S708" s="28"/>
      <c r="T708" s="29"/>
      <c r="U708" s="28"/>
      <c r="V708" s="28"/>
      <c r="W708" s="28"/>
      <c r="X708" s="28"/>
      <c r="Y708" s="26"/>
      <c r="Z708" s="29"/>
      <c r="AA708" s="28"/>
      <c r="AB708" s="26"/>
      <c r="AC708" s="29"/>
      <c r="AD708" s="25"/>
      <c r="AE708" s="29"/>
      <c r="AF708" s="25"/>
      <c r="AG708" s="25"/>
      <c r="AH708" s="25"/>
      <c r="AI708" s="25"/>
      <c r="AJ708" s="26"/>
      <c r="AK708" s="29"/>
      <c r="AL708" s="28"/>
      <c r="AM708" s="26"/>
      <c r="AN708" s="29"/>
      <c r="AO708" s="25"/>
      <c r="AP708" s="29"/>
      <c r="AQ708" s="25"/>
      <c r="AR708" s="25"/>
      <c r="AS708" s="25"/>
      <c r="AT708" s="25"/>
      <c r="AU708" s="26"/>
      <c r="AV708" s="26"/>
      <c r="AW708" s="26"/>
      <c r="AX708" s="26"/>
      <c r="AY708" s="26"/>
      <c r="AZ708" s="26"/>
      <c r="BA708" s="26"/>
    </row>
    <row r="709">
      <c r="A709" s="26"/>
      <c r="B709" s="26"/>
      <c r="C709" s="26"/>
      <c r="D709" s="27"/>
      <c r="E709" s="27"/>
      <c r="F709" s="26"/>
      <c r="G709" s="28"/>
      <c r="H709" s="28"/>
      <c r="I709" s="28"/>
      <c r="J709" s="28"/>
      <c r="K709" s="28"/>
      <c r="L709" s="28"/>
      <c r="M709" s="28"/>
      <c r="N709" s="26"/>
      <c r="O709" s="29"/>
      <c r="P709" s="27"/>
      <c r="Q709" s="26"/>
      <c r="R709" s="29"/>
      <c r="S709" s="28"/>
      <c r="T709" s="29"/>
      <c r="U709" s="28"/>
      <c r="V709" s="28"/>
      <c r="W709" s="28"/>
      <c r="X709" s="28"/>
      <c r="Y709" s="26"/>
      <c r="Z709" s="29"/>
      <c r="AA709" s="28"/>
      <c r="AB709" s="26"/>
      <c r="AC709" s="29"/>
      <c r="AD709" s="25"/>
      <c r="AE709" s="29"/>
      <c r="AF709" s="25"/>
      <c r="AG709" s="25"/>
      <c r="AH709" s="25"/>
      <c r="AI709" s="25"/>
      <c r="AJ709" s="26"/>
      <c r="AK709" s="29"/>
      <c r="AL709" s="28"/>
      <c r="AM709" s="26"/>
      <c r="AN709" s="29"/>
      <c r="AO709" s="25"/>
      <c r="AP709" s="29"/>
      <c r="AQ709" s="25"/>
      <c r="AR709" s="25"/>
      <c r="AS709" s="25"/>
      <c r="AT709" s="25"/>
      <c r="AU709" s="26"/>
      <c r="AV709" s="26"/>
      <c r="AW709" s="26"/>
      <c r="AX709" s="26"/>
      <c r="AY709" s="26"/>
      <c r="AZ709" s="26"/>
      <c r="BA709" s="26"/>
    </row>
    <row r="710">
      <c r="A710" s="26"/>
      <c r="B710" s="26"/>
      <c r="C710" s="26"/>
      <c r="D710" s="27"/>
      <c r="E710" s="27"/>
      <c r="F710" s="26"/>
      <c r="G710" s="28"/>
      <c r="H710" s="28"/>
      <c r="I710" s="28"/>
      <c r="J710" s="28"/>
      <c r="K710" s="28"/>
      <c r="L710" s="28"/>
      <c r="M710" s="28"/>
      <c r="N710" s="26"/>
      <c r="O710" s="29"/>
      <c r="P710" s="27"/>
      <c r="Q710" s="26"/>
      <c r="R710" s="29"/>
      <c r="S710" s="28"/>
      <c r="T710" s="29"/>
      <c r="U710" s="28"/>
      <c r="V710" s="28"/>
      <c r="W710" s="28"/>
      <c r="X710" s="28"/>
      <c r="Y710" s="26"/>
      <c r="Z710" s="29"/>
      <c r="AA710" s="28"/>
      <c r="AB710" s="26"/>
      <c r="AC710" s="29"/>
      <c r="AD710" s="25"/>
      <c r="AE710" s="29"/>
      <c r="AF710" s="25"/>
      <c r="AG710" s="25"/>
      <c r="AH710" s="25"/>
      <c r="AI710" s="25"/>
      <c r="AJ710" s="26"/>
      <c r="AK710" s="29"/>
      <c r="AL710" s="28"/>
      <c r="AM710" s="26"/>
      <c r="AN710" s="29"/>
      <c r="AO710" s="25"/>
      <c r="AP710" s="29"/>
      <c r="AQ710" s="25"/>
      <c r="AR710" s="25"/>
      <c r="AS710" s="25"/>
      <c r="AT710" s="25"/>
      <c r="AU710" s="26"/>
      <c r="AV710" s="26"/>
      <c r="AW710" s="26"/>
      <c r="AX710" s="26"/>
      <c r="AY710" s="26"/>
      <c r="AZ710" s="26"/>
      <c r="BA710" s="26"/>
    </row>
    <row r="711">
      <c r="A711" s="26"/>
      <c r="B711" s="26"/>
      <c r="C711" s="26"/>
      <c r="D711" s="27"/>
      <c r="E711" s="27"/>
      <c r="F711" s="26"/>
      <c r="G711" s="28"/>
      <c r="H711" s="28"/>
      <c r="I711" s="28"/>
      <c r="J711" s="28"/>
      <c r="K711" s="28"/>
      <c r="L711" s="28"/>
      <c r="M711" s="28"/>
      <c r="N711" s="26"/>
      <c r="O711" s="29"/>
      <c r="P711" s="27"/>
      <c r="Q711" s="26"/>
      <c r="R711" s="29"/>
      <c r="S711" s="28"/>
      <c r="T711" s="29"/>
      <c r="U711" s="28"/>
      <c r="V711" s="28"/>
      <c r="W711" s="28"/>
      <c r="X711" s="28"/>
      <c r="Y711" s="26"/>
      <c r="Z711" s="29"/>
      <c r="AA711" s="28"/>
      <c r="AB711" s="26"/>
      <c r="AC711" s="29"/>
      <c r="AD711" s="25"/>
      <c r="AE711" s="29"/>
      <c r="AF711" s="25"/>
      <c r="AG711" s="25"/>
      <c r="AH711" s="25"/>
      <c r="AI711" s="25"/>
      <c r="AJ711" s="26"/>
      <c r="AK711" s="29"/>
      <c r="AL711" s="28"/>
      <c r="AM711" s="26"/>
      <c r="AN711" s="29"/>
      <c r="AO711" s="25"/>
      <c r="AP711" s="29"/>
      <c r="AQ711" s="25"/>
      <c r="AR711" s="25"/>
      <c r="AS711" s="25"/>
      <c r="AT711" s="25"/>
      <c r="AU711" s="26"/>
      <c r="AV711" s="26"/>
      <c r="AW711" s="26"/>
      <c r="AX711" s="26"/>
      <c r="AY711" s="26"/>
      <c r="AZ711" s="26"/>
      <c r="BA711" s="26"/>
    </row>
    <row r="712">
      <c r="A712" s="26"/>
      <c r="B712" s="26"/>
      <c r="C712" s="26"/>
      <c r="D712" s="27"/>
      <c r="E712" s="27"/>
      <c r="F712" s="26"/>
      <c r="G712" s="28"/>
      <c r="H712" s="28"/>
      <c r="I712" s="28"/>
      <c r="J712" s="28"/>
      <c r="K712" s="28"/>
      <c r="L712" s="28"/>
      <c r="M712" s="28"/>
      <c r="N712" s="26"/>
      <c r="O712" s="29"/>
      <c r="P712" s="27"/>
      <c r="Q712" s="26"/>
      <c r="R712" s="29"/>
      <c r="S712" s="28"/>
      <c r="T712" s="29"/>
      <c r="U712" s="28"/>
      <c r="V712" s="28"/>
      <c r="W712" s="28"/>
      <c r="X712" s="28"/>
      <c r="Y712" s="26"/>
      <c r="Z712" s="29"/>
      <c r="AA712" s="28"/>
      <c r="AB712" s="26"/>
      <c r="AC712" s="29"/>
      <c r="AD712" s="25"/>
      <c r="AE712" s="29"/>
      <c r="AF712" s="25"/>
      <c r="AG712" s="25"/>
      <c r="AH712" s="25"/>
      <c r="AI712" s="25"/>
      <c r="AJ712" s="26"/>
      <c r="AK712" s="29"/>
      <c r="AL712" s="28"/>
      <c r="AM712" s="26"/>
      <c r="AN712" s="29"/>
      <c r="AO712" s="25"/>
      <c r="AP712" s="29"/>
      <c r="AQ712" s="25"/>
      <c r="AR712" s="25"/>
      <c r="AS712" s="25"/>
      <c r="AT712" s="25"/>
      <c r="AU712" s="26"/>
      <c r="AV712" s="26"/>
      <c r="AW712" s="26"/>
      <c r="AX712" s="26"/>
      <c r="AY712" s="26"/>
      <c r="AZ712" s="26"/>
      <c r="BA712" s="26"/>
    </row>
    <row r="713">
      <c r="A713" s="26"/>
      <c r="B713" s="26"/>
      <c r="C713" s="26"/>
      <c r="D713" s="27"/>
      <c r="E713" s="27"/>
      <c r="F713" s="26"/>
      <c r="G713" s="28"/>
      <c r="H713" s="28"/>
      <c r="I713" s="28"/>
      <c r="J713" s="28"/>
      <c r="K713" s="28"/>
      <c r="L713" s="28"/>
      <c r="M713" s="28"/>
      <c r="N713" s="26"/>
      <c r="O713" s="29"/>
      <c r="P713" s="27"/>
      <c r="Q713" s="26"/>
      <c r="R713" s="29"/>
      <c r="S713" s="28"/>
      <c r="T713" s="29"/>
      <c r="U713" s="28"/>
      <c r="V713" s="28"/>
      <c r="W713" s="28"/>
      <c r="X713" s="28"/>
      <c r="Y713" s="26"/>
      <c r="Z713" s="29"/>
      <c r="AA713" s="28"/>
      <c r="AB713" s="26"/>
      <c r="AC713" s="29"/>
      <c r="AD713" s="25"/>
      <c r="AE713" s="29"/>
      <c r="AF713" s="25"/>
      <c r="AG713" s="25"/>
      <c r="AH713" s="25"/>
      <c r="AI713" s="25"/>
      <c r="AJ713" s="26"/>
      <c r="AK713" s="29"/>
      <c r="AL713" s="28"/>
      <c r="AM713" s="26"/>
      <c r="AN713" s="29"/>
      <c r="AO713" s="25"/>
      <c r="AP713" s="29"/>
      <c r="AQ713" s="25"/>
      <c r="AR713" s="25"/>
      <c r="AS713" s="25"/>
      <c r="AT713" s="25"/>
      <c r="AU713" s="26"/>
      <c r="AV713" s="26"/>
      <c r="AW713" s="26"/>
      <c r="AX713" s="26"/>
      <c r="AY713" s="26"/>
      <c r="AZ713" s="26"/>
      <c r="BA713" s="26"/>
    </row>
    <row r="714">
      <c r="A714" s="26"/>
      <c r="B714" s="26"/>
      <c r="C714" s="26"/>
      <c r="D714" s="27"/>
      <c r="E714" s="27"/>
      <c r="F714" s="26"/>
      <c r="G714" s="28"/>
      <c r="H714" s="28"/>
      <c r="I714" s="28"/>
      <c r="J714" s="28"/>
      <c r="K714" s="28"/>
      <c r="L714" s="28"/>
      <c r="M714" s="28"/>
      <c r="N714" s="26"/>
      <c r="O714" s="29"/>
      <c r="P714" s="27"/>
      <c r="Q714" s="26"/>
      <c r="R714" s="29"/>
      <c r="S714" s="28"/>
      <c r="T714" s="29"/>
      <c r="U714" s="28"/>
      <c r="V714" s="28"/>
      <c r="W714" s="28"/>
      <c r="X714" s="28"/>
      <c r="Y714" s="26"/>
      <c r="Z714" s="29"/>
      <c r="AA714" s="28"/>
      <c r="AB714" s="26"/>
      <c r="AC714" s="29"/>
      <c r="AD714" s="25"/>
      <c r="AE714" s="29"/>
      <c r="AF714" s="25"/>
      <c r="AG714" s="25"/>
      <c r="AH714" s="25"/>
      <c r="AI714" s="25"/>
      <c r="AJ714" s="26"/>
      <c r="AK714" s="29"/>
      <c r="AL714" s="28"/>
      <c r="AM714" s="26"/>
      <c r="AN714" s="29"/>
      <c r="AO714" s="25"/>
      <c r="AP714" s="29"/>
      <c r="AQ714" s="25"/>
      <c r="AR714" s="25"/>
      <c r="AS714" s="25"/>
      <c r="AT714" s="25"/>
      <c r="AU714" s="26"/>
      <c r="AV714" s="26"/>
      <c r="AW714" s="26"/>
      <c r="AX714" s="26"/>
      <c r="AY714" s="26"/>
      <c r="AZ714" s="26"/>
      <c r="BA714" s="26"/>
    </row>
    <row r="715">
      <c r="A715" s="26"/>
      <c r="B715" s="26"/>
      <c r="C715" s="26"/>
      <c r="D715" s="27"/>
      <c r="E715" s="27"/>
      <c r="F715" s="26"/>
      <c r="G715" s="28"/>
      <c r="H715" s="28"/>
      <c r="I715" s="28"/>
      <c r="J715" s="28"/>
      <c r="K715" s="28"/>
      <c r="L715" s="28"/>
      <c r="M715" s="28"/>
      <c r="N715" s="26"/>
      <c r="O715" s="29"/>
      <c r="P715" s="27"/>
      <c r="Q715" s="26"/>
      <c r="R715" s="29"/>
      <c r="S715" s="28"/>
      <c r="T715" s="29"/>
      <c r="U715" s="28"/>
      <c r="V715" s="28"/>
      <c r="W715" s="28"/>
      <c r="X715" s="28"/>
      <c r="Y715" s="26"/>
      <c r="Z715" s="29"/>
      <c r="AA715" s="28"/>
      <c r="AB715" s="26"/>
      <c r="AC715" s="29"/>
      <c r="AD715" s="25"/>
      <c r="AE715" s="29"/>
      <c r="AF715" s="25"/>
      <c r="AG715" s="25"/>
      <c r="AH715" s="25"/>
      <c r="AI715" s="25"/>
      <c r="AJ715" s="26"/>
      <c r="AK715" s="29"/>
      <c r="AL715" s="28"/>
      <c r="AM715" s="26"/>
      <c r="AN715" s="29"/>
      <c r="AO715" s="25"/>
      <c r="AP715" s="29"/>
      <c r="AQ715" s="25"/>
      <c r="AR715" s="25"/>
      <c r="AS715" s="25"/>
      <c r="AT715" s="25"/>
      <c r="AU715" s="26"/>
      <c r="AV715" s="26"/>
      <c r="AW715" s="26"/>
      <c r="AX715" s="26"/>
      <c r="AY715" s="26"/>
      <c r="AZ715" s="26"/>
      <c r="BA715" s="26"/>
    </row>
    <row r="716">
      <c r="A716" s="26"/>
      <c r="B716" s="26"/>
      <c r="C716" s="26"/>
      <c r="D716" s="27"/>
      <c r="E716" s="27"/>
      <c r="F716" s="26"/>
      <c r="G716" s="28"/>
      <c r="H716" s="28"/>
      <c r="I716" s="28"/>
      <c r="J716" s="28"/>
      <c r="K716" s="28"/>
      <c r="L716" s="28"/>
      <c r="M716" s="28"/>
      <c r="N716" s="26"/>
      <c r="O716" s="29"/>
      <c r="P716" s="27"/>
      <c r="Q716" s="26"/>
      <c r="R716" s="29"/>
      <c r="S716" s="28"/>
      <c r="T716" s="29"/>
      <c r="U716" s="28"/>
      <c r="V716" s="28"/>
      <c r="W716" s="28"/>
      <c r="X716" s="28"/>
      <c r="Y716" s="26"/>
      <c r="Z716" s="29"/>
      <c r="AA716" s="28"/>
      <c r="AB716" s="26"/>
      <c r="AC716" s="29"/>
      <c r="AD716" s="25"/>
      <c r="AE716" s="29"/>
      <c r="AF716" s="25"/>
      <c r="AG716" s="25"/>
      <c r="AH716" s="25"/>
      <c r="AI716" s="25"/>
      <c r="AJ716" s="26"/>
      <c r="AK716" s="29"/>
      <c r="AL716" s="28"/>
      <c r="AM716" s="26"/>
      <c r="AN716" s="29"/>
      <c r="AO716" s="25"/>
      <c r="AP716" s="29"/>
      <c r="AQ716" s="25"/>
      <c r="AR716" s="25"/>
      <c r="AS716" s="25"/>
      <c r="AT716" s="25"/>
      <c r="AU716" s="26"/>
      <c r="AV716" s="26"/>
      <c r="AW716" s="26"/>
      <c r="AX716" s="26"/>
      <c r="AY716" s="26"/>
      <c r="AZ716" s="26"/>
      <c r="BA716" s="26"/>
    </row>
    <row r="717">
      <c r="A717" s="26"/>
      <c r="B717" s="26"/>
      <c r="C717" s="26"/>
      <c r="D717" s="27"/>
      <c r="E717" s="27"/>
      <c r="F717" s="26"/>
      <c r="G717" s="28"/>
      <c r="H717" s="28"/>
      <c r="I717" s="28"/>
      <c r="J717" s="28"/>
      <c r="K717" s="28"/>
      <c r="L717" s="28"/>
      <c r="M717" s="28"/>
      <c r="N717" s="26"/>
      <c r="O717" s="29"/>
      <c r="P717" s="27"/>
      <c r="Q717" s="26"/>
      <c r="R717" s="29"/>
      <c r="S717" s="28"/>
      <c r="T717" s="29"/>
      <c r="U717" s="28"/>
      <c r="V717" s="28"/>
      <c r="W717" s="28"/>
      <c r="X717" s="28"/>
      <c r="Y717" s="26"/>
      <c r="Z717" s="29"/>
      <c r="AA717" s="28"/>
      <c r="AB717" s="26"/>
      <c r="AC717" s="29"/>
      <c r="AD717" s="25"/>
      <c r="AE717" s="29"/>
      <c r="AF717" s="25"/>
      <c r="AG717" s="25"/>
      <c r="AH717" s="25"/>
      <c r="AI717" s="25"/>
      <c r="AJ717" s="26"/>
      <c r="AK717" s="29"/>
      <c r="AL717" s="28"/>
      <c r="AM717" s="26"/>
      <c r="AN717" s="29"/>
      <c r="AO717" s="25"/>
      <c r="AP717" s="29"/>
      <c r="AQ717" s="25"/>
      <c r="AR717" s="25"/>
      <c r="AS717" s="25"/>
      <c r="AT717" s="25"/>
      <c r="AU717" s="26"/>
      <c r="AV717" s="26"/>
      <c r="AW717" s="26"/>
      <c r="AX717" s="26"/>
      <c r="AY717" s="26"/>
      <c r="AZ717" s="26"/>
      <c r="BA717" s="26"/>
    </row>
    <row r="718">
      <c r="A718" s="26"/>
      <c r="B718" s="26"/>
      <c r="C718" s="26"/>
      <c r="D718" s="27"/>
      <c r="E718" s="27"/>
      <c r="F718" s="26"/>
      <c r="G718" s="28"/>
      <c r="H718" s="28"/>
      <c r="I718" s="28"/>
      <c r="J718" s="28"/>
      <c r="K718" s="28"/>
      <c r="L718" s="28"/>
      <c r="M718" s="28"/>
      <c r="N718" s="26"/>
      <c r="O718" s="29"/>
      <c r="P718" s="27"/>
      <c r="Q718" s="26"/>
      <c r="R718" s="29"/>
      <c r="S718" s="28"/>
      <c r="T718" s="29"/>
      <c r="U718" s="28"/>
      <c r="V718" s="28"/>
      <c r="W718" s="28"/>
      <c r="X718" s="28"/>
      <c r="Y718" s="26"/>
      <c r="Z718" s="29"/>
      <c r="AA718" s="28"/>
      <c r="AB718" s="26"/>
      <c r="AC718" s="29"/>
      <c r="AD718" s="25"/>
      <c r="AE718" s="29"/>
      <c r="AF718" s="25"/>
      <c r="AG718" s="25"/>
      <c r="AH718" s="25"/>
      <c r="AI718" s="25"/>
      <c r="AJ718" s="26"/>
      <c r="AK718" s="29"/>
      <c r="AL718" s="28"/>
      <c r="AM718" s="26"/>
      <c r="AN718" s="29"/>
      <c r="AO718" s="25"/>
      <c r="AP718" s="29"/>
      <c r="AQ718" s="25"/>
      <c r="AR718" s="25"/>
      <c r="AS718" s="25"/>
      <c r="AT718" s="25"/>
      <c r="AU718" s="26"/>
      <c r="AV718" s="26"/>
      <c r="AW718" s="26"/>
      <c r="AX718" s="26"/>
      <c r="AY718" s="26"/>
      <c r="AZ718" s="26"/>
      <c r="BA718" s="26"/>
    </row>
    <row r="719">
      <c r="A719" s="26"/>
      <c r="B719" s="26"/>
      <c r="C719" s="26"/>
      <c r="D719" s="27"/>
      <c r="E719" s="27"/>
      <c r="F719" s="26"/>
      <c r="G719" s="28"/>
      <c r="H719" s="28"/>
      <c r="I719" s="28"/>
      <c r="J719" s="28"/>
      <c r="K719" s="28"/>
      <c r="L719" s="28"/>
      <c r="M719" s="28"/>
      <c r="N719" s="26"/>
      <c r="O719" s="29"/>
      <c r="P719" s="27"/>
      <c r="Q719" s="26"/>
      <c r="R719" s="29"/>
      <c r="S719" s="28"/>
      <c r="T719" s="29"/>
      <c r="U719" s="28"/>
      <c r="V719" s="28"/>
      <c r="W719" s="28"/>
      <c r="X719" s="28"/>
      <c r="Y719" s="26"/>
      <c r="Z719" s="29"/>
      <c r="AA719" s="28"/>
      <c r="AB719" s="26"/>
      <c r="AC719" s="29"/>
      <c r="AD719" s="25"/>
      <c r="AE719" s="29"/>
      <c r="AF719" s="25"/>
      <c r="AG719" s="25"/>
      <c r="AH719" s="25"/>
      <c r="AI719" s="25"/>
      <c r="AJ719" s="26"/>
      <c r="AK719" s="29"/>
      <c r="AL719" s="28"/>
      <c r="AM719" s="26"/>
      <c r="AN719" s="29"/>
      <c r="AO719" s="25"/>
      <c r="AP719" s="29"/>
      <c r="AQ719" s="25"/>
      <c r="AR719" s="25"/>
      <c r="AS719" s="25"/>
      <c r="AT719" s="25"/>
      <c r="AU719" s="26"/>
      <c r="AV719" s="26"/>
      <c r="AW719" s="26"/>
      <c r="AX719" s="26"/>
      <c r="AY719" s="26"/>
      <c r="AZ719" s="26"/>
      <c r="BA719" s="26"/>
    </row>
    <row r="720">
      <c r="A720" s="26"/>
      <c r="B720" s="26"/>
      <c r="C720" s="26"/>
      <c r="D720" s="27"/>
      <c r="E720" s="27"/>
      <c r="F720" s="26"/>
      <c r="G720" s="28"/>
      <c r="H720" s="28"/>
      <c r="I720" s="28"/>
      <c r="J720" s="28"/>
      <c r="K720" s="28"/>
      <c r="L720" s="28"/>
      <c r="M720" s="28"/>
      <c r="N720" s="26"/>
      <c r="O720" s="29"/>
      <c r="P720" s="27"/>
      <c r="Q720" s="26"/>
      <c r="R720" s="29"/>
      <c r="S720" s="28"/>
      <c r="T720" s="29"/>
      <c r="U720" s="28"/>
      <c r="V720" s="28"/>
      <c r="W720" s="28"/>
      <c r="X720" s="28"/>
      <c r="Y720" s="26"/>
      <c r="Z720" s="29"/>
      <c r="AA720" s="28"/>
      <c r="AB720" s="26"/>
      <c r="AC720" s="29"/>
      <c r="AD720" s="25"/>
      <c r="AE720" s="29"/>
      <c r="AF720" s="25"/>
      <c r="AG720" s="25"/>
      <c r="AH720" s="25"/>
      <c r="AI720" s="25"/>
      <c r="AJ720" s="26"/>
      <c r="AK720" s="29"/>
      <c r="AL720" s="28"/>
      <c r="AM720" s="26"/>
      <c r="AN720" s="29"/>
      <c r="AO720" s="25"/>
      <c r="AP720" s="29"/>
      <c r="AQ720" s="25"/>
      <c r="AR720" s="25"/>
      <c r="AS720" s="25"/>
      <c r="AT720" s="25"/>
      <c r="AU720" s="26"/>
      <c r="AV720" s="26"/>
      <c r="AW720" s="26"/>
      <c r="AX720" s="26"/>
      <c r="AY720" s="26"/>
      <c r="AZ720" s="26"/>
      <c r="BA720" s="26"/>
    </row>
    <row r="721">
      <c r="A721" s="26"/>
      <c r="B721" s="26"/>
      <c r="C721" s="26"/>
      <c r="D721" s="27"/>
      <c r="E721" s="27"/>
      <c r="F721" s="26"/>
      <c r="G721" s="28"/>
      <c r="H721" s="28"/>
      <c r="I721" s="28"/>
      <c r="J721" s="28"/>
      <c r="K721" s="28"/>
      <c r="L721" s="28"/>
      <c r="M721" s="28"/>
      <c r="N721" s="26"/>
      <c r="O721" s="29"/>
      <c r="P721" s="27"/>
      <c r="Q721" s="26"/>
      <c r="R721" s="29"/>
      <c r="S721" s="28"/>
      <c r="T721" s="29"/>
      <c r="U721" s="28"/>
      <c r="V721" s="28"/>
      <c r="W721" s="28"/>
      <c r="X721" s="28"/>
      <c r="Y721" s="26"/>
      <c r="Z721" s="29"/>
      <c r="AA721" s="28"/>
      <c r="AB721" s="26"/>
      <c r="AC721" s="29"/>
      <c r="AD721" s="25"/>
      <c r="AE721" s="29"/>
      <c r="AF721" s="25"/>
      <c r="AG721" s="25"/>
      <c r="AH721" s="25"/>
      <c r="AI721" s="25"/>
      <c r="AJ721" s="26"/>
      <c r="AK721" s="29"/>
      <c r="AL721" s="28"/>
      <c r="AM721" s="26"/>
      <c r="AN721" s="29"/>
      <c r="AO721" s="25"/>
      <c r="AP721" s="29"/>
      <c r="AQ721" s="25"/>
      <c r="AR721" s="25"/>
      <c r="AS721" s="25"/>
      <c r="AT721" s="25"/>
      <c r="AU721" s="26"/>
      <c r="AV721" s="26"/>
      <c r="AW721" s="26"/>
      <c r="AX721" s="26"/>
      <c r="AY721" s="26"/>
      <c r="AZ721" s="26"/>
      <c r="BA721" s="26"/>
    </row>
    <row r="722">
      <c r="A722" s="26"/>
      <c r="B722" s="26"/>
      <c r="C722" s="26"/>
      <c r="D722" s="27"/>
      <c r="E722" s="27"/>
      <c r="F722" s="26"/>
      <c r="G722" s="28"/>
      <c r="H722" s="28"/>
      <c r="I722" s="28"/>
      <c r="J722" s="28"/>
      <c r="K722" s="28"/>
      <c r="L722" s="28"/>
      <c r="M722" s="28"/>
      <c r="N722" s="26"/>
      <c r="O722" s="29"/>
      <c r="P722" s="27"/>
      <c r="Q722" s="26"/>
      <c r="R722" s="29"/>
      <c r="S722" s="28"/>
      <c r="T722" s="29"/>
      <c r="U722" s="28"/>
      <c r="V722" s="28"/>
      <c r="W722" s="28"/>
      <c r="X722" s="28"/>
      <c r="Y722" s="26"/>
      <c r="Z722" s="29"/>
      <c r="AA722" s="28"/>
      <c r="AB722" s="26"/>
      <c r="AC722" s="29"/>
      <c r="AD722" s="25"/>
      <c r="AE722" s="29"/>
      <c r="AF722" s="25"/>
      <c r="AG722" s="25"/>
      <c r="AH722" s="25"/>
      <c r="AI722" s="25"/>
      <c r="AJ722" s="26"/>
      <c r="AK722" s="29"/>
      <c r="AL722" s="28"/>
      <c r="AM722" s="26"/>
      <c r="AN722" s="29"/>
      <c r="AO722" s="25"/>
      <c r="AP722" s="29"/>
      <c r="AQ722" s="25"/>
      <c r="AR722" s="25"/>
      <c r="AS722" s="25"/>
      <c r="AT722" s="25"/>
      <c r="AU722" s="26"/>
      <c r="AV722" s="26"/>
      <c r="AW722" s="26"/>
      <c r="AX722" s="26"/>
      <c r="AY722" s="26"/>
      <c r="AZ722" s="26"/>
      <c r="BA722" s="26"/>
    </row>
    <row r="723">
      <c r="A723" s="26"/>
      <c r="B723" s="26"/>
      <c r="C723" s="26"/>
      <c r="D723" s="27"/>
      <c r="E723" s="27"/>
      <c r="F723" s="26"/>
      <c r="G723" s="28"/>
      <c r="H723" s="28"/>
      <c r="I723" s="28"/>
      <c r="J723" s="28"/>
      <c r="K723" s="28"/>
      <c r="L723" s="28"/>
      <c r="M723" s="28"/>
      <c r="N723" s="26"/>
      <c r="O723" s="29"/>
      <c r="P723" s="27"/>
      <c r="Q723" s="26"/>
      <c r="R723" s="29"/>
      <c r="S723" s="28"/>
      <c r="T723" s="29"/>
      <c r="U723" s="28"/>
      <c r="V723" s="28"/>
      <c r="W723" s="28"/>
      <c r="X723" s="28"/>
      <c r="Y723" s="26"/>
      <c r="Z723" s="29"/>
      <c r="AA723" s="28"/>
      <c r="AB723" s="26"/>
      <c r="AC723" s="29"/>
      <c r="AD723" s="25"/>
      <c r="AE723" s="29"/>
      <c r="AF723" s="25"/>
      <c r="AG723" s="25"/>
      <c r="AH723" s="25"/>
      <c r="AI723" s="25"/>
      <c r="AJ723" s="26"/>
      <c r="AK723" s="29"/>
      <c r="AL723" s="28"/>
      <c r="AM723" s="26"/>
      <c r="AN723" s="29"/>
      <c r="AO723" s="25"/>
      <c r="AP723" s="29"/>
      <c r="AQ723" s="25"/>
      <c r="AR723" s="25"/>
      <c r="AS723" s="25"/>
      <c r="AT723" s="25"/>
      <c r="AU723" s="26"/>
      <c r="AV723" s="26"/>
      <c r="AW723" s="26"/>
      <c r="AX723" s="26"/>
      <c r="AY723" s="26"/>
      <c r="AZ723" s="26"/>
      <c r="BA723" s="26"/>
    </row>
    <row r="724">
      <c r="A724" s="26"/>
      <c r="B724" s="26"/>
      <c r="C724" s="26"/>
      <c r="D724" s="27"/>
      <c r="E724" s="27"/>
      <c r="F724" s="26"/>
      <c r="G724" s="28"/>
      <c r="H724" s="28"/>
      <c r="I724" s="28"/>
      <c r="J724" s="28"/>
      <c r="K724" s="28"/>
      <c r="L724" s="28"/>
      <c r="M724" s="28"/>
      <c r="N724" s="26"/>
      <c r="O724" s="29"/>
      <c r="P724" s="27"/>
      <c r="Q724" s="26"/>
      <c r="R724" s="29"/>
      <c r="S724" s="28"/>
      <c r="T724" s="29"/>
      <c r="U724" s="28"/>
      <c r="V724" s="28"/>
      <c r="W724" s="28"/>
      <c r="X724" s="28"/>
      <c r="Y724" s="26"/>
      <c r="Z724" s="29"/>
      <c r="AA724" s="28"/>
      <c r="AB724" s="26"/>
      <c r="AC724" s="29"/>
      <c r="AD724" s="25"/>
      <c r="AE724" s="29"/>
      <c r="AF724" s="25"/>
      <c r="AG724" s="25"/>
      <c r="AH724" s="25"/>
      <c r="AI724" s="25"/>
      <c r="AJ724" s="26"/>
      <c r="AK724" s="29"/>
      <c r="AL724" s="28"/>
      <c r="AM724" s="26"/>
      <c r="AN724" s="29"/>
      <c r="AO724" s="25"/>
      <c r="AP724" s="29"/>
      <c r="AQ724" s="25"/>
      <c r="AR724" s="25"/>
      <c r="AS724" s="25"/>
      <c r="AT724" s="25"/>
      <c r="AU724" s="26"/>
      <c r="AV724" s="26"/>
      <c r="AW724" s="26"/>
      <c r="AX724" s="26"/>
      <c r="AY724" s="26"/>
      <c r="AZ724" s="26"/>
      <c r="BA724" s="26"/>
    </row>
    <row r="725">
      <c r="A725" s="26"/>
      <c r="B725" s="26"/>
      <c r="C725" s="26"/>
      <c r="D725" s="27"/>
      <c r="E725" s="27"/>
      <c r="F725" s="26"/>
      <c r="G725" s="28"/>
      <c r="H725" s="28"/>
      <c r="I725" s="28"/>
      <c r="J725" s="28"/>
      <c r="K725" s="28"/>
      <c r="L725" s="28"/>
      <c r="M725" s="28"/>
      <c r="N725" s="26"/>
      <c r="O725" s="29"/>
      <c r="P725" s="27"/>
      <c r="Q725" s="26"/>
      <c r="R725" s="29"/>
      <c r="S725" s="28"/>
      <c r="T725" s="29"/>
      <c r="U725" s="28"/>
      <c r="V725" s="28"/>
      <c r="W725" s="28"/>
      <c r="X725" s="28"/>
      <c r="Y725" s="26"/>
      <c r="Z725" s="29"/>
      <c r="AA725" s="28"/>
      <c r="AB725" s="26"/>
      <c r="AC725" s="29"/>
      <c r="AD725" s="25"/>
      <c r="AE725" s="29"/>
      <c r="AF725" s="25"/>
      <c r="AG725" s="25"/>
      <c r="AH725" s="25"/>
      <c r="AI725" s="25"/>
      <c r="AJ725" s="26"/>
      <c r="AK725" s="29"/>
      <c r="AL725" s="28"/>
      <c r="AM725" s="26"/>
      <c r="AN725" s="29"/>
      <c r="AO725" s="25"/>
      <c r="AP725" s="29"/>
      <c r="AQ725" s="25"/>
      <c r="AR725" s="25"/>
      <c r="AS725" s="25"/>
      <c r="AT725" s="25"/>
      <c r="AU725" s="26"/>
      <c r="AV725" s="26"/>
      <c r="AW725" s="26"/>
      <c r="AX725" s="26"/>
      <c r="AY725" s="26"/>
      <c r="AZ725" s="26"/>
      <c r="BA725" s="26"/>
    </row>
    <row r="726">
      <c r="A726" s="26"/>
      <c r="B726" s="26"/>
      <c r="C726" s="26"/>
      <c r="D726" s="27"/>
      <c r="E726" s="27"/>
      <c r="F726" s="26"/>
      <c r="G726" s="28"/>
      <c r="H726" s="28"/>
      <c r="I726" s="28"/>
      <c r="J726" s="28"/>
      <c r="K726" s="28"/>
      <c r="L726" s="28"/>
      <c r="M726" s="28"/>
      <c r="N726" s="26"/>
      <c r="O726" s="29"/>
      <c r="P726" s="27"/>
      <c r="Q726" s="26"/>
      <c r="R726" s="29"/>
      <c r="S726" s="28"/>
      <c r="T726" s="29"/>
      <c r="U726" s="28"/>
      <c r="V726" s="28"/>
      <c r="W726" s="28"/>
      <c r="X726" s="28"/>
      <c r="Y726" s="26"/>
      <c r="Z726" s="29"/>
      <c r="AA726" s="28"/>
      <c r="AB726" s="26"/>
      <c r="AC726" s="29"/>
      <c r="AD726" s="25"/>
      <c r="AE726" s="29"/>
      <c r="AF726" s="25"/>
      <c r="AG726" s="25"/>
      <c r="AH726" s="25"/>
      <c r="AI726" s="25"/>
      <c r="AJ726" s="26"/>
      <c r="AK726" s="29"/>
      <c r="AL726" s="28"/>
      <c r="AM726" s="26"/>
      <c r="AN726" s="29"/>
      <c r="AO726" s="25"/>
      <c r="AP726" s="29"/>
      <c r="AQ726" s="25"/>
      <c r="AR726" s="25"/>
      <c r="AS726" s="25"/>
      <c r="AT726" s="25"/>
      <c r="AU726" s="26"/>
      <c r="AV726" s="26"/>
      <c r="AW726" s="26"/>
      <c r="AX726" s="26"/>
      <c r="AY726" s="26"/>
      <c r="AZ726" s="26"/>
      <c r="BA726" s="26"/>
    </row>
    <row r="727">
      <c r="A727" s="26"/>
      <c r="B727" s="26"/>
      <c r="C727" s="26"/>
      <c r="D727" s="27"/>
      <c r="E727" s="27"/>
      <c r="F727" s="26"/>
      <c r="G727" s="28"/>
      <c r="H727" s="28"/>
      <c r="I727" s="28"/>
      <c r="J727" s="28"/>
      <c r="K727" s="28"/>
      <c r="L727" s="28"/>
      <c r="M727" s="28"/>
      <c r="N727" s="26"/>
      <c r="O727" s="29"/>
      <c r="P727" s="27"/>
      <c r="Q727" s="26"/>
      <c r="R727" s="29"/>
      <c r="S727" s="28"/>
      <c r="T727" s="29"/>
      <c r="U727" s="28"/>
      <c r="V727" s="28"/>
      <c r="W727" s="28"/>
      <c r="X727" s="28"/>
      <c r="Y727" s="26"/>
      <c r="Z727" s="29"/>
      <c r="AA727" s="28"/>
      <c r="AB727" s="26"/>
      <c r="AC727" s="29"/>
      <c r="AD727" s="25"/>
      <c r="AE727" s="29"/>
      <c r="AF727" s="25"/>
      <c r="AG727" s="25"/>
      <c r="AH727" s="25"/>
      <c r="AI727" s="25"/>
      <c r="AJ727" s="26"/>
      <c r="AK727" s="29"/>
      <c r="AL727" s="28"/>
      <c r="AM727" s="26"/>
      <c r="AN727" s="29"/>
      <c r="AO727" s="25"/>
      <c r="AP727" s="29"/>
      <c r="AQ727" s="25"/>
      <c r="AR727" s="25"/>
      <c r="AS727" s="25"/>
      <c r="AT727" s="25"/>
      <c r="AU727" s="26"/>
      <c r="AV727" s="26"/>
      <c r="AW727" s="26"/>
      <c r="AX727" s="26"/>
      <c r="AY727" s="26"/>
      <c r="AZ727" s="26"/>
      <c r="BA727" s="26"/>
    </row>
    <row r="728">
      <c r="A728" s="26"/>
      <c r="B728" s="26"/>
      <c r="C728" s="26"/>
      <c r="D728" s="27"/>
      <c r="E728" s="27"/>
      <c r="F728" s="26"/>
      <c r="G728" s="28"/>
      <c r="H728" s="28"/>
      <c r="I728" s="28"/>
      <c r="J728" s="28"/>
      <c r="K728" s="28"/>
      <c r="L728" s="28"/>
      <c r="M728" s="28"/>
      <c r="N728" s="26"/>
      <c r="O728" s="29"/>
      <c r="P728" s="27"/>
      <c r="Q728" s="26"/>
      <c r="R728" s="29"/>
      <c r="S728" s="28"/>
      <c r="T728" s="29"/>
      <c r="U728" s="28"/>
      <c r="V728" s="28"/>
      <c r="W728" s="28"/>
      <c r="X728" s="28"/>
      <c r="Y728" s="26"/>
      <c r="Z728" s="29"/>
      <c r="AA728" s="28"/>
      <c r="AB728" s="26"/>
      <c r="AC728" s="29"/>
      <c r="AD728" s="25"/>
      <c r="AE728" s="29"/>
      <c r="AF728" s="25"/>
      <c r="AG728" s="25"/>
      <c r="AH728" s="25"/>
      <c r="AI728" s="25"/>
      <c r="AJ728" s="26"/>
      <c r="AK728" s="29"/>
      <c r="AL728" s="28"/>
      <c r="AM728" s="26"/>
      <c r="AN728" s="29"/>
      <c r="AO728" s="25"/>
      <c r="AP728" s="29"/>
      <c r="AQ728" s="25"/>
      <c r="AR728" s="25"/>
      <c r="AS728" s="25"/>
      <c r="AT728" s="25"/>
      <c r="AU728" s="26"/>
      <c r="AV728" s="26"/>
      <c r="AW728" s="26"/>
      <c r="AX728" s="26"/>
      <c r="AY728" s="26"/>
      <c r="AZ728" s="26"/>
      <c r="BA728" s="26"/>
    </row>
    <row r="729">
      <c r="A729" s="26"/>
      <c r="B729" s="26"/>
      <c r="C729" s="26"/>
      <c r="D729" s="27"/>
      <c r="E729" s="27"/>
      <c r="F729" s="26"/>
      <c r="G729" s="28"/>
      <c r="H729" s="28"/>
      <c r="I729" s="28"/>
      <c r="J729" s="28"/>
      <c r="K729" s="28"/>
      <c r="L729" s="28"/>
      <c r="M729" s="28"/>
      <c r="N729" s="26"/>
      <c r="O729" s="29"/>
      <c r="P729" s="27"/>
      <c r="Q729" s="26"/>
      <c r="R729" s="29"/>
      <c r="S729" s="28"/>
      <c r="T729" s="29"/>
      <c r="U729" s="28"/>
      <c r="V729" s="28"/>
      <c r="W729" s="28"/>
      <c r="X729" s="28"/>
      <c r="Y729" s="26"/>
      <c r="Z729" s="29"/>
      <c r="AA729" s="28"/>
      <c r="AB729" s="26"/>
      <c r="AC729" s="29"/>
      <c r="AD729" s="25"/>
      <c r="AE729" s="29"/>
      <c r="AF729" s="25"/>
      <c r="AG729" s="25"/>
      <c r="AH729" s="25"/>
      <c r="AI729" s="25"/>
      <c r="AJ729" s="26"/>
      <c r="AK729" s="29"/>
      <c r="AL729" s="28"/>
      <c r="AM729" s="26"/>
      <c r="AN729" s="29"/>
      <c r="AO729" s="25"/>
      <c r="AP729" s="29"/>
      <c r="AQ729" s="25"/>
      <c r="AR729" s="25"/>
      <c r="AS729" s="25"/>
      <c r="AT729" s="25"/>
      <c r="AU729" s="26"/>
      <c r="AV729" s="26"/>
      <c r="AW729" s="26"/>
      <c r="AX729" s="26"/>
      <c r="AY729" s="26"/>
      <c r="AZ729" s="26"/>
      <c r="BA729" s="26"/>
    </row>
    <row r="730">
      <c r="A730" s="26"/>
      <c r="B730" s="26"/>
      <c r="C730" s="26"/>
      <c r="D730" s="27"/>
      <c r="E730" s="27"/>
      <c r="F730" s="26"/>
      <c r="G730" s="28"/>
      <c r="H730" s="28"/>
      <c r="I730" s="28"/>
      <c r="J730" s="28"/>
      <c r="K730" s="28"/>
      <c r="L730" s="28"/>
      <c r="M730" s="28"/>
      <c r="N730" s="26"/>
      <c r="O730" s="29"/>
      <c r="P730" s="27"/>
      <c r="Q730" s="26"/>
      <c r="R730" s="29"/>
      <c r="S730" s="28"/>
      <c r="T730" s="29"/>
      <c r="U730" s="28"/>
      <c r="V730" s="28"/>
      <c r="W730" s="28"/>
      <c r="X730" s="28"/>
      <c r="Y730" s="26"/>
      <c r="Z730" s="29"/>
      <c r="AA730" s="28"/>
      <c r="AB730" s="26"/>
      <c r="AC730" s="29"/>
      <c r="AD730" s="25"/>
      <c r="AE730" s="29"/>
      <c r="AF730" s="25"/>
      <c r="AG730" s="25"/>
      <c r="AH730" s="25"/>
      <c r="AI730" s="25"/>
      <c r="AJ730" s="26"/>
      <c r="AK730" s="29"/>
      <c r="AL730" s="28"/>
      <c r="AM730" s="26"/>
      <c r="AN730" s="29"/>
      <c r="AO730" s="25"/>
      <c r="AP730" s="29"/>
      <c r="AQ730" s="25"/>
      <c r="AR730" s="25"/>
      <c r="AS730" s="25"/>
      <c r="AT730" s="25"/>
      <c r="AU730" s="26"/>
      <c r="AV730" s="26"/>
      <c r="AW730" s="26"/>
      <c r="AX730" s="26"/>
      <c r="AY730" s="26"/>
      <c r="AZ730" s="26"/>
      <c r="BA730" s="26"/>
    </row>
    <row r="731">
      <c r="A731" s="26"/>
      <c r="B731" s="26"/>
      <c r="C731" s="26"/>
      <c r="D731" s="27"/>
      <c r="E731" s="27"/>
      <c r="F731" s="26"/>
      <c r="G731" s="28"/>
      <c r="H731" s="28"/>
      <c r="I731" s="28"/>
      <c r="J731" s="28"/>
      <c r="K731" s="28"/>
      <c r="L731" s="28"/>
      <c r="M731" s="28"/>
      <c r="N731" s="26"/>
      <c r="O731" s="29"/>
      <c r="P731" s="27"/>
      <c r="Q731" s="26"/>
      <c r="R731" s="29"/>
      <c r="S731" s="28"/>
      <c r="T731" s="29"/>
      <c r="U731" s="28"/>
      <c r="V731" s="28"/>
      <c r="W731" s="28"/>
      <c r="X731" s="28"/>
      <c r="Y731" s="26"/>
      <c r="Z731" s="29"/>
      <c r="AA731" s="28"/>
      <c r="AB731" s="26"/>
      <c r="AC731" s="29"/>
      <c r="AD731" s="25"/>
      <c r="AE731" s="29"/>
      <c r="AF731" s="25"/>
      <c r="AG731" s="25"/>
      <c r="AH731" s="25"/>
      <c r="AI731" s="25"/>
      <c r="AJ731" s="26"/>
      <c r="AK731" s="29"/>
      <c r="AL731" s="28"/>
      <c r="AM731" s="26"/>
      <c r="AN731" s="29"/>
      <c r="AO731" s="25"/>
      <c r="AP731" s="29"/>
      <c r="AQ731" s="25"/>
      <c r="AR731" s="25"/>
      <c r="AS731" s="25"/>
      <c r="AT731" s="25"/>
      <c r="AU731" s="26"/>
      <c r="AV731" s="26"/>
      <c r="AW731" s="26"/>
      <c r="AX731" s="26"/>
      <c r="AY731" s="26"/>
      <c r="AZ731" s="26"/>
      <c r="BA731" s="26"/>
    </row>
    <row r="732">
      <c r="A732" s="26"/>
      <c r="B732" s="26"/>
      <c r="C732" s="26"/>
      <c r="D732" s="27"/>
      <c r="E732" s="27"/>
      <c r="F732" s="26"/>
      <c r="G732" s="28"/>
      <c r="H732" s="28"/>
      <c r="I732" s="28"/>
      <c r="J732" s="28"/>
      <c r="K732" s="28"/>
      <c r="L732" s="28"/>
      <c r="M732" s="28"/>
      <c r="N732" s="26"/>
      <c r="O732" s="29"/>
      <c r="P732" s="27"/>
      <c r="Q732" s="26"/>
      <c r="R732" s="29"/>
      <c r="S732" s="28"/>
      <c r="T732" s="29"/>
      <c r="U732" s="28"/>
      <c r="V732" s="28"/>
      <c r="W732" s="28"/>
      <c r="X732" s="28"/>
      <c r="Y732" s="26"/>
      <c r="Z732" s="29"/>
      <c r="AA732" s="28"/>
      <c r="AB732" s="26"/>
      <c r="AC732" s="29"/>
      <c r="AD732" s="25"/>
      <c r="AE732" s="29"/>
      <c r="AF732" s="25"/>
      <c r="AG732" s="25"/>
      <c r="AH732" s="25"/>
      <c r="AI732" s="25"/>
      <c r="AJ732" s="26"/>
      <c r="AK732" s="29"/>
      <c r="AL732" s="28"/>
      <c r="AM732" s="26"/>
      <c r="AN732" s="29"/>
      <c r="AO732" s="25"/>
      <c r="AP732" s="29"/>
      <c r="AQ732" s="25"/>
      <c r="AR732" s="25"/>
      <c r="AS732" s="25"/>
      <c r="AT732" s="25"/>
      <c r="AU732" s="26"/>
      <c r="AV732" s="26"/>
      <c r="AW732" s="26"/>
      <c r="AX732" s="26"/>
      <c r="AY732" s="26"/>
      <c r="AZ732" s="26"/>
      <c r="BA732" s="26"/>
    </row>
    <row r="733">
      <c r="A733" s="26"/>
      <c r="B733" s="26"/>
      <c r="C733" s="26"/>
      <c r="D733" s="27"/>
      <c r="E733" s="27"/>
      <c r="F733" s="26"/>
      <c r="G733" s="28"/>
      <c r="H733" s="28"/>
      <c r="I733" s="28"/>
      <c r="J733" s="28"/>
      <c r="K733" s="28"/>
      <c r="L733" s="28"/>
      <c r="M733" s="28"/>
      <c r="N733" s="26"/>
      <c r="O733" s="29"/>
      <c r="P733" s="27"/>
      <c r="Q733" s="26"/>
      <c r="R733" s="29"/>
      <c r="S733" s="28"/>
      <c r="T733" s="29"/>
      <c r="U733" s="28"/>
      <c r="V733" s="28"/>
      <c r="W733" s="28"/>
      <c r="X733" s="28"/>
      <c r="Y733" s="26"/>
      <c r="Z733" s="29"/>
      <c r="AA733" s="28"/>
      <c r="AB733" s="26"/>
      <c r="AC733" s="29"/>
      <c r="AD733" s="25"/>
      <c r="AE733" s="29"/>
      <c r="AF733" s="25"/>
      <c r="AG733" s="25"/>
      <c r="AH733" s="25"/>
      <c r="AI733" s="25"/>
      <c r="AJ733" s="26"/>
      <c r="AK733" s="29"/>
      <c r="AL733" s="28"/>
      <c r="AM733" s="26"/>
      <c r="AN733" s="29"/>
      <c r="AO733" s="25"/>
      <c r="AP733" s="29"/>
      <c r="AQ733" s="25"/>
      <c r="AR733" s="25"/>
      <c r="AS733" s="25"/>
      <c r="AT733" s="25"/>
      <c r="AU733" s="26"/>
      <c r="AV733" s="26"/>
      <c r="AW733" s="26"/>
      <c r="AX733" s="26"/>
      <c r="AY733" s="26"/>
      <c r="AZ733" s="26"/>
      <c r="BA733" s="26"/>
    </row>
    <row r="734">
      <c r="A734" s="26"/>
      <c r="B734" s="26"/>
      <c r="C734" s="26"/>
      <c r="D734" s="27"/>
      <c r="E734" s="27"/>
      <c r="F734" s="26"/>
      <c r="G734" s="28"/>
      <c r="H734" s="28"/>
      <c r="I734" s="28"/>
      <c r="J734" s="28"/>
      <c r="K734" s="28"/>
      <c r="L734" s="28"/>
      <c r="M734" s="28"/>
      <c r="N734" s="26"/>
      <c r="O734" s="29"/>
      <c r="P734" s="27"/>
      <c r="Q734" s="26"/>
      <c r="R734" s="29"/>
      <c r="S734" s="28"/>
      <c r="T734" s="29"/>
      <c r="U734" s="28"/>
      <c r="V734" s="28"/>
      <c r="W734" s="28"/>
      <c r="X734" s="28"/>
      <c r="Y734" s="26"/>
      <c r="Z734" s="29"/>
      <c r="AA734" s="28"/>
      <c r="AB734" s="26"/>
      <c r="AC734" s="29"/>
      <c r="AD734" s="25"/>
      <c r="AE734" s="29"/>
      <c r="AF734" s="25"/>
      <c r="AG734" s="25"/>
      <c r="AH734" s="25"/>
      <c r="AI734" s="25"/>
      <c r="AJ734" s="26"/>
      <c r="AK734" s="29"/>
      <c r="AL734" s="28"/>
      <c r="AM734" s="26"/>
      <c r="AN734" s="29"/>
      <c r="AO734" s="25"/>
      <c r="AP734" s="29"/>
      <c r="AQ734" s="25"/>
      <c r="AR734" s="25"/>
      <c r="AS734" s="25"/>
      <c r="AT734" s="25"/>
      <c r="AU734" s="26"/>
      <c r="AV734" s="26"/>
      <c r="AW734" s="26"/>
      <c r="AX734" s="26"/>
      <c r="AY734" s="26"/>
      <c r="AZ734" s="26"/>
      <c r="BA734" s="26"/>
    </row>
    <row r="735">
      <c r="A735" s="26"/>
      <c r="B735" s="26"/>
      <c r="C735" s="26"/>
      <c r="D735" s="27"/>
      <c r="E735" s="27"/>
      <c r="F735" s="26"/>
      <c r="G735" s="28"/>
      <c r="H735" s="28"/>
      <c r="I735" s="28"/>
      <c r="J735" s="28"/>
      <c r="K735" s="28"/>
      <c r="L735" s="28"/>
      <c r="M735" s="28"/>
      <c r="N735" s="26"/>
      <c r="O735" s="29"/>
      <c r="P735" s="27"/>
      <c r="Q735" s="26"/>
      <c r="R735" s="29"/>
      <c r="S735" s="28"/>
      <c r="T735" s="29"/>
      <c r="U735" s="28"/>
      <c r="V735" s="28"/>
      <c r="W735" s="28"/>
      <c r="X735" s="28"/>
      <c r="Y735" s="26"/>
      <c r="Z735" s="29"/>
      <c r="AA735" s="28"/>
      <c r="AB735" s="26"/>
      <c r="AC735" s="29"/>
      <c r="AD735" s="25"/>
      <c r="AE735" s="29"/>
      <c r="AF735" s="25"/>
      <c r="AG735" s="25"/>
      <c r="AH735" s="25"/>
      <c r="AI735" s="25"/>
      <c r="AJ735" s="26"/>
      <c r="AK735" s="29"/>
      <c r="AL735" s="28"/>
      <c r="AM735" s="26"/>
      <c r="AN735" s="29"/>
      <c r="AO735" s="25"/>
      <c r="AP735" s="29"/>
      <c r="AQ735" s="25"/>
      <c r="AR735" s="25"/>
      <c r="AS735" s="25"/>
      <c r="AT735" s="25"/>
      <c r="AU735" s="26"/>
      <c r="AV735" s="26"/>
      <c r="AW735" s="26"/>
      <c r="AX735" s="26"/>
      <c r="AY735" s="26"/>
      <c r="AZ735" s="26"/>
      <c r="BA735" s="26"/>
    </row>
    <row r="736">
      <c r="A736" s="26"/>
      <c r="B736" s="26"/>
      <c r="C736" s="26"/>
      <c r="D736" s="27"/>
      <c r="E736" s="27"/>
      <c r="F736" s="26"/>
      <c r="G736" s="28"/>
      <c r="H736" s="28"/>
      <c r="I736" s="28"/>
      <c r="J736" s="28"/>
      <c r="K736" s="28"/>
      <c r="L736" s="28"/>
      <c r="M736" s="28"/>
      <c r="N736" s="26"/>
      <c r="O736" s="29"/>
      <c r="P736" s="27"/>
      <c r="Q736" s="26"/>
      <c r="R736" s="29"/>
      <c r="S736" s="28"/>
      <c r="T736" s="29"/>
      <c r="U736" s="28"/>
      <c r="V736" s="28"/>
      <c r="W736" s="28"/>
      <c r="X736" s="28"/>
      <c r="Y736" s="26"/>
      <c r="Z736" s="29"/>
      <c r="AA736" s="28"/>
      <c r="AB736" s="26"/>
      <c r="AC736" s="29"/>
      <c r="AD736" s="25"/>
      <c r="AE736" s="29"/>
      <c r="AF736" s="25"/>
      <c r="AG736" s="25"/>
      <c r="AH736" s="25"/>
      <c r="AI736" s="25"/>
      <c r="AJ736" s="26"/>
      <c r="AK736" s="29"/>
      <c r="AL736" s="28"/>
      <c r="AM736" s="26"/>
      <c r="AN736" s="29"/>
      <c r="AO736" s="25"/>
      <c r="AP736" s="29"/>
      <c r="AQ736" s="25"/>
      <c r="AR736" s="25"/>
      <c r="AS736" s="25"/>
      <c r="AT736" s="25"/>
      <c r="AU736" s="26"/>
      <c r="AV736" s="26"/>
      <c r="AW736" s="26"/>
      <c r="AX736" s="26"/>
      <c r="AY736" s="26"/>
      <c r="AZ736" s="26"/>
      <c r="BA736" s="26"/>
    </row>
    <row r="737">
      <c r="A737" s="26"/>
      <c r="B737" s="26"/>
      <c r="C737" s="26"/>
      <c r="D737" s="27"/>
      <c r="E737" s="27"/>
      <c r="F737" s="26"/>
      <c r="G737" s="28"/>
      <c r="H737" s="28"/>
      <c r="I737" s="28"/>
      <c r="J737" s="28"/>
      <c r="K737" s="28"/>
      <c r="L737" s="28"/>
      <c r="M737" s="28"/>
      <c r="N737" s="26"/>
      <c r="O737" s="29"/>
      <c r="P737" s="27"/>
      <c r="Q737" s="26"/>
      <c r="R737" s="29"/>
      <c r="S737" s="28"/>
      <c r="T737" s="29"/>
      <c r="U737" s="28"/>
      <c r="V737" s="28"/>
      <c r="W737" s="28"/>
      <c r="X737" s="28"/>
      <c r="Y737" s="26"/>
      <c r="Z737" s="29"/>
      <c r="AA737" s="28"/>
      <c r="AB737" s="26"/>
      <c r="AC737" s="29"/>
      <c r="AD737" s="25"/>
      <c r="AE737" s="29"/>
      <c r="AF737" s="25"/>
      <c r="AG737" s="25"/>
      <c r="AH737" s="25"/>
      <c r="AI737" s="25"/>
      <c r="AJ737" s="26"/>
      <c r="AK737" s="29"/>
      <c r="AL737" s="28"/>
      <c r="AM737" s="26"/>
      <c r="AN737" s="29"/>
      <c r="AO737" s="25"/>
      <c r="AP737" s="29"/>
      <c r="AQ737" s="25"/>
      <c r="AR737" s="25"/>
      <c r="AS737" s="25"/>
      <c r="AT737" s="25"/>
      <c r="AU737" s="26"/>
      <c r="AV737" s="26"/>
      <c r="AW737" s="26"/>
      <c r="AX737" s="26"/>
      <c r="AY737" s="26"/>
      <c r="AZ737" s="26"/>
      <c r="BA737" s="26"/>
    </row>
    <row r="738">
      <c r="A738" s="26"/>
      <c r="B738" s="26"/>
      <c r="C738" s="26"/>
      <c r="D738" s="27"/>
      <c r="E738" s="27"/>
      <c r="F738" s="26"/>
      <c r="G738" s="28"/>
      <c r="H738" s="28"/>
      <c r="I738" s="28"/>
      <c r="J738" s="28"/>
      <c r="K738" s="28"/>
      <c r="L738" s="28"/>
      <c r="M738" s="28"/>
      <c r="N738" s="26"/>
      <c r="O738" s="29"/>
      <c r="P738" s="27"/>
      <c r="Q738" s="26"/>
      <c r="R738" s="29"/>
      <c r="S738" s="28"/>
      <c r="T738" s="29"/>
      <c r="U738" s="28"/>
      <c r="V738" s="28"/>
      <c r="W738" s="28"/>
      <c r="X738" s="28"/>
      <c r="Y738" s="26"/>
      <c r="Z738" s="29"/>
      <c r="AA738" s="28"/>
      <c r="AB738" s="26"/>
      <c r="AC738" s="29"/>
      <c r="AD738" s="25"/>
      <c r="AE738" s="29"/>
      <c r="AF738" s="25"/>
      <c r="AG738" s="25"/>
      <c r="AH738" s="25"/>
      <c r="AI738" s="25"/>
      <c r="AJ738" s="26"/>
      <c r="AK738" s="29"/>
      <c r="AL738" s="28"/>
      <c r="AM738" s="26"/>
      <c r="AN738" s="29"/>
      <c r="AO738" s="25"/>
      <c r="AP738" s="29"/>
      <c r="AQ738" s="25"/>
      <c r="AR738" s="25"/>
      <c r="AS738" s="25"/>
      <c r="AT738" s="25"/>
      <c r="AU738" s="26"/>
      <c r="AV738" s="26"/>
      <c r="AW738" s="26"/>
      <c r="AX738" s="26"/>
      <c r="AY738" s="26"/>
      <c r="AZ738" s="26"/>
      <c r="BA738" s="26"/>
    </row>
    <row r="739">
      <c r="A739" s="26"/>
      <c r="B739" s="26"/>
      <c r="C739" s="26"/>
      <c r="D739" s="27"/>
      <c r="E739" s="27"/>
      <c r="F739" s="26"/>
      <c r="G739" s="28"/>
      <c r="H739" s="28"/>
      <c r="I739" s="28"/>
      <c r="J739" s="28"/>
      <c r="K739" s="28"/>
      <c r="L739" s="28"/>
      <c r="M739" s="28"/>
      <c r="N739" s="26"/>
      <c r="O739" s="29"/>
      <c r="P739" s="27"/>
      <c r="Q739" s="26"/>
      <c r="R739" s="29"/>
      <c r="S739" s="28"/>
      <c r="T739" s="29"/>
      <c r="U739" s="28"/>
      <c r="V739" s="28"/>
      <c r="W739" s="28"/>
      <c r="X739" s="28"/>
      <c r="Y739" s="26"/>
      <c r="Z739" s="29"/>
      <c r="AA739" s="28"/>
      <c r="AB739" s="26"/>
      <c r="AC739" s="29"/>
      <c r="AD739" s="25"/>
      <c r="AE739" s="29"/>
      <c r="AF739" s="25"/>
      <c r="AG739" s="25"/>
      <c r="AH739" s="25"/>
      <c r="AI739" s="25"/>
      <c r="AJ739" s="26"/>
      <c r="AK739" s="29"/>
      <c r="AL739" s="28"/>
      <c r="AM739" s="26"/>
      <c r="AN739" s="29"/>
      <c r="AO739" s="25"/>
      <c r="AP739" s="29"/>
      <c r="AQ739" s="25"/>
      <c r="AR739" s="25"/>
      <c r="AS739" s="25"/>
      <c r="AT739" s="25"/>
      <c r="AU739" s="26"/>
      <c r="AV739" s="26"/>
      <c r="AW739" s="26"/>
      <c r="AX739" s="26"/>
      <c r="AY739" s="26"/>
      <c r="AZ739" s="26"/>
      <c r="BA739" s="26"/>
    </row>
    <row r="740">
      <c r="A740" s="26"/>
      <c r="B740" s="26"/>
      <c r="C740" s="26"/>
      <c r="D740" s="27"/>
      <c r="E740" s="27"/>
      <c r="F740" s="26"/>
      <c r="G740" s="28"/>
      <c r="H740" s="28"/>
      <c r="I740" s="28"/>
      <c r="J740" s="28"/>
      <c r="K740" s="28"/>
      <c r="L740" s="28"/>
      <c r="M740" s="28"/>
      <c r="N740" s="26"/>
      <c r="O740" s="29"/>
      <c r="P740" s="27"/>
      <c r="Q740" s="26"/>
      <c r="R740" s="29"/>
      <c r="S740" s="28"/>
      <c r="T740" s="29"/>
      <c r="U740" s="28"/>
      <c r="V740" s="28"/>
      <c r="W740" s="28"/>
      <c r="X740" s="28"/>
      <c r="Y740" s="26"/>
      <c r="Z740" s="29"/>
      <c r="AA740" s="28"/>
      <c r="AB740" s="26"/>
      <c r="AC740" s="29"/>
      <c r="AD740" s="25"/>
      <c r="AE740" s="29"/>
      <c r="AF740" s="25"/>
      <c r="AG740" s="25"/>
      <c r="AH740" s="25"/>
      <c r="AI740" s="25"/>
      <c r="AJ740" s="26"/>
      <c r="AK740" s="29"/>
      <c r="AL740" s="28"/>
      <c r="AM740" s="26"/>
      <c r="AN740" s="29"/>
      <c r="AO740" s="25"/>
      <c r="AP740" s="29"/>
      <c r="AQ740" s="25"/>
      <c r="AR740" s="25"/>
      <c r="AS740" s="25"/>
      <c r="AT740" s="25"/>
      <c r="AU740" s="26"/>
      <c r="AV740" s="26"/>
      <c r="AW740" s="26"/>
      <c r="AX740" s="26"/>
      <c r="AY740" s="26"/>
      <c r="AZ740" s="26"/>
      <c r="BA740" s="26"/>
    </row>
    <row r="741">
      <c r="A741" s="26"/>
      <c r="B741" s="26"/>
      <c r="C741" s="26"/>
      <c r="D741" s="27"/>
      <c r="E741" s="27"/>
      <c r="F741" s="26"/>
      <c r="G741" s="28"/>
      <c r="H741" s="28"/>
      <c r="I741" s="28"/>
      <c r="J741" s="28"/>
      <c r="K741" s="28"/>
      <c r="L741" s="28"/>
      <c r="M741" s="28"/>
      <c r="N741" s="26"/>
      <c r="O741" s="29"/>
      <c r="P741" s="27"/>
      <c r="Q741" s="26"/>
      <c r="R741" s="29"/>
      <c r="S741" s="28"/>
      <c r="T741" s="29"/>
      <c r="U741" s="28"/>
      <c r="V741" s="28"/>
      <c r="W741" s="28"/>
      <c r="X741" s="28"/>
      <c r="Y741" s="26"/>
      <c r="Z741" s="29"/>
      <c r="AA741" s="28"/>
      <c r="AB741" s="26"/>
      <c r="AC741" s="29"/>
      <c r="AD741" s="25"/>
      <c r="AE741" s="29"/>
      <c r="AF741" s="25"/>
      <c r="AG741" s="25"/>
      <c r="AH741" s="25"/>
      <c r="AI741" s="25"/>
      <c r="AJ741" s="26"/>
      <c r="AK741" s="29"/>
      <c r="AL741" s="28"/>
      <c r="AM741" s="26"/>
      <c r="AN741" s="29"/>
      <c r="AO741" s="25"/>
      <c r="AP741" s="29"/>
      <c r="AQ741" s="25"/>
      <c r="AR741" s="25"/>
      <c r="AS741" s="25"/>
      <c r="AT741" s="25"/>
      <c r="AU741" s="26"/>
      <c r="AV741" s="26"/>
      <c r="AW741" s="26"/>
      <c r="AX741" s="26"/>
      <c r="AY741" s="26"/>
      <c r="AZ741" s="26"/>
      <c r="BA741" s="26"/>
    </row>
    <row r="742">
      <c r="A742" s="26"/>
      <c r="B742" s="26"/>
      <c r="C742" s="26"/>
      <c r="D742" s="27"/>
      <c r="E742" s="27"/>
      <c r="F742" s="26"/>
      <c r="G742" s="28"/>
      <c r="H742" s="28"/>
      <c r="I742" s="28"/>
      <c r="J742" s="28"/>
      <c r="K742" s="28"/>
      <c r="L742" s="28"/>
      <c r="M742" s="28"/>
      <c r="N742" s="26"/>
      <c r="O742" s="29"/>
      <c r="P742" s="27"/>
      <c r="Q742" s="26"/>
      <c r="R742" s="29"/>
      <c r="S742" s="28"/>
      <c r="T742" s="29"/>
      <c r="U742" s="28"/>
      <c r="V742" s="28"/>
      <c r="W742" s="28"/>
      <c r="X742" s="28"/>
      <c r="Y742" s="26"/>
      <c r="Z742" s="29"/>
      <c r="AA742" s="28"/>
      <c r="AB742" s="26"/>
      <c r="AC742" s="29"/>
      <c r="AD742" s="25"/>
      <c r="AE742" s="29"/>
      <c r="AF742" s="25"/>
      <c r="AG742" s="25"/>
      <c r="AH742" s="25"/>
      <c r="AI742" s="25"/>
      <c r="AJ742" s="26"/>
      <c r="AK742" s="29"/>
      <c r="AL742" s="28"/>
      <c r="AM742" s="26"/>
      <c r="AN742" s="29"/>
      <c r="AO742" s="25"/>
      <c r="AP742" s="29"/>
      <c r="AQ742" s="25"/>
      <c r="AR742" s="25"/>
      <c r="AS742" s="25"/>
      <c r="AT742" s="25"/>
      <c r="AU742" s="26"/>
      <c r="AV742" s="26"/>
      <c r="AW742" s="26"/>
      <c r="AX742" s="26"/>
      <c r="AY742" s="26"/>
      <c r="AZ742" s="26"/>
      <c r="BA742" s="26"/>
    </row>
    <row r="743">
      <c r="A743" s="26"/>
      <c r="B743" s="26"/>
      <c r="C743" s="26"/>
      <c r="D743" s="27"/>
      <c r="E743" s="27"/>
      <c r="F743" s="26"/>
      <c r="G743" s="28"/>
      <c r="H743" s="28"/>
      <c r="I743" s="28"/>
      <c r="J743" s="28"/>
      <c r="K743" s="28"/>
      <c r="L743" s="28"/>
      <c r="M743" s="28"/>
      <c r="N743" s="26"/>
      <c r="O743" s="29"/>
      <c r="P743" s="27"/>
      <c r="Q743" s="26"/>
      <c r="R743" s="29"/>
      <c r="S743" s="28"/>
      <c r="T743" s="29"/>
      <c r="U743" s="28"/>
      <c r="V743" s="28"/>
      <c r="W743" s="28"/>
      <c r="X743" s="28"/>
      <c r="Y743" s="26"/>
      <c r="Z743" s="29"/>
      <c r="AA743" s="28"/>
      <c r="AB743" s="26"/>
      <c r="AC743" s="29"/>
      <c r="AD743" s="25"/>
      <c r="AE743" s="29"/>
      <c r="AF743" s="25"/>
      <c r="AG743" s="25"/>
      <c r="AH743" s="25"/>
      <c r="AI743" s="25"/>
      <c r="AJ743" s="26"/>
      <c r="AK743" s="29"/>
      <c r="AL743" s="28"/>
      <c r="AM743" s="26"/>
      <c r="AN743" s="29"/>
      <c r="AO743" s="25"/>
      <c r="AP743" s="29"/>
      <c r="AQ743" s="25"/>
      <c r="AR743" s="25"/>
      <c r="AS743" s="25"/>
      <c r="AT743" s="25"/>
      <c r="AU743" s="26"/>
      <c r="AV743" s="26"/>
      <c r="AW743" s="26"/>
      <c r="AX743" s="26"/>
      <c r="AY743" s="26"/>
      <c r="AZ743" s="26"/>
      <c r="BA743" s="26"/>
    </row>
    <row r="744">
      <c r="A744" s="26"/>
      <c r="B744" s="26"/>
      <c r="C744" s="26"/>
      <c r="D744" s="27"/>
      <c r="E744" s="27"/>
      <c r="F744" s="26"/>
      <c r="G744" s="28"/>
      <c r="H744" s="28"/>
      <c r="I744" s="28"/>
      <c r="J744" s="28"/>
      <c r="K744" s="28"/>
      <c r="L744" s="28"/>
      <c r="M744" s="28"/>
      <c r="N744" s="26"/>
      <c r="O744" s="29"/>
      <c r="P744" s="27"/>
      <c r="Q744" s="26"/>
      <c r="R744" s="29"/>
      <c r="S744" s="28"/>
      <c r="T744" s="29"/>
      <c r="U744" s="28"/>
      <c r="V744" s="28"/>
      <c r="W744" s="28"/>
      <c r="X744" s="28"/>
      <c r="Y744" s="26"/>
      <c r="Z744" s="29"/>
      <c r="AA744" s="28"/>
      <c r="AB744" s="26"/>
      <c r="AC744" s="29"/>
      <c r="AD744" s="25"/>
      <c r="AE744" s="29"/>
      <c r="AF744" s="25"/>
      <c r="AG744" s="25"/>
      <c r="AH744" s="25"/>
      <c r="AI744" s="25"/>
      <c r="AJ744" s="26"/>
      <c r="AK744" s="29"/>
      <c r="AL744" s="28"/>
      <c r="AM744" s="26"/>
      <c r="AN744" s="29"/>
      <c r="AO744" s="25"/>
      <c r="AP744" s="29"/>
      <c r="AQ744" s="25"/>
      <c r="AR744" s="25"/>
      <c r="AS744" s="25"/>
      <c r="AT744" s="25"/>
      <c r="AU744" s="26"/>
      <c r="AV744" s="26"/>
      <c r="AW744" s="26"/>
      <c r="AX744" s="26"/>
      <c r="AY744" s="26"/>
      <c r="AZ744" s="26"/>
      <c r="BA744" s="26"/>
    </row>
    <row r="745">
      <c r="A745" s="26"/>
      <c r="B745" s="26"/>
      <c r="C745" s="26"/>
      <c r="D745" s="27"/>
      <c r="E745" s="27"/>
      <c r="F745" s="26"/>
      <c r="G745" s="28"/>
      <c r="H745" s="28"/>
      <c r="I745" s="28"/>
      <c r="J745" s="28"/>
      <c r="K745" s="28"/>
      <c r="L745" s="28"/>
      <c r="M745" s="28"/>
      <c r="N745" s="26"/>
      <c r="O745" s="29"/>
      <c r="P745" s="27"/>
      <c r="Q745" s="26"/>
      <c r="R745" s="29"/>
      <c r="S745" s="28"/>
      <c r="T745" s="29"/>
      <c r="U745" s="28"/>
      <c r="V745" s="28"/>
      <c r="W745" s="28"/>
      <c r="X745" s="28"/>
      <c r="Y745" s="26"/>
      <c r="Z745" s="29"/>
      <c r="AA745" s="28"/>
      <c r="AB745" s="26"/>
      <c r="AC745" s="29"/>
      <c r="AD745" s="25"/>
      <c r="AE745" s="29"/>
      <c r="AF745" s="25"/>
      <c r="AG745" s="25"/>
      <c r="AH745" s="25"/>
      <c r="AI745" s="25"/>
      <c r="AJ745" s="26"/>
      <c r="AK745" s="29"/>
      <c r="AL745" s="28"/>
      <c r="AM745" s="26"/>
      <c r="AN745" s="29"/>
      <c r="AO745" s="25"/>
      <c r="AP745" s="29"/>
      <c r="AQ745" s="25"/>
      <c r="AR745" s="25"/>
      <c r="AS745" s="25"/>
      <c r="AT745" s="25"/>
      <c r="AU745" s="26"/>
      <c r="AV745" s="26"/>
      <c r="AW745" s="26"/>
      <c r="AX745" s="26"/>
      <c r="AY745" s="26"/>
      <c r="AZ745" s="26"/>
      <c r="BA745" s="26"/>
    </row>
    <row r="746">
      <c r="A746" s="26"/>
      <c r="B746" s="26"/>
      <c r="C746" s="26"/>
      <c r="D746" s="27"/>
      <c r="E746" s="27"/>
      <c r="F746" s="26"/>
      <c r="G746" s="28"/>
      <c r="H746" s="28"/>
      <c r="I746" s="28"/>
      <c r="J746" s="28"/>
      <c r="K746" s="28"/>
      <c r="L746" s="28"/>
      <c r="M746" s="28"/>
      <c r="N746" s="26"/>
      <c r="O746" s="29"/>
      <c r="P746" s="27"/>
      <c r="Q746" s="26"/>
      <c r="R746" s="29"/>
      <c r="S746" s="28"/>
      <c r="T746" s="29"/>
      <c r="U746" s="28"/>
      <c r="V746" s="28"/>
      <c r="W746" s="28"/>
      <c r="X746" s="28"/>
      <c r="Y746" s="26"/>
      <c r="Z746" s="29"/>
      <c r="AA746" s="28"/>
      <c r="AB746" s="26"/>
      <c r="AC746" s="29"/>
      <c r="AD746" s="25"/>
      <c r="AE746" s="29"/>
      <c r="AF746" s="25"/>
      <c r="AG746" s="25"/>
      <c r="AH746" s="25"/>
      <c r="AI746" s="25"/>
      <c r="AJ746" s="26"/>
      <c r="AK746" s="29"/>
      <c r="AL746" s="28"/>
      <c r="AM746" s="26"/>
      <c r="AN746" s="29"/>
      <c r="AO746" s="25"/>
      <c r="AP746" s="29"/>
      <c r="AQ746" s="25"/>
      <c r="AR746" s="25"/>
      <c r="AS746" s="25"/>
      <c r="AT746" s="25"/>
      <c r="AU746" s="26"/>
      <c r="AV746" s="26"/>
      <c r="AW746" s="26"/>
      <c r="AX746" s="26"/>
      <c r="AY746" s="26"/>
      <c r="AZ746" s="26"/>
      <c r="BA746" s="26"/>
    </row>
    <row r="747">
      <c r="A747" s="26"/>
      <c r="B747" s="26"/>
      <c r="C747" s="26"/>
      <c r="D747" s="27"/>
      <c r="E747" s="27"/>
      <c r="F747" s="26"/>
      <c r="G747" s="28"/>
      <c r="H747" s="28"/>
      <c r="I747" s="28"/>
      <c r="J747" s="28"/>
      <c r="K747" s="28"/>
      <c r="L747" s="28"/>
      <c r="M747" s="28"/>
      <c r="N747" s="26"/>
      <c r="O747" s="29"/>
      <c r="P747" s="27"/>
      <c r="Q747" s="26"/>
      <c r="R747" s="29"/>
      <c r="S747" s="28"/>
      <c r="T747" s="29"/>
      <c r="U747" s="28"/>
      <c r="V747" s="28"/>
      <c r="W747" s="28"/>
      <c r="X747" s="28"/>
      <c r="Y747" s="26"/>
      <c r="Z747" s="29"/>
      <c r="AA747" s="28"/>
      <c r="AB747" s="26"/>
      <c r="AC747" s="29"/>
      <c r="AD747" s="25"/>
      <c r="AE747" s="29"/>
      <c r="AF747" s="25"/>
      <c r="AG747" s="25"/>
      <c r="AH747" s="25"/>
      <c r="AI747" s="25"/>
      <c r="AJ747" s="26"/>
      <c r="AK747" s="29"/>
      <c r="AL747" s="28"/>
      <c r="AM747" s="26"/>
      <c r="AN747" s="29"/>
      <c r="AO747" s="25"/>
      <c r="AP747" s="29"/>
      <c r="AQ747" s="25"/>
      <c r="AR747" s="25"/>
      <c r="AS747" s="25"/>
      <c r="AT747" s="25"/>
      <c r="AU747" s="26"/>
      <c r="AV747" s="26"/>
      <c r="AW747" s="26"/>
      <c r="AX747" s="26"/>
      <c r="AY747" s="26"/>
      <c r="AZ747" s="26"/>
      <c r="BA747" s="26"/>
    </row>
    <row r="748">
      <c r="A748" s="26"/>
      <c r="B748" s="26"/>
      <c r="C748" s="26"/>
      <c r="D748" s="27"/>
      <c r="E748" s="27"/>
      <c r="F748" s="26"/>
      <c r="G748" s="28"/>
      <c r="H748" s="28"/>
      <c r="I748" s="28"/>
      <c r="J748" s="28"/>
      <c r="K748" s="28"/>
      <c r="L748" s="28"/>
      <c r="M748" s="28"/>
      <c r="N748" s="26"/>
      <c r="O748" s="29"/>
      <c r="P748" s="27"/>
      <c r="Q748" s="26"/>
      <c r="R748" s="29"/>
      <c r="S748" s="28"/>
      <c r="T748" s="29"/>
      <c r="U748" s="28"/>
      <c r="V748" s="28"/>
      <c r="W748" s="28"/>
      <c r="X748" s="28"/>
      <c r="Y748" s="26"/>
      <c r="Z748" s="29"/>
      <c r="AA748" s="28"/>
      <c r="AB748" s="26"/>
      <c r="AC748" s="29"/>
      <c r="AD748" s="25"/>
      <c r="AE748" s="29"/>
      <c r="AF748" s="25"/>
      <c r="AG748" s="25"/>
      <c r="AH748" s="25"/>
      <c r="AI748" s="25"/>
      <c r="AJ748" s="26"/>
      <c r="AK748" s="29"/>
      <c r="AL748" s="28"/>
      <c r="AM748" s="26"/>
      <c r="AN748" s="29"/>
      <c r="AO748" s="25"/>
      <c r="AP748" s="29"/>
      <c r="AQ748" s="25"/>
      <c r="AR748" s="25"/>
      <c r="AS748" s="25"/>
      <c r="AT748" s="25"/>
      <c r="AU748" s="26"/>
      <c r="AV748" s="26"/>
      <c r="AW748" s="26"/>
      <c r="AX748" s="26"/>
      <c r="AY748" s="26"/>
      <c r="AZ748" s="26"/>
      <c r="BA748" s="26"/>
    </row>
    <row r="749">
      <c r="A749" s="26"/>
      <c r="B749" s="26"/>
      <c r="C749" s="26"/>
      <c r="D749" s="27"/>
      <c r="E749" s="27"/>
      <c r="F749" s="26"/>
      <c r="G749" s="28"/>
      <c r="H749" s="28"/>
      <c r="I749" s="28"/>
      <c r="J749" s="28"/>
      <c r="K749" s="28"/>
      <c r="L749" s="28"/>
      <c r="M749" s="28"/>
      <c r="N749" s="26"/>
      <c r="O749" s="29"/>
      <c r="P749" s="27"/>
      <c r="Q749" s="26"/>
      <c r="R749" s="29"/>
      <c r="S749" s="28"/>
      <c r="T749" s="29"/>
      <c r="U749" s="28"/>
      <c r="V749" s="28"/>
      <c r="W749" s="28"/>
      <c r="X749" s="28"/>
      <c r="Y749" s="26"/>
      <c r="Z749" s="29"/>
      <c r="AA749" s="28"/>
      <c r="AB749" s="26"/>
      <c r="AC749" s="29"/>
      <c r="AD749" s="25"/>
      <c r="AE749" s="29"/>
      <c r="AF749" s="25"/>
      <c r="AG749" s="25"/>
      <c r="AH749" s="25"/>
      <c r="AI749" s="25"/>
      <c r="AJ749" s="26"/>
      <c r="AK749" s="29"/>
      <c r="AL749" s="28"/>
      <c r="AM749" s="26"/>
      <c r="AN749" s="29"/>
      <c r="AO749" s="25"/>
      <c r="AP749" s="29"/>
      <c r="AQ749" s="25"/>
      <c r="AR749" s="25"/>
      <c r="AS749" s="25"/>
      <c r="AT749" s="25"/>
      <c r="AU749" s="26"/>
      <c r="AV749" s="26"/>
      <c r="AW749" s="26"/>
      <c r="AX749" s="26"/>
      <c r="AY749" s="26"/>
      <c r="AZ749" s="26"/>
      <c r="BA749" s="26"/>
    </row>
    <row r="750">
      <c r="A750" s="26"/>
      <c r="B750" s="26"/>
      <c r="C750" s="26"/>
      <c r="D750" s="27"/>
      <c r="E750" s="27"/>
      <c r="F750" s="26"/>
      <c r="G750" s="28"/>
      <c r="H750" s="28"/>
      <c r="I750" s="28"/>
      <c r="J750" s="28"/>
      <c r="K750" s="28"/>
      <c r="L750" s="28"/>
      <c r="M750" s="28"/>
      <c r="N750" s="26"/>
      <c r="O750" s="29"/>
      <c r="P750" s="27"/>
      <c r="Q750" s="26"/>
      <c r="R750" s="29"/>
      <c r="S750" s="28"/>
      <c r="T750" s="29"/>
      <c r="U750" s="28"/>
      <c r="V750" s="28"/>
      <c r="W750" s="28"/>
      <c r="X750" s="28"/>
      <c r="Y750" s="26"/>
      <c r="Z750" s="29"/>
      <c r="AA750" s="28"/>
      <c r="AB750" s="26"/>
      <c r="AC750" s="29"/>
      <c r="AD750" s="25"/>
      <c r="AE750" s="29"/>
      <c r="AF750" s="25"/>
      <c r="AG750" s="25"/>
      <c r="AH750" s="25"/>
      <c r="AI750" s="25"/>
      <c r="AJ750" s="26"/>
      <c r="AK750" s="29"/>
      <c r="AL750" s="28"/>
      <c r="AM750" s="26"/>
      <c r="AN750" s="29"/>
      <c r="AO750" s="25"/>
      <c r="AP750" s="29"/>
      <c r="AQ750" s="25"/>
      <c r="AR750" s="25"/>
      <c r="AS750" s="25"/>
      <c r="AT750" s="25"/>
      <c r="AU750" s="26"/>
      <c r="AV750" s="26"/>
      <c r="AW750" s="26"/>
      <c r="AX750" s="26"/>
      <c r="AY750" s="26"/>
      <c r="AZ750" s="26"/>
      <c r="BA750" s="26"/>
    </row>
    <row r="751">
      <c r="A751" s="26"/>
      <c r="B751" s="26"/>
      <c r="C751" s="26"/>
      <c r="D751" s="27"/>
      <c r="E751" s="27"/>
      <c r="F751" s="26"/>
      <c r="G751" s="28"/>
      <c r="H751" s="28"/>
      <c r="I751" s="28"/>
      <c r="J751" s="28"/>
      <c r="K751" s="28"/>
      <c r="L751" s="28"/>
      <c r="M751" s="28"/>
      <c r="N751" s="26"/>
      <c r="O751" s="29"/>
      <c r="P751" s="27"/>
      <c r="Q751" s="26"/>
      <c r="R751" s="29"/>
      <c r="S751" s="28"/>
      <c r="T751" s="29"/>
      <c r="U751" s="28"/>
      <c r="V751" s="28"/>
      <c r="W751" s="28"/>
      <c r="X751" s="28"/>
      <c r="Y751" s="26"/>
      <c r="Z751" s="29"/>
      <c r="AA751" s="28"/>
      <c r="AB751" s="26"/>
      <c r="AC751" s="29"/>
      <c r="AD751" s="25"/>
      <c r="AE751" s="29"/>
      <c r="AF751" s="25"/>
      <c r="AG751" s="25"/>
      <c r="AH751" s="25"/>
      <c r="AI751" s="25"/>
      <c r="AJ751" s="26"/>
      <c r="AK751" s="29"/>
      <c r="AL751" s="28"/>
      <c r="AM751" s="26"/>
      <c r="AN751" s="29"/>
      <c r="AO751" s="25"/>
      <c r="AP751" s="29"/>
      <c r="AQ751" s="25"/>
      <c r="AR751" s="25"/>
      <c r="AS751" s="25"/>
      <c r="AT751" s="25"/>
      <c r="AU751" s="26"/>
      <c r="AV751" s="26"/>
      <c r="AW751" s="26"/>
      <c r="AX751" s="26"/>
      <c r="AY751" s="26"/>
      <c r="AZ751" s="26"/>
      <c r="BA751" s="26"/>
    </row>
    <row r="752">
      <c r="A752" s="26"/>
      <c r="B752" s="26"/>
      <c r="C752" s="26"/>
      <c r="D752" s="27"/>
      <c r="E752" s="27"/>
      <c r="F752" s="26"/>
      <c r="G752" s="28"/>
      <c r="H752" s="28"/>
      <c r="I752" s="28"/>
      <c r="J752" s="28"/>
      <c r="K752" s="28"/>
      <c r="L752" s="28"/>
      <c r="M752" s="28"/>
      <c r="N752" s="26"/>
      <c r="O752" s="29"/>
      <c r="P752" s="27"/>
      <c r="Q752" s="26"/>
      <c r="R752" s="29"/>
      <c r="S752" s="28"/>
      <c r="T752" s="29"/>
      <c r="U752" s="28"/>
      <c r="V752" s="28"/>
      <c r="W752" s="28"/>
      <c r="X752" s="28"/>
      <c r="Y752" s="26"/>
      <c r="Z752" s="29"/>
      <c r="AA752" s="28"/>
      <c r="AB752" s="26"/>
      <c r="AC752" s="29"/>
      <c r="AD752" s="25"/>
      <c r="AE752" s="29"/>
      <c r="AF752" s="25"/>
      <c r="AG752" s="25"/>
      <c r="AH752" s="25"/>
      <c r="AI752" s="25"/>
      <c r="AJ752" s="26"/>
      <c r="AK752" s="29"/>
      <c r="AL752" s="28"/>
      <c r="AM752" s="26"/>
      <c r="AN752" s="29"/>
      <c r="AO752" s="25"/>
      <c r="AP752" s="29"/>
      <c r="AQ752" s="25"/>
      <c r="AR752" s="25"/>
      <c r="AS752" s="25"/>
      <c r="AT752" s="25"/>
      <c r="AU752" s="26"/>
      <c r="AV752" s="26"/>
      <c r="AW752" s="26"/>
      <c r="AX752" s="26"/>
      <c r="AY752" s="26"/>
      <c r="AZ752" s="26"/>
      <c r="BA752" s="26"/>
    </row>
    <row r="753">
      <c r="A753" s="26"/>
      <c r="B753" s="26"/>
      <c r="C753" s="26"/>
      <c r="D753" s="27"/>
      <c r="E753" s="27"/>
      <c r="F753" s="26"/>
      <c r="G753" s="28"/>
      <c r="H753" s="28"/>
      <c r="I753" s="28"/>
      <c r="J753" s="28"/>
      <c r="K753" s="28"/>
      <c r="L753" s="28"/>
      <c r="M753" s="28"/>
      <c r="N753" s="26"/>
      <c r="O753" s="29"/>
      <c r="P753" s="27"/>
      <c r="Q753" s="26"/>
      <c r="R753" s="29"/>
      <c r="S753" s="28"/>
      <c r="T753" s="29"/>
      <c r="U753" s="28"/>
      <c r="V753" s="28"/>
      <c r="W753" s="28"/>
      <c r="X753" s="28"/>
      <c r="Y753" s="26"/>
      <c r="Z753" s="29"/>
      <c r="AA753" s="28"/>
      <c r="AB753" s="26"/>
      <c r="AC753" s="29"/>
      <c r="AD753" s="25"/>
      <c r="AE753" s="29"/>
      <c r="AF753" s="25"/>
      <c r="AG753" s="25"/>
      <c r="AH753" s="25"/>
      <c r="AI753" s="25"/>
      <c r="AJ753" s="26"/>
      <c r="AK753" s="29"/>
      <c r="AL753" s="28"/>
      <c r="AM753" s="26"/>
      <c r="AN753" s="29"/>
      <c r="AO753" s="25"/>
      <c r="AP753" s="29"/>
      <c r="AQ753" s="25"/>
      <c r="AR753" s="25"/>
      <c r="AS753" s="25"/>
      <c r="AT753" s="25"/>
      <c r="AU753" s="26"/>
      <c r="AV753" s="26"/>
      <c r="AW753" s="26"/>
      <c r="AX753" s="26"/>
      <c r="AY753" s="26"/>
      <c r="AZ753" s="26"/>
      <c r="BA753" s="26"/>
    </row>
    <row r="754">
      <c r="A754" s="26"/>
      <c r="B754" s="26"/>
      <c r="C754" s="26"/>
      <c r="D754" s="27"/>
      <c r="E754" s="27"/>
      <c r="F754" s="26"/>
      <c r="G754" s="28"/>
      <c r="H754" s="28"/>
      <c r="I754" s="28"/>
      <c r="J754" s="28"/>
      <c r="K754" s="28"/>
      <c r="L754" s="28"/>
      <c r="M754" s="28"/>
      <c r="N754" s="26"/>
      <c r="O754" s="29"/>
      <c r="P754" s="27"/>
      <c r="Q754" s="26"/>
      <c r="R754" s="29"/>
      <c r="S754" s="28"/>
      <c r="T754" s="29"/>
      <c r="U754" s="28"/>
      <c r="V754" s="28"/>
      <c r="W754" s="28"/>
      <c r="X754" s="28"/>
      <c r="Y754" s="26"/>
      <c r="Z754" s="29"/>
      <c r="AA754" s="28"/>
      <c r="AB754" s="26"/>
      <c r="AC754" s="29"/>
      <c r="AD754" s="25"/>
      <c r="AE754" s="29"/>
      <c r="AF754" s="25"/>
      <c r="AG754" s="25"/>
      <c r="AH754" s="25"/>
      <c r="AI754" s="25"/>
      <c r="AJ754" s="26"/>
      <c r="AK754" s="29"/>
      <c r="AL754" s="28"/>
      <c r="AM754" s="26"/>
      <c r="AN754" s="29"/>
      <c r="AO754" s="25"/>
      <c r="AP754" s="29"/>
      <c r="AQ754" s="25"/>
      <c r="AR754" s="25"/>
      <c r="AS754" s="25"/>
      <c r="AT754" s="25"/>
      <c r="AU754" s="26"/>
      <c r="AV754" s="26"/>
      <c r="AW754" s="26"/>
      <c r="AX754" s="26"/>
      <c r="AY754" s="26"/>
      <c r="AZ754" s="26"/>
      <c r="BA754" s="26"/>
    </row>
    <row r="755">
      <c r="A755" s="26"/>
      <c r="B755" s="26"/>
      <c r="C755" s="26"/>
      <c r="D755" s="27"/>
      <c r="E755" s="27"/>
      <c r="F755" s="26"/>
      <c r="G755" s="28"/>
      <c r="H755" s="28"/>
      <c r="I755" s="28"/>
      <c r="J755" s="28"/>
      <c r="K755" s="28"/>
      <c r="L755" s="28"/>
      <c r="M755" s="28"/>
      <c r="N755" s="26"/>
      <c r="O755" s="29"/>
      <c r="P755" s="27"/>
      <c r="Q755" s="26"/>
      <c r="R755" s="29"/>
      <c r="S755" s="28"/>
      <c r="T755" s="29"/>
      <c r="U755" s="28"/>
      <c r="V755" s="28"/>
      <c r="W755" s="28"/>
      <c r="X755" s="28"/>
      <c r="Y755" s="26"/>
      <c r="Z755" s="29"/>
      <c r="AA755" s="28"/>
      <c r="AB755" s="26"/>
      <c r="AC755" s="29"/>
      <c r="AD755" s="25"/>
      <c r="AE755" s="29"/>
      <c r="AF755" s="25"/>
      <c r="AG755" s="25"/>
      <c r="AH755" s="25"/>
      <c r="AI755" s="25"/>
      <c r="AJ755" s="26"/>
      <c r="AK755" s="29"/>
      <c r="AL755" s="28"/>
      <c r="AM755" s="26"/>
      <c r="AN755" s="29"/>
      <c r="AO755" s="25"/>
      <c r="AP755" s="29"/>
      <c r="AQ755" s="25"/>
      <c r="AR755" s="25"/>
      <c r="AS755" s="25"/>
      <c r="AT755" s="25"/>
      <c r="AU755" s="26"/>
      <c r="AV755" s="26"/>
      <c r="AW755" s="26"/>
      <c r="AX755" s="26"/>
      <c r="AY755" s="26"/>
      <c r="AZ755" s="26"/>
      <c r="BA755" s="26"/>
    </row>
    <row r="756">
      <c r="A756" s="26"/>
      <c r="B756" s="26"/>
      <c r="C756" s="26"/>
      <c r="D756" s="27"/>
      <c r="E756" s="27"/>
      <c r="F756" s="26"/>
      <c r="G756" s="28"/>
      <c r="H756" s="28"/>
      <c r="I756" s="28"/>
      <c r="J756" s="28"/>
      <c r="K756" s="28"/>
      <c r="L756" s="28"/>
      <c r="M756" s="28"/>
      <c r="N756" s="26"/>
      <c r="O756" s="29"/>
      <c r="P756" s="27"/>
      <c r="Q756" s="26"/>
      <c r="R756" s="29"/>
      <c r="S756" s="28"/>
      <c r="T756" s="29"/>
      <c r="U756" s="28"/>
      <c r="V756" s="28"/>
      <c r="W756" s="28"/>
      <c r="X756" s="28"/>
      <c r="Y756" s="26"/>
      <c r="Z756" s="29"/>
      <c r="AA756" s="28"/>
      <c r="AB756" s="26"/>
      <c r="AC756" s="29"/>
      <c r="AD756" s="25"/>
      <c r="AE756" s="29"/>
      <c r="AF756" s="25"/>
      <c r="AG756" s="25"/>
      <c r="AH756" s="25"/>
      <c r="AI756" s="25"/>
      <c r="AJ756" s="26"/>
      <c r="AK756" s="29"/>
      <c r="AL756" s="28"/>
      <c r="AM756" s="26"/>
      <c r="AN756" s="29"/>
      <c r="AO756" s="25"/>
      <c r="AP756" s="29"/>
      <c r="AQ756" s="25"/>
      <c r="AR756" s="25"/>
      <c r="AS756" s="25"/>
      <c r="AT756" s="25"/>
      <c r="AU756" s="26"/>
      <c r="AV756" s="26"/>
      <c r="AW756" s="26"/>
      <c r="AX756" s="26"/>
      <c r="AY756" s="26"/>
      <c r="AZ756" s="26"/>
      <c r="BA756" s="26"/>
    </row>
    <row r="757">
      <c r="A757" s="26"/>
      <c r="B757" s="26"/>
      <c r="C757" s="26"/>
      <c r="D757" s="27"/>
      <c r="E757" s="27"/>
      <c r="F757" s="26"/>
      <c r="G757" s="28"/>
      <c r="H757" s="28"/>
      <c r="I757" s="28"/>
      <c r="J757" s="28"/>
      <c r="K757" s="28"/>
      <c r="L757" s="28"/>
      <c r="M757" s="28"/>
      <c r="N757" s="26"/>
      <c r="O757" s="29"/>
      <c r="P757" s="27"/>
      <c r="Q757" s="26"/>
      <c r="R757" s="29"/>
      <c r="S757" s="28"/>
      <c r="T757" s="29"/>
      <c r="U757" s="28"/>
      <c r="V757" s="28"/>
      <c r="W757" s="28"/>
      <c r="X757" s="28"/>
      <c r="Y757" s="26"/>
      <c r="Z757" s="29"/>
      <c r="AA757" s="28"/>
      <c r="AB757" s="26"/>
      <c r="AC757" s="29"/>
      <c r="AD757" s="25"/>
      <c r="AE757" s="29"/>
      <c r="AF757" s="25"/>
      <c r="AG757" s="25"/>
      <c r="AH757" s="25"/>
      <c r="AI757" s="25"/>
      <c r="AJ757" s="26"/>
      <c r="AK757" s="29"/>
      <c r="AL757" s="28"/>
      <c r="AM757" s="26"/>
      <c r="AN757" s="29"/>
      <c r="AO757" s="25"/>
      <c r="AP757" s="29"/>
      <c r="AQ757" s="25"/>
      <c r="AR757" s="25"/>
      <c r="AS757" s="25"/>
      <c r="AT757" s="25"/>
      <c r="AU757" s="26"/>
      <c r="AV757" s="26"/>
      <c r="AW757" s="26"/>
      <c r="AX757" s="26"/>
      <c r="AY757" s="26"/>
      <c r="AZ757" s="26"/>
      <c r="BA757" s="26"/>
    </row>
    <row r="758">
      <c r="A758" s="26"/>
      <c r="B758" s="26"/>
      <c r="C758" s="26"/>
      <c r="D758" s="27"/>
      <c r="E758" s="27"/>
      <c r="F758" s="26"/>
      <c r="G758" s="28"/>
      <c r="H758" s="28"/>
      <c r="I758" s="28"/>
      <c r="J758" s="28"/>
      <c r="K758" s="28"/>
      <c r="L758" s="28"/>
      <c r="M758" s="28"/>
      <c r="N758" s="26"/>
      <c r="O758" s="29"/>
      <c r="P758" s="27"/>
      <c r="Q758" s="26"/>
      <c r="R758" s="29"/>
      <c r="S758" s="28"/>
      <c r="T758" s="29"/>
      <c r="U758" s="28"/>
      <c r="V758" s="28"/>
      <c r="W758" s="28"/>
      <c r="X758" s="28"/>
      <c r="Y758" s="26"/>
      <c r="Z758" s="29"/>
      <c r="AA758" s="28"/>
      <c r="AB758" s="26"/>
      <c r="AC758" s="29"/>
      <c r="AD758" s="25"/>
      <c r="AE758" s="29"/>
      <c r="AF758" s="25"/>
      <c r="AG758" s="25"/>
      <c r="AH758" s="25"/>
      <c r="AI758" s="25"/>
      <c r="AJ758" s="26"/>
      <c r="AK758" s="29"/>
      <c r="AL758" s="28"/>
      <c r="AM758" s="26"/>
      <c r="AN758" s="29"/>
      <c r="AO758" s="25"/>
      <c r="AP758" s="29"/>
      <c r="AQ758" s="25"/>
      <c r="AR758" s="25"/>
      <c r="AS758" s="25"/>
      <c r="AT758" s="25"/>
      <c r="AU758" s="26"/>
      <c r="AV758" s="26"/>
      <c r="AW758" s="26"/>
      <c r="AX758" s="26"/>
      <c r="AY758" s="26"/>
      <c r="AZ758" s="26"/>
      <c r="BA758" s="26"/>
    </row>
    <row r="759">
      <c r="A759" s="26"/>
      <c r="B759" s="26"/>
      <c r="C759" s="26"/>
      <c r="D759" s="27"/>
      <c r="E759" s="27"/>
      <c r="F759" s="26"/>
      <c r="G759" s="28"/>
      <c r="H759" s="28"/>
      <c r="I759" s="28"/>
      <c r="J759" s="28"/>
      <c r="K759" s="28"/>
      <c r="L759" s="28"/>
      <c r="M759" s="28"/>
      <c r="N759" s="26"/>
      <c r="O759" s="29"/>
      <c r="P759" s="27"/>
      <c r="Q759" s="26"/>
      <c r="R759" s="29"/>
      <c r="S759" s="28"/>
      <c r="T759" s="29"/>
      <c r="U759" s="28"/>
      <c r="V759" s="28"/>
      <c r="W759" s="28"/>
      <c r="X759" s="28"/>
      <c r="Y759" s="26"/>
      <c r="Z759" s="29"/>
      <c r="AA759" s="28"/>
      <c r="AB759" s="26"/>
      <c r="AC759" s="29"/>
      <c r="AD759" s="25"/>
      <c r="AE759" s="29"/>
      <c r="AF759" s="25"/>
      <c r="AG759" s="25"/>
      <c r="AH759" s="25"/>
      <c r="AI759" s="25"/>
      <c r="AJ759" s="26"/>
      <c r="AK759" s="29"/>
      <c r="AL759" s="28"/>
      <c r="AM759" s="26"/>
      <c r="AN759" s="29"/>
      <c r="AO759" s="25"/>
      <c r="AP759" s="29"/>
      <c r="AQ759" s="25"/>
      <c r="AR759" s="25"/>
      <c r="AS759" s="25"/>
      <c r="AT759" s="25"/>
      <c r="AU759" s="26"/>
      <c r="AV759" s="26"/>
      <c r="AW759" s="26"/>
      <c r="AX759" s="26"/>
      <c r="AY759" s="26"/>
      <c r="AZ759" s="26"/>
      <c r="BA759" s="26"/>
    </row>
    <row r="760">
      <c r="A760" s="26"/>
      <c r="B760" s="26"/>
      <c r="C760" s="26"/>
      <c r="D760" s="27"/>
      <c r="E760" s="27"/>
      <c r="F760" s="26"/>
      <c r="G760" s="28"/>
      <c r="H760" s="28"/>
      <c r="I760" s="28"/>
      <c r="J760" s="28"/>
      <c r="K760" s="28"/>
      <c r="L760" s="28"/>
      <c r="M760" s="28"/>
      <c r="N760" s="26"/>
      <c r="O760" s="29"/>
      <c r="P760" s="27"/>
      <c r="Q760" s="26"/>
      <c r="R760" s="29"/>
      <c r="S760" s="28"/>
      <c r="T760" s="29"/>
      <c r="U760" s="28"/>
      <c r="V760" s="28"/>
      <c r="W760" s="28"/>
      <c r="X760" s="28"/>
      <c r="Y760" s="26"/>
      <c r="Z760" s="29"/>
      <c r="AA760" s="28"/>
      <c r="AB760" s="26"/>
      <c r="AC760" s="29"/>
      <c r="AD760" s="25"/>
      <c r="AE760" s="29"/>
      <c r="AF760" s="25"/>
      <c r="AG760" s="25"/>
      <c r="AH760" s="25"/>
      <c r="AI760" s="25"/>
      <c r="AJ760" s="26"/>
      <c r="AK760" s="29"/>
      <c r="AL760" s="28"/>
      <c r="AM760" s="26"/>
      <c r="AN760" s="29"/>
      <c r="AO760" s="25"/>
      <c r="AP760" s="29"/>
      <c r="AQ760" s="25"/>
      <c r="AR760" s="25"/>
      <c r="AS760" s="25"/>
      <c r="AT760" s="25"/>
      <c r="AU760" s="26"/>
      <c r="AV760" s="26"/>
      <c r="AW760" s="26"/>
      <c r="AX760" s="26"/>
      <c r="AY760" s="26"/>
      <c r="AZ760" s="26"/>
      <c r="BA760" s="26"/>
    </row>
    <row r="761">
      <c r="A761" s="26"/>
      <c r="B761" s="26"/>
      <c r="C761" s="26"/>
      <c r="D761" s="27"/>
      <c r="E761" s="27"/>
      <c r="F761" s="26"/>
      <c r="G761" s="28"/>
      <c r="H761" s="28"/>
      <c r="I761" s="28"/>
      <c r="J761" s="28"/>
      <c r="K761" s="28"/>
      <c r="L761" s="28"/>
      <c r="M761" s="28"/>
      <c r="N761" s="26"/>
      <c r="O761" s="29"/>
      <c r="P761" s="27"/>
      <c r="Q761" s="26"/>
      <c r="R761" s="29"/>
      <c r="S761" s="28"/>
      <c r="T761" s="29"/>
      <c r="U761" s="28"/>
      <c r="V761" s="28"/>
      <c r="W761" s="28"/>
      <c r="X761" s="28"/>
      <c r="Y761" s="26"/>
      <c r="Z761" s="29"/>
      <c r="AA761" s="28"/>
      <c r="AB761" s="26"/>
      <c r="AC761" s="29"/>
      <c r="AD761" s="25"/>
      <c r="AE761" s="29"/>
      <c r="AF761" s="25"/>
      <c r="AG761" s="25"/>
      <c r="AH761" s="25"/>
      <c r="AI761" s="25"/>
      <c r="AJ761" s="26"/>
      <c r="AK761" s="29"/>
      <c r="AL761" s="28"/>
      <c r="AM761" s="26"/>
      <c r="AN761" s="29"/>
      <c r="AO761" s="25"/>
      <c r="AP761" s="29"/>
      <c r="AQ761" s="25"/>
      <c r="AR761" s="25"/>
      <c r="AS761" s="25"/>
      <c r="AT761" s="25"/>
      <c r="AU761" s="26"/>
      <c r="AV761" s="26"/>
      <c r="AW761" s="26"/>
      <c r="AX761" s="26"/>
      <c r="AY761" s="26"/>
      <c r="AZ761" s="26"/>
      <c r="BA761" s="26"/>
    </row>
    <row r="762">
      <c r="A762" s="26"/>
      <c r="B762" s="26"/>
      <c r="C762" s="26"/>
      <c r="D762" s="27"/>
      <c r="E762" s="27"/>
      <c r="F762" s="26"/>
      <c r="G762" s="28"/>
      <c r="H762" s="28"/>
      <c r="I762" s="28"/>
      <c r="J762" s="28"/>
      <c r="K762" s="28"/>
      <c r="L762" s="28"/>
      <c r="M762" s="28"/>
      <c r="N762" s="26"/>
      <c r="O762" s="29"/>
      <c r="P762" s="27"/>
      <c r="Q762" s="26"/>
      <c r="R762" s="29"/>
      <c r="S762" s="28"/>
      <c r="T762" s="29"/>
      <c r="U762" s="28"/>
      <c r="V762" s="28"/>
      <c r="W762" s="28"/>
      <c r="X762" s="28"/>
      <c r="Y762" s="26"/>
      <c r="Z762" s="29"/>
      <c r="AA762" s="28"/>
      <c r="AB762" s="26"/>
      <c r="AC762" s="29"/>
      <c r="AD762" s="25"/>
      <c r="AE762" s="29"/>
      <c r="AF762" s="25"/>
      <c r="AG762" s="25"/>
      <c r="AH762" s="25"/>
      <c r="AI762" s="25"/>
      <c r="AJ762" s="26"/>
      <c r="AK762" s="29"/>
      <c r="AL762" s="28"/>
      <c r="AM762" s="26"/>
      <c r="AN762" s="29"/>
      <c r="AO762" s="25"/>
      <c r="AP762" s="29"/>
      <c r="AQ762" s="25"/>
      <c r="AR762" s="25"/>
      <c r="AS762" s="25"/>
      <c r="AT762" s="25"/>
      <c r="AU762" s="26"/>
      <c r="AV762" s="26"/>
      <c r="AW762" s="26"/>
      <c r="AX762" s="26"/>
      <c r="AY762" s="26"/>
      <c r="AZ762" s="26"/>
      <c r="BA762" s="26"/>
    </row>
    <row r="763">
      <c r="A763" s="26"/>
      <c r="B763" s="26"/>
      <c r="C763" s="26"/>
      <c r="D763" s="27"/>
      <c r="E763" s="27"/>
      <c r="F763" s="26"/>
      <c r="G763" s="28"/>
      <c r="H763" s="28"/>
      <c r="I763" s="28"/>
      <c r="J763" s="28"/>
      <c r="K763" s="28"/>
      <c r="L763" s="28"/>
      <c r="M763" s="28"/>
      <c r="N763" s="26"/>
      <c r="O763" s="29"/>
      <c r="P763" s="27"/>
      <c r="Q763" s="26"/>
      <c r="R763" s="29"/>
      <c r="S763" s="28"/>
      <c r="T763" s="29"/>
      <c r="U763" s="28"/>
      <c r="V763" s="28"/>
      <c r="W763" s="28"/>
      <c r="X763" s="28"/>
      <c r="Y763" s="26"/>
      <c r="Z763" s="29"/>
      <c r="AA763" s="28"/>
      <c r="AB763" s="26"/>
      <c r="AC763" s="29"/>
      <c r="AD763" s="25"/>
      <c r="AE763" s="29"/>
      <c r="AF763" s="25"/>
      <c r="AG763" s="25"/>
      <c r="AH763" s="25"/>
      <c r="AI763" s="25"/>
      <c r="AJ763" s="26"/>
      <c r="AK763" s="29"/>
      <c r="AL763" s="28"/>
      <c r="AM763" s="26"/>
      <c r="AN763" s="29"/>
      <c r="AO763" s="25"/>
      <c r="AP763" s="29"/>
      <c r="AQ763" s="25"/>
      <c r="AR763" s="25"/>
      <c r="AS763" s="25"/>
      <c r="AT763" s="25"/>
      <c r="AU763" s="26"/>
      <c r="AV763" s="26"/>
      <c r="AW763" s="26"/>
      <c r="AX763" s="26"/>
      <c r="AY763" s="26"/>
      <c r="AZ763" s="26"/>
      <c r="BA763" s="26"/>
    </row>
    <row r="764">
      <c r="A764" s="26"/>
      <c r="B764" s="26"/>
      <c r="C764" s="26"/>
      <c r="D764" s="27"/>
      <c r="E764" s="27"/>
      <c r="F764" s="26"/>
      <c r="G764" s="28"/>
      <c r="H764" s="28"/>
      <c r="I764" s="28"/>
      <c r="J764" s="28"/>
      <c r="K764" s="28"/>
      <c r="L764" s="28"/>
      <c r="M764" s="28"/>
      <c r="N764" s="26"/>
      <c r="O764" s="29"/>
      <c r="P764" s="27"/>
      <c r="Q764" s="26"/>
      <c r="R764" s="29"/>
      <c r="S764" s="28"/>
      <c r="T764" s="29"/>
      <c r="U764" s="28"/>
      <c r="V764" s="28"/>
      <c r="W764" s="28"/>
      <c r="X764" s="28"/>
      <c r="Y764" s="26"/>
      <c r="Z764" s="29"/>
      <c r="AA764" s="28"/>
      <c r="AB764" s="26"/>
      <c r="AC764" s="29"/>
      <c r="AD764" s="25"/>
      <c r="AE764" s="29"/>
      <c r="AF764" s="25"/>
      <c r="AG764" s="25"/>
      <c r="AH764" s="25"/>
      <c r="AI764" s="25"/>
      <c r="AJ764" s="26"/>
      <c r="AK764" s="29"/>
      <c r="AL764" s="28"/>
      <c r="AM764" s="26"/>
      <c r="AN764" s="29"/>
      <c r="AO764" s="25"/>
      <c r="AP764" s="29"/>
      <c r="AQ764" s="25"/>
      <c r="AR764" s="25"/>
      <c r="AS764" s="25"/>
      <c r="AT764" s="25"/>
      <c r="AU764" s="26"/>
      <c r="AV764" s="26"/>
      <c r="AW764" s="26"/>
      <c r="AX764" s="26"/>
      <c r="AY764" s="26"/>
      <c r="AZ764" s="26"/>
      <c r="BA764" s="26"/>
    </row>
    <row r="765">
      <c r="A765" s="26"/>
      <c r="B765" s="26"/>
      <c r="C765" s="26"/>
      <c r="D765" s="27"/>
      <c r="E765" s="27"/>
      <c r="F765" s="26"/>
      <c r="G765" s="28"/>
      <c r="H765" s="28"/>
      <c r="I765" s="28"/>
      <c r="J765" s="28"/>
      <c r="K765" s="28"/>
      <c r="L765" s="28"/>
      <c r="M765" s="28"/>
      <c r="N765" s="26"/>
      <c r="O765" s="29"/>
      <c r="P765" s="27"/>
      <c r="Q765" s="26"/>
      <c r="R765" s="29"/>
      <c r="S765" s="28"/>
      <c r="T765" s="29"/>
      <c r="U765" s="28"/>
      <c r="V765" s="28"/>
      <c r="W765" s="28"/>
      <c r="X765" s="28"/>
      <c r="Y765" s="26"/>
      <c r="Z765" s="29"/>
      <c r="AA765" s="28"/>
      <c r="AB765" s="26"/>
      <c r="AC765" s="29"/>
      <c r="AD765" s="25"/>
      <c r="AE765" s="29"/>
      <c r="AF765" s="25"/>
      <c r="AG765" s="25"/>
      <c r="AH765" s="25"/>
      <c r="AI765" s="25"/>
      <c r="AJ765" s="26"/>
      <c r="AK765" s="29"/>
      <c r="AL765" s="28"/>
      <c r="AM765" s="26"/>
      <c r="AN765" s="29"/>
      <c r="AO765" s="25"/>
      <c r="AP765" s="29"/>
      <c r="AQ765" s="25"/>
      <c r="AR765" s="25"/>
      <c r="AS765" s="25"/>
      <c r="AT765" s="25"/>
      <c r="AU765" s="26"/>
      <c r="AV765" s="26"/>
      <c r="AW765" s="26"/>
      <c r="AX765" s="26"/>
      <c r="AY765" s="26"/>
      <c r="AZ765" s="26"/>
      <c r="BA765" s="26"/>
    </row>
    <row r="766">
      <c r="A766" s="26"/>
      <c r="B766" s="26"/>
      <c r="C766" s="26"/>
      <c r="D766" s="27"/>
      <c r="E766" s="27"/>
      <c r="F766" s="26"/>
      <c r="G766" s="28"/>
      <c r="H766" s="28"/>
      <c r="I766" s="28"/>
      <c r="J766" s="28"/>
      <c r="K766" s="28"/>
      <c r="L766" s="28"/>
      <c r="M766" s="28"/>
      <c r="N766" s="26"/>
      <c r="O766" s="29"/>
      <c r="P766" s="27"/>
      <c r="Q766" s="26"/>
      <c r="R766" s="29"/>
      <c r="S766" s="28"/>
      <c r="T766" s="29"/>
      <c r="U766" s="28"/>
      <c r="V766" s="28"/>
      <c r="W766" s="28"/>
      <c r="X766" s="28"/>
      <c r="Y766" s="26"/>
      <c r="Z766" s="29"/>
      <c r="AA766" s="28"/>
      <c r="AB766" s="26"/>
      <c r="AC766" s="29"/>
      <c r="AD766" s="25"/>
      <c r="AE766" s="29"/>
      <c r="AF766" s="25"/>
      <c r="AG766" s="25"/>
      <c r="AH766" s="25"/>
      <c r="AI766" s="25"/>
      <c r="AJ766" s="26"/>
      <c r="AK766" s="29"/>
      <c r="AL766" s="28"/>
      <c r="AM766" s="26"/>
      <c r="AN766" s="29"/>
      <c r="AO766" s="25"/>
      <c r="AP766" s="29"/>
      <c r="AQ766" s="25"/>
      <c r="AR766" s="25"/>
      <c r="AS766" s="25"/>
      <c r="AT766" s="25"/>
      <c r="AU766" s="26"/>
      <c r="AV766" s="26"/>
      <c r="AW766" s="26"/>
      <c r="AX766" s="26"/>
      <c r="AY766" s="26"/>
      <c r="AZ766" s="26"/>
      <c r="BA766" s="26"/>
    </row>
    <row r="767">
      <c r="A767" s="26"/>
      <c r="B767" s="26"/>
      <c r="C767" s="26"/>
      <c r="D767" s="27"/>
      <c r="E767" s="27"/>
      <c r="F767" s="26"/>
      <c r="G767" s="28"/>
      <c r="H767" s="28"/>
      <c r="I767" s="28"/>
      <c r="J767" s="28"/>
      <c r="K767" s="28"/>
      <c r="L767" s="28"/>
      <c r="M767" s="28"/>
      <c r="N767" s="26"/>
      <c r="O767" s="29"/>
      <c r="P767" s="27"/>
      <c r="Q767" s="26"/>
      <c r="R767" s="29"/>
      <c r="S767" s="28"/>
      <c r="T767" s="29"/>
      <c r="U767" s="28"/>
      <c r="V767" s="28"/>
      <c r="W767" s="28"/>
      <c r="X767" s="28"/>
      <c r="Y767" s="26"/>
      <c r="Z767" s="29"/>
      <c r="AA767" s="28"/>
      <c r="AB767" s="26"/>
      <c r="AC767" s="29"/>
      <c r="AD767" s="25"/>
      <c r="AE767" s="29"/>
      <c r="AF767" s="25"/>
      <c r="AG767" s="25"/>
      <c r="AH767" s="25"/>
      <c r="AI767" s="25"/>
      <c r="AJ767" s="26"/>
      <c r="AK767" s="29"/>
      <c r="AL767" s="28"/>
      <c r="AM767" s="26"/>
      <c r="AN767" s="29"/>
      <c r="AO767" s="25"/>
      <c r="AP767" s="29"/>
      <c r="AQ767" s="25"/>
      <c r="AR767" s="25"/>
      <c r="AS767" s="25"/>
      <c r="AT767" s="25"/>
      <c r="AU767" s="26"/>
      <c r="AV767" s="26"/>
      <c r="AW767" s="26"/>
      <c r="AX767" s="26"/>
      <c r="AY767" s="26"/>
      <c r="AZ767" s="26"/>
      <c r="BA767" s="26"/>
    </row>
    <row r="768">
      <c r="A768" s="26"/>
      <c r="B768" s="26"/>
      <c r="C768" s="26"/>
      <c r="D768" s="27"/>
      <c r="E768" s="27"/>
      <c r="F768" s="26"/>
      <c r="G768" s="28"/>
      <c r="H768" s="28"/>
      <c r="I768" s="28"/>
      <c r="J768" s="28"/>
      <c r="K768" s="28"/>
      <c r="L768" s="28"/>
      <c r="M768" s="28"/>
      <c r="N768" s="26"/>
      <c r="O768" s="29"/>
      <c r="P768" s="27"/>
      <c r="Q768" s="26"/>
      <c r="R768" s="29"/>
      <c r="S768" s="28"/>
      <c r="T768" s="29"/>
      <c r="U768" s="28"/>
      <c r="V768" s="28"/>
      <c r="W768" s="28"/>
      <c r="X768" s="28"/>
      <c r="Y768" s="26"/>
      <c r="Z768" s="29"/>
      <c r="AA768" s="28"/>
      <c r="AB768" s="26"/>
      <c r="AC768" s="29"/>
      <c r="AD768" s="25"/>
      <c r="AE768" s="29"/>
      <c r="AF768" s="25"/>
      <c r="AG768" s="25"/>
      <c r="AH768" s="25"/>
      <c r="AI768" s="25"/>
      <c r="AJ768" s="26"/>
      <c r="AK768" s="29"/>
      <c r="AL768" s="28"/>
      <c r="AM768" s="26"/>
      <c r="AN768" s="29"/>
      <c r="AO768" s="25"/>
      <c r="AP768" s="29"/>
      <c r="AQ768" s="25"/>
      <c r="AR768" s="25"/>
      <c r="AS768" s="25"/>
      <c r="AT768" s="25"/>
      <c r="AU768" s="26"/>
      <c r="AV768" s="26"/>
      <c r="AW768" s="26"/>
      <c r="AX768" s="26"/>
      <c r="AY768" s="26"/>
      <c r="AZ768" s="26"/>
      <c r="BA768" s="26"/>
    </row>
    <row r="769">
      <c r="A769" s="26"/>
      <c r="B769" s="26"/>
      <c r="C769" s="26"/>
      <c r="D769" s="27"/>
      <c r="E769" s="27"/>
      <c r="F769" s="26"/>
      <c r="G769" s="28"/>
      <c r="H769" s="28"/>
      <c r="I769" s="28"/>
      <c r="J769" s="28"/>
      <c r="K769" s="28"/>
      <c r="L769" s="28"/>
      <c r="M769" s="28"/>
      <c r="N769" s="26"/>
      <c r="O769" s="29"/>
      <c r="P769" s="27"/>
      <c r="Q769" s="26"/>
      <c r="R769" s="29"/>
      <c r="S769" s="28"/>
      <c r="T769" s="29"/>
      <c r="U769" s="28"/>
      <c r="V769" s="28"/>
      <c r="W769" s="28"/>
      <c r="X769" s="28"/>
      <c r="Y769" s="26"/>
      <c r="Z769" s="29"/>
      <c r="AA769" s="28"/>
      <c r="AB769" s="26"/>
      <c r="AC769" s="29"/>
      <c r="AD769" s="25"/>
      <c r="AE769" s="29"/>
      <c r="AF769" s="25"/>
      <c r="AG769" s="25"/>
      <c r="AH769" s="25"/>
      <c r="AI769" s="25"/>
      <c r="AJ769" s="26"/>
      <c r="AK769" s="29"/>
      <c r="AL769" s="28"/>
      <c r="AM769" s="26"/>
      <c r="AN769" s="29"/>
      <c r="AO769" s="25"/>
      <c r="AP769" s="29"/>
      <c r="AQ769" s="25"/>
      <c r="AR769" s="25"/>
      <c r="AS769" s="25"/>
      <c r="AT769" s="25"/>
      <c r="AU769" s="26"/>
      <c r="AV769" s="26"/>
      <c r="AW769" s="26"/>
      <c r="AX769" s="26"/>
      <c r="AY769" s="26"/>
      <c r="AZ769" s="26"/>
      <c r="BA769" s="26"/>
    </row>
    <row r="770">
      <c r="A770" s="26"/>
      <c r="B770" s="26"/>
      <c r="C770" s="26"/>
      <c r="D770" s="27"/>
      <c r="E770" s="27"/>
      <c r="F770" s="26"/>
      <c r="G770" s="28"/>
      <c r="H770" s="28"/>
      <c r="I770" s="28"/>
      <c r="J770" s="28"/>
      <c r="K770" s="28"/>
      <c r="L770" s="28"/>
      <c r="M770" s="28"/>
      <c r="N770" s="26"/>
      <c r="O770" s="29"/>
      <c r="P770" s="27"/>
      <c r="Q770" s="26"/>
      <c r="R770" s="29"/>
      <c r="S770" s="28"/>
      <c r="T770" s="29"/>
      <c r="U770" s="28"/>
      <c r="V770" s="28"/>
      <c r="W770" s="28"/>
      <c r="X770" s="28"/>
      <c r="Y770" s="26"/>
      <c r="Z770" s="29"/>
      <c r="AA770" s="28"/>
      <c r="AB770" s="26"/>
      <c r="AC770" s="29"/>
      <c r="AD770" s="25"/>
      <c r="AE770" s="29"/>
      <c r="AF770" s="25"/>
      <c r="AG770" s="25"/>
      <c r="AH770" s="25"/>
      <c r="AI770" s="25"/>
      <c r="AJ770" s="26"/>
      <c r="AK770" s="29"/>
      <c r="AL770" s="28"/>
      <c r="AM770" s="26"/>
      <c r="AN770" s="29"/>
      <c r="AO770" s="25"/>
      <c r="AP770" s="29"/>
      <c r="AQ770" s="25"/>
      <c r="AR770" s="25"/>
      <c r="AS770" s="25"/>
      <c r="AT770" s="25"/>
      <c r="AU770" s="26"/>
      <c r="AV770" s="26"/>
      <c r="AW770" s="26"/>
      <c r="AX770" s="26"/>
      <c r="AY770" s="26"/>
      <c r="AZ770" s="26"/>
      <c r="BA770" s="26"/>
    </row>
    <row r="771">
      <c r="A771" s="26"/>
      <c r="B771" s="26"/>
      <c r="C771" s="26"/>
      <c r="D771" s="27"/>
      <c r="E771" s="27"/>
      <c r="F771" s="26"/>
      <c r="G771" s="28"/>
      <c r="H771" s="28"/>
      <c r="I771" s="28"/>
      <c r="J771" s="28"/>
      <c r="K771" s="28"/>
      <c r="L771" s="28"/>
      <c r="M771" s="28"/>
      <c r="N771" s="26"/>
      <c r="O771" s="29"/>
      <c r="P771" s="27"/>
      <c r="Q771" s="26"/>
      <c r="R771" s="29"/>
      <c r="S771" s="28"/>
      <c r="T771" s="29"/>
      <c r="U771" s="28"/>
      <c r="V771" s="28"/>
      <c r="W771" s="28"/>
      <c r="X771" s="28"/>
      <c r="Y771" s="26"/>
      <c r="Z771" s="29"/>
      <c r="AA771" s="28"/>
      <c r="AB771" s="26"/>
      <c r="AC771" s="29"/>
      <c r="AD771" s="25"/>
      <c r="AE771" s="29"/>
      <c r="AF771" s="25"/>
      <c r="AG771" s="25"/>
      <c r="AH771" s="25"/>
      <c r="AI771" s="25"/>
      <c r="AJ771" s="26"/>
      <c r="AK771" s="29"/>
      <c r="AL771" s="28"/>
      <c r="AM771" s="26"/>
      <c r="AN771" s="29"/>
      <c r="AO771" s="25"/>
      <c r="AP771" s="29"/>
      <c r="AQ771" s="25"/>
      <c r="AR771" s="25"/>
      <c r="AS771" s="25"/>
      <c r="AT771" s="25"/>
      <c r="AU771" s="26"/>
      <c r="AV771" s="26"/>
      <c r="AW771" s="26"/>
      <c r="AX771" s="26"/>
      <c r="AY771" s="26"/>
      <c r="AZ771" s="26"/>
      <c r="BA771" s="26"/>
    </row>
    <row r="772">
      <c r="A772" s="26"/>
      <c r="B772" s="26"/>
      <c r="C772" s="26"/>
      <c r="D772" s="27"/>
      <c r="E772" s="27"/>
      <c r="F772" s="26"/>
      <c r="G772" s="28"/>
      <c r="H772" s="28"/>
      <c r="I772" s="28"/>
      <c r="J772" s="28"/>
      <c r="K772" s="28"/>
      <c r="L772" s="28"/>
      <c r="M772" s="28"/>
      <c r="N772" s="26"/>
      <c r="O772" s="29"/>
      <c r="P772" s="27"/>
      <c r="Q772" s="26"/>
      <c r="R772" s="29"/>
      <c r="S772" s="28"/>
      <c r="T772" s="29"/>
      <c r="U772" s="28"/>
      <c r="V772" s="28"/>
      <c r="W772" s="28"/>
      <c r="X772" s="28"/>
      <c r="Y772" s="26"/>
      <c r="Z772" s="29"/>
      <c r="AA772" s="28"/>
      <c r="AB772" s="26"/>
      <c r="AC772" s="29"/>
      <c r="AD772" s="25"/>
      <c r="AE772" s="29"/>
      <c r="AF772" s="25"/>
      <c r="AG772" s="25"/>
      <c r="AH772" s="25"/>
      <c r="AI772" s="25"/>
      <c r="AJ772" s="26"/>
      <c r="AK772" s="29"/>
      <c r="AL772" s="28"/>
      <c r="AM772" s="26"/>
      <c r="AN772" s="29"/>
      <c r="AO772" s="25"/>
      <c r="AP772" s="29"/>
      <c r="AQ772" s="25"/>
      <c r="AR772" s="25"/>
      <c r="AS772" s="25"/>
      <c r="AT772" s="25"/>
      <c r="AU772" s="26"/>
      <c r="AV772" s="26"/>
      <c r="AW772" s="26"/>
      <c r="AX772" s="26"/>
      <c r="AY772" s="26"/>
      <c r="AZ772" s="26"/>
      <c r="BA772" s="26"/>
    </row>
    <row r="773">
      <c r="A773" s="26"/>
      <c r="B773" s="26"/>
      <c r="C773" s="26"/>
      <c r="D773" s="27"/>
      <c r="E773" s="27"/>
      <c r="F773" s="26"/>
      <c r="G773" s="28"/>
      <c r="H773" s="28"/>
      <c r="I773" s="28"/>
      <c r="J773" s="28"/>
      <c r="K773" s="28"/>
      <c r="L773" s="28"/>
      <c r="M773" s="28"/>
      <c r="N773" s="26"/>
      <c r="O773" s="29"/>
      <c r="P773" s="27"/>
      <c r="Q773" s="26"/>
      <c r="R773" s="29"/>
      <c r="S773" s="28"/>
      <c r="T773" s="29"/>
      <c r="U773" s="28"/>
      <c r="V773" s="28"/>
      <c r="W773" s="28"/>
      <c r="X773" s="28"/>
      <c r="Y773" s="26"/>
      <c r="Z773" s="29"/>
      <c r="AA773" s="28"/>
      <c r="AB773" s="26"/>
      <c r="AC773" s="29"/>
      <c r="AD773" s="25"/>
      <c r="AE773" s="29"/>
      <c r="AF773" s="25"/>
      <c r="AG773" s="25"/>
      <c r="AH773" s="25"/>
      <c r="AI773" s="25"/>
      <c r="AJ773" s="26"/>
      <c r="AK773" s="29"/>
      <c r="AL773" s="28"/>
      <c r="AM773" s="26"/>
      <c r="AN773" s="29"/>
      <c r="AO773" s="25"/>
      <c r="AP773" s="29"/>
      <c r="AQ773" s="25"/>
      <c r="AR773" s="25"/>
      <c r="AS773" s="25"/>
      <c r="AT773" s="25"/>
      <c r="AU773" s="26"/>
      <c r="AV773" s="26"/>
      <c r="AW773" s="26"/>
      <c r="AX773" s="26"/>
      <c r="AY773" s="26"/>
      <c r="AZ773" s="26"/>
      <c r="BA773" s="26"/>
    </row>
    <row r="774">
      <c r="A774" s="26"/>
      <c r="B774" s="26"/>
      <c r="C774" s="26"/>
      <c r="D774" s="27"/>
      <c r="E774" s="27"/>
      <c r="F774" s="26"/>
      <c r="G774" s="28"/>
      <c r="H774" s="28"/>
      <c r="I774" s="28"/>
      <c r="J774" s="28"/>
      <c r="K774" s="28"/>
      <c r="L774" s="28"/>
      <c r="M774" s="28"/>
      <c r="N774" s="26"/>
      <c r="O774" s="29"/>
      <c r="P774" s="27"/>
      <c r="Q774" s="26"/>
      <c r="R774" s="29"/>
      <c r="S774" s="28"/>
      <c r="T774" s="29"/>
      <c r="U774" s="28"/>
      <c r="V774" s="28"/>
      <c r="W774" s="28"/>
      <c r="X774" s="28"/>
      <c r="Y774" s="26"/>
      <c r="Z774" s="29"/>
      <c r="AA774" s="28"/>
      <c r="AB774" s="26"/>
      <c r="AC774" s="29"/>
      <c r="AD774" s="25"/>
      <c r="AE774" s="29"/>
      <c r="AF774" s="25"/>
      <c r="AG774" s="25"/>
      <c r="AH774" s="25"/>
      <c r="AI774" s="25"/>
      <c r="AJ774" s="26"/>
      <c r="AK774" s="29"/>
      <c r="AL774" s="28"/>
      <c r="AM774" s="26"/>
      <c r="AN774" s="29"/>
      <c r="AO774" s="25"/>
      <c r="AP774" s="29"/>
      <c r="AQ774" s="25"/>
      <c r="AR774" s="25"/>
      <c r="AS774" s="25"/>
      <c r="AT774" s="25"/>
      <c r="AU774" s="26"/>
      <c r="AV774" s="26"/>
      <c r="AW774" s="26"/>
      <c r="AX774" s="26"/>
      <c r="AY774" s="26"/>
      <c r="AZ774" s="26"/>
      <c r="BA774" s="26"/>
    </row>
    <row r="775">
      <c r="A775" s="26"/>
      <c r="B775" s="26"/>
      <c r="C775" s="26"/>
      <c r="D775" s="27"/>
      <c r="E775" s="27"/>
      <c r="F775" s="26"/>
      <c r="G775" s="28"/>
      <c r="H775" s="28"/>
      <c r="I775" s="28"/>
      <c r="J775" s="28"/>
      <c r="K775" s="28"/>
      <c r="L775" s="28"/>
      <c r="M775" s="28"/>
      <c r="N775" s="26"/>
      <c r="O775" s="29"/>
      <c r="P775" s="27"/>
      <c r="Q775" s="26"/>
      <c r="R775" s="29"/>
      <c r="S775" s="28"/>
      <c r="T775" s="29"/>
      <c r="U775" s="28"/>
      <c r="V775" s="28"/>
      <c r="W775" s="28"/>
      <c r="X775" s="28"/>
      <c r="Y775" s="26"/>
      <c r="Z775" s="29"/>
      <c r="AA775" s="28"/>
      <c r="AB775" s="26"/>
      <c r="AC775" s="29"/>
      <c r="AD775" s="25"/>
      <c r="AE775" s="29"/>
      <c r="AF775" s="25"/>
      <c r="AG775" s="25"/>
      <c r="AH775" s="25"/>
      <c r="AI775" s="25"/>
      <c r="AJ775" s="26"/>
      <c r="AK775" s="29"/>
      <c r="AL775" s="28"/>
      <c r="AM775" s="26"/>
      <c r="AN775" s="29"/>
      <c r="AO775" s="25"/>
      <c r="AP775" s="29"/>
      <c r="AQ775" s="25"/>
      <c r="AR775" s="25"/>
      <c r="AS775" s="25"/>
      <c r="AT775" s="25"/>
      <c r="AU775" s="26"/>
      <c r="AV775" s="26"/>
      <c r="AW775" s="26"/>
      <c r="AX775" s="26"/>
      <c r="AY775" s="26"/>
      <c r="AZ775" s="26"/>
      <c r="BA775" s="26"/>
    </row>
    <row r="776">
      <c r="A776" s="26"/>
      <c r="B776" s="26"/>
      <c r="C776" s="26"/>
      <c r="D776" s="27"/>
      <c r="E776" s="27"/>
      <c r="F776" s="26"/>
      <c r="G776" s="28"/>
      <c r="H776" s="28"/>
      <c r="I776" s="28"/>
      <c r="J776" s="28"/>
      <c r="K776" s="28"/>
      <c r="L776" s="28"/>
      <c r="M776" s="28"/>
      <c r="N776" s="26"/>
      <c r="O776" s="29"/>
      <c r="P776" s="27"/>
      <c r="Q776" s="26"/>
      <c r="R776" s="29"/>
      <c r="S776" s="28"/>
      <c r="T776" s="29"/>
      <c r="U776" s="28"/>
      <c r="V776" s="28"/>
      <c r="W776" s="28"/>
      <c r="X776" s="28"/>
      <c r="Y776" s="26"/>
      <c r="Z776" s="29"/>
      <c r="AA776" s="28"/>
      <c r="AB776" s="26"/>
      <c r="AC776" s="29"/>
      <c r="AD776" s="25"/>
      <c r="AE776" s="29"/>
      <c r="AF776" s="25"/>
      <c r="AG776" s="25"/>
      <c r="AH776" s="25"/>
      <c r="AI776" s="25"/>
      <c r="AJ776" s="26"/>
      <c r="AK776" s="29"/>
      <c r="AL776" s="28"/>
      <c r="AM776" s="26"/>
      <c r="AN776" s="29"/>
      <c r="AO776" s="25"/>
      <c r="AP776" s="29"/>
      <c r="AQ776" s="25"/>
      <c r="AR776" s="25"/>
      <c r="AS776" s="25"/>
      <c r="AT776" s="25"/>
      <c r="AU776" s="26"/>
      <c r="AV776" s="26"/>
      <c r="AW776" s="26"/>
      <c r="AX776" s="26"/>
      <c r="AY776" s="26"/>
      <c r="AZ776" s="26"/>
      <c r="BA776" s="26"/>
    </row>
    <row r="777">
      <c r="A777" s="26"/>
      <c r="B777" s="26"/>
      <c r="C777" s="26"/>
      <c r="D777" s="27"/>
      <c r="E777" s="27"/>
      <c r="F777" s="26"/>
      <c r="G777" s="28"/>
      <c r="H777" s="28"/>
      <c r="I777" s="28"/>
      <c r="J777" s="28"/>
      <c r="K777" s="28"/>
      <c r="L777" s="28"/>
      <c r="M777" s="28"/>
      <c r="N777" s="26"/>
      <c r="O777" s="29"/>
      <c r="P777" s="27"/>
      <c r="Q777" s="26"/>
      <c r="R777" s="29"/>
      <c r="S777" s="28"/>
      <c r="T777" s="29"/>
      <c r="U777" s="28"/>
      <c r="V777" s="28"/>
      <c r="W777" s="28"/>
      <c r="X777" s="28"/>
      <c r="Y777" s="26"/>
      <c r="Z777" s="29"/>
      <c r="AA777" s="28"/>
      <c r="AB777" s="26"/>
      <c r="AC777" s="29"/>
      <c r="AD777" s="25"/>
      <c r="AE777" s="29"/>
      <c r="AF777" s="25"/>
      <c r="AG777" s="25"/>
      <c r="AH777" s="25"/>
      <c r="AI777" s="25"/>
      <c r="AJ777" s="26"/>
      <c r="AK777" s="29"/>
      <c r="AL777" s="28"/>
      <c r="AM777" s="26"/>
      <c r="AN777" s="29"/>
      <c r="AO777" s="25"/>
      <c r="AP777" s="29"/>
      <c r="AQ777" s="25"/>
      <c r="AR777" s="25"/>
      <c r="AS777" s="25"/>
      <c r="AT777" s="25"/>
      <c r="AU777" s="26"/>
      <c r="AV777" s="26"/>
      <c r="AW777" s="26"/>
      <c r="AX777" s="26"/>
      <c r="AY777" s="26"/>
      <c r="AZ777" s="26"/>
      <c r="BA777" s="26"/>
    </row>
    <row r="778">
      <c r="A778" s="26"/>
      <c r="B778" s="26"/>
      <c r="C778" s="26"/>
      <c r="D778" s="27"/>
      <c r="E778" s="27"/>
      <c r="F778" s="26"/>
      <c r="G778" s="28"/>
      <c r="H778" s="28"/>
      <c r="I778" s="28"/>
      <c r="J778" s="28"/>
      <c r="K778" s="28"/>
      <c r="L778" s="28"/>
      <c r="M778" s="28"/>
      <c r="N778" s="26"/>
      <c r="O778" s="29"/>
      <c r="P778" s="27"/>
      <c r="Q778" s="26"/>
      <c r="R778" s="29"/>
      <c r="S778" s="28"/>
      <c r="T778" s="29"/>
      <c r="U778" s="28"/>
      <c r="V778" s="28"/>
      <c r="W778" s="28"/>
      <c r="X778" s="28"/>
      <c r="Y778" s="26"/>
      <c r="Z778" s="29"/>
      <c r="AA778" s="28"/>
      <c r="AB778" s="26"/>
      <c r="AC778" s="29"/>
      <c r="AD778" s="25"/>
      <c r="AE778" s="29"/>
      <c r="AF778" s="25"/>
      <c r="AG778" s="25"/>
      <c r="AH778" s="25"/>
      <c r="AI778" s="25"/>
      <c r="AJ778" s="26"/>
      <c r="AK778" s="29"/>
      <c r="AL778" s="28"/>
      <c r="AM778" s="26"/>
      <c r="AN778" s="29"/>
      <c r="AO778" s="25"/>
      <c r="AP778" s="29"/>
      <c r="AQ778" s="25"/>
      <c r="AR778" s="25"/>
      <c r="AS778" s="25"/>
      <c r="AT778" s="25"/>
      <c r="AU778" s="26"/>
      <c r="AV778" s="26"/>
      <c r="AW778" s="26"/>
      <c r="AX778" s="26"/>
      <c r="AY778" s="26"/>
      <c r="AZ778" s="26"/>
      <c r="BA778" s="26"/>
    </row>
    <row r="779">
      <c r="A779" s="26"/>
      <c r="B779" s="26"/>
      <c r="C779" s="26"/>
      <c r="D779" s="27"/>
      <c r="E779" s="27"/>
      <c r="F779" s="26"/>
      <c r="G779" s="28"/>
      <c r="H779" s="28"/>
      <c r="I779" s="28"/>
      <c r="J779" s="28"/>
      <c r="K779" s="28"/>
      <c r="L779" s="28"/>
      <c r="M779" s="28"/>
      <c r="N779" s="26"/>
      <c r="O779" s="29"/>
      <c r="P779" s="27"/>
      <c r="Q779" s="26"/>
      <c r="R779" s="29"/>
      <c r="S779" s="28"/>
      <c r="T779" s="29"/>
      <c r="U779" s="28"/>
      <c r="V779" s="28"/>
      <c r="W779" s="28"/>
      <c r="X779" s="28"/>
      <c r="Y779" s="26"/>
      <c r="Z779" s="29"/>
      <c r="AA779" s="28"/>
      <c r="AB779" s="26"/>
      <c r="AC779" s="29"/>
      <c r="AD779" s="25"/>
      <c r="AE779" s="29"/>
      <c r="AF779" s="25"/>
      <c r="AG779" s="25"/>
      <c r="AH779" s="25"/>
      <c r="AI779" s="25"/>
      <c r="AJ779" s="26"/>
      <c r="AK779" s="29"/>
      <c r="AL779" s="28"/>
      <c r="AM779" s="26"/>
      <c r="AN779" s="29"/>
      <c r="AO779" s="25"/>
      <c r="AP779" s="29"/>
      <c r="AQ779" s="25"/>
      <c r="AR779" s="25"/>
      <c r="AS779" s="25"/>
      <c r="AT779" s="25"/>
      <c r="AU779" s="26"/>
      <c r="AV779" s="26"/>
      <c r="AW779" s="26"/>
      <c r="AX779" s="26"/>
      <c r="AY779" s="26"/>
      <c r="AZ779" s="26"/>
      <c r="BA779" s="26"/>
    </row>
    <row r="780">
      <c r="A780" s="26"/>
      <c r="B780" s="26"/>
      <c r="C780" s="26"/>
      <c r="D780" s="27"/>
      <c r="E780" s="27"/>
      <c r="F780" s="26"/>
      <c r="G780" s="28"/>
      <c r="H780" s="28"/>
      <c r="I780" s="28"/>
      <c r="J780" s="28"/>
      <c r="K780" s="28"/>
      <c r="L780" s="28"/>
      <c r="M780" s="28"/>
      <c r="N780" s="26"/>
      <c r="O780" s="29"/>
      <c r="P780" s="27"/>
      <c r="Q780" s="26"/>
      <c r="R780" s="29"/>
      <c r="S780" s="28"/>
      <c r="T780" s="29"/>
      <c r="U780" s="28"/>
      <c r="V780" s="28"/>
      <c r="W780" s="28"/>
      <c r="X780" s="28"/>
      <c r="Y780" s="26"/>
      <c r="Z780" s="29"/>
      <c r="AA780" s="28"/>
      <c r="AB780" s="26"/>
      <c r="AC780" s="29"/>
      <c r="AD780" s="25"/>
      <c r="AE780" s="29"/>
      <c r="AF780" s="25"/>
      <c r="AG780" s="25"/>
      <c r="AH780" s="25"/>
      <c r="AI780" s="25"/>
      <c r="AJ780" s="26"/>
      <c r="AK780" s="29"/>
      <c r="AL780" s="28"/>
      <c r="AM780" s="26"/>
      <c r="AN780" s="29"/>
      <c r="AO780" s="25"/>
      <c r="AP780" s="29"/>
      <c r="AQ780" s="25"/>
      <c r="AR780" s="25"/>
      <c r="AS780" s="25"/>
      <c r="AT780" s="25"/>
      <c r="AU780" s="26"/>
      <c r="AV780" s="26"/>
      <c r="AW780" s="26"/>
      <c r="AX780" s="26"/>
      <c r="AY780" s="26"/>
      <c r="AZ780" s="26"/>
      <c r="BA780" s="26"/>
    </row>
    <row r="781">
      <c r="A781" s="26"/>
      <c r="B781" s="26"/>
      <c r="C781" s="26"/>
      <c r="D781" s="27"/>
      <c r="E781" s="27"/>
      <c r="F781" s="26"/>
      <c r="G781" s="28"/>
      <c r="H781" s="28"/>
      <c r="I781" s="28"/>
      <c r="J781" s="28"/>
      <c r="K781" s="28"/>
      <c r="L781" s="28"/>
      <c r="M781" s="28"/>
      <c r="N781" s="26"/>
      <c r="O781" s="29"/>
      <c r="P781" s="27"/>
      <c r="Q781" s="26"/>
      <c r="R781" s="29"/>
      <c r="S781" s="28"/>
      <c r="T781" s="29"/>
      <c r="U781" s="28"/>
      <c r="V781" s="28"/>
      <c r="W781" s="28"/>
      <c r="X781" s="28"/>
      <c r="Y781" s="26"/>
      <c r="Z781" s="29"/>
      <c r="AA781" s="28"/>
      <c r="AB781" s="26"/>
      <c r="AC781" s="29"/>
      <c r="AD781" s="25"/>
      <c r="AE781" s="29"/>
      <c r="AF781" s="25"/>
      <c r="AG781" s="25"/>
      <c r="AH781" s="25"/>
      <c r="AI781" s="25"/>
      <c r="AJ781" s="26"/>
      <c r="AK781" s="29"/>
      <c r="AL781" s="28"/>
      <c r="AM781" s="26"/>
      <c r="AN781" s="29"/>
      <c r="AO781" s="25"/>
      <c r="AP781" s="29"/>
      <c r="AQ781" s="25"/>
      <c r="AR781" s="25"/>
      <c r="AS781" s="25"/>
      <c r="AT781" s="25"/>
      <c r="AU781" s="26"/>
      <c r="AV781" s="26"/>
      <c r="AW781" s="26"/>
      <c r="AX781" s="26"/>
      <c r="AY781" s="26"/>
      <c r="AZ781" s="26"/>
      <c r="BA781" s="26"/>
    </row>
    <row r="782">
      <c r="A782" s="26"/>
      <c r="B782" s="26"/>
      <c r="C782" s="26"/>
      <c r="D782" s="27"/>
      <c r="E782" s="27"/>
      <c r="F782" s="26"/>
      <c r="G782" s="28"/>
      <c r="H782" s="28"/>
      <c r="I782" s="28"/>
      <c r="J782" s="28"/>
      <c r="K782" s="28"/>
      <c r="L782" s="28"/>
      <c r="M782" s="28"/>
      <c r="N782" s="26"/>
      <c r="O782" s="29"/>
      <c r="P782" s="27"/>
      <c r="Q782" s="26"/>
      <c r="R782" s="29"/>
      <c r="S782" s="28"/>
      <c r="T782" s="29"/>
      <c r="U782" s="28"/>
      <c r="V782" s="28"/>
      <c r="W782" s="28"/>
      <c r="X782" s="28"/>
      <c r="Y782" s="26"/>
      <c r="Z782" s="29"/>
      <c r="AA782" s="28"/>
      <c r="AB782" s="26"/>
      <c r="AC782" s="29"/>
      <c r="AD782" s="25"/>
      <c r="AE782" s="29"/>
      <c r="AF782" s="25"/>
      <c r="AG782" s="25"/>
      <c r="AH782" s="25"/>
      <c r="AI782" s="25"/>
      <c r="AJ782" s="26"/>
      <c r="AK782" s="29"/>
      <c r="AL782" s="28"/>
      <c r="AM782" s="26"/>
      <c r="AN782" s="29"/>
      <c r="AO782" s="25"/>
      <c r="AP782" s="29"/>
      <c r="AQ782" s="25"/>
      <c r="AR782" s="25"/>
      <c r="AS782" s="25"/>
      <c r="AT782" s="25"/>
      <c r="AU782" s="26"/>
      <c r="AV782" s="26"/>
      <c r="AW782" s="26"/>
      <c r="AX782" s="26"/>
      <c r="AY782" s="26"/>
      <c r="AZ782" s="26"/>
      <c r="BA782" s="26"/>
    </row>
    <row r="783">
      <c r="A783" s="26"/>
      <c r="B783" s="26"/>
      <c r="C783" s="26"/>
      <c r="D783" s="27"/>
      <c r="E783" s="27"/>
      <c r="F783" s="26"/>
      <c r="G783" s="28"/>
      <c r="H783" s="28"/>
      <c r="I783" s="28"/>
      <c r="J783" s="28"/>
      <c r="K783" s="28"/>
      <c r="L783" s="28"/>
      <c r="M783" s="28"/>
      <c r="N783" s="26"/>
      <c r="O783" s="29"/>
      <c r="P783" s="27"/>
      <c r="Q783" s="26"/>
      <c r="R783" s="29"/>
      <c r="S783" s="28"/>
      <c r="T783" s="29"/>
      <c r="U783" s="28"/>
      <c r="V783" s="28"/>
      <c r="W783" s="28"/>
      <c r="X783" s="28"/>
      <c r="Y783" s="26"/>
      <c r="Z783" s="29"/>
      <c r="AA783" s="28"/>
      <c r="AB783" s="26"/>
      <c r="AC783" s="29"/>
      <c r="AD783" s="25"/>
      <c r="AE783" s="29"/>
      <c r="AF783" s="25"/>
      <c r="AG783" s="25"/>
      <c r="AH783" s="25"/>
      <c r="AI783" s="25"/>
      <c r="AJ783" s="26"/>
      <c r="AK783" s="29"/>
      <c r="AL783" s="28"/>
      <c r="AM783" s="26"/>
      <c r="AN783" s="29"/>
      <c r="AO783" s="25"/>
      <c r="AP783" s="29"/>
      <c r="AQ783" s="25"/>
      <c r="AR783" s="25"/>
      <c r="AS783" s="25"/>
      <c r="AT783" s="25"/>
      <c r="AU783" s="26"/>
      <c r="AV783" s="26"/>
      <c r="AW783" s="26"/>
      <c r="AX783" s="26"/>
      <c r="AY783" s="26"/>
      <c r="AZ783" s="26"/>
      <c r="BA783" s="26"/>
    </row>
    <row r="784">
      <c r="A784" s="26"/>
      <c r="B784" s="26"/>
      <c r="C784" s="26"/>
      <c r="D784" s="27"/>
      <c r="E784" s="27"/>
      <c r="F784" s="26"/>
      <c r="G784" s="28"/>
      <c r="H784" s="28"/>
      <c r="I784" s="28"/>
      <c r="J784" s="28"/>
      <c r="K784" s="28"/>
      <c r="L784" s="28"/>
      <c r="M784" s="28"/>
      <c r="N784" s="26"/>
      <c r="O784" s="29"/>
      <c r="P784" s="27"/>
      <c r="Q784" s="26"/>
      <c r="R784" s="29"/>
      <c r="S784" s="28"/>
      <c r="T784" s="29"/>
      <c r="U784" s="28"/>
      <c r="V784" s="28"/>
      <c r="W784" s="28"/>
      <c r="X784" s="28"/>
      <c r="Y784" s="26"/>
      <c r="Z784" s="29"/>
      <c r="AA784" s="28"/>
      <c r="AB784" s="26"/>
      <c r="AC784" s="29"/>
      <c r="AD784" s="25"/>
      <c r="AE784" s="29"/>
      <c r="AF784" s="25"/>
      <c r="AG784" s="25"/>
      <c r="AH784" s="25"/>
      <c r="AI784" s="25"/>
      <c r="AJ784" s="26"/>
      <c r="AK784" s="29"/>
      <c r="AL784" s="28"/>
      <c r="AM784" s="26"/>
      <c r="AN784" s="29"/>
      <c r="AO784" s="25"/>
      <c r="AP784" s="29"/>
      <c r="AQ784" s="25"/>
      <c r="AR784" s="25"/>
      <c r="AS784" s="25"/>
      <c r="AT784" s="25"/>
      <c r="AU784" s="26"/>
      <c r="AV784" s="26"/>
      <c r="AW784" s="26"/>
      <c r="AX784" s="26"/>
      <c r="AY784" s="26"/>
      <c r="AZ784" s="26"/>
      <c r="BA784" s="26"/>
    </row>
    <row r="785">
      <c r="A785" s="26"/>
      <c r="B785" s="26"/>
      <c r="C785" s="26"/>
      <c r="D785" s="27"/>
      <c r="E785" s="27"/>
      <c r="F785" s="26"/>
      <c r="G785" s="28"/>
      <c r="H785" s="28"/>
      <c r="I785" s="28"/>
      <c r="J785" s="28"/>
      <c r="K785" s="28"/>
      <c r="L785" s="28"/>
      <c r="M785" s="28"/>
      <c r="N785" s="26"/>
      <c r="O785" s="29"/>
      <c r="P785" s="27"/>
      <c r="Q785" s="26"/>
      <c r="R785" s="29"/>
      <c r="S785" s="28"/>
      <c r="T785" s="29"/>
      <c r="U785" s="28"/>
      <c r="V785" s="28"/>
      <c r="W785" s="28"/>
      <c r="X785" s="28"/>
      <c r="Y785" s="26"/>
      <c r="Z785" s="29"/>
      <c r="AA785" s="28"/>
      <c r="AB785" s="26"/>
      <c r="AC785" s="29"/>
      <c r="AD785" s="25"/>
      <c r="AE785" s="29"/>
      <c r="AF785" s="25"/>
      <c r="AG785" s="25"/>
      <c r="AH785" s="25"/>
      <c r="AI785" s="25"/>
      <c r="AJ785" s="26"/>
      <c r="AK785" s="29"/>
      <c r="AL785" s="28"/>
      <c r="AM785" s="26"/>
      <c r="AN785" s="29"/>
      <c r="AO785" s="25"/>
      <c r="AP785" s="29"/>
      <c r="AQ785" s="25"/>
      <c r="AR785" s="25"/>
      <c r="AS785" s="25"/>
      <c r="AT785" s="25"/>
      <c r="AU785" s="26"/>
      <c r="AV785" s="26"/>
      <c r="AW785" s="26"/>
      <c r="AX785" s="26"/>
      <c r="AY785" s="26"/>
      <c r="AZ785" s="26"/>
      <c r="BA785" s="26"/>
    </row>
    <row r="786">
      <c r="A786" s="26"/>
      <c r="B786" s="26"/>
      <c r="C786" s="26"/>
      <c r="D786" s="27"/>
      <c r="E786" s="27"/>
      <c r="F786" s="26"/>
      <c r="G786" s="28"/>
      <c r="H786" s="28"/>
      <c r="I786" s="28"/>
      <c r="J786" s="28"/>
      <c r="K786" s="28"/>
      <c r="L786" s="28"/>
      <c r="M786" s="28"/>
      <c r="N786" s="26"/>
      <c r="O786" s="29"/>
      <c r="P786" s="27"/>
      <c r="Q786" s="26"/>
      <c r="R786" s="29"/>
      <c r="S786" s="28"/>
      <c r="T786" s="29"/>
      <c r="U786" s="28"/>
      <c r="V786" s="28"/>
      <c r="W786" s="28"/>
      <c r="X786" s="28"/>
      <c r="Y786" s="26"/>
      <c r="Z786" s="29"/>
      <c r="AA786" s="28"/>
      <c r="AB786" s="26"/>
      <c r="AC786" s="29"/>
      <c r="AD786" s="25"/>
      <c r="AE786" s="29"/>
      <c r="AF786" s="25"/>
      <c r="AG786" s="25"/>
      <c r="AH786" s="25"/>
      <c r="AI786" s="25"/>
      <c r="AJ786" s="26"/>
      <c r="AK786" s="29"/>
      <c r="AL786" s="28"/>
      <c r="AM786" s="26"/>
      <c r="AN786" s="29"/>
      <c r="AO786" s="25"/>
      <c r="AP786" s="29"/>
      <c r="AQ786" s="25"/>
      <c r="AR786" s="25"/>
      <c r="AS786" s="25"/>
      <c r="AT786" s="25"/>
      <c r="AU786" s="26"/>
      <c r="AV786" s="26"/>
      <c r="AW786" s="26"/>
      <c r="AX786" s="26"/>
      <c r="AY786" s="26"/>
      <c r="AZ786" s="26"/>
      <c r="BA786" s="26"/>
    </row>
    <row r="787">
      <c r="A787" s="26"/>
      <c r="B787" s="26"/>
      <c r="C787" s="26"/>
      <c r="D787" s="27"/>
      <c r="E787" s="27"/>
      <c r="F787" s="26"/>
      <c r="G787" s="28"/>
      <c r="H787" s="28"/>
      <c r="I787" s="28"/>
      <c r="J787" s="28"/>
      <c r="K787" s="28"/>
      <c r="L787" s="28"/>
      <c r="M787" s="28"/>
      <c r="N787" s="26"/>
      <c r="O787" s="29"/>
      <c r="P787" s="27"/>
      <c r="Q787" s="26"/>
      <c r="R787" s="29"/>
      <c r="S787" s="28"/>
      <c r="T787" s="29"/>
      <c r="U787" s="28"/>
      <c r="V787" s="28"/>
      <c r="W787" s="28"/>
      <c r="X787" s="28"/>
      <c r="Y787" s="26"/>
      <c r="Z787" s="29"/>
      <c r="AA787" s="28"/>
      <c r="AB787" s="26"/>
      <c r="AC787" s="29"/>
      <c r="AD787" s="25"/>
      <c r="AE787" s="29"/>
      <c r="AF787" s="25"/>
      <c r="AG787" s="25"/>
      <c r="AH787" s="25"/>
      <c r="AI787" s="25"/>
      <c r="AJ787" s="26"/>
      <c r="AK787" s="29"/>
      <c r="AL787" s="28"/>
      <c r="AM787" s="26"/>
      <c r="AN787" s="29"/>
      <c r="AO787" s="25"/>
      <c r="AP787" s="29"/>
      <c r="AQ787" s="25"/>
      <c r="AR787" s="25"/>
      <c r="AS787" s="25"/>
      <c r="AT787" s="25"/>
      <c r="AU787" s="26"/>
      <c r="AV787" s="26"/>
      <c r="AW787" s="26"/>
      <c r="AX787" s="26"/>
      <c r="AY787" s="26"/>
      <c r="AZ787" s="26"/>
      <c r="BA787" s="26"/>
    </row>
    <row r="788">
      <c r="A788" s="26"/>
      <c r="B788" s="26"/>
      <c r="C788" s="26"/>
      <c r="D788" s="27"/>
      <c r="E788" s="27"/>
      <c r="F788" s="26"/>
      <c r="G788" s="28"/>
      <c r="H788" s="28"/>
      <c r="I788" s="28"/>
      <c r="J788" s="28"/>
      <c r="K788" s="28"/>
      <c r="L788" s="28"/>
      <c r="M788" s="28"/>
      <c r="N788" s="26"/>
      <c r="O788" s="29"/>
      <c r="P788" s="27"/>
      <c r="Q788" s="26"/>
      <c r="R788" s="29"/>
      <c r="S788" s="28"/>
      <c r="T788" s="29"/>
      <c r="U788" s="28"/>
      <c r="V788" s="28"/>
      <c r="W788" s="28"/>
      <c r="X788" s="28"/>
      <c r="Y788" s="26"/>
      <c r="Z788" s="29"/>
      <c r="AA788" s="28"/>
      <c r="AB788" s="26"/>
      <c r="AC788" s="29"/>
      <c r="AD788" s="25"/>
      <c r="AE788" s="29"/>
      <c r="AF788" s="25"/>
      <c r="AG788" s="25"/>
      <c r="AH788" s="25"/>
      <c r="AI788" s="25"/>
      <c r="AJ788" s="26"/>
      <c r="AK788" s="29"/>
      <c r="AL788" s="28"/>
      <c r="AM788" s="26"/>
      <c r="AN788" s="29"/>
      <c r="AO788" s="25"/>
      <c r="AP788" s="29"/>
      <c r="AQ788" s="25"/>
      <c r="AR788" s="25"/>
      <c r="AS788" s="25"/>
      <c r="AT788" s="25"/>
      <c r="AU788" s="26"/>
      <c r="AV788" s="26"/>
      <c r="AW788" s="26"/>
      <c r="AX788" s="26"/>
      <c r="AY788" s="26"/>
      <c r="AZ788" s="26"/>
      <c r="BA788" s="26"/>
    </row>
    <row r="789">
      <c r="A789" s="26"/>
      <c r="B789" s="26"/>
      <c r="C789" s="26"/>
      <c r="D789" s="27"/>
      <c r="E789" s="27"/>
      <c r="F789" s="26"/>
      <c r="G789" s="28"/>
      <c r="H789" s="28"/>
      <c r="I789" s="28"/>
      <c r="J789" s="28"/>
      <c r="K789" s="28"/>
      <c r="L789" s="28"/>
      <c r="M789" s="28"/>
      <c r="N789" s="26"/>
      <c r="O789" s="29"/>
      <c r="P789" s="27"/>
      <c r="Q789" s="26"/>
      <c r="R789" s="29"/>
      <c r="S789" s="28"/>
      <c r="T789" s="29"/>
      <c r="U789" s="28"/>
      <c r="V789" s="28"/>
      <c r="W789" s="28"/>
      <c r="X789" s="28"/>
      <c r="Y789" s="26"/>
      <c r="Z789" s="29"/>
      <c r="AA789" s="28"/>
      <c r="AB789" s="26"/>
      <c r="AC789" s="29"/>
      <c r="AD789" s="25"/>
      <c r="AE789" s="29"/>
      <c r="AF789" s="25"/>
      <c r="AG789" s="25"/>
      <c r="AH789" s="25"/>
      <c r="AI789" s="25"/>
      <c r="AJ789" s="26"/>
      <c r="AK789" s="29"/>
      <c r="AL789" s="28"/>
      <c r="AM789" s="26"/>
      <c r="AN789" s="29"/>
      <c r="AO789" s="25"/>
      <c r="AP789" s="29"/>
      <c r="AQ789" s="25"/>
      <c r="AR789" s="25"/>
      <c r="AS789" s="25"/>
      <c r="AT789" s="25"/>
      <c r="AU789" s="26"/>
      <c r="AV789" s="26"/>
      <c r="AW789" s="26"/>
      <c r="AX789" s="26"/>
      <c r="AY789" s="26"/>
      <c r="AZ789" s="26"/>
      <c r="BA789" s="26"/>
    </row>
    <row r="790">
      <c r="A790" s="26"/>
      <c r="B790" s="26"/>
      <c r="C790" s="26"/>
      <c r="D790" s="27"/>
      <c r="E790" s="27"/>
      <c r="F790" s="26"/>
      <c r="G790" s="28"/>
      <c r="H790" s="28"/>
      <c r="I790" s="28"/>
      <c r="J790" s="28"/>
      <c r="K790" s="28"/>
      <c r="L790" s="28"/>
      <c r="M790" s="28"/>
      <c r="N790" s="26"/>
      <c r="O790" s="29"/>
      <c r="P790" s="27"/>
      <c r="Q790" s="26"/>
      <c r="R790" s="29"/>
      <c r="S790" s="28"/>
      <c r="T790" s="29"/>
      <c r="U790" s="28"/>
      <c r="V790" s="28"/>
      <c r="W790" s="28"/>
      <c r="X790" s="28"/>
      <c r="Y790" s="26"/>
      <c r="Z790" s="29"/>
      <c r="AA790" s="28"/>
      <c r="AB790" s="26"/>
      <c r="AC790" s="29"/>
      <c r="AD790" s="25"/>
      <c r="AE790" s="29"/>
      <c r="AF790" s="25"/>
      <c r="AG790" s="25"/>
      <c r="AH790" s="25"/>
      <c r="AI790" s="25"/>
      <c r="AJ790" s="26"/>
      <c r="AK790" s="29"/>
      <c r="AL790" s="28"/>
      <c r="AM790" s="26"/>
      <c r="AN790" s="29"/>
      <c r="AO790" s="25"/>
      <c r="AP790" s="29"/>
      <c r="AQ790" s="25"/>
      <c r="AR790" s="25"/>
      <c r="AS790" s="25"/>
      <c r="AT790" s="25"/>
      <c r="AU790" s="26"/>
      <c r="AV790" s="26"/>
      <c r="AW790" s="26"/>
      <c r="AX790" s="26"/>
      <c r="AY790" s="26"/>
      <c r="AZ790" s="26"/>
      <c r="BA790" s="26"/>
    </row>
    <row r="791">
      <c r="A791" s="26"/>
      <c r="B791" s="26"/>
      <c r="C791" s="26"/>
      <c r="D791" s="27"/>
      <c r="E791" s="27"/>
      <c r="F791" s="26"/>
      <c r="G791" s="28"/>
      <c r="H791" s="28"/>
      <c r="I791" s="28"/>
      <c r="J791" s="28"/>
      <c r="K791" s="28"/>
      <c r="L791" s="28"/>
      <c r="M791" s="28"/>
      <c r="N791" s="26"/>
      <c r="O791" s="29"/>
      <c r="P791" s="27"/>
      <c r="Q791" s="26"/>
      <c r="R791" s="29"/>
      <c r="S791" s="28"/>
      <c r="T791" s="29"/>
      <c r="U791" s="28"/>
      <c r="V791" s="28"/>
      <c r="W791" s="28"/>
      <c r="X791" s="28"/>
      <c r="Y791" s="26"/>
      <c r="Z791" s="29"/>
      <c r="AA791" s="28"/>
      <c r="AB791" s="26"/>
      <c r="AC791" s="29"/>
      <c r="AD791" s="25"/>
      <c r="AE791" s="29"/>
      <c r="AF791" s="25"/>
      <c r="AG791" s="25"/>
      <c r="AH791" s="25"/>
      <c r="AI791" s="25"/>
      <c r="AJ791" s="26"/>
      <c r="AK791" s="29"/>
      <c r="AL791" s="28"/>
      <c r="AM791" s="26"/>
      <c r="AN791" s="29"/>
      <c r="AO791" s="25"/>
      <c r="AP791" s="29"/>
      <c r="AQ791" s="25"/>
      <c r="AR791" s="25"/>
      <c r="AS791" s="25"/>
      <c r="AT791" s="25"/>
      <c r="AU791" s="26"/>
      <c r="AV791" s="26"/>
      <c r="AW791" s="26"/>
      <c r="AX791" s="26"/>
      <c r="AY791" s="26"/>
      <c r="AZ791" s="26"/>
      <c r="BA791" s="26"/>
    </row>
    <row r="792">
      <c r="A792" s="26"/>
      <c r="B792" s="26"/>
      <c r="C792" s="26"/>
      <c r="D792" s="27"/>
      <c r="E792" s="27"/>
      <c r="F792" s="26"/>
      <c r="G792" s="28"/>
      <c r="H792" s="28"/>
      <c r="I792" s="28"/>
      <c r="J792" s="28"/>
      <c r="K792" s="28"/>
      <c r="L792" s="28"/>
      <c r="M792" s="28"/>
      <c r="N792" s="26"/>
      <c r="O792" s="29"/>
      <c r="P792" s="27"/>
      <c r="Q792" s="26"/>
      <c r="R792" s="29"/>
      <c r="S792" s="28"/>
      <c r="T792" s="29"/>
      <c r="U792" s="28"/>
      <c r="V792" s="28"/>
      <c r="W792" s="28"/>
      <c r="X792" s="28"/>
      <c r="Y792" s="26"/>
      <c r="Z792" s="29"/>
      <c r="AA792" s="28"/>
      <c r="AB792" s="26"/>
      <c r="AC792" s="29"/>
      <c r="AD792" s="25"/>
      <c r="AE792" s="29"/>
      <c r="AF792" s="25"/>
      <c r="AG792" s="25"/>
      <c r="AH792" s="25"/>
      <c r="AI792" s="25"/>
      <c r="AJ792" s="26"/>
      <c r="AK792" s="29"/>
      <c r="AL792" s="28"/>
      <c r="AM792" s="26"/>
      <c r="AN792" s="29"/>
      <c r="AO792" s="25"/>
      <c r="AP792" s="29"/>
      <c r="AQ792" s="25"/>
      <c r="AR792" s="25"/>
      <c r="AS792" s="25"/>
      <c r="AT792" s="25"/>
      <c r="AU792" s="26"/>
      <c r="AV792" s="26"/>
      <c r="AW792" s="26"/>
      <c r="AX792" s="26"/>
      <c r="AY792" s="26"/>
      <c r="AZ792" s="26"/>
      <c r="BA792" s="26"/>
    </row>
    <row r="793">
      <c r="A793" s="26"/>
      <c r="B793" s="26"/>
      <c r="C793" s="26"/>
      <c r="D793" s="27"/>
      <c r="E793" s="27"/>
      <c r="F793" s="26"/>
      <c r="G793" s="28"/>
      <c r="H793" s="28"/>
      <c r="I793" s="28"/>
      <c r="J793" s="28"/>
      <c r="K793" s="28"/>
      <c r="L793" s="28"/>
      <c r="M793" s="28"/>
      <c r="N793" s="26"/>
      <c r="O793" s="29"/>
      <c r="P793" s="27"/>
      <c r="Q793" s="26"/>
      <c r="R793" s="29"/>
      <c r="S793" s="28"/>
      <c r="T793" s="29"/>
      <c r="U793" s="28"/>
      <c r="V793" s="28"/>
      <c r="W793" s="28"/>
      <c r="X793" s="28"/>
      <c r="Y793" s="26"/>
      <c r="Z793" s="29"/>
      <c r="AA793" s="28"/>
      <c r="AB793" s="26"/>
      <c r="AC793" s="29"/>
      <c r="AD793" s="25"/>
      <c r="AE793" s="29"/>
      <c r="AF793" s="25"/>
      <c r="AG793" s="25"/>
      <c r="AH793" s="25"/>
      <c r="AI793" s="25"/>
      <c r="AJ793" s="26"/>
      <c r="AK793" s="29"/>
      <c r="AL793" s="28"/>
      <c r="AM793" s="26"/>
      <c r="AN793" s="29"/>
      <c r="AO793" s="25"/>
      <c r="AP793" s="29"/>
      <c r="AQ793" s="25"/>
      <c r="AR793" s="25"/>
      <c r="AS793" s="25"/>
      <c r="AT793" s="25"/>
      <c r="AU793" s="26"/>
      <c r="AV793" s="26"/>
      <c r="AW793" s="26"/>
      <c r="AX793" s="26"/>
      <c r="AY793" s="26"/>
      <c r="AZ793" s="26"/>
      <c r="BA793" s="26"/>
    </row>
    <row r="794">
      <c r="A794" s="26"/>
      <c r="B794" s="26"/>
      <c r="C794" s="26"/>
      <c r="D794" s="27"/>
      <c r="E794" s="27"/>
      <c r="F794" s="26"/>
      <c r="G794" s="28"/>
      <c r="H794" s="28"/>
      <c r="I794" s="28"/>
      <c r="J794" s="28"/>
      <c r="K794" s="28"/>
      <c r="L794" s="28"/>
      <c r="M794" s="28"/>
      <c r="N794" s="26"/>
      <c r="O794" s="29"/>
      <c r="P794" s="27"/>
      <c r="Q794" s="26"/>
      <c r="R794" s="29"/>
      <c r="S794" s="28"/>
      <c r="T794" s="29"/>
      <c r="U794" s="28"/>
      <c r="V794" s="28"/>
      <c r="W794" s="28"/>
      <c r="X794" s="28"/>
      <c r="Y794" s="26"/>
      <c r="Z794" s="29"/>
      <c r="AA794" s="28"/>
      <c r="AB794" s="26"/>
      <c r="AC794" s="29"/>
      <c r="AD794" s="25"/>
      <c r="AE794" s="29"/>
      <c r="AF794" s="25"/>
      <c r="AG794" s="25"/>
      <c r="AH794" s="25"/>
      <c r="AI794" s="25"/>
      <c r="AJ794" s="26"/>
      <c r="AK794" s="29"/>
      <c r="AL794" s="28"/>
      <c r="AM794" s="26"/>
      <c r="AN794" s="29"/>
      <c r="AO794" s="25"/>
      <c r="AP794" s="29"/>
      <c r="AQ794" s="25"/>
      <c r="AR794" s="25"/>
      <c r="AS794" s="25"/>
      <c r="AT794" s="25"/>
      <c r="AU794" s="26"/>
      <c r="AV794" s="26"/>
      <c r="AW794" s="26"/>
      <c r="AX794" s="26"/>
      <c r="AY794" s="26"/>
      <c r="AZ794" s="26"/>
      <c r="BA794" s="26"/>
    </row>
    <row r="795">
      <c r="A795" s="26"/>
      <c r="B795" s="26"/>
      <c r="C795" s="26"/>
      <c r="D795" s="27"/>
      <c r="E795" s="27"/>
      <c r="F795" s="26"/>
      <c r="G795" s="28"/>
      <c r="H795" s="28"/>
      <c r="I795" s="28"/>
      <c r="J795" s="28"/>
      <c r="K795" s="28"/>
      <c r="L795" s="28"/>
      <c r="M795" s="28"/>
      <c r="N795" s="26"/>
      <c r="O795" s="29"/>
      <c r="P795" s="27"/>
      <c r="Q795" s="26"/>
      <c r="R795" s="29"/>
      <c r="S795" s="28"/>
      <c r="T795" s="29"/>
      <c r="U795" s="28"/>
      <c r="V795" s="28"/>
      <c r="W795" s="28"/>
      <c r="X795" s="28"/>
      <c r="Y795" s="26"/>
      <c r="Z795" s="29"/>
      <c r="AA795" s="28"/>
      <c r="AB795" s="26"/>
      <c r="AC795" s="29"/>
      <c r="AD795" s="25"/>
      <c r="AE795" s="29"/>
      <c r="AF795" s="25"/>
      <c r="AG795" s="25"/>
      <c r="AH795" s="25"/>
      <c r="AI795" s="25"/>
      <c r="AJ795" s="26"/>
      <c r="AK795" s="29"/>
      <c r="AL795" s="28"/>
      <c r="AM795" s="26"/>
      <c r="AN795" s="29"/>
      <c r="AO795" s="25"/>
      <c r="AP795" s="29"/>
      <c r="AQ795" s="25"/>
      <c r="AR795" s="25"/>
      <c r="AS795" s="25"/>
      <c r="AT795" s="25"/>
      <c r="AU795" s="26"/>
      <c r="AV795" s="26"/>
      <c r="AW795" s="26"/>
      <c r="AX795" s="26"/>
      <c r="AY795" s="26"/>
      <c r="AZ795" s="26"/>
      <c r="BA795" s="26"/>
    </row>
    <row r="796">
      <c r="A796" s="26"/>
      <c r="B796" s="26"/>
      <c r="C796" s="26"/>
      <c r="D796" s="27"/>
      <c r="E796" s="27"/>
      <c r="F796" s="26"/>
      <c r="G796" s="28"/>
      <c r="H796" s="28"/>
      <c r="I796" s="28"/>
      <c r="J796" s="28"/>
      <c r="K796" s="28"/>
      <c r="L796" s="28"/>
      <c r="M796" s="28"/>
      <c r="N796" s="26"/>
      <c r="O796" s="29"/>
      <c r="P796" s="27"/>
      <c r="Q796" s="26"/>
      <c r="R796" s="29"/>
      <c r="S796" s="28"/>
      <c r="T796" s="29"/>
      <c r="U796" s="28"/>
      <c r="V796" s="28"/>
      <c r="W796" s="28"/>
      <c r="X796" s="28"/>
      <c r="Y796" s="26"/>
      <c r="Z796" s="29"/>
      <c r="AA796" s="28"/>
      <c r="AB796" s="26"/>
      <c r="AC796" s="29"/>
      <c r="AD796" s="25"/>
      <c r="AE796" s="29"/>
      <c r="AF796" s="25"/>
      <c r="AG796" s="25"/>
      <c r="AH796" s="25"/>
      <c r="AI796" s="25"/>
      <c r="AJ796" s="26"/>
      <c r="AK796" s="29"/>
      <c r="AL796" s="28"/>
      <c r="AM796" s="26"/>
      <c r="AN796" s="29"/>
      <c r="AO796" s="25"/>
      <c r="AP796" s="29"/>
      <c r="AQ796" s="25"/>
      <c r="AR796" s="25"/>
      <c r="AS796" s="25"/>
      <c r="AT796" s="25"/>
      <c r="AU796" s="26"/>
      <c r="AV796" s="26"/>
      <c r="AW796" s="26"/>
      <c r="AX796" s="26"/>
      <c r="AY796" s="26"/>
      <c r="AZ796" s="26"/>
      <c r="BA796" s="26"/>
    </row>
    <row r="797">
      <c r="A797" s="26"/>
      <c r="B797" s="26"/>
      <c r="C797" s="26"/>
      <c r="D797" s="27"/>
      <c r="E797" s="27"/>
      <c r="F797" s="26"/>
      <c r="G797" s="28"/>
      <c r="H797" s="28"/>
      <c r="I797" s="28"/>
      <c r="J797" s="28"/>
      <c r="K797" s="28"/>
      <c r="L797" s="28"/>
      <c r="M797" s="28"/>
      <c r="N797" s="26"/>
      <c r="O797" s="29"/>
      <c r="P797" s="27"/>
      <c r="Q797" s="26"/>
      <c r="R797" s="29"/>
      <c r="S797" s="28"/>
      <c r="T797" s="29"/>
      <c r="U797" s="28"/>
      <c r="V797" s="28"/>
      <c r="W797" s="28"/>
      <c r="X797" s="28"/>
      <c r="Y797" s="26"/>
      <c r="Z797" s="29"/>
      <c r="AA797" s="28"/>
      <c r="AB797" s="26"/>
      <c r="AC797" s="29"/>
      <c r="AD797" s="25"/>
      <c r="AE797" s="29"/>
      <c r="AF797" s="25"/>
      <c r="AG797" s="25"/>
      <c r="AH797" s="25"/>
      <c r="AI797" s="25"/>
      <c r="AJ797" s="26"/>
      <c r="AK797" s="29"/>
      <c r="AL797" s="28"/>
      <c r="AM797" s="26"/>
      <c r="AN797" s="29"/>
      <c r="AO797" s="25"/>
      <c r="AP797" s="29"/>
      <c r="AQ797" s="25"/>
      <c r="AR797" s="25"/>
      <c r="AS797" s="25"/>
      <c r="AT797" s="25"/>
      <c r="AU797" s="26"/>
      <c r="AV797" s="26"/>
      <c r="AW797" s="26"/>
      <c r="AX797" s="26"/>
      <c r="AY797" s="26"/>
      <c r="AZ797" s="26"/>
      <c r="BA797" s="26"/>
    </row>
    <row r="798">
      <c r="A798" s="26"/>
      <c r="B798" s="26"/>
      <c r="C798" s="26"/>
      <c r="D798" s="27"/>
      <c r="E798" s="27"/>
      <c r="F798" s="26"/>
      <c r="G798" s="28"/>
      <c r="H798" s="28"/>
      <c r="I798" s="28"/>
      <c r="J798" s="28"/>
      <c r="K798" s="28"/>
      <c r="L798" s="28"/>
      <c r="M798" s="28"/>
      <c r="N798" s="26"/>
      <c r="O798" s="29"/>
      <c r="P798" s="27"/>
      <c r="Q798" s="26"/>
      <c r="R798" s="29"/>
      <c r="S798" s="28"/>
      <c r="T798" s="29"/>
      <c r="U798" s="28"/>
      <c r="V798" s="28"/>
      <c r="W798" s="28"/>
      <c r="X798" s="28"/>
      <c r="Y798" s="26"/>
      <c r="Z798" s="29"/>
      <c r="AA798" s="28"/>
      <c r="AB798" s="26"/>
      <c r="AC798" s="29"/>
      <c r="AD798" s="25"/>
      <c r="AE798" s="29"/>
      <c r="AF798" s="25"/>
      <c r="AG798" s="25"/>
      <c r="AH798" s="25"/>
      <c r="AI798" s="25"/>
      <c r="AJ798" s="26"/>
      <c r="AK798" s="29"/>
      <c r="AL798" s="28"/>
      <c r="AM798" s="26"/>
      <c r="AN798" s="29"/>
      <c r="AO798" s="25"/>
      <c r="AP798" s="29"/>
      <c r="AQ798" s="25"/>
      <c r="AR798" s="25"/>
      <c r="AS798" s="25"/>
      <c r="AT798" s="25"/>
      <c r="AU798" s="26"/>
      <c r="AV798" s="26"/>
      <c r="AW798" s="26"/>
      <c r="AX798" s="26"/>
      <c r="AY798" s="26"/>
      <c r="AZ798" s="26"/>
      <c r="BA798" s="26"/>
    </row>
    <row r="799">
      <c r="A799" s="26"/>
      <c r="B799" s="26"/>
      <c r="C799" s="26"/>
      <c r="D799" s="27"/>
      <c r="E799" s="27"/>
      <c r="F799" s="26"/>
      <c r="G799" s="28"/>
      <c r="H799" s="28"/>
      <c r="I799" s="28"/>
      <c r="J799" s="28"/>
      <c r="K799" s="28"/>
      <c r="L799" s="28"/>
      <c r="M799" s="28"/>
      <c r="N799" s="26"/>
      <c r="O799" s="29"/>
      <c r="P799" s="27"/>
      <c r="Q799" s="26"/>
      <c r="R799" s="29"/>
      <c r="S799" s="28"/>
      <c r="T799" s="29"/>
      <c r="U799" s="28"/>
      <c r="V799" s="28"/>
      <c r="W799" s="28"/>
      <c r="X799" s="28"/>
      <c r="Y799" s="26"/>
      <c r="Z799" s="29"/>
      <c r="AA799" s="28"/>
      <c r="AB799" s="26"/>
      <c r="AC799" s="29"/>
      <c r="AD799" s="25"/>
      <c r="AE799" s="29"/>
      <c r="AF799" s="25"/>
      <c r="AG799" s="25"/>
      <c r="AH799" s="25"/>
      <c r="AI799" s="25"/>
      <c r="AJ799" s="26"/>
      <c r="AK799" s="29"/>
      <c r="AL799" s="28"/>
      <c r="AM799" s="26"/>
      <c r="AN799" s="29"/>
      <c r="AO799" s="25"/>
      <c r="AP799" s="29"/>
      <c r="AQ799" s="25"/>
      <c r="AR799" s="25"/>
      <c r="AS799" s="25"/>
      <c r="AT799" s="25"/>
      <c r="AU799" s="26"/>
      <c r="AV799" s="26"/>
      <c r="AW799" s="26"/>
      <c r="AX799" s="26"/>
      <c r="AY799" s="26"/>
      <c r="AZ799" s="26"/>
      <c r="BA799" s="26"/>
    </row>
    <row r="800">
      <c r="A800" s="26"/>
      <c r="B800" s="26"/>
      <c r="C800" s="26"/>
      <c r="D800" s="27"/>
      <c r="E800" s="27"/>
      <c r="F800" s="26"/>
      <c r="G800" s="28"/>
      <c r="H800" s="28"/>
      <c r="I800" s="28"/>
      <c r="J800" s="28"/>
      <c r="K800" s="28"/>
      <c r="L800" s="28"/>
      <c r="M800" s="28"/>
      <c r="N800" s="26"/>
      <c r="O800" s="29"/>
      <c r="P800" s="27"/>
      <c r="Q800" s="26"/>
      <c r="R800" s="29"/>
      <c r="S800" s="28"/>
      <c r="T800" s="29"/>
      <c r="U800" s="28"/>
      <c r="V800" s="28"/>
      <c r="W800" s="28"/>
      <c r="X800" s="28"/>
      <c r="Y800" s="26"/>
      <c r="Z800" s="29"/>
      <c r="AA800" s="28"/>
      <c r="AB800" s="26"/>
      <c r="AC800" s="29"/>
      <c r="AD800" s="25"/>
      <c r="AE800" s="29"/>
      <c r="AF800" s="25"/>
      <c r="AG800" s="25"/>
      <c r="AH800" s="25"/>
      <c r="AI800" s="25"/>
      <c r="AJ800" s="26"/>
      <c r="AK800" s="29"/>
      <c r="AL800" s="28"/>
      <c r="AM800" s="26"/>
      <c r="AN800" s="29"/>
      <c r="AO800" s="25"/>
      <c r="AP800" s="29"/>
      <c r="AQ800" s="25"/>
      <c r="AR800" s="25"/>
      <c r="AS800" s="25"/>
      <c r="AT800" s="25"/>
      <c r="AU800" s="26"/>
      <c r="AV800" s="26"/>
      <c r="AW800" s="26"/>
      <c r="AX800" s="26"/>
      <c r="AY800" s="26"/>
      <c r="AZ800" s="26"/>
      <c r="BA800" s="26"/>
    </row>
    <row r="801">
      <c r="A801" s="26"/>
      <c r="B801" s="26"/>
      <c r="C801" s="26"/>
      <c r="D801" s="27"/>
      <c r="E801" s="27"/>
      <c r="F801" s="26"/>
      <c r="G801" s="28"/>
      <c r="H801" s="28"/>
      <c r="I801" s="28"/>
      <c r="J801" s="28"/>
      <c r="K801" s="28"/>
      <c r="L801" s="28"/>
      <c r="M801" s="28"/>
      <c r="N801" s="26"/>
      <c r="O801" s="29"/>
      <c r="P801" s="27"/>
      <c r="Q801" s="26"/>
      <c r="R801" s="29"/>
      <c r="S801" s="28"/>
      <c r="T801" s="29"/>
      <c r="U801" s="28"/>
      <c r="V801" s="28"/>
      <c r="W801" s="28"/>
      <c r="X801" s="28"/>
      <c r="Y801" s="26"/>
      <c r="Z801" s="29"/>
      <c r="AA801" s="28"/>
      <c r="AB801" s="26"/>
      <c r="AC801" s="29"/>
      <c r="AD801" s="25"/>
      <c r="AE801" s="29"/>
      <c r="AF801" s="25"/>
      <c r="AG801" s="25"/>
      <c r="AH801" s="25"/>
      <c r="AI801" s="25"/>
      <c r="AJ801" s="26"/>
      <c r="AK801" s="29"/>
      <c r="AL801" s="28"/>
      <c r="AM801" s="26"/>
      <c r="AN801" s="29"/>
      <c r="AO801" s="25"/>
      <c r="AP801" s="29"/>
      <c r="AQ801" s="25"/>
      <c r="AR801" s="25"/>
      <c r="AS801" s="25"/>
      <c r="AT801" s="25"/>
      <c r="AU801" s="26"/>
      <c r="AV801" s="26"/>
      <c r="AW801" s="26"/>
      <c r="AX801" s="26"/>
      <c r="AY801" s="26"/>
      <c r="AZ801" s="26"/>
      <c r="BA801" s="26"/>
    </row>
    <row r="802">
      <c r="A802" s="26"/>
      <c r="B802" s="26"/>
      <c r="C802" s="26"/>
      <c r="D802" s="27"/>
      <c r="E802" s="27"/>
      <c r="F802" s="26"/>
      <c r="G802" s="28"/>
      <c r="H802" s="28"/>
      <c r="I802" s="28"/>
      <c r="J802" s="28"/>
      <c r="K802" s="28"/>
      <c r="L802" s="28"/>
      <c r="M802" s="28"/>
      <c r="N802" s="26"/>
      <c r="O802" s="29"/>
      <c r="P802" s="27"/>
      <c r="Q802" s="26"/>
      <c r="R802" s="29"/>
      <c r="S802" s="28"/>
      <c r="T802" s="29"/>
      <c r="U802" s="28"/>
      <c r="V802" s="28"/>
      <c r="W802" s="28"/>
      <c r="X802" s="28"/>
      <c r="Y802" s="26"/>
      <c r="Z802" s="29"/>
      <c r="AA802" s="28"/>
      <c r="AB802" s="26"/>
      <c r="AC802" s="29"/>
      <c r="AD802" s="25"/>
      <c r="AE802" s="29"/>
      <c r="AF802" s="25"/>
      <c r="AG802" s="25"/>
      <c r="AH802" s="25"/>
      <c r="AI802" s="25"/>
      <c r="AJ802" s="26"/>
      <c r="AK802" s="29"/>
      <c r="AL802" s="28"/>
      <c r="AM802" s="26"/>
      <c r="AN802" s="29"/>
      <c r="AO802" s="25"/>
      <c r="AP802" s="29"/>
      <c r="AQ802" s="25"/>
      <c r="AR802" s="25"/>
      <c r="AS802" s="25"/>
      <c r="AT802" s="25"/>
      <c r="AU802" s="26"/>
      <c r="AV802" s="26"/>
      <c r="AW802" s="26"/>
      <c r="AX802" s="26"/>
      <c r="AY802" s="26"/>
      <c r="AZ802" s="26"/>
      <c r="BA802" s="26"/>
    </row>
    <row r="803">
      <c r="A803" s="26"/>
      <c r="B803" s="26"/>
      <c r="C803" s="26"/>
      <c r="D803" s="27"/>
      <c r="E803" s="27"/>
      <c r="F803" s="26"/>
      <c r="G803" s="28"/>
      <c r="H803" s="28"/>
      <c r="I803" s="28"/>
      <c r="J803" s="28"/>
      <c r="K803" s="28"/>
      <c r="L803" s="28"/>
      <c r="M803" s="28"/>
      <c r="N803" s="26"/>
      <c r="O803" s="29"/>
      <c r="P803" s="27"/>
      <c r="Q803" s="26"/>
      <c r="R803" s="29"/>
      <c r="S803" s="28"/>
      <c r="T803" s="29"/>
      <c r="U803" s="28"/>
      <c r="V803" s="28"/>
      <c r="W803" s="28"/>
      <c r="X803" s="28"/>
      <c r="Y803" s="26"/>
      <c r="Z803" s="29"/>
      <c r="AA803" s="28"/>
      <c r="AB803" s="26"/>
      <c r="AC803" s="29"/>
      <c r="AD803" s="25"/>
      <c r="AE803" s="29"/>
      <c r="AF803" s="25"/>
      <c r="AG803" s="25"/>
      <c r="AH803" s="25"/>
      <c r="AI803" s="25"/>
      <c r="AJ803" s="26"/>
      <c r="AK803" s="29"/>
      <c r="AL803" s="28"/>
      <c r="AM803" s="26"/>
      <c r="AN803" s="29"/>
      <c r="AO803" s="25"/>
      <c r="AP803" s="29"/>
      <c r="AQ803" s="25"/>
      <c r="AR803" s="25"/>
      <c r="AS803" s="25"/>
      <c r="AT803" s="25"/>
      <c r="AU803" s="26"/>
      <c r="AV803" s="26"/>
      <c r="AW803" s="26"/>
      <c r="AX803" s="26"/>
      <c r="AY803" s="26"/>
      <c r="AZ803" s="26"/>
      <c r="BA803" s="26"/>
    </row>
    <row r="804">
      <c r="A804" s="26"/>
      <c r="B804" s="26"/>
      <c r="C804" s="26"/>
      <c r="D804" s="27"/>
      <c r="E804" s="27"/>
      <c r="F804" s="26"/>
      <c r="G804" s="28"/>
      <c r="H804" s="28"/>
      <c r="I804" s="28"/>
      <c r="J804" s="28"/>
      <c r="K804" s="28"/>
      <c r="L804" s="28"/>
      <c r="M804" s="28"/>
      <c r="N804" s="26"/>
      <c r="O804" s="29"/>
      <c r="P804" s="27"/>
      <c r="Q804" s="26"/>
      <c r="R804" s="29"/>
      <c r="S804" s="28"/>
      <c r="T804" s="29"/>
      <c r="U804" s="28"/>
      <c r="V804" s="28"/>
      <c r="W804" s="28"/>
      <c r="X804" s="28"/>
      <c r="Y804" s="26"/>
      <c r="Z804" s="29"/>
      <c r="AA804" s="28"/>
      <c r="AB804" s="26"/>
      <c r="AC804" s="29"/>
      <c r="AD804" s="25"/>
      <c r="AE804" s="29"/>
      <c r="AF804" s="25"/>
      <c r="AG804" s="25"/>
      <c r="AH804" s="25"/>
      <c r="AI804" s="25"/>
      <c r="AJ804" s="26"/>
      <c r="AK804" s="29"/>
      <c r="AL804" s="28"/>
      <c r="AM804" s="26"/>
      <c r="AN804" s="29"/>
      <c r="AO804" s="25"/>
      <c r="AP804" s="29"/>
      <c r="AQ804" s="25"/>
      <c r="AR804" s="25"/>
      <c r="AS804" s="25"/>
      <c r="AT804" s="25"/>
      <c r="AU804" s="26"/>
      <c r="AV804" s="26"/>
      <c r="AW804" s="26"/>
      <c r="AX804" s="26"/>
      <c r="AY804" s="26"/>
      <c r="AZ804" s="26"/>
      <c r="BA804" s="26"/>
    </row>
    <row r="805">
      <c r="A805" s="26"/>
      <c r="B805" s="26"/>
      <c r="C805" s="26"/>
      <c r="D805" s="27"/>
      <c r="E805" s="27"/>
      <c r="F805" s="26"/>
      <c r="G805" s="28"/>
      <c r="H805" s="28"/>
      <c r="I805" s="28"/>
      <c r="J805" s="28"/>
      <c r="K805" s="28"/>
      <c r="L805" s="28"/>
      <c r="M805" s="28"/>
      <c r="N805" s="26"/>
      <c r="O805" s="29"/>
      <c r="P805" s="27"/>
      <c r="Q805" s="26"/>
      <c r="R805" s="29"/>
      <c r="S805" s="28"/>
      <c r="T805" s="29"/>
      <c r="U805" s="28"/>
      <c r="V805" s="28"/>
      <c r="W805" s="28"/>
      <c r="X805" s="28"/>
      <c r="Y805" s="26"/>
      <c r="Z805" s="29"/>
      <c r="AA805" s="28"/>
      <c r="AB805" s="26"/>
      <c r="AC805" s="29"/>
      <c r="AD805" s="25"/>
      <c r="AE805" s="29"/>
      <c r="AF805" s="25"/>
      <c r="AG805" s="25"/>
      <c r="AH805" s="25"/>
      <c r="AI805" s="25"/>
      <c r="AJ805" s="26"/>
      <c r="AK805" s="29"/>
      <c r="AL805" s="28"/>
      <c r="AM805" s="26"/>
      <c r="AN805" s="29"/>
      <c r="AO805" s="25"/>
      <c r="AP805" s="29"/>
      <c r="AQ805" s="25"/>
      <c r="AR805" s="25"/>
      <c r="AS805" s="25"/>
      <c r="AT805" s="25"/>
      <c r="AU805" s="26"/>
      <c r="AV805" s="26"/>
      <c r="AW805" s="26"/>
      <c r="AX805" s="26"/>
      <c r="AY805" s="26"/>
      <c r="AZ805" s="26"/>
      <c r="BA805" s="26"/>
    </row>
    <row r="806">
      <c r="A806" s="26"/>
      <c r="B806" s="26"/>
      <c r="C806" s="26"/>
      <c r="D806" s="27"/>
      <c r="E806" s="27"/>
      <c r="F806" s="26"/>
      <c r="G806" s="28"/>
      <c r="H806" s="28"/>
      <c r="I806" s="28"/>
      <c r="J806" s="28"/>
      <c r="K806" s="28"/>
      <c r="L806" s="28"/>
      <c r="M806" s="28"/>
      <c r="N806" s="26"/>
      <c r="O806" s="29"/>
      <c r="P806" s="27"/>
      <c r="Q806" s="26"/>
      <c r="R806" s="29"/>
      <c r="S806" s="28"/>
      <c r="T806" s="29"/>
      <c r="U806" s="28"/>
      <c r="V806" s="28"/>
      <c r="W806" s="28"/>
      <c r="X806" s="28"/>
      <c r="Y806" s="26"/>
      <c r="Z806" s="29"/>
      <c r="AA806" s="28"/>
      <c r="AB806" s="26"/>
      <c r="AC806" s="29"/>
      <c r="AD806" s="25"/>
      <c r="AE806" s="29"/>
      <c r="AF806" s="25"/>
      <c r="AG806" s="25"/>
      <c r="AH806" s="25"/>
      <c r="AI806" s="25"/>
      <c r="AJ806" s="26"/>
      <c r="AK806" s="29"/>
      <c r="AL806" s="28"/>
      <c r="AM806" s="26"/>
      <c r="AN806" s="29"/>
      <c r="AO806" s="25"/>
      <c r="AP806" s="29"/>
      <c r="AQ806" s="25"/>
      <c r="AR806" s="25"/>
      <c r="AS806" s="25"/>
      <c r="AT806" s="25"/>
      <c r="AU806" s="26"/>
      <c r="AV806" s="26"/>
      <c r="AW806" s="26"/>
      <c r="AX806" s="26"/>
      <c r="AY806" s="26"/>
      <c r="AZ806" s="26"/>
      <c r="BA806" s="26"/>
    </row>
    <row r="807">
      <c r="A807" s="26"/>
      <c r="B807" s="26"/>
      <c r="C807" s="26"/>
      <c r="D807" s="27"/>
      <c r="E807" s="27"/>
      <c r="F807" s="26"/>
      <c r="G807" s="28"/>
      <c r="H807" s="28"/>
      <c r="I807" s="28"/>
      <c r="J807" s="28"/>
      <c r="K807" s="28"/>
      <c r="L807" s="28"/>
      <c r="M807" s="28"/>
      <c r="N807" s="26"/>
      <c r="O807" s="29"/>
      <c r="P807" s="27"/>
      <c r="Q807" s="26"/>
      <c r="R807" s="29"/>
      <c r="S807" s="28"/>
      <c r="T807" s="29"/>
      <c r="U807" s="28"/>
      <c r="V807" s="28"/>
      <c r="W807" s="28"/>
      <c r="X807" s="28"/>
      <c r="Y807" s="26"/>
      <c r="Z807" s="29"/>
      <c r="AA807" s="28"/>
      <c r="AB807" s="26"/>
      <c r="AC807" s="29"/>
      <c r="AD807" s="25"/>
      <c r="AE807" s="29"/>
      <c r="AF807" s="25"/>
      <c r="AG807" s="25"/>
      <c r="AH807" s="25"/>
      <c r="AI807" s="25"/>
      <c r="AJ807" s="26"/>
      <c r="AK807" s="29"/>
      <c r="AL807" s="28"/>
      <c r="AM807" s="26"/>
      <c r="AN807" s="29"/>
      <c r="AO807" s="25"/>
      <c r="AP807" s="29"/>
      <c r="AQ807" s="25"/>
      <c r="AR807" s="25"/>
      <c r="AS807" s="25"/>
      <c r="AT807" s="25"/>
      <c r="AU807" s="26"/>
      <c r="AV807" s="26"/>
      <c r="AW807" s="26"/>
      <c r="AX807" s="26"/>
      <c r="AY807" s="26"/>
      <c r="AZ807" s="26"/>
      <c r="BA807" s="26"/>
    </row>
    <row r="808">
      <c r="A808" s="26"/>
      <c r="B808" s="26"/>
      <c r="C808" s="26"/>
      <c r="D808" s="27"/>
      <c r="E808" s="27"/>
      <c r="F808" s="26"/>
      <c r="G808" s="28"/>
      <c r="H808" s="28"/>
      <c r="I808" s="28"/>
      <c r="J808" s="28"/>
      <c r="K808" s="28"/>
      <c r="L808" s="28"/>
      <c r="M808" s="28"/>
      <c r="N808" s="26"/>
      <c r="O808" s="29"/>
      <c r="P808" s="27"/>
      <c r="Q808" s="26"/>
      <c r="R808" s="29"/>
      <c r="S808" s="28"/>
      <c r="T808" s="29"/>
      <c r="U808" s="28"/>
      <c r="V808" s="28"/>
      <c r="W808" s="28"/>
      <c r="X808" s="28"/>
      <c r="Y808" s="26"/>
      <c r="Z808" s="29"/>
      <c r="AA808" s="28"/>
      <c r="AB808" s="26"/>
      <c r="AC808" s="29"/>
      <c r="AD808" s="25"/>
      <c r="AE808" s="29"/>
      <c r="AF808" s="25"/>
      <c r="AG808" s="25"/>
      <c r="AH808" s="25"/>
      <c r="AI808" s="25"/>
      <c r="AJ808" s="26"/>
      <c r="AK808" s="29"/>
      <c r="AL808" s="28"/>
      <c r="AM808" s="26"/>
      <c r="AN808" s="29"/>
      <c r="AO808" s="25"/>
      <c r="AP808" s="29"/>
      <c r="AQ808" s="25"/>
      <c r="AR808" s="25"/>
      <c r="AS808" s="25"/>
      <c r="AT808" s="25"/>
      <c r="AU808" s="26"/>
      <c r="AV808" s="26"/>
      <c r="AW808" s="26"/>
      <c r="AX808" s="26"/>
      <c r="AY808" s="26"/>
      <c r="AZ808" s="26"/>
      <c r="BA808" s="26"/>
    </row>
    <row r="809">
      <c r="A809" s="26"/>
      <c r="B809" s="26"/>
      <c r="C809" s="26"/>
      <c r="D809" s="27"/>
      <c r="E809" s="27"/>
      <c r="F809" s="26"/>
      <c r="G809" s="28"/>
      <c r="H809" s="28"/>
      <c r="I809" s="28"/>
      <c r="J809" s="28"/>
      <c r="K809" s="28"/>
      <c r="L809" s="28"/>
      <c r="M809" s="28"/>
      <c r="N809" s="26"/>
      <c r="O809" s="29"/>
      <c r="P809" s="27"/>
      <c r="Q809" s="26"/>
      <c r="R809" s="29"/>
      <c r="S809" s="28"/>
      <c r="T809" s="29"/>
      <c r="U809" s="28"/>
      <c r="V809" s="28"/>
      <c r="W809" s="28"/>
      <c r="X809" s="28"/>
      <c r="Y809" s="26"/>
      <c r="Z809" s="29"/>
      <c r="AA809" s="28"/>
      <c r="AB809" s="26"/>
      <c r="AC809" s="29"/>
      <c r="AD809" s="25"/>
      <c r="AE809" s="29"/>
      <c r="AF809" s="25"/>
      <c r="AG809" s="25"/>
      <c r="AH809" s="25"/>
      <c r="AI809" s="25"/>
      <c r="AJ809" s="26"/>
      <c r="AK809" s="29"/>
      <c r="AL809" s="28"/>
      <c r="AM809" s="26"/>
      <c r="AN809" s="29"/>
      <c r="AO809" s="25"/>
      <c r="AP809" s="29"/>
      <c r="AQ809" s="25"/>
      <c r="AR809" s="25"/>
      <c r="AS809" s="25"/>
      <c r="AT809" s="25"/>
      <c r="AU809" s="26"/>
      <c r="AV809" s="26"/>
      <c r="AW809" s="26"/>
      <c r="AX809" s="26"/>
      <c r="AY809" s="26"/>
      <c r="AZ809" s="26"/>
      <c r="BA809" s="26"/>
    </row>
    <row r="810">
      <c r="A810" s="26"/>
      <c r="B810" s="26"/>
      <c r="C810" s="26"/>
      <c r="D810" s="27"/>
      <c r="E810" s="27"/>
      <c r="F810" s="26"/>
      <c r="G810" s="28"/>
      <c r="H810" s="28"/>
      <c r="I810" s="28"/>
      <c r="J810" s="28"/>
      <c r="K810" s="28"/>
      <c r="L810" s="28"/>
      <c r="M810" s="28"/>
      <c r="N810" s="26"/>
      <c r="O810" s="29"/>
      <c r="P810" s="27"/>
      <c r="Q810" s="26"/>
      <c r="R810" s="29"/>
      <c r="S810" s="28"/>
      <c r="T810" s="29"/>
      <c r="U810" s="28"/>
      <c r="V810" s="28"/>
      <c r="W810" s="28"/>
      <c r="X810" s="28"/>
      <c r="Y810" s="26"/>
      <c r="Z810" s="29"/>
      <c r="AA810" s="28"/>
      <c r="AB810" s="26"/>
      <c r="AC810" s="29"/>
      <c r="AD810" s="25"/>
      <c r="AE810" s="29"/>
      <c r="AF810" s="25"/>
      <c r="AG810" s="25"/>
      <c r="AH810" s="25"/>
      <c r="AI810" s="25"/>
      <c r="AJ810" s="26"/>
      <c r="AK810" s="29"/>
      <c r="AL810" s="28"/>
      <c r="AM810" s="26"/>
      <c r="AN810" s="29"/>
      <c r="AO810" s="25"/>
      <c r="AP810" s="29"/>
      <c r="AQ810" s="25"/>
      <c r="AR810" s="25"/>
      <c r="AS810" s="25"/>
      <c r="AT810" s="25"/>
      <c r="AU810" s="26"/>
      <c r="AV810" s="26"/>
      <c r="AW810" s="26"/>
      <c r="AX810" s="26"/>
      <c r="AY810" s="26"/>
      <c r="AZ810" s="26"/>
      <c r="BA810" s="26"/>
    </row>
    <row r="811">
      <c r="A811" s="26"/>
      <c r="B811" s="26"/>
      <c r="C811" s="26"/>
      <c r="D811" s="27"/>
      <c r="E811" s="27"/>
      <c r="F811" s="26"/>
      <c r="G811" s="28"/>
      <c r="H811" s="28"/>
      <c r="I811" s="28"/>
      <c r="J811" s="28"/>
      <c r="K811" s="28"/>
      <c r="L811" s="28"/>
      <c r="M811" s="28"/>
      <c r="N811" s="26"/>
      <c r="O811" s="29"/>
      <c r="P811" s="27"/>
      <c r="Q811" s="26"/>
      <c r="R811" s="29"/>
      <c r="S811" s="28"/>
      <c r="T811" s="29"/>
      <c r="U811" s="28"/>
      <c r="V811" s="28"/>
      <c r="W811" s="28"/>
      <c r="X811" s="28"/>
      <c r="Y811" s="26"/>
      <c r="Z811" s="29"/>
      <c r="AA811" s="28"/>
      <c r="AB811" s="26"/>
      <c r="AC811" s="29"/>
      <c r="AD811" s="25"/>
      <c r="AE811" s="29"/>
      <c r="AF811" s="25"/>
      <c r="AG811" s="25"/>
      <c r="AH811" s="25"/>
      <c r="AI811" s="25"/>
      <c r="AJ811" s="26"/>
      <c r="AK811" s="29"/>
      <c r="AL811" s="28"/>
      <c r="AM811" s="26"/>
      <c r="AN811" s="29"/>
      <c r="AO811" s="25"/>
      <c r="AP811" s="29"/>
      <c r="AQ811" s="25"/>
      <c r="AR811" s="25"/>
      <c r="AS811" s="25"/>
      <c r="AT811" s="25"/>
      <c r="AU811" s="26"/>
      <c r="AV811" s="26"/>
      <c r="AW811" s="26"/>
      <c r="AX811" s="26"/>
      <c r="AY811" s="26"/>
      <c r="AZ811" s="26"/>
      <c r="BA811" s="26"/>
    </row>
    <row r="812">
      <c r="A812" s="26"/>
      <c r="B812" s="26"/>
      <c r="C812" s="26"/>
      <c r="D812" s="27"/>
      <c r="E812" s="27"/>
      <c r="F812" s="26"/>
      <c r="G812" s="28"/>
      <c r="H812" s="28"/>
      <c r="I812" s="28"/>
      <c r="J812" s="28"/>
      <c r="K812" s="28"/>
      <c r="L812" s="28"/>
      <c r="M812" s="28"/>
      <c r="N812" s="26"/>
      <c r="O812" s="29"/>
      <c r="P812" s="27"/>
      <c r="Q812" s="26"/>
      <c r="R812" s="29"/>
      <c r="S812" s="28"/>
      <c r="T812" s="29"/>
      <c r="U812" s="28"/>
      <c r="V812" s="28"/>
      <c r="W812" s="28"/>
      <c r="X812" s="28"/>
      <c r="Y812" s="26"/>
      <c r="Z812" s="29"/>
      <c r="AA812" s="28"/>
      <c r="AB812" s="26"/>
      <c r="AC812" s="29"/>
      <c r="AD812" s="25"/>
      <c r="AE812" s="29"/>
      <c r="AF812" s="25"/>
      <c r="AG812" s="25"/>
      <c r="AH812" s="25"/>
      <c r="AI812" s="25"/>
      <c r="AJ812" s="26"/>
      <c r="AK812" s="29"/>
      <c r="AL812" s="28"/>
      <c r="AM812" s="26"/>
      <c r="AN812" s="29"/>
      <c r="AO812" s="25"/>
      <c r="AP812" s="29"/>
      <c r="AQ812" s="25"/>
      <c r="AR812" s="25"/>
      <c r="AS812" s="25"/>
      <c r="AT812" s="25"/>
      <c r="AU812" s="26"/>
      <c r="AV812" s="26"/>
      <c r="AW812" s="26"/>
      <c r="AX812" s="26"/>
      <c r="AY812" s="26"/>
      <c r="AZ812" s="26"/>
      <c r="BA812" s="26"/>
    </row>
    <row r="813">
      <c r="A813" s="26"/>
      <c r="B813" s="26"/>
      <c r="C813" s="26"/>
      <c r="D813" s="27"/>
      <c r="E813" s="27"/>
      <c r="F813" s="26"/>
      <c r="G813" s="28"/>
      <c r="H813" s="28"/>
      <c r="I813" s="28"/>
      <c r="J813" s="28"/>
      <c r="K813" s="28"/>
      <c r="L813" s="28"/>
      <c r="M813" s="28"/>
      <c r="N813" s="26"/>
      <c r="O813" s="29"/>
      <c r="P813" s="27"/>
      <c r="Q813" s="26"/>
      <c r="R813" s="29"/>
      <c r="S813" s="28"/>
      <c r="T813" s="29"/>
      <c r="U813" s="28"/>
      <c r="V813" s="28"/>
      <c r="W813" s="28"/>
      <c r="X813" s="28"/>
      <c r="Y813" s="26"/>
      <c r="Z813" s="29"/>
      <c r="AA813" s="28"/>
      <c r="AB813" s="26"/>
      <c r="AC813" s="29"/>
      <c r="AD813" s="25"/>
      <c r="AE813" s="29"/>
      <c r="AF813" s="25"/>
      <c r="AG813" s="25"/>
      <c r="AH813" s="25"/>
      <c r="AI813" s="25"/>
      <c r="AJ813" s="26"/>
      <c r="AK813" s="29"/>
      <c r="AL813" s="28"/>
      <c r="AM813" s="26"/>
      <c r="AN813" s="29"/>
      <c r="AO813" s="25"/>
      <c r="AP813" s="29"/>
      <c r="AQ813" s="25"/>
      <c r="AR813" s="25"/>
      <c r="AS813" s="25"/>
      <c r="AT813" s="25"/>
      <c r="AU813" s="26"/>
      <c r="AV813" s="26"/>
      <c r="AW813" s="26"/>
      <c r="AX813" s="26"/>
      <c r="AY813" s="26"/>
      <c r="AZ813" s="26"/>
      <c r="BA813" s="26"/>
    </row>
    <row r="814">
      <c r="A814" s="26"/>
      <c r="B814" s="26"/>
      <c r="C814" s="26"/>
      <c r="D814" s="27"/>
      <c r="E814" s="27"/>
      <c r="F814" s="26"/>
      <c r="G814" s="28"/>
      <c r="H814" s="28"/>
      <c r="I814" s="28"/>
      <c r="J814" s="28"/>
      <c r="K814" s="28"/>
      <c r="L814" s="28"/>
      <c r="M814" s="28"/>
      <c r="N814" s="26"/>
      <c r="O814" s="29"/>
      <c r="P814" s="27"/>
      <c r="Q814" s="26"/>
      <c r="R814" s="29"/>
      <c r="S814" s="28"/>
      <c r="T814" s="29"/>
      <c r="U814" s="28"/>
      <c r="V814" s="28"/>
      <c r="W814" s="28"/>
      <c r="X814" s="28"/>
      <c r="Y814" s="26"/>
      <c r="Z814" s="29"/>
      <c r="AA814" s="28"/>
      <c r="AB814" s="26"/>
      <c r="AC814" s="29"/>
      <c r="AD814" s="25"/>
      <c r="AE814" s="29"/>
      <c r="AF814" s="25"/>
      <c r="AG814" s="25"/>
      <c r="AH814" s="25"/>
      <c r="AI814" s="25"/>
      <c r="AJ814" s="26"/>
      <c r="AK814" s="29"/>
      <c r="AL814" s="28"/>
      <c r="AM814" s="26"/>
      <c r="AN814" s="29"/>
      <c r="AO814" s="25"/>
      <c r="AP814" s="29"/>
      <c r="AQ814" s="25"/>
      <c r="AR814" s="25"/>
      <c r="AS814" s="25"/>
      <c r="AT814" s="25"/>
      <c r="AU814" s="26"/>
      <c r="AV814" s="26"/>
      <c r="AW814" s="26"/>
      <c r="AX814" s="26"/>
      <c r="AY814" s="26"/>
      <c r="AZ814" s="26"/>
      <c r="BA814" s="26"/>
    </row>
    <row r="815">
      <c r="A815" s="26"/>
      <c r="B815" s="26"/>
      <c r="C815" s="26"/>
      <c r="D815" s="27"/>
      <c r="E815" s="27"/>
      <c r="F815" s="26"/>
      <c r="G815" s="28"/>
      <c r="H815" s="28"/>
      <c r="I815" s="28"/>
      <c r="J815" s="28"/>
      <c r="K815" s="28"/>
      <c r="L815" s="28"/>
      <c r="M815" s="28"/>
      <c r="N815" s="26"/>
      <c r="O815" s="29"/>
      <c r="P815" s="27"/>
      <c r="Q815" s="26"/>
      <c r="R815" s="29"/>
      <c r="S815" s="28"/>
      <c r="T815" s="29"/>
      <c r="U815" s="28"/>
      <c r="V815" s="28"/>
      <c r="W815" s="28"/>
      <c r="X815" s="28"/>
      <c r="Y815" s="26"/>
      <c r="Z815" s="29"/>
      <c r="AA815" s="28"/>
      <c r="AB815" s="26"/>
      <c r="AC815" s="29"/>
      <c r="AD815" s="25"/>
      <c r="AE815" s="29"/>
      <c r="AF815" s="25"/>
      <c r="AG815" s="25"/>
      <c r="AH815" s="25"/>
      <c r="AI815" s="25"/>
      <c r="AJ815" s="26"/>
      <c r="AK815" s="29"/>
      <c r="AL815" s="28"/>
      <c r="AM815" s="26"/>
      <c r="AN815" s="29"/>
      <c r="AO815" s="25"/>
      <c r="AP815" s="29"/>
      <c r="AQ815" s="25"/>
      <c r="AR815" s="25"/>
      <c r="AS815" s="25"/>
      <c r="AT815" s="25"/>
      <c r="AU815" s="26"/>
      <c r="AV815" s="26"/>
      <c r="AW815" s="26"/>
      <c r="AX815" s="26"/>
      <c r="AY815" s="26"/>
      <c r="AZ815" s="26"/>
      <c r="BA815" s="26"/>
    </row>
    <row r="816">
      <c r="A816" s="26"/>
      <c r="B816" s="26"/>
      <c r="C816" s="26"/>
      <c r="D816" s="27"/>
      <c r="E816" s="27"/>
      <c r="F816" s="26"/>
      <c r="G816" s="28"/>
      <c r="H816" s="28"/>
      <c r="I816" s="28"/>
      <c r="J816" s="28"/>
      <c r="K816" s="28"/>
      <c r="L816" s="28"/>
      <c r="M816" s="28"/>
      <c r="N816" s="26"/>
      <c r="O816" s="29"/>
      <c r="P816" s="27"/>
      <c r="Q816" s="26"/>
      <c r="R816" s="29"/>
      <c r="S816" s="28"/>
      <c r="T816" s="29"/>
      <c r="U816" s="28"/>
      <c r="V816" s="28"/>
      <c r="W816" s="28"/>
      <c r="X816" s="28"/>
      <c r="Y816" s="26"/>
      <c r="Z816" s="29"/>
      <c r="AA816" s="28"/>
      <c r="AB816" s="26"/>
      <c r="AC816" s="29"/>
      <c r="AD816" s="25"/>
      <c r="AE816" s="29"/>
      <c r="AF816" s="25"/>
      <c r="AG816" s="25"/>
      <c r="AH816" s="25"/>
      <c r="AI816" s="25"/>
      <c r="AJ816" s="26"/>
      <c r="AK816" s="29"/>
      <c r="AL816" s="28"/>
      <c r="AM816" s="26"/>
      <c r="AN816" s="29"/>
      <c r="AO816" s="25"/>
      <c r="AP816" s="29"/>
      <c r="AQ816" s="25"/>
      <c r="AR816" s="25"/>
      <c r="AS816" s="25"/>
      <c r="AT816" s="25"/>
      <c r="AU816" s="26"/>
      <c r="AV816" s="26"/>
      <c r="AW816" s="26"/>
      <c r="AX816" s="26"/>
      <c r="AY816" s="26"/>
      <c r="AZ816" s="26"/>
      <c r="BA816" s="26"/>
    </row>
    <row r="817">
      <c r="A817" s="26"/>
      <c r="B817" s="26"/>
      <c r="C817" s="26"/>
      <c r="D817" s="27"/>
      <c r="E817" s="27"/>
      <c r="F817" s="26"/>
      <c r="G817" s="28"/>
      <c r="H817" s="28"/>
      <c r="I817" s="28"/>
      <c r="J817" s="28"/>
      <c r="K817" s="28"/>
      <c r="L817" s="28"/>
      <c r="M817" s="28"/>
      <c r="N817" s="26"/>
      <c r="O817" s="29"/>
      <c r="P817" s="27"/>
      <c r="Q817" s="26"/>
      <c r="R817" s="29"/>
      <c r="S817" s="28"/>
      <c r="T817" s="29"/>
      <c r="U817" s="28"/>
      <c r="V817" s="28"/>
      <c r="W817" s="28"/>
      <c r="X817" s="28"/>
      <c r="Y817" s="26"/>
      <c r="Z817" s="29"/>
      <c r="AA817" s="28"/>
      <c r="AB817" s="26"/>
      <c r="AC817" s="29"/>
      <c r="AD817" s="25"/>
      <c r="AE817" s="29"/>
      <c r="AF817" s="25"/>
      <c r="AG817" s="25"/>
      <c r="AH817" s="25"/>
      <c r="AI817" s="25"/>
      <c r="AJ817" s="26"/>
      <c r="AK817" s="29"/>
      <c r="AL817" s="28"/>
      <c r="AM817" s="26"/>
      <c r="AN817" s="29"/>
      <c r="AO817" s="25"/>
      <c r="AP817" s="29"/>
      <c r="AQ817" s="25"/>
      <c r="AR817" s="25"/>
      <c r="AS817" s="25"/>
      <c r="AT817" s="25"/>
      <c r="AU817" s="26"/>
      <c r="AV817" s="26"/>
      <c r="AW817" s="26"/>
      <c r="AX817" s="26"/>
      <c r="AY817" s="26"/>
      <c r="AZ817" s="26"/>
      <c r="BA817" s="26"/>
    </row>
    <row r="818">
      <c r="A818" s="26"/>
      <c r="B818" s="26"/>
      <c r="C818" s="26"/>
      <c r="D818" s="27"/>
      <c r="E818" s="27"/>
      <c r="F818" s="26"/>
      <c r="G818" s="28"/>
      <c r="H818" s="28"/>
      <c r="I818" s="28"/>
      <c r="J818" s="28"/>
      <c r="K818" s="28"/>
      <c r="L818" s="28"/>
      <c r="M818" s="28"/>
      <c r="N818" s="26"/>
      <c r="O818" s="29"/>
      <c r="P818" s="27"/>
      <c r="Q818" s="26"/>
      <c r="R818" s="29"/>
      <c r="S818" s="28"/>
      <c r="T818" s="29"/>
      <c r="U818" s="28"/>
      <c r="V818" s="28"/>
      <c r="W818" s="28"/>
      <c r="X818" s="28"/>
      <c r="Y818" s="26"/>
      <c r="Z818" s="29"/>
      <c r="AA818" s="28"/>
      <c r="AB818" s="26"/>
      <c r="AC818" s="29"/>
      <c r="AD818" s="25"/>
      <c r="AE818" s="29"/>
      <c r="AF818" s="25"/>
      <c r="AG818" s="25"/>
      <c r="AH818" s="25"/>
      <c r="AI818" s="25"/>
      <c r="AJ818" s="26"/>
      <c r="AK818" s="29"/>
      <c r="AL818" s="28"/>
      <c r="AM818" s="26"/>
      <c r="AN818" s="29"/>
      <c r="AO818" s="25"/>
      <c r="AP818" s="29"/>
      <c r="AQ818" s="25"/>
      <c r="AR818" s="25"/>
      <c r="AS818" s="25"/>
      <c r="AT818" s="25"/>
      <c r="AU818" s="26"/>
      <c r="AV818" s="26"/>
      <c r="AW818" s="26"/>
      <c r="AX818" s="26"/>
      <c r="AY818" s="26"/>
      <c r="AZ818" s="26"/>
      <c r="BA818" s="26"/>
    </row>
    <row r="819">
      <c r="A819" s="26"/>
      <c r="B819" s="26"/>
      <c r="C819" s="26"/>
      <c r="D819" s="27"/>
      <c r="E819" s="27"/>
      <c r="F819" s="26"/>
      <c r="G819" s="28"/>
      <c r="H819" s="28"/>
      <c r="I819" s="28"/>
      <c r="J819" s="28"/>
      <c r="K819" s="28"/>
      <c r="L819" s="28"/>
      <c r="M819" s="28"/>
      <c r="N819" s="26"/>
      <c r="O819" s="29"/>
      <c r="P819" s="27"/>
      <c r="Q819" s="26"/>
      <c r="R819" s="29"/>
      <c r="S819" s="28"/>
      <c r="T819" s="29"/>
      <c r="U819" s="28"/>
      <c r="V819" s="28"/>
      <c r="W819" s="28"/>
      <c r="X819" s="28"/>
      <c r="Y819" s="26"/>
      <c r="Z819" s="29"/>
      <c r="AA819" s="28"/>
      <c r="AB819" s="26"/>
      <c r="AC819" s="29"/>
      <c r="AD819" s="25"/>
      <c r="AE819" s="29"/>
      <c r="AF819" s="25"/>
      <c r="AG819" s="25"/>
      <c r="AH819" s="25"/>
      <c r="AI819" s="25"/>
      <c r="AJ819" s="26"/>
      <c r="AK819" s="29"/>
      <c r="AL819" s="28"/>
      <c r="AM819" s="26"/>
      <c r="AN819" s="29"/>
      <c r="AO819" s="25"/>
      <c r="AP819" s="29"/>
      <c r="AQ819" s="25"/>
      <c r="AR819" s="25"/>
      <c r="AS819" s="25"/>
      <c r="AT819" s="25"/>
      <c r="AU819" s="26"/>
      <c r="AV819" s="26"/>
      <c r="AW819" s="26"/>
      <c r="AX819" s="26"/>
      <c r="AY819" s="26"/>
      <c r="AZ819" s="26"/>
      <c r="BA819" s="26"/>
    </row>
    <row r="820">
      <c r="A820" s="26"/>
      <c r="B820" s="26"/>
      <c r="C820" s="26"/>
      <c r="D820" s="27"/>
      <c r="E820" s="27"/>
      <c r="F820" s="26"/>
      <c r="G820" s="28"/>
      <c r="H820" s="28"/>
      <c r="I820" s="28"/>
      <c r="J820" s="28"/>
      <c r="K820" s="28"/>
      <c r="L820" s="28"/>
      <c r="M820" s="28"/>
      <c r="N820" s="26"/>
      <c r="O820" s="29"/>
      <c r="P820" s="27"/>
      <c r="Q820" s="26"/>
      <c r="R820" s="29"/>
      <c r="S820" s="28"/>
      <c r="T820" s="29"/>
      <c r="U820" s="28"/>
      <c r="V820" s="28"/>
      <c r="W820" s="28"/>
      <c r="X820" s="28"/>
      <c r="Y820" s="26"/>
      <c r="Z820" s="29"/>
      <c r="AA820" s="28"/>
      <c r="AB820" s="26"/>
      <c r="AC820" s="29"/>
      <c r="AD820" s="25"/>
      <c r="AE820" s="29"/>
      <c r="AF820" s="25"/>
      <c r="AG820" s="25"/>
      <c r="AH820" s="25"/>
      <c r="AI820" s="25"/>
      <c r="AJ820" s="26"/>
      <c r="AK820" s="29"/>
      <c r="AL820" s="28"/>
      <c r="AM820" s="26"/>
      <c r="AN820" s="29"/>
      <c r="AO820" s="25"/>
      <c r="AP820" s="29"/>
      <c r="AQ820" s="25"/>
      <c r="AR820" s="25"/>
      <c r="AS820" s="25"/>
      <c r="AT820" s="25"/>
      <c r="AU820" s="26"/>
      <c r="AV820" s="26"/>
      <c r="AW820" s="26"/>
      <c r="AX820" s="26"/>
      <c r="AY820" s="26"/>
      <c r="AZ820" s="26"/>
      <c r="BA820" s="26"/>
    </row>
    <row r="821">
      <c r="A821" s="26"/>
      <c r="B821" s="26"/>
      <c r="C821" s="26"/>
      <c r="D821" s="27"/>
      <c r="E821" s="27"/>
      <c r="F821" s="26"/>
      <c r="G821" s="28"/>
      <c r="H821" s="28"/>
      <c r="I821" s="28"/>
      <c r="J821" s="28"/>
      <c r="K821" s="28"/>
      <c r="L821" s="28"/>
      <c r="M821" s="28"/>
      <c r="N821" s="26"/>
      <c r="O821" s="29"/>
      <c r="P821" s="27"/>
      <c r="Q821" s="26"/>
      <c r="R821" s="29"/>
      <c r="S821" s="28"/>
      <c r="T821" s="29"/>
      <c r="U821" s="28"/>
      <c r="V821" s="28"/>
      <c r="W821" s="28"/>
      <c r="X821" s="28"/>
      <c r="Y821" s="26"/>
      <c r="Z821" s="29"/>
      <c r="AA821" s="28"/>
      <c r="AB821" s="26"/>
      <c r="AC821" s="29"/>
      <c r="AD821" s="25"/>
      <c r="AE821" s="29"/>
      <c r="AF821" s="25"/>
      <c r="AG821" s="25"/>
      <c r="AH821" s="25"/>
      <c r="AI821" s="25"/>
      <c r="AJ821" s="26"/>
      <c r="AK821" s="29"/>
      <c r="AL821" s="28"/>
      <c r="AM821" s="26"/>
      <c r="AN821" s="29"/>
      <c r="AO821" s="25"/>
      <c r="AP821" s="29"/>
      <c r="AQ821" s="25"/>
      <c r="AR821" s="25"/>
      <c r="AS821" s="25"/>
      <c r="AT821" s="25"/>
      <c r="AU821" s="26"/>
      <c r="AV821" s="26"/>
      <c r="AW821" s="26"/>
      <c r="AX821" s="26"/>
      <c r="AY821" s="26"/>
      <c r="AZ821" s="26"/>
      <c r="BA821" s="26"/>
    </row>
    <row r="822">
      <c r="A822" s="26"/>
      <c r="B822" s="26"/>
      <c r="C822" s="26"/>
      <c r="D822" s="27"/>
      <c r="E822" s="27"/>
      <c r="F822" s="26"/>
      <c r="G822" s="28"/>
      <c r="H822" s="28"/>
      <c r="I822" s="28"/>
      <c r="J822" s="28"/>
      <c r="K822" s="28"/>
      <c r="L822" s="28"/>
      <c r="M822" s="28"/>
      <c r="N822" s="26"/>
      <c r="O822" s="29"/>
      <c r="P822" s="27"/>
      <c r="Q822" s="26"/>
      <c r="R822" s="29"/>
      <c r="S822" s="28"/>
      <c r="T822" s="29"/>
      <c r="U822" s="28"/>
      <c r="V822" s="28"/>
      <c r="W822" s="28"/>
      <c r="X822" s="28"/>
      <c r="Y822" s="26"/>
      <c r="Z822" s="29"/>
      <c r="AA822" s="28"/>
      <c r="AB822" s="26"/>
      <c r="AC822" s="29"/>
      <c r="AD822" s="25"/>
      <c r="AE822" s="29"/>
      <c r="AF822" s="25"/>
      <c r="AG822" s="25"/>
      <c r="AH822" s="25"/>
      <c r="AI822" s="25"/>
      <c r="AJ822" s="26"/>
      <c r="AK822" s="29"/>
      <c r="AL822" s="28"/>
      <c r="AM822" s="26"/>
      <c r="AN822" s="29"/>
      <c r="AO822" s="25"/>
      <c r="AP822" s="29"/>
      <c r="AQ822" s="25"/>
      <c r="AR822" s="25"/>
      <c r="AS822" s="25"/>
      <c r="AT822" s="25"/>
      <c r="AU822" s="26"/>
      <c r="AV822" s="26"/>
      <c r="AW822" s="26"/>
      <c r="AX822" s="26"/>
      <c r="AY822" s="26"/>
      <c r="AZ822" s="26"/>
      <c r="BA822" s="26"/>
    </row>
    <row r="823">
      <c r="A823" s="26"/>
      <c r="B823" s="26"/>
      <c r="C823" s="26"/>
      <c r="D823" s="27"/>
      <c r="E823" s="27"/>
      <c r="F823" s="26"/>
      <c r="G823" s="28"/>
      <c r="H823" s="28"/>
      <c r="I823" s="28"/>
      <c r="J823" s="28"/>
      <c r="K823" s="28"/>
      <c r="L823" s="28"/>
      <c r="M823" s="28"/>
      <c r="N823" s="26"/>
      <c r="O823" s="29"/>
      <c r="P823" s="27"/>
      <c r="Q823" s="26"/>
      <c r="R823" s="29"/>
      <c r="S823" s="28"/>
      <c r="T823" s="29"/>
      <c r="U823" s="28"/>
      <c r="V823" s="28"/>
      <c r="W823" s="28"/>
      <c r="X823" s="28"/>
      <c r="Y823" s="26"/>
      <c r="Z823" s="29"/>
      <c r="AA823" s="28"/>
      <c r="AB823" s="26"/>
      <c r="AC823" s="29"/>
      <c r="AD823" s="25"/>
      <c r="AE823" s="29"/>
      <c r="AF823" s="25"/>
      <c r="AG823" s="25"/>
      <c r="AH823" s="25"/>
      <c r="AI823" s="25"/>
      <c r="AJ823" s="26"/>
      <c r="AK823" s="29"/>
      <c r="AL823" s="28"/>
      <c r="AM823" s="26"/>
      <c r="AN823" s="29"/>
      <c r="AO823" s="25"/>
      <c r="AP823" s="29"/>
      <c r="AQ823" s="25"/>
      <c r="AR823" s="25"/>
      <c r="AS823" s="25"/>
      <c r="AT823" s="25"/>
      <c r="AU823" s="26"/>
      <c r="AV823" s="26"/>
      <c r="AW823" s="26"/>
      <c r="AX823" s="26"/>
      <c r="AY823" s="26"/>
      <c r="AZ823" s="26"/>
      <c r="BA823" s="26"/>
    </row>
    <row r="824">
      <c r="A824" s="26"/>
      <c r="B824" s="26"/>
      <c r="C824" s="26"/>
      <c r="D824" s="27"/>
      <c r="E824" s="27"/>
      <c r="F824" s="26"/>
      <c r="G824" s="28"/>
      <c r="H824" s="28"/>
      <c r="I824" s="28"/>
      <c r="J824" s="28"/>
      <c r="K824" s="28"/>
      <c r="L824" s="28"/>
      <c r="M824" s="28"/>
      <c r="N824" s="26"/>
      <c r="O824" s="29"/>
      <c r="P824" s="27"/>
      <c r="Q824" s="26"/>
      <c r="R824" s="29"/>
      <c r="S824" s="28"/>
      <c r="T824" s="29"/>
      <c r="U824" s="28"/>
      <c r="V824" s="28"/>
      <c r="W824" s="28"/>
      <c r="X824" s="28"/>
      <c r="Y824" s="26"/>
      <c r="Z824" s="29"/>
      <c r="AA824" s="28"/>
      <c r="AB824" s="26"/>
      <c r="AC824" s="29"/>
      <c r="AD824" s="25"/>
      <c r="AE824" s="29"/>
      <c r="AF824" s="25"/>
      <c r="AG824" s="25"/>
      <c r="AH824" s="25"/>
      <c r="AI824" s="25"/>
      <c r="AJ824" s="26"/>
      <c r="AK824" s="29"/>
      <c r="AL824" s="28"/>
      <c r="AM824" s="26"/>
      <c r="AN824" s="29"/>
      <c r="AO824" s="25"/>
      <c r="AP824" s="29"/>
      <c r="AQ824" s="25"/>
      <c r="AR824" s="25"/>
      <c r="AS824" s="25"/>
      <c r="AT824" s="25"/>
      <c r="AU824" s="26"/>
      <c r="AV824" s="26"/>
      <c r="AW824" s="26"/>
      <c r="AX824" s="26"/>
      <c r="AY824" s="26"/>
      <c r="AZ824" s="26"/>
      <c r="BA824" s="26"/>
    </row>
    <row r="825">
      <c r="A825" s="26"/>
      <c r="B825" s="26"/>
      <c r="C825" s="26"/>
      <c r="D825" s="27"/>
      <c r="E825" s="27"/>
      <c r="F825" s="26"/>
      <c r="G825" s="28"/>
      <c r="H825" s="28"/>
      <c r="I825" s="28"/>
      <c r="J825" s="28"/>
      <c r="K825" s="28"/>
      <c r="L825" s="28"/>
      <c r="M825" s="28"/>
      <c r="N825" s="26"/>
      <c r="O825" s="29"/>
      <c r="P825" s="27"/>
      <c r="Q825" s="26"/>
      <c r="R825" s="29"/>
      <c r="S825" s="28"/>
      <c r="T825" s="29"/>
      <c r="U825" s="28"/>
      <c r="V825" s="28"/>
      <c r="W825" s="28"/>
      <c r="X825" s="28"/>
      <c r="Y825" s="26"/>
      <c r="Z825" s="29"/>
      <c r="AA825" s="28"/>
      <c r="AB825" s="26"/>
      <c r="AC825" s="29"/>
      <c r="AD825" s="25"/>
      <c r="AE825" s="29"/>
      <c r="AF825" s="25"/>
      <c r="AG825" s="25"/>
      <c r="AH825" s="25"/>
      <c r="AI825" s="25"/>
      <c r="AJ825" s="26"/>
      <c r="AK825" s="29"/>
      <c r="AL825" s="28"/>
      <c r="AM825" s="26"/>
      <c r="AN825" s="29"/>
      <c r="AO825" s="25"/>
      <c r="AP825" s="29"/>
      <c r="AQ825" s="25"/>
      <c r="AR825" s="25"/>
      <c r="AS825" s="25"/>
      <c r="AT825" s="25"/>
      <c r="AU825" s="26"/>
      <c r="AV825" s="26"/>
      <c r="AW825" s="26"/>
      <c r="AX825" s="26"/>
      <c r="AY825" s="26"/>
      <c r="AZ825" s="26"/>
      <c r="BA825" s="26"/>
    </row>
    <row r="826">
      <c r="A826" s="26"/>
      <c r="B826" s="26"/>
      <c r="C826" s="26"/>
      <c r="D826" s="27"/>
      <c r="E826" s="27"/>
      <c r="F826" s="26"/>
      <c r="G826" s="28"/>
      <c r="H826" s="28"/>
      <c r="I826" s="28"/>
      <c r="J826" s="28"/>
      <c r="K826" s="28"/>
      <c r="L826" s="28"/>
      <c r="M826" s="28"/>
      <c r="N826" s="26"/>
      <c r="O826" s="29"/>
      <c r="P826" s="27"/>
      <c r="Q826" s="26"/>
      <c r="R826" s="29"/>
      <c r="S826" s="28"/>
      <c r="T826" s="29"/>
      <c r="U826" s="28"/>
      <c r="V826" s="28"/>
      <c r="W826" s="28"/>
      <c r="X826" s="28"/>
      <c r="Y826" s="26"/>
      <c r="Z826" s="29"/>
      <c r="AA826" s="28"/>
      <c r="AB826" s="26"/>
      <c r="AC826" s="29"/>
      <c r="AD826" s="25"/>
      <c r="AE826" s="29"/>
      <c r="AF826" s="25"/>
      <c r="AG826" s="25"/>
      <c r="AH826" s="25"/>
      <c r="AI826" s="25"/>
      <c r="AJ826" s="26"/>
      <c r="AK826" s="29"/>
      <c r="AL826" s="28"/>
      <c r="AM826" s="26"/>
      <c r="AN826" s="29"/>
      <c r="AO826" s="25"/>
      <c r="AP826" s="29"/>
      <c r="AQ826" s="25"/>
      <c r="AR826" s="25"/>
      <c r="AS826" s="25"/>
      <c r="AT826" s="25"/>
      <c r="AU826" s="26"/>
      <c r="AV826" s="26"/>
      <c r="AW826" s="26"/>
      <c r="AX826" s="26"/>
      <c r="AY826" s="26"/>
      <c r="AZ826" s="26"/>
      <c r="BA826" s="26"/>
    </row>
    <row r="827">
      <c r="A827" s="26"/>
      <c r="B827" s="26"/>
      <c r="C827" s="26"/>
      <c r="D827" s="27"/>
      <c r="E827" s="27"/>
      <c r="F827" s="26"/>
      <c r="G827" s="28"/>
      <c r="H827" s="28"/>
      <c r="I827" s="28"/>
      <c r="J827" s="28"/>
      <c r="K827" s="28"/>
      <c r="L827" s="28"/>
      <c r="M827" s="28"/>
      <c r="N827" s="26"/>
      <c r="O827" s="29"/>
      <c r="P827" s="27"/>
      <c r="Q827" s="26"/>
      <c r="R827" s="29"/>
      <c r="S827" s="28"/>
      <c r="T827" s="29"/>
      <c r="U827" s="28"/>
      <c r="V827" s="28"/>
      <c r="W827" s="28"/>
      <c r="X827" s="28"/>
      <c r="Y827" s="26"/>
      <c r="Z827" s="29"/>
      <c r="AA827" s="28"/>
      <c r="AB827" s="26"/>
      <c r="AC827" s="29"/>
      <c r="AD827" s="25"/>
      <c r="AE827" s="29"/>
      <c r="AF827" s="25"/>
      <c r="AG827" s="25"/>
      <c r="AH827" s="25"/>
      <c r="AI827" s="25"/>
      <c r="AJ827" s="26"/>
      <c r="AK827" s="29"/>
      <c r="AL827" s="28"/>
      <c r="AM827" s="26"/>
      <c r="AN827" s="29"/>
      <c r="AO827" s="25"/>
      <c r="AP827" s="29"/>
      <c r="AQ827" s="25"/>
      <c r="AR827" s="25"/>
      <c r="AS827" s="25"/>
      <c r="AT827" s="25"/>
      <c r="AU827" s="26"/>
      <c r="AV827" s="26"/>
      <c r="AW827" s="26"/>
      <c r="AX827" s="26"/>
      <c r="AY827" s="26"/>
      <c r="AZ827" s="26"/>
      <c r="BA827" s="26"/>
    </row>
    <row r="828">
      <c r="A828" s="26"/>
      <c r="B828" s="26"/>
      <c r="C828" s="26"/>
      <c r="D828" s="27"/>
      <c r="E828" s="27"/>
      <c r="F828" s="26"/>
      <c r="G828" s="28"/>
      <c r="H828" s="28"/>
      <c r="I828" s="28"/>
      <c r="J828" s="28"/>
      <c r="K828" s="28"/>
      <c r="L828" s="28"/>
      <c r="M828" s="28"/>
      <c r="N828" s="26"/>
      <c r="O828" s="29"/>
      <c r="P828" s="27"/>
      <c r="Q828" s="26"/>
      <c r="R828" s="29"/>
      <c r="S828" s="28"/>
      <c r="T828" s="29"/>
      <c r="U828" s="28"/>
      <c r="V828" s="28"/>
      <c r="W828" s="28"/>
      <c r="X828" s="28"/>
      <c r="Y828" s="26"/>
      <c r="Z828" s="29"/>
      <c r="AA828" s="28"/>
      <c r="AB828" s="26"/>
      <c r="AC828" s="29"/>
      <c r="AD828" s="25"/>
      <c r="AE828" s="29"/>
      <c r="AF828" s="25"/>
      <c r="AG828" s="25"/>
      <c r="AH828" s="25"/>
      <c r="AI828" s="25"/>
      <c r="AJ828" s="26"/>
      <c r="AK828" s="29"/>
      <c r="AL828" s="28"/>
      <c r="AM828" s="26"/>
      <c r="AN828" s="29"/>
      <c r="AO828" s="25"/>
      <c r="AP828" s="29"/>
      <c r="AQ828" s="25"/>
      <c r="AR828" s="25"/>
      <c r="AS828" s="25"/>
      <c r="AT828" s="25"/>
      <c r="AU828" s="26"/>
      <c r="AV828" s="26"/>
      <c r="AW828" s="26"/>
      <c r="AX828" s="26"/>
      <c r="AY828" s="26"/>
      <c r="AZ828" s="26"/>
      <c r="BA828" s="26"/>
    </row>
    <row r="829">
      <c r="A829" s="26"/>
      <c r="B829" s="26"/>
      <c r="C829" s="26"/>
      <c r="D829" s="27"/>
      <c r="E829" s="27"/>
      <c r="F829" s="26"/>
      <c r="G829" s="28"/>
      <c r="H829" s="28"/>
      <c r="I829" s="28"/>
      <c r="J829" s="28"/>
      <c r="K829" s="28"/>
      <c r="L829" s="28"/>
      <c r="M829" s="28"/>
      <c r="N829" s="26"/>
      <c r="O829" s="29"/>
      <c r="P829" s="27"/>
      <c r="Q829" s="26"/>
      <c r="R829" s="29"/>
      <c r="S829" s="28"/>
      <c r="T829" s="29"/>
      <c r="U829" s="28"/>
      <c r="V829" s="28"/>
      <c r="W829" s="28"/>
      <c r="X829" s="28"/>
      <c r="Y829" s="26"/>
      <c r="Z829" s="29"/>
      <c r="AA829" s="28"/>
      <c r="AB829" s="26"/>
      <c r="AC829" s="29"/>
      <c r="AD829" s="25"/>
      <c r="AE829" s="29"/>
      <c r="AF829" s="25"/>
      <c r="AG829" s="25"/>
      <c r="AH829" s="25"/>
      <c r="AI829" s="25"/>
      <c r="AJ829" s="26"/>
      <c r="AK829" s="29"/>
      <c r="AL829" s="28"/>
      <c r="AM829" s="26"/>
      <c r="AN829" s="29"/>
      <c r="AO829" s="25"/>
      <c r="AP829" s="29"/>
      <c r="AQ829" s="25"/>
      <c r="AR829" s="25"/>
      <c r="AS829" s="25"/>
      <c r="AT829" s="25"/>
      <c r="AU829" s="26"/>
      <c r="AV829" s="26"/>
      <c r="AW829" s="26"/>
      <c r="AX829" s="26"/>
      <c r="AY829" s="26"/>
      <c r="AZ829" s="26"/>
      <c r="BA829" s="26"/>
    </row>
    <row r="830">
      <c r="A830" s="26"/>
      <c r="B830" s="26"/>
      <c r="C830" s="26"/>
      <c r="D830" s="27"/>
      <c r="E830" s="27"/>
      <c r="F830" s="26"/>
      <c r="G830" s="28"/>
      <c r="H830" s="28"/>
      <c r="I830" s="28"/>
      <c r="J830" s="28"/>
      <c r="K830" s="28"/>
      <c r="L830" s="28"/>
      <c r="M830" s="28"/>
      <c r="N830" s="26"/>
      <c r="O830" s="29"/>
      <c r="P830" s="27"/>
      <c r="Q830" s="26"/>
      <c r="R830" s="29"/>
      <c r="S830" s="28"/>
      <c r="T830" s="29"/>
      <c r="U830" s="28"/>
      <c r="V830" s="28"/>
      <c r="W830" s="28"/>
      <c r="X830" s="28"/>
      <c r="Y830" s="26"/>
      <c r="Z830" s="29"/>
      <c r="AA830" s="28"/>
      <c r="AB830" s="26"/>
      <c r="AC830" s="29"/>
      <c r="AD830" s="25"/>
      <c r="AE830" s="29"/>
      <c r="AF830" s="25"/>
      <c r="AG830" s="25"/>
      <c r="AH830" s="25"/>
      <c r="AI830" s="25"/>
      <c r="AJ830" s="26"/>
      <c r="AK830" s="29"/>
      <c r="AL830" s="28"/>
      <c r="AM830" s="26"/>
      <c r="AN830" s="29"/>
      <c r="AO830" s="25"/>
      <c r="AP830" s="29"/>
      <c r="AQ830" s="25"/>
      <c r="AR830" s="25"/>
      <c r="AS830" s="25"/>
      <c r="AT830" s="25"/>
      <c r="AU830" s="26"/>
      <c r="AV830" s="26"/>
      <c r="AW830" s="26"/>
      <c r="AX830" s="26"/>
      <c r="AY830" s="26"/>
      <c r="AZ830" s="26"/>
      <c r="BA830" s="26"/>
    </row>
    <row r="831">
      <c r="A831" s="26"/>
      <c r="B831" s="26"/>
      <c r="C831" s="26"/>
      <c r="D831" s="27"/>
      <c r="E831" s="27"/>
      <c r="F831" s="26"/>
      <c r="G831" s="28"/>
      <c r="H831" s="28"/>
      <c r="I831" s="28"/>
      <c r="J831" s="28"/>
      <c r="K831" s="28"/>
      <c r="L831" s="28"/>
      <c r="M831" s="28"/>
      <c r="N831" s="26"/>
      <c r="O831" s="29"/>
      <c r="P831" s="27"/>
      <c r="Q831" s="26"/>
      <c r="R831" s="29"/>
      <c r="S831" s="28"/>
      <c r="T831" s="29"/>
      <c r="U831" s="28"/>
      <c r="V831" s="28"/>
      <c r="W831" s="28"/>
      <c r="X831" s="28"/>
      <c r="Y831" s="26"/>
      <c r="Z831" s="29"/>
      <c r="AA831" s="28"/>
      <c r="AB831" s="26"/>
      <c r="AC831" s="29"/>
      <c r="AD831" s="25"/>
      <c r="AE831" s="29"/>
      <c r="AF831" s="25"/>
      <c r="AG831" s="25"/>
      <c r="AH831" s="25"/>
      <c r="AI831" s="25"/>
      <c r="AJ831" s="26"/>
      <c r="AK831" s="29"/>
      <c r="AL831" s="28"/>
      <c r="AM831" s="26"/>
      <c r="AN831" s="29"/>
      <c r="AO831" s="25"/>
      <c r="AP831" s="29"/>
      <c r="AQ831" s="25"/>
      <c r="AR831" s="25"/>
      <c r="AS831" s="25"/>
      <c r="AT831" s="25"/>
      <c r="AU831" s="26"/>
      <c r="AV831" s="26"/>
      <c r="AW831" s="26"/>
      <c r="AX831" s="26"/>
      <c r="AY831" s="26"/>
      <c r="AZ831" s="26"/>
      <c r="BA831" s="26"/>
    </row>
    <row r="832">
      <c r="A832" s="26"/>
      <c r="B832" s="26"/>
      <c r="C832" s="26"/>
      <c r="D832" s="27"/>
      <c r="E832" s="27"/>
      <c r="F832" s="26"/>
      <c r="G832" s="28"/>
      <c r="H832" s="28"/>
      <c r="I832" s="28"/>
      <c r="J832" s="28"/>
      <c r="K832" s="28"/>
      <c r="L832" s="28"/>
      <c r="M832" s="28"/>
      <c r="N832" s="26"/>
      <c r="O832" s="29"/>
      <c r="P832" s="27"/>
      <c r="Q832" s="26"/>
      <c r="R832" s="29"/>
      <c r="S832" s="28"/>
      <c r="T832" s="29"/>
      <c r="U832" s="28"/>
      <c r="V832" s="28"/>
      <c r="W832" s="28"/>
      <c r="X832" s="28"/>
      <c r="Y832" s="26"/>
      <c r="Z832" s="29"/>
      <c r="AA832" s="28"/>
      <c r="AB832" s="26"/>
      <c r="AC832" s="29"/>
      <c r="AD832" s="25"/>
      <c r="AE832" s="29"/>
      <c r="AF832" s="25"/>
      <c r="AG832" s="25"/>
      <c r="AH832" s="25"/>
      <c r="AI832" s="25"/>
      <c r="AJ832" s="26"/>
      <c r="AK832" s="29"/>
      <c r="AL832" s="28"/>
      <c r="AM832" s="26"/>
      <c r="AN832" s="29"/>
      <c r="AO832" s="25"/>
      <c r="AP832" s="29"/>
      <c r="AQ832" s="25"/>
      <c r="AR832" s="25"/>
      <c r="AS832" s="25"/>
      <c r="AT832" s="25"/>
      <c r="AU832" s="26"/>
      <c r="AV832" s="26"/>
      <c r="AW832" s="26"/>
      <c r="AX832" s="26"/>
      <c r="AY832" s="26"/>
      <c r="AZ832" s="26"/>
      <c r="BA832" s="26"/>
    </row>
    <row r="833">
      <c r="A833" s="26"/>
      <c r="B833" s="26"/>
      <c r="C833" s="26"/>
      <c r="D833" s="27"/>
      <c r="E833" s="27"/>
      <c r="F833" s="26"/>
      <c r="G833" s="28"/>
      <c r="H833" s="28"/>
      <c r="I833" s="28"/>
      <c r="J833" s="28"/>
      <c r="K833" s="28"/>
      <c r="L833" s="28"/>
      <c r="M833" s="28"/>
      <c r="N833" s="26"/>
      <c r="O833" s="29"/>
      <c r="P833" s="27"/>
      <c r="Q833" s="26"/>
      <c r="R833" s="29"/>
      <c r="S833" s="28"/>
      <c r="T833" s="29"/>
      <c r="U833" s="28"/>
      <c r="V833" s="28"/>
      <c r="W833" s="28"/>
      <c r="X833" s="28"/>
      <c r="Y833" s="26"/>
      <c r="Z833" s="29"/>
      <c r="AA833" s="28"/>
      <c r="AB833" s="26"/>
      <c r="AC833" s="29"/>
      <c r="AD833" s="25"/>
      <c r="AE833" s="29"/>
      <c r="AF833" s="25"/>
      <c r="AG833" s="25"/>
      <c r="AH833" s="25"/>
      <c r="AI833" s="25"/>
      <c r="AJ833" s="26"/>
      <c r="AK833" s="29"/>
      <c r="AL833" s="28"/>
      <c r="AM833" s="26"/>
      <c r="AN833" s="29"/>
      <c r="AO833" s="25"/>
      <c r="AP833" s="29"/>
      <c r="AQ833" s="25"/>
      <c r="AR833" s="25"/>
      <c r="AS833" s="25"/>
      <c r="AT833" s="25"/>
      <c r="AU833" s="26"/>
      <c r="AV833" s="26"/>
      <c r="AW833" s="26"/>
      <c r="AX833" s="26"/>
      <c r="AY833" s="26"/>
      <c r="AZ833" s="26"/>
      <c r="BA833" s="26"/>
    </row>
    <row r="834">
      <c r="A834" s="26"/>
      <c r="B834" s="26"/>
      <c r="C834" s="26"/>
      <c r="D834" s="27"/>
      <c r="E834" s="27"/>
      <c r="F834" s="26"/>
      <c r="G834" s="28"/>
      <c r="H834" s="28"/>
      <c r="I834" s="28"/>
      <c r="J834" s="28"/>
      <c r="K834" s="28"/>
      <c r="L834" s="28"/>
      <c r="M834" s="28"/>
      <c r="N834" s="26"/>
      <c r="O834" s="29"/>
      <c r="P834" s="27"/>
      <c r="Q834" s="26"/>
      <c r="R834" s="29"/>
      <c r="S834" s="28"/>
      <c r="T834" s="29"/>
      <c r="U834" s="28"/>
      <c r="V834" s="28"/>
      <c r="W834" s="28"/>
      <c r="X834" s="28"/>
      <c r="Y834" s="26"/>
      <c r="Z834" s="29"/>
      <c r="AA834" s="28"/>
      <c r="AB834" s="26"/>
      <c r="AC834" s="29"/>
      <c r="AD834" s="25"/>
      <c r="AE834" s="29"/>
      <c r="AF834" s="25"/>
      <c r="AG834" s="25"/>
      <c r="AH834" s="25"/>
      <c r="AI834" s="25"/>
      <c r="AJ834" s="26"/>
      <c r="AK834" s="29"/>
      <c r="AL834" s="28"/>
      <c r="AM834" s="26"/>
      <c r="AN834" s="29"/>
      <c r="AO834" s="25"/>
      <c r="AP834" s="29"/>
      <c r="AQ834" s="25"/>
      <c r="AR834" s="25"/>
      <c r="AS834" s="25"/>
      <c r="AT834" s="25"/>
      <c r="AU834" s="26"/>
      <c r="AV834" s="26"/>
      <c r="AW834" s="26"/>
      <c r="AX834" s="26"/>
      <c r="AY834" s="26"/>
      <c r="AZ834" s="26"/>
      <c r="BA834" s="26"/>
    </row>
    <row r="835">
      <c r="A835" s="26"/>
      <c r="B835" s="26"/>
      <c r="C835" s="26"/>
      <c r="D835" s="27"/>
      <c r="E835" s="27"/>
      <c r="F835" s="26"/>
      <c r="G835" s="28"/>
      <c r="H835" s="28"/>
      <c r="I835" s="28"/>
      <c r="J835" s="28"/>
      <c r="K835" s="28"/>
      <c r="L835" s="28"/>
      <c r="M835" s="28"/>
      <c r="N835" s="26"/>
      <c r="O835" s="29"/>
      <c r="P835" s="27"/>
      <c r="Q835" s="26"/>
      <c r="R835" s="29"/>
      <c r="S835" s="28"/>
      <c r="T835" s="29"/>
      <c r="U835" s="28"/>
      <c r="V835" s="28"/>
      <c r="W835" s="28"/>
      <c r="X835" s="28"/>
      <c r="Y835" s="26"/>
      <c r="Z835" s="29"/>
      <c r="AA835" s="28"/>
      <c r="AB835" s="26"/>
      <c r="AC835" s="29"/>
      <c r="AD835" s="25"/>
      <c r="AE835" s="29"/>
      <c r="AF835" s="25"/>
      <c r="AG835" s="25"/>
      <c r="AH835" s="25"/>
      <c r="AI835" s="25"/>
      <c r="AJ835" s="26"/>
      <c r="AK835" s="29"/>
      <c r="AL835" s="28"/>
      <c r="AM835" s="26"/>
      <c r="AN835" s="29"/>
      <c r="AO835" s="25"/>
      <c r="AP835" s="29"/>
      <c r="AQ835" s="25"/>
      <c r="AR835" s="25"/>
      <c r="AS835" s="25"/>
      <c r="AT835" s="25"/>
      <c r="AU835" s="26"/>
      <c r="AV835" s="26"/>
      <c r="AW835" s="26"/>
      <c r="AX835" s="26"/>
      <c r="AY835" s="26"/>
      <c r="AZ835" s="26"/>
      <c r="BA835" s="26"/>
    </row>
    <row r="836">
      <c r="A836" s="26"/>
      <c r="B836" s="26"/>
      <c r="C836" s="26"/>
      <c r="D836" s="27"/>
      <c r="E836" s="27"/>
      <c r="F836" s="26"/>
      <c r="G836" s="28"/>
      <c r="H836" s="28"/>
      <c r="I836" s="28"/>
      <c r="J836" s="28"/>
      <c r="K836" s="28"/>
      <c r="L836" s="28"/>
      <c r="M836" s="28"/>
      <c r="N836" s="26"/>
      <c r="O836" s="29"/>
      <c r="P836" s="27"/>
      <c r="Q836" s="26"/>
      <c r="R836" s="29"/>
      <c r="S836" s="28"/>
      <c r="T836" s="29"/>
      <c r="U836" s="28"/>
      <c r="V836" s="28"/>
      <c r="W836" s="28"/>
      <c r="X836" s="28"/>
      <c r="Y836" s="26"/>
      <c r="Z836" s="29"/>
      <c r="AA836" s="28"/>
      <c r="AB836" s="26"/>
      <c r="AC836" s="29"/>
      <c r="AD836" s="25"/>
      <c r="AE836" s="29"/>
      <c r="AF836" s="25"/>
      <c r="AG836" s="25"/>
      <c r="AH836" s="25"/>
      <c r="AI836" s="25"/>
      <c r="AJ836" s="26"/>
      <c r="AK836" s="29"/>
      <c r="AL836" s="28"/>
      <c r="AM836" s="26"/>
      <c r="AN836" s="29"/>
      <c r="AO836" s="25"/>
      <c r="AP836" s="29"/>
      <c r="AQ836" s="25"/>
      <c r="AR836" s="25"/>
      <c r="AS836" s="25"/>
      <c r="AT836" s="25"/>
      <c r="AU836" s="26"/>
      <c r="AV836" s="26"/>
      <c r="AW836" s="26"/>
      <c r="AX836" s="26"/>
      <c r="AY836" s="26"/>
      <c r="AZ836" s="26"/>
      <c r="BA836" s="26"/>
    </row>
    <row r="837">
      <c r="A837" s="26"/>
      <c r="B837" s="26"/>
      <c r="C837" s="26"/>
      <c r="D837" s="27"/>
      <c r="E837" s="27"/>
      <c r="F837" s="26"/>
      <c r="G837" s="28"/>
      <c r="H837" s="28"/>
      <c r="I837" s="28"/>
      <c r="J837" s="28"/>
      <c r="K837" s="28"/>
      <c r="L837" s="28"/>
      <c r="M837" s="28"/>
      <c r="N837" s="26"/>
      <c r="O837" s="29"/>
      <c r="P837" s="27"/>
      <c r="Q837" s="26"/>
      <c r="R837" s="29"/>
      <c r="S837" s="28"/>
      <c r="T837" s="29"/>
      <c r="U837" s="28"/>
      <c r="V837" s="28"/>
      <c r="W837" s="28"/>
      <c r="X837" s="28"/>
      <c r="Y837" s="26"/>
      <c r="Z837" s="29"/>
      <c r="AA837" s="28"/>
      <c r="AB837" s="26"/>
      <c r="AC837" s="29"/>
      <c r="AD837" s="25"/>
      <c r="AE837" s="29"/>
      <c r="AF837" s="25"/>
      <c r="AG837" s="25"/>
      <c r="AH837" s="25"/>
      <c r="AI837" s="25"/>
      <c r="AJ837" s="26"/>
      <c r="AK837" s="29"/>
      <c r="AL837" s="28"/>
      <c r="AM837" s="26"/>
      <c r="AN837" s="29"/>
      <c r="AO837" s="25"/>
      <c r="AP837" s="29"/>
      <c r="AQ837" s="25"/>
      <c r="AR837" s="25"/>
      <c r="AS837" s="25"/>
      <c r="AT837" s="25"/>
      <c r="AU837" s="26"/>
      <c r="AV837" s="26"/>
      <c r="AW837" s="26"/>
      <c r="AX837" s="26"/>
      <c r="AY837" s="26"/>
      <c r="AZ837" s="26"/>
      <c r="BA837" s="26"/>
    </row>
    <row r="838">
      <c r="A838" s="26"/>
      <c r="B838" s="26"/>
      <c r="C838" s="26"/>
      <c r="D838" s="27"/>
      <c r="E838" s="27"/>
      <c r="F838" s="26"/>
      <c r="G838" s="28"/>
      <c r="H838" s="28"/>
      <c r="I838" s="28"/>
      <c r="J838" s="28"/>
      <c r="K838" s="28"/>
      <c r="L838" s="28"/>
      <c r="M838" s="28"/>
      <c r="N838" s="26"/>
      <c r="O838" s="29"/>
      <c r="P838" s="27"/>
      <c r="Q838" s="26"/>
      <c r="R838" s="29"/>
      <c r="S838" s="28"/>
      <c r="T838" s="29"/>
      <c r="U838" s="28"/>
      <c r="V838" s="28"/>
      <c r="W838" s="28"/>
      <c r="X838" s="28"/>
      <c r="Y838" s="26"/>
      <c r="Z838" s="29"/>
      <c r="AA838" s="28"/>
      <c r="AB838" s="26"/>
      <c r="AC838" s="29"/>
      <c r="AD838" s="25"/>
      <c r="AE838" s="29"/>
      <c r="AF838" s="25"/>
      <c r="AG838" s="25"/>
      <c r="AH838" s="25"/>
      <c r="AI838" s="25"/>
      <c r="AJ838" s="26"/>
      <c r="AK838" s="29"/>
      <c r="AL838" s="28"/>
      <c r="AM838" s="26"/>
      <c r="AN838" s="29"/>
      <c r="AO838" s="25"/>
      <c r="AP838" s="29"/>
      <c r="AQ838" s="25"/>
      <c r="AR838" s="25"/>
      <c r="AS838" s="25"/>
      <c r="AT838" s="25"/>
      <c r="AU838" s="26"/>
      <c r="AV838" s="26"/>
      <c r="AW838" s="26"/>
      <c r="AX838" s="26"/>
      <c r="AY838" s="26"/>
      <c r="AZ838" s="26"/>
      <c r="BA838" s="26"/>
    </row>
    <row r="839">
      <c r="A839" s="26"/>
      <c r="B839" s="26"/>
      <c r="C839" s="26"/>
      <c r="D839" s="27"/>
      <c r="E839" s="27"/>
      <c r="F839" s="26"/>
      <c r="G839" s="28"/>
      <c r="H839" s="28"/>
      <c r="I839" s="28"/>
      <c r="J839" s="28"/>
      <c r="K839" s="28"/>
      <c r="L839" s="28"/>
      <c r="M839" s="28"/>
      <c r="N839" s="26"/>
      <c r="O839" s="29"/>
      <c r="P839" s="27"/>
      <c r="Q839" s="26"/>
      <c r="R839" s="29"/>
      <c r="S839" s="28"/>
      <c r="T839" s="29"/>
      <c r="U839" s="28"/>
      <c r="V839" s="28"/>
      <c r="W839" s="28"/>
      <c r="X839" s="28"/>
      <c r="Y839" s="26"/>
      <c r="Z839" s="29"/>
      <c r="AA839" s="28"/>
      <c r="AB839" s="26"/>
      <c r="AC839" s="29"/>
      <c r="AD839" s="25"/>
      <c r="AE839" s="29"/>
      <c r="AF839" s="25"/>
      <c r="AG839" s="25"/>
      <c r="AH839" s="25"/>
      <c r="AI839" s="25"/>
      <c r="AJ839" s="26"/>
      <c r="AK839" s="29"/>
      <c r="AL839" s="28"/>
      <c r="AM839" s="26"/>
      <c r="AN839" s="29"/>
      <c r="AO839" s="25"/>
      <c r="AP839" s="29"/>
      <c r="AQ839" s="25"/>
      <c r="AR839" s="25"/>
      <c r="AS839" s="25"/>
      <c r="AT839" s="25"/>
      <c r="AU839" s="26"/>
      <c r="AV839" s="26"/>
      <c r="AW839" s="26"/>
      <c r="AX839" s="26"/>
      <c r="AY839" s="26"/>
      <c r="AZ839" s="26"/>
      <c r="BA839" s="26"/>
    </row>
    <row r="840">
      <c r="A840" s="26"/>
      <c r="B840" s="26"/>
      <c r="C840" s="26"/>
      <c r="D840" s="27"/>
      <c r="E840" s="27"/>
      <c r="F840" s="26"/>
      <c r="G840" s="28"/>
      <c r="H840" s="28"/>
      <c r="I840" s="28"/>
      <c r="J840" s="28"/>
      <c r="K840" s="28"/>
      <c r="L840" s="28"/>
      <c r="M840" s="28"/>
      <c r="N840" s="26"/>
      <c r="O840" s="29"/>
      <c r="P840" s="27"/>
      <c r="Q840" s="26"/>
      <c r="R840" s="29"/>
      <c r="S840" s="28"/>
      <c r="T840" s="29"/>
      <c r="U840" s="28"/>
      <c r="V840" s="28"/>
      <c r="W840" s="28"/>
      <c r="X840" s="28"/>
      <c r="Y840" s="26"/>
      <c r="Z840" s="29"/>
      <c r="AA840" s="28"/>
      <c r="AB840" s="26"/>
      <c r="AC840" s="29"/>
      <c r="AD840" s="25"/>
      <c r="AE840" s="29"/>
      <c r="AF840" s="25"/>
      <c r="AG840" s="25"/>
      <c r="AH840" s="25"/>
      <c r="AI840" s="25"/>
      <c r="AJ840" s="26"/>
      <c r="AK840" s="29"/>
      <c r="AL840" s="28"/>
      <c r="AM840" s="26"/>
      <c r="AN840" s="29"/>
      <c r="AO840" s="25"/>
      <c r="AP840" s="29"/>
      <c r="AQ840" s="25"/>
      <c r="AR840" s="25"/>
      <c r="AS840" s="25"/>
      <c r="AT840" s="25"/>
      <c r="AU840" s="26"/>
      <c r="AV840" s="26"/>
      <c r="AW840" s="26"/>
      <c r="AX840" s="26"/>
      <c r="AY840" s="26"/>
      <c r="AZ840" s="26"/>
      <c r="BA840" s="26"/>
    </row>
    <row r="841">
      <c r="A841" s="26"/>
      <c r="B841" s="26"/>
      <c r="C841" s="26"/>
      <c r="D841" s="27"/>
      <c r="E841" s="27"/>
      <c r="F841" s="26"/>
      <c r="G841" s="28"/>
      <c r="H841" s="28"/>
      <c r="I841" s="28"/>
      <c r="J841" s="28"/>
      <c r="K841" s="28"/>
      <c r="L841" s="28"/>
      <c r="M841" s="28"/>
      <c r="N841" s="26"/>
      <c r="O841" s="29"/>
      <c r="P841" s="27"/>
      <c r="Q841" s="26"/>
      <c r="R841" s="29"/>
      <c r="S841" s="28"/>
      <c r="T841" s="29"/>
      <c r="U841" s="28"/>
      <c r="V841" s="28"/>
      <c r="W841" s="28"/>
      <c r="X841" s="28"/>
      <c r="Y841" s="26"/>
      <c r="Z841" s="29"/>
      <c r="AA841" s="28"/>
      <c r="AB841" s="26"/>
      <c r="AC841" s="29"/>
      <c r="AD841" s="25"/>
      <c r="AE841" s="29"/>
      <c r="AF841" s="25"/>
      <c r="AG841" s="25"/>
      <c r="AH841" s="25"/>
      <c r="AI841" s="25"/>
      <c r="AJ841" s="26"/>
      <c r="AK841" s="29"/>
      <c r="AL841" s="28"/>
      <c r="AM841" s="26"/>
      <c r="AN841" s="29"/>
      <c r="AO841" s="25"/>
      <c r="AP841" s="29"/>
      <c r="AQ841" s="25"/>
      <c r="AR841" s="25"/>
      <c r="AS841" s="25"/>
      <c r="AT841" s="25"/>
      <c r="AU841" s="26"/>
      <c r="AV841" s="26"/>
      <c r="AW841" s="26"/>
      <c r="AX841" s="26"/>
      <c r="AY841" s="26"/>
      <c r="AZ841" s="26"/>
      <c r="BA841" s="26"/>
    </row>
    <row r="842">
      <c r="A842" s="26"/>
      <c r="B842" s="26"/>
      <c r="C842" s="26"/>
      <c r="D842" s="27"/>
      <c r="E842" s="27"/>
      <c r="F842" s="26"/>
      <c r="G842" s="28"/>
      <c r="H842" s="28"/>
      <c r="I842" s="28"/>
      <c r="J842" s="28"/>
      <c r="K842" s="28"/>
      <c r="L842" s="28"/>
      <c r="M842" s="28"/>
      <c r="N842" s="26"/>
      <c r="O842" s="29"/>
      <c r="P842" s="27"/>
      <c r="Q842" s="26"/>
      <c r="R842" s="29"/>
      <c r="S842" s="28"/>
      <c r="T842" s="29"/>
      <c r="U842" s="28"/>
      <c r="V842" s="28"/>
      <c r="W842" s="28"/>
      <c r="X842" s="28"/>
      <c r="Y842" s="26"/>
      <c r="Z842" s="29"/>
      <c r="AA842" s="28"/>
      <c r="AB842" s="26"/>
      <c r="AC842" s="29"/>
      <c r="AD842" s="25"/>
      <c r="AE842" s="29"/>
      <c r="AF842" s="25"/>
      <c r="AG842" s="25"/>
      <c r="AH842" s="25"/>
      <c r="AI842" s="25"/>
      <c r="AJ842" s="26"/>
      <c r="AK842" s="29"/>
      <c r="AL842" s="28"/>
      <c r="AM842" s="26"/>
      <c r="AN842" s="29"/>
      <c r="AO842" s="25"/>
      <c r="AP842" s="29"/>
      <c r="AQ842" s="25"/>
      <c r="AR842" s="25"/>
      <c r="AS842" s="25"/>
      <c r="AT842" s="25"/>
      <c r="AU842" s="26"/>
      <c r="AV842" s="26"/>
      <c r="AW842" s="26"/>
      <c r="AX842" s="26"/>
      <c r="AY842" s="26"/>
      <c r="AZ842" s="26"/>
      <c r="BA842" s="26"/>
    </row>
    <row r="843">
      <c r="A843" s="26"/>
      <c r="B843" s="26"/>
      <c r="C843" s="26"/>
      <c r="D843" s="27"/>
      <c r="E843" s="27"/>
      <c r="F843" s="26"/>
      <c r="G843" s="28"/>
      <c r="H843" s="28"/>
      <c r="I843" s="28"/>
      <c r="J843" s="28"/>
      <c r="K843" s="28"/>
      <c r="L843" s="28"/>
      <c r="M843" s="28"/>
      <c r="N843" s="26"/>
      <c r="O843" s="29"/>
      <c r="P843" s="27"/>
      <c r="Q843" s="26"/>
      <c r="R843" s="29"/>
      <c r="S843" s="28"/>
      <c r="T843" s="29"/>
      <c r="U843" s="28"/>
      <c r="V843" s="28"/>
      <c r="W843" s="28"/>
      <c r="X843" s="28"/>
      <c r="Y843" s="26"/>
      <c r="Z843" s="29"/>
      <c r="AA843" s="28"/>
      <c r="AB843" s="26"/>
      <c r="AC843" s="29"/>
      <c r="AD843" s="25"/>
      <c r="AE843" s="29"/>
      <c r="AF843" s="25"/>
      <c r="AG843" s="25"/>
      <c r="AH843" s="25"/>
      <c r="AI843" s="25"/>
      <c r="AJ843" s="26"/>
      <c r="AK843" s="29"/>
      <c r="AL843" s="28"/>
      <c r="AM843" s="26"/>
      <c r="AN843" s="29"/>
      <c r="AO843" s="25"/>
      <c r="AP843" s="29"/>
      <c r="AQ843" s="25"/>
      <c r="AR843" s="25"/>
      <c r="AS843" s="25"/>
      <c r="AT843" s="25"/>
      <c r="AU843" s="26"/>
      <c r="AV843" s="26"/>
      <c r="AW843" s="26"/>
      <c r="AX843" s="26"/>
      <c r="AY843" s="26"/>
      <c r="AZ843" s="26"/>
      <c r="BA843" s="26"/>
    </row>
    <row r="844">
      <c r="A844" s="26"/>
      <c r="B844" s="26"/>
      <c r="C844" s="26"/>
      <c r="D844" s="27"/>
      <c r="E844" s="27"/>
      <c r="F844" s="26"/>
      <c r="G844" s="28"/>
      <c r="H844" s="28"/>
      <c r="I844" s="28"/>
      <c r="J844" s="28"/>
      <c r="K844" s="28"/>
      <c r="L844" s="28"/>
      <c r="M844" s="28"/>
      <c r="N844" s="26"/>
      <c r="O844" s="29"/>
      <c r="P844" s="27"/>
      <c r="Q844" s="26"/>
      <c r="R844" s="29"/>
      <c r="S844" s="28"/>
      <c r="T844" s="29"/>
      <c r="U844" s="28"/>
      <c r="V844" s="28"/>
      <c r="W844" s="28"/>
      <c r="X844" s="28"/>
      <c r="Y844" s="26"/>
      <c r="Z844" s="29"/>
      <c r="AA844" s="28"/>
      <c r="AB844" s="26"/>
      <c r="AC844" s="29"/>
      <c r="AD844" s="25"/>
      <c r="AE844" s="29"/>
      <c r="AF844" s="25"/>
      <c r="AG844" s="25"/>
      <c r="AH844" s="25"/>
      <c r="AI844" s="25"/>
      <c r="AJ844" s="26"/>
      <c r="AK844" s="29"/>
      <c r="AL844" s="28"/>
      <c r="AM844" s="26"/>
      <c r="AN844" s="29"/>
      <c r="AO844" s="25"/>
      <c r="AP844" s="29"/>
      <c r="AQ844" s="25"/>
      <c r="AR844" s="25"/>
      <c r="AS844" s="25"/>
      <c r="AT844" s="25"/>
      <c r="AU844" s="26"/>
      <c r="AV844" s="26"/>
      <c r="AW844" s="26"/>
      <c r="AX844" s="26"/>
      <c r="AY844" s="26"/>
      <c r="AZ844" s="26"/>
      <c r="BA844" s="26"/>
    </row>
    <row r="845">
      <c r="A845" s="26"/>
      <c r="B845" s="26"/>
      <c r="C845" s="26"/>
      <c r="D845" s="27"/>
      <c r="E845" s="27"/>
      <c r="F845" s="26"/>
      <c r="G845" s="28"/>
      <c r="H845" s="28"/>
      <c r="I845" s="28"/>
      <c r="J845" s="28"/>
      <c r="K845" s="28"/>
      <c r="L845" s="28"/>
      <c r="M845" s="28"/>
      <c r="N845" s="26"/>
      <c r="O845" s="29"/>
      <c r="P845" s="27"/>
      <c r="Q845" s="26"/>
      <c r="R845" s="29"/>
      <c r="S845" s="28"/>
      <c r="T845" s="29"/>
      <c r="U845" s="28"/>
      <c r="V845" s="28"/>
      <c r="W845" s="28"/>
      <c r="X845" s="28"/>
      <c r="Y845" s="26"/>
      <c r="Z845" s="29"/>
      <c r="AA845" s="28"/>
      <c r="AB845" s="26"/>
      <c r="AC845" s="29"/>
      <c r="AD845" s="25"/>
      <c r="AE845" s="29"/>
      <c r="AF845" s="25"/>
      <c r="AG845" s="25"/>
      <c r="AH845" s="25"/>
      <c r="AI845" s="25"/>
      <c r="AJ845" s="26"/>
      <c r="AK845" s="29"/>
      <c r="AL845" s="28"/>
      <c r="AM845" s="26"/>
      <c r="AN845" s="29"/>
      <c r="AO845" s="25"/>
      <c r="AP845" s="29"/>
      <c r="AQ845" s="25"/>
      <c r="AR845" s="25"/>
      <c r="AS845" s="25"/>
      <c r="AT845" s="25"/>
      <c r="AU845" s="26"/>
      <c r="AV845" s="26"/>
      <c r="AW845" s="26"/>
      <c r="AX845" s="26"/>
      <c r="AY845" s="26"/>
      <c r="AZ845" s="26"/>
      <c r="BA845" s="26"/>
    </row>
    <row r="846">
      <c r="A846" s="26"/>
      <c r="B846" s="26"/>
      <c r="C846" s="26"/>
      <c r="D846" s="27"/>
      <c r="E846" s="27"/>
      <c r="F846" s="26"/>
      <c r="G846" s="28"/>
      <c r="H846" s="28"/>
      <c r="I846" s="28"/>
      <c r="J846" s="28"/>
      <c r="K846" s="28"/>
      <c r="L846" s="28"/>
      <c r="M846" s="28"/>
      <c r="N846" s="26"/>
      <c r="O846" s="29"/>
      <c r="P846" s="27"/>
      <c r="Q846" s="26"/>
      <c r="R846" s="29"/>
      <c r="S846" s="28"/>
      <c r="T846" s="29"/>
      <c r="U846" s="28"/>
      <c r="V846" s="28"/>
      <c r="W846" s="28"/>
      <c r="X846" s="28"/>
      <c r="Y846" s="26"/>
      <c r="Z846" s="29"/>
      <c r="AA846" s="28"/>
      <c r="AB846" s="26"/>
      <c r="AC846" s="29"/>
      <c r="AD846" s="25"/>
      <c r="AE846" s="29"/>
      <c r="AF846" s="25"/>
      <c r="AG846" s="25"/>
      <c r="AH846" s="25"/>
      <c r="AI846" s="25"/>
      <c r="AJ846" s="26"/>
      <c r="AK846" s="29"/>
      <c r="AL846" s="28"/>
      <c r="AM846" s="26"/>
      <c r="AN846" s="29"/>
      <c r="AO846" s="25"/>
      <c r="AP846" s="29"/>
      <c r="AQ846" s="25"/>
      <c r="AR846" s="25"/>
      <c r="AS846" s="25"/>
      <c r="AT846" s="25"/>
      <c r="AU846" s="26"/>
      <c r="AV846" s="26"/>
      <c r="AW846" s="26"/>
      <c r="AX846" s="26"/>
      <c r="AY846" s="26"/>
      <c r="AZ846" s="26"/>
      <c r="BA846" s="26"/>
    </row>
    <row r="847">
      <c r="A847" s="26"/>
      <c r="B847" s="26"/>
      <c r="C847" s="26"/>
      <c r="D847" s="27"/>
      <c r="E847" s="27"/>
      <c r="F847" s="26"/>
      <c r="G847" s="28"/>
      <c r="H847" s="28"/>
      <c r="I847" s="28"/>
      <c r="J847" s="28"/>
      <c r="K847" s="28"/>
      <c r="L847" s="28"/>
      <c r="M847" s="28"/>
      <c r="N847" s="26"/>
      <c r="O847" s="29"/>
      <c r="P847" s="27"/>
      <c r="Q847" s="26"/>
      <c r="R847" s="29"/>
      <c r="S847" s="28"/>
      <c r="T847" s="29"/>
      <c r="U847" s="28"/>
      <c r="V847" s="28"/>
      <c r="W847" s="28"/>
      <c r="X847" s="28"/>
      <c r="Y847" s="26"/>
      <c r="Z847" s="29"/>
      <c r="AA847" s="28"/>
      <c r="AB847" s="26"/>
      <c r="AC847" s="29"/>
      <c r="AD847" s="25"/>
      <c r="AE847" s="29"/>
      <c r="AF847" s="25"/>
      <c r="AG847" s="25"/>
      <c r="AH847" s="25"/>
      <c r="AI847" s="25"/>
      <c r="AJ847" s="26"/>
      <c r="AK847" s="29"/>
      <c r="AL847" s="28"/>
      <c r="AM847" s="26"/>
      <c r="AN847" s="29"/>
      <c r="AO847" s="25"/>
      <c r="AP847" s="29"/>
      <c r="AQ847" s="25"/>
      <c r="AR847" s="25"/>
      <c r="AS847" s="25"/>
      <c r="AT847" s="25"/>
      <c r="AU847" s="26"/>
      <c r="AV847" s="26"/>
      <c r="AW847" s="26"/>
      <c r="AX847" s="26"/>
      <c r="AY847" s="26"/>
      <c r="AZ847" s="26"/>
      <c r="BA847" s="26"/>
    </row>
    <row r="848">
      <c r="A848" s="26"/>
      <c r="B848" s="26"/>
      <c r="C848" s="26"/>
      <c r="D848" s="27"/>
      <c r="E848" s="27"/>
      <c r="F848" s="26"/>
      <c r="G848" s="28"/>
      <c r="H848" s="28"/>
      <c r="I848" s="28"/>
      <c r="J848" s="28"/>
      <c r="K848" s="28"/>
      <c r="L848" s="28"/>
      <c r="M848" s="28"/>
      <c r="N848" s="26"/>
      <c r="O848" s="29"/>
      <c r="P848" s="27"/>
      <c r="Q848" s="26"/>
      <c r="R848" s="29"/>
      <c r="S848" s="28"/>
      <c r="T848" s="29"/>
      <c r="U848" s="28"/>
      <c r="V848" s="28"/>
      <c r="W848" s="28"/>
      <c r="X848" s="28"/>
      <c r="Y848" s="26"/>
      <c r="Z848" s="29"/>
      <c r="AA848" s="28"/>
      <c r="AB848" s="26"/>
      <c r="AC848" s="29"/>
      <c r="AD848" s="25"/>
      <c r="AE848" s="29"/>
      <c r="AF848" s="25"/>
      <c r="AG848" s="25"/>
      <c r="AH848" s="25"/>
      <c r="AI848" s="25"/>
      <c r="AJ848" s="26"/>
      <c r="AK848" s="29"/>
      <c r="AL848" s="28"/>
      <c r="AM848" s="26"/>
      <c r="AN848" s="29"/>
      <c r="AO848" s="25"/>
      <c r="AP848" s="29"/>
      <c r="AQ848" s="25"/>
      <c r="AR848" s="25"/>
      <c r="AS848" s="25"/>
      <c r="AT848" s="25"/>
      <c r="AU848" s="26"/>
      <c r="AV848" s="26"/>
      <c r="AW848" s="26"/>
      <c r="AX848" s="26"/>
      <c r="AY848" s="26"/>
      <c r="AZ848" s="26"/>
      <c r="BA848" s="26"/>
    </row>
    <row r="849">
      <c r="A849" s="26"/>
      <c r="B849" s="26"/>
      <c r="C849" s="26"/>
      <c r="D849" s="27"/>
      <c r="E849" s="27"/>
      <c r="F849" s="26"/>
      <c r="G849" s="28"/>
      <c r="H849" s="28"/>
      <c r="I849" s="28"/>
      <c r="J849" s="28"/>
      <c r="K849" s="28"/>
      <c r="L849" s="28"/>
      <c r="M849" s="28"/>
      <c r="N849" s="26"/>
      <c r="O849" s="29"/>
      <c r="P849" s="27"/>
      <c r="Q849" s="26"/>
      <c r="R849" s="29"/>
      <c r="S849" s="28"/>
      <c r="T849" s="29"/>
      <c r="U849" s="28"/>
      <c r="V849" s="28"/>
      <c r="W849" s="28"/>
      <c r="X849" s="28"/>
      <c r="Y849" s="26"/>
      <c r="Z849" s="29"/>
      <c r="AA849" s="28"/>
      <c r="AB849" s="26"/>
      <c r="AC849" s="29"/>
      <c r="AD849" s="25"/>
      <c r="AE849" s="29"/>
      <c r="AF849" s="25"/>
      <c r="AG849" s="25"/>
      <c r="AH849" s="25"/>
      <c r="AI849" s="25"/>
      <c r="AJ849" s="26"/>
      <c r="AK849" s="29"/>
      <c r="AL849" s="28"/>
      <c r="AM849" s="26"/>
      <c r="AN849" s="29"/>
      <c r="AO849" s="25"/>
      <c r="AP849" s="29"/>
      <c r="AQ849" s="25"/>
      <c r="AR849" s="25"/>
      <c r="AS849" s="25"/>
      <c r="AT849" s="25"/>
      <c r="AU849" s="26"/>
      <c r="AV849" s="26"/>
      <c r="AW849" s="26"/>
      <c r="AX849" s="26"/>
      <c r="AY849" s="26"/>
      <c r="AZ849" s="26"/>
      <c r="BA849" s="26"/>
    </row>
    <row r="850">
      <c r="A850" s="26"/>
      <c r="B850" s="26"/>
      <c r="C850" s="26"/>
      <c r="D850" s="27"/>
      <c r="E850" s="27"/>
      <c r="F850" s="26"/>
      <c r="G850" s="28"/>
      <c r="H850" s="28"/>
      <c r="I850" s="28"/>
      <c r="J850" s="28"/>
      <c r="K850" s="28"/>
      <c r="L850" s="28"/>
      <c r="M850" s="28"/>
      <c r="N850" s="26"/>
      <c r="O850" s="29"/>
      <c r="P850" s="27"/>
      <c r="Q850" s="26"/>
      <c r="R850" s="29"/>
      <c r="S850" s="28"/>
      <c r="T850" s="29"/>
      <c r="U850" s="28"/>
      <c r="V850" s="28"/>
      <c r="W850" s="28"/>
      <c r="X850" s="28"/>
      <c r="Y850" s="26"/>
      <c r="Z850" s="29"/>
      <c r="AA850" s="28"/>
      <c r="AB850" s="26"/>
      <c r="AC850" s="29"/>
      <c r="AD850" s="25"/>
      <c r="AE850" s="29"/>
      <c r="AF850" s="25"/>
      <c r="AG850" s="25"/>
      <c r="AH850" s="25"/>
      <c r="AI850" s="25"/>
      <c r="AJ850" s="26"/>
      <c r="AK850" s="29"/>
      <c r="AL850" s="28"/>
      <c r="AM850" s="26"/>
      <c r="AN850" s="29"/>
      <c r="AO850" s="25"/>
      <c r="AP850" s="29"/>
      <c r="AQ850" s="25"/>
      <c r="AR850" s="25"/>
      <c r="AS850" s="25"/>
      <c r="AT850" s="25"/>
      <c r="AU850" s="26"/>
      <c r="AV850" s="26"/>
      <c r="AW850" s="26"/>
      <c r="AX850" s="26"/>
      <c r="AY850" s="26"/>
      <c r="AZ850" s="26"/>
      <c r="BA850" s="26"/>
    </row>
    <row r="851">
      <c r="A851" s="26"/>
      <c r="B851" s="26"/>
      <c r="C851" s="26"/>
      <c r="D851" s="27"/>
      <c r="E851" s="27"/>
      <c r="F851" s="26"/>
      <c r="G851" s="28"/>
      <c r="H851" s="28"/>
      <c r="I851" s="28"/>
      <c r="J851" s="28"/>
      <c r="K851" s="28"/>
      <c r="L851" s="28"/>
      <c r="M851" s="28"/>
      <c r="N851" s="26"/>
      <c r="O851" s="29"/>
      <c r="P851" s="27"/>
      <c r="Q851" s="26"/>
      <c r="R851" s="29"/>
      <c r="S851" s="28"/>
      <c r="T851" s="29"/>
      <c r="U851" s="28"/>
      <c r="V851" s="28"/>
      <c r="W851" s="28"/>
      <c r="X851" s="28"/>
      <c r="Y851" s="26"/>
      <c r="Z851" s="29"/>
      <c r="AA851" s="28"/>
      <c r="AB851" s="26"/>
      <c r="AC851" s="29"/>
      <c r="AD851" s="25"/>
      <c r="AE851" s="29"/>
      <c r="AF851" s="25"/>
      <c r="AG851" s="25"/>
      <c r="AH851" s="25"/>
      <c r="AI851" s="25"/>
      <c r="AJ851" s="26"/>
      <c r="AK851" s="29"/>
      <c r="AL851" s="28"/>
      <c r="AM851" s="26"/>
      <c r="AN851" s="29"/>
      <c r="AO851" s="25"/>
      <c r="AP851" s="29"/>
      <c r="AQ851" s="25"/>
      <c r="AR851" s="25"/>
      <c r="AS851" s="25"/>
      <c r="AT851" s="25"/>
      <c r="AU851" s="26"/>
      <c r="AV851" s="26"/>
      <c r="AW851" s="26"/>
      <c r="AX851" s="26"/>
      <c r="AY851" s="26"/>
      <c r="AZ851" s="26"/>
      <c r="BA851" s="26"/>
    </row>
    <row r="852">
      <c r="A852" s="26"/>
      <c r="B852" s="26"/>
      <c r="C852" s="26"/>
      <c r="D852" s="27"/>
      <c r="E852" s="27"/>
      <c r="F852" s="26"/>
      <c r="G852" s="28"/>
      <c r="H852" s="28"/>
      <c r="I852" s="28"/>
      <c r="J852" s="28"/>
      <c r="K852" s="28"/>
      <c r="L852" s="28"/>
      <c r="M852" s="28"/>
      <c r="N852" s="26"/>
      <c r="O852" s="29"/>
      <c r="P852" s="27"/>
      <c r="Q852" s="26"/>
      <c r="R852" s="29"/>
      <c r="S852" s="28"/>
      <c r="T852" s="29"/>
      <c r="U852" s="28"/>
      <c r="V852" s="28"/>
      <c r="W852" s="28"/>
      <c r="X852" s="28"/>
      <c r="Y852" s="26"/>
      <c r="Z852" s="29"/>
      <c r="AA852" s="28"/>
      <c r="AB852" s="26"/>
      <c r="AC852" s="29"/>
      <c r="AD852" s="25"/>
      <c r="AE852" s="29"/>
      <c r="AF852" s="25"/>
      <c r="AG852" s="25"/>
      <c r="AH852" s="25"/>
      <c r="AI852" s="25"/>
      <c r="AJ852" s="26"/>
      <c r="AK852" s="29"/>
      <c r="AL852" s="28"/>
      <c r="AM852" s="26"/>
      <c r="AN852" s="29"/>
      <c r="AO852" s="25"/>
      <c r="AP852" s="29"/>
      <c r="AQ852" s="25"/>
      <c r="AR852" s="25"/>
      <c r="AS852" s="25"/>
      <c r="AT852" s="25"/>
      <c r="AU852" s="26"/>
      <c r="AV852" s="26"/>
      <c r="AW852" s="26"/>
      <c r="AX852" s="26"/>
      <c r="AY852" s="26"/>
      <c r="AZ852" s="26"/>
      <c r="BA852" s="26"/>
    </row>
    <row r="853">
      <c r="A853" s="26"/>
      <c r="B853" s="26"/>
      <c r="C853" s="26"/>
      <c r="D853" s="27"/>
      <c r="E853" s="27"/>
      <c r="F853" s="26"/>
      <c r="G853" s="28"/>
      <c r="H853" s="28"/>
      <c r="I853" s="28"/>
      <c r="J853" s="28"/>
      <c r="K853" s="28"/>
      <c r="L853" s="28"/>
      <c r="M853" s="28"/>
      <c r="N853" s="26"/>
      <c r="O853" s="29"/>
      <c r="P853" s="27"/>
      <c r="Q853" s="26"/>
      <c r="R853" s="29"/>
      <c r="S853" s="28"/>
      <c r="T853" s="29"/>
      <c r="U853" s="28"/>
      <c r="V853" s="28"/>
      <c r="W853" s="28"/>
      <c r="X853" s="28"/>
      <c r="Y853" s="26"/>
      <c r="Z853" s="29"/>
      <c r="AA853" s="28"/>
      <c r="AB853" s="26"/>
      <c r="AC853" s="29"/>
      <c r="AD853" s="25"/>
      <c r="AE853" s="29"/>
      <c r="AF853" s="25"/>
      <c r="AG853" s="25"/>
      <c r="AH853" s="25"/>
      <c r="AI853" s="25"/>
      <c r="AJ853" s="26"/>
      <c r="AK853" s="29"/>
      <c r="AL853" s="28"/>
      <c r="AM853" s="26"/>
      <c r="AN853" s="29"/>
      <c r="AO853" s="25"/>
      <c r="AP853" s="29"/>
      <c r="AQ853" s="25"/>
      <c r="AR853" s="25"/>
      <c r="AS853" s="25"/>
      <c r="AT853" s="25"/>
      <c r="AU853" s="26"/>
      <c r="AV853" s="26"/>
      <c r="AW853" s="26"/>
      <c r="AX853" s="26"/>
      <c r="AY853" s="26"/>
      <c r="AZ853" s="26"/>
      <c r="BA853" s="26"/>
    </row>
    <row r="854">
      <c r="A854" s="26"/>
      <c r="B854" s="26"/>
      <c r="C854" s="26"/>
      <c r="D854" s="27"/>
      <c r="E854" s="27"/>
      <c r="F854" s="26"/>
      <c r="G854" s="28"/>
      <c r="H854" s="28"/>
      <c r="I854" s="28"/>
      <c r="J854" s="28"/>
      <c r="K854" s="28"/>
      <c r="L854" s="28"/>
      <c r="M854" s="28"/>
      <c r="N854" s="26"/>
      <c r="O854" s="29"/>
      <c r="P854" s="27"/>
      <c r="Q854" s="26"/>
      <c r="R854" s="29"/>
      <c r="S854" s="28"/>
      <c r="T854" s="29"/>
      <c r="U854" s="28"/>
      <c r="V854" s="28"/>
      <c r="W854" s="28"/>
      <c r="X854" s="28"/>
      <c r="Y854" s="26"/>
      <c r="Z854" s="29"/>
      <c r="AA854" s="28"/>
      <c r="AB854" s="26"/>
      <c r="AC854" s="29"/>
      <c r="AD854" s="25"/>
      <c r="AE854" s="29"/>
      <c r="AF854" s="25"/>
      <c r="AG854" s="25"/>
      <c r="AH854" s="25"/>
      <c r="AI854" s="25"/>
      <c r="AJ854" s="26"/>
      <c r="AK854" s="29"/>
      <c r="AL854" s="28"/>
      <c r="AM854" s="26"/>
      <c r="AN854" s="29"/>
      <c r="AO854" s="25"/>
      <c r="AP854" s="29"/>
      <c r="AQ854" s="25"/>
      <c r="AR854" s="25"/>
      <c r="AS854" s="25"/>
      <c r="AT854" s="25"/>
      <c r="AU854" s="26"/>
      <c r="AV854" s="26"/>
      <c r="AW854" s="26"/>
      <c r="AX854" s="26"/>
      <c r="AY854" s="26"/>
      <c r="AZ854" s="26"/>
      <c r="BA854" s="26"/>
    </row>
    <row r="855">
      <c r="A855" s="26"/>
      <c r="B855" s="26"/>
      <c r="C855" s="26"/>
      <c r="D855" s="27"/>
      <c r="E855" s="27"/>
      <c r="F855" s="26"/>
      <c r="G855" s="28"/>
      <c r="H855" s="28"/>
      <c r="I855" s="28"/>
      <c r="J855" s="28"/>
      <c r="K855" s="28"/>
      <c r="L855" s="28"/>
      <c r="M855" s="28"/>
      <c r="N855" s="26"/>
      <c r="O855" s="29"/>
      <c r="P855" s="27"/>
      <c r="Q855" s="26"/>
      <c r="R855" s="29"/>
      <c r="S855" s="28"/>
      <c r="T855" s="29"/>
      <c r="U855" s="28"/>
      <c r="V855" s="28"/>
      <c r="W855" s="28"/>
      <c r="X855" s="28"/>
      <c r="Y855" s="26"/>
      <c r="Z855" s="29"/>
      <c r="AA855" s="28"/>
      <c r="AB855" s="26"/>
      <c r="AC855" s="29"/>
      <c r="AD855" s="25"/>
      <c r="AE855" s="29"/>
      <c r="AF855" s="25"/>
      <c r="AG855" s="25"/>
      <c r="AH855" s="25"/>
      <c r="AI855" s="25"/>
      <c r="AJ855" s="26"/>
      <c r="AK855" s="29"/>
      <c r="AL855" s="28"/>
      <c r="AM855" s="26"/>
      <c r="AN855" s="29"/>
      <c r="AO855" s="25"/>
      <c r="AP855" s="29"/>
      <c r="AQ855" s="25"/>
      <c r="AR855" s="25"/>
      <c r="AS855" s="25"/>
      <c r="AT855" s="25"/>
      <c r="AU855" s="26"/>
      <c r="AV855" s="26"/>
      <c r="AW855" s="26"/>
      <c r="AX855" s="26"/>
      <c r="AY855" s="26"/>
      <c r="AZ855" s="26"/>
      <c r="BA855" s="26"/>
    </row>
    <row r="856">
      <c r="A856" s="26"/>
      <c r="B856" s="26"/>
      <c r="C856" s="26"/>
      <c r="D856" s="27"/>
      <c r="E856" s="27"/>
      <c r="F856" s="26"/>
      <c r="G856" s="28"/>
      <c r="H856" s="28"/>
      <c r="I856" s="28"/>
      <c r="J856" s="28"/>
      <c r="K856" s="28"/>
      <c r="L856" s="28"/>
      <c r="M856" s="28"/>
      <c r="N856" s="26"/>
      <c r="O856" s="29"/>
      <c r="P856" s="27"/>
      <c r="Q856" s="26"/>
      <c r="R856" s="29"/>
      <c r="S856" s="28"/>
      <c r="T856" s="29"/>
      <c r="U856" s="28"/>
      <c r="V856" s="28"/>
      <c r="W856" s="28"/>
      <c r="X856" s="28"/>
      <c r="Y856" s="26"/>
      <c r="Z856" s="29"/>
      <c r="AA856" s="28"/>
      <c r="AB856" s="26"/>
      <c r="AC856" s="29"/>
      <c r="AD856" s="25"/>
      <c r="AE856" s="29"/>
      <c r="AF856" s="25"/>
      <c r="AG856" s="25"/>
      <c r="AH856" s="25"/>
      <c r="AI856" s="25"/>
      <c r="AJ856" s="26"/>
      <c r="AK856" s="29"/>
      <c r="AL856" s="28"/>
      <c r="AM856" s="26"/>
      <c r="AN856" s="29"/>
      <c r="AO856" s="25"/>
      <c r="AP856" s="29"/>
      <c r="AQ856" s="25"/>
      <c r="AR856" s="25"/>
      <c r="AS856" s="25"/>
      <c r="AT856" s="25"/>
      <c r="AU856" s="26"/>
      <c r="AV856" s="26"/>
      <c r="AW856" s="26"/>
      <c r="AX856" s="26"/>
      <c r="AY856" s="26"/>
      <c r="AZ856" s="26"/>
      <c r="BA856" s="26"/>
    </row>
    <row r="857">
      <c r="A857" s="26"/>
      <c r="B857" s="26"/>
      <c r="C857" s="26"/>
      <c r="D857" s="27"/>
      <c r="E857" s="27"/>
      <c r="F857" s="26"/>
      <c r="G857" s="28"/>
      <c r="H857" s="28"/>
      <c r="I857" s="28"/>
      <c r="J857" s="28"/>
      <c r="K857" s="28"/>
      <c r="L857" s="28"/>
      <c r="M857" s="28"/>
      <c r="N857" s="26"/>
      <c r="O857" s="29"/>
      <c r="P857" s="27"/>
      <c r="Q857" s="26"/>
      <c r="R857" s="29"/>
      <c r="S857" s="28"/>
      <c r="T857" s="29"/>
      <c r="U857" s="28"/>
      <c r="V857" s="28"/>
      <c r="W857" s="28"/>
      <c r="X857" s="28"/>
      <c r="Y857" s="26"/>
      <c r="Z857" s="29"/>
      <c r="AA857" s="28"/>
      <c r="AB857" s="26"/>
      <c r="AC857" s="29"/>
      <c r="AD857" s="25"/>
      <c r="AE857" s="29"/>
      <c r="AF857" s="25"/>
      <c r="AG857" s="25"/>
      <c r="AH857" s="25"/>
      <c r="AI857" s="25"/>
      <c r="AJ857" s="26"/>
      <c r="AK857" s="29"/>
      <c r="AL857" s="28"/>
      <c r="AM857" s="26"/>
      <c r="AN857" s="29"/>
      <c r="AO857" s="25"/>
      <c r="AP857" s="29"/>
      <c r="AQ857" s="25"/>
      <c r="AR857" s="25"/>
      <c r="AS857" s="25"/>
      <c r="AT857" s="25"/>
      <c r="AU857" s="26"/>
      <c r="AV857" s="26"/>
      <c r="AW857" s="26"/>
      <c r="AX857" s="26"/>
      <c r="AY857" s="26"/>
      <c r="AZ857" s="26"/>
      <c r="BA857" s="26"/>
    </row>
    <row r="858">
      <c r="A858" s="26"/>
      <c r="B858" s="26"/>
      <c r="C858" s="26"/>
      <c r="D858" s="27"/>
      <c r="E858" s="27"/>
      <c r="F858" s="26"/>
      <c r="G858" s="28"/>
      <c r="H858" s="28"/>
      <c r="I858" s="28"/>
      <c r="J858" s="28"/>
      <c r="K858" s="28"/>
      <c r="L858" s="28"/>
      <c r="M858" s="28"/>
      <c r="N858" s="26"/>
      <c r="O858" s="29"/>
      <c r="P858" s="27"/>
      <c r="Q858" s="26"/>
      <c r="R858" s="29"/>
      <c r="S858" s="28"/>
      <c r="T858" s="29"/>
      <c r="U858" s="28"/>
      <c r="V858" s="28"/>
      <c r="W858" s="28"/>
      <c r="X858" s="28"/>
      <c r="Y858" s="26"/>
      <c r="Z858" s="29"/>
      <c r="AA858" s="28"/>
      <c r="AB858" s="26"/>
      <c r="AC858" s="29"/>
      <c r="AD858" s="25"/>
      <c r="AE858" s="29"/>
      <c r="AF858" s="25"/>
      <c r="AG858" s="25"/>
      <c r="AH858" s="25"/>
      <c r="AI858" s="25"/>
      <c r="AJ858" s="26"/>
      <c r="AK858" s="29"/>
      <c r="AL858" s="28"/>
      <c r="AM858" s="26"/>
      <c r="AN858" s="29"/>
      <c r="AO858" s="25"/>
      <c r="AP858" s="29"/>
      <c r="AQ858" s="25"/>
      <c r="AR858" s="25"/>
      <c r="AS858" s="25"/>
      <c r="AT858" s="25"/>
      <c r="AU858" s="26"/>
      <c r="AV858" s="26"/>
      <c r="AW858" s="26"/>
      <c r="AX858" s="26"/>
      <c r="AY858" s="26"/>
      <c r="AZ858" s="26"/>
      <c r="BA858" s="26"/>
    </row>
    <row r="859">
      <c r="A859" s="26"/>
      <c r="B859" s="26"/>
      <c r="C859" s="26"/>
      <c r="D859" s="27"/>
      <c r="E859" s="27"/>
      <c r="F859" s="26"/>
      <c r="G859" s="28"/>
      <c r="H859" s="28"/>
      <c r="I859" s="28"/>
      <c r="J859" s="28"/>
      <c r="K859" s="28"/>
      <c r="L859" s="28"/>
      <c r="M859" s="28"/>
      <c r="N859" s="26"/>
      <c r="O859" s="29"/>
      <c r="P859" s="27"/>
      <c r="Q859" s="26"/>
      <c r="R859" s="29"/>
      <c r="S859" s="28"/>
      <c r="T859" s="29"/>
      <c r="U859" s="28"/>
      <c r="V859" s="28"/>
      <c r="W859" s="28"/>
      <c r="X859" s="28"/>
      <c r="Y859" s="26"/>
      <c r="Z859" s="29"/>
      <c r="AA859" s="28"/>
      <c r="AB859" s="26"/>
      <c r="AC859" s="29"/>
      <c r="AD859" s="25"/>
      <c r="AE859" s="29"/>
      <c r="AF859" s="25"/>
      <c r="AG859" s="25"/>
      <c r="AH859" s="25"/>
      <c r="AI859" s="25"/>
      <c r="AJ859" s="26"/>
      <c r="AK859" s="29"/>
      <c r="AL859" s="28"/>
      <c r="AM859" s="26"/>
      <c r="AN859" s="29"/>
      <c r="AO859" s="25"/>
      <c r="AP859" s="29"/>
      <c r="AQ859" s="25"/>
      <c r="AR859" s="25"/>
      <c r="AS859" s="25"/>
      <c r="AT859" s="25"/>
      <c r="AU859" s="26"/>
      <c r="AV859" s="26"/>
      <c r="AW859" s="26"/>
      <c r="AX859" s="26"/>
      <c r="AY859" s="26"/>
      <c r="AZ859" s="26"/>
      <c r="BA859" s="26"/>
    </row>
    <row r="860">
      <c r="A860" s="26"/>
      <c r="B860" s="26"/>
      <c r="C860" s="26"/>
      <c r="D860" s="27"/>
      <c r="E860" s="27"/>
      <c r="F860" s="26"/>
      <c r="G860" s="28"/>
      <c r="H860" s="28"/>
      <c r="I860" s="28"/>
      <c r="J860" s="28"/>
      <c r="K860" s="28"/>
      <c r="L860" s="28"/>
      <c r="M860" s="28"/>
      <c r="N860" s="26"/>
      <c r="O860" s="29"/>
      <c r="P860" s="27"/>
      <c r="Q860" s="26"/>
      <c r="R860" s="29"/>
      <c r="S860" s="28"/>
      <c r="T860" s="29"/>
      <c r="U860" s="28"/>
      <c r="V860" s="28"/>
      <c r="W860" s="28"/>
      <c r="X860" s="28"/>
      <c r="Y860" s="26"/>
      <c r="Z860" s="29"/>
      <c r="AA860" s="28"/>
      <c r="AB860" s="26"/>
      <c r="AC860" s="29"/>
      <c r="AD860" s="25"/>
      <c r="AE860" s="29"/>
      <c r="AF860" s="25"/>
      <c r="AG860" s="25"/>
      <c r="AH860" s="25"/>
      <c r="AI860" s="25"/>
      <c r="AJ860" s="26"/>
      <c r="AK860" s="29"/>
      <c r="AL860" s="28"/>
      <c r="AM860" s="26"/>
      <c r="AN860" s="29"/>
      <c r="AO860" s="25"/>
      <c r="AP860" s="29"/>
      <c r="AQ860" s="25"/>
      <c r="AR860" s="25"/>
      <c r="AS860" s="25"/>
      <c r="AT860" s="25"/>
      <c r="AU860" s="26"/>
      <c r="AV860" s="26"/>
      <c r="AW860" s="26"/>
      <c r="AX860" s="26"/>
      <c r="AY860" s="26"/>
      <c r="AZ860" s="26"/>
      <c r="BA860" s="26"/>
    </row>
    <row r="861">
      <c r="A861" s="26"/>
      <c r="B861" s="26"/>
      <c r="C861" s="26"/>
      <c r="D861" s="27"/>
      <c r="E861" s="27"/>
      <c r="F861" s="26"/>
      <c r="G861" s="28"/>
      <c r="H861" s="28"/>
      <c r="I861" s="28"/>
      <c r="J861" s="28"/>
      <c r="K861" s="28"/>
      <c r="L861" s="28"/>
      <c r="M861" s="28"/>
      <c r="N861" s="26"/>
      <c r="O861" s="29"/>
      <c r="P861" s="27"/>
      <c r="Q861" s="26"/>
      <c r="R861" s="29"/>
      <c r="S861" s="28"/>
      <c r="T861" s="29"/>
      <c r="U861" s="28"/>
      <c r="V861" s="28"/>
      <c r="W861" s="28"/>
      <c r="X861" s="28"/>
      <c r="Y861" s="26"/>
      <c r="Z861" s="29"/>
      <c r="AA861" s="28"/>
      <c r="AB861" s="26"/>
      <c r="AC861" s="29"/>
      <c r="AD861" s="25"/>
      <c r="AE861" s="29"/>
      <c r="AF861" s="25"/>
      <c r="AG861" s="25"/>
      <c r="AH861" s="25"/>
      <c r="AI861" s="25"/>
      <c r="AJ861" s="26"/>
      <c r="AK861" s="29"/>
      <c r="AL861" s="28"/>
      <c r="AM861" s="26"/>
      <c r="AN861" s="29"/>
      <c r="AO861" s="25"/>
      <c r="AP861" s="29"/>
      <c r="AQ861" s="25"/>
      <c r="AR861" s="25"/>
      <c r="AS861" s="25"/>
      <c r="AT861" s="25"/>
      <c r="AU861" s="26"/>
      <c r="AV861" s="26"/>
      <c r="AW861" s="26"/>
      <c r="AX861" s="26"/>
      <c r="AY861" s="26"/>
      <c r="AZ861" s="26"/>
      <c r="BA861" s="26"/>
    </row>
    <row r="862">
      <c r="A862" s="26"/>
      <c r="B862" s="26"/>
      <c r="C862" s="26"/>
      <c r="D862" s="27"/>
      <c r="E862" s="27"/>
      <c r="F862" s="26"/>
      <c r="G862" s="28"/>
      <c r="H862" s="28"/>
      <c r="I862" s="28"/>
      <c r="J862" s="28"/>
      <c r="K862" s="28"/>
      <c r="L862" s="28"/>
      <c r="M862" s="28"/>
      <c r="N862" s="26"/>
      <c r="O862" s="29"/>
      <c r="P862" s="27"/>
      <c r="Q862" s="26"/>
      <c r="R862" s="29"/>
      <c r="S862" s="28"/>
      <c r="T862" s="29"/>
      <c r="U862" s="28"/>
      <c r="V862" s="28"/>
      <c r="W862" s="28"/>
      <c r="X862" s="28"/>
      <c r="Y862" s="26"/>
      <c r="Z862" s="29"/>
      <c r="AA862" s="28"/>
      <c r="AB862" s="26"/>
      <c r="AC862" s="29"/>
      <c r="AD862" s="25"/>
      <c r="AE862" s="29"/>
      <c r="AF862" s="25"/>
      <c r="AG862" s="25"/>
      <c r="AH862" s="25"/>
      <c r="AI862" s="25"/>
      <c r="AJ862" s="26"/>
      <c r="AK862" s="29"/>
      <c r="AL862" s="28"/>
      <c r="AM862" s="26"/>
      <c r="AN862" s="29"/>
      <c r="AO862" s="25"/>
      <c r="AP862" s="29"/>
      <c r="AQ862" s="25"/>
      <c r="AR862" s="25"/>
      <c r="AS862" s="25"/>
      <c r="AT862" s="25"/>
      <c r="AU862" s="26"/>
      <c r="AV862" s="26"/>
      <c r="AW862" s="26"/>
      <c r="AX862" s="26"/>
      <c r="AY862" s="26"/>
      <c r="AZ862" s="26"/>
      <c r="BA862" s="26"/>
    </row>
    <row r="863">
      <c r="A863" s="26"/>
      <c r="B863" s="26"/>
      <c r="C863" s="26"/>
      <c r="D863" s="27"/>
      <c r="E863" s="27"/>
      <c r="F863" s="26"/>
      <c r="G863" s="28"/>
      <c r="H863" s="28"/>
      <c r="I863" s="28"/>
      <c r="J863" s="28"/>
      <c r="K863" s="28"/>
      <c r="L863" s="28"/>
      <c r="M863" s="28"/>
      <c r="N863" s="26"/>
      <c r="O863" s="29"/>
      <c r="P863" s="27"/>
      <c r="Q863" s="26"/>
      <c r="R863" s="29"/>
      <c r="S863" s="28"/>
      <c r="T863" s="29"/>
      <c r="U863" s="28"/>
      <c r="V863" s="28"/>
      <c r="W863" s="28"/>
      <c r="X863" s="28"/>
      <c r="Y863" s="26"/>
      <c r="Z863" s="29"/>
      <c r="AA863" s="28"/>
      <c r="AB863" s="26"/>
      <c r="AC863" s="29"/>
      <c r="AD863" s="25"/>
      <c r="AE863" s="29"/>
      <c r="AF863" s="25"/>
      <c r="AG863" s="25"/>
      <c r="AH863" s="25"/>
      <c r="AI863" s="25"/>
      <c r="AJ863" s="26"/>
      <c r="AK863" s="29"/>
      <c r="AL863" s="28"/>
      <c r="AM863" s="26"/>
      <c r="AN863" s="29"/>
      <c r="AO863" s="25"/>
      <c r="AP863" s="29"/>
      <c r="AQ863" s="25"/>
      <c r="AR863" s="25"/>
      <c r="AS863" s="25"/>
      <c r="AT863" s="25"/>
      <c r="AU863" s="26"/>
      <c r="AV863" s="26"/>
      <c r="AW863" s="26"/>
      <c r="AX863" s="26"/>
      <c r="AY863" s="26"/>
      <c r="AZ863" s="26"/>
      <c r="BA863" s="26"/>
    </row>
    <row r="864">
      <c r="A864" s="26"/>
      <c r="B864" s="26"/>
      <c r="C864" s="26"/>
      <c r="D864" s="27"/>
      <c r="E864" s="27"/>
      <c r="F864" s="26"/>
      <c r="G864" s="28"/>
      <c r="H864" s="28"/>
      <c r="I864" s="28"/>
      <c r="J864" s="28"/>
      <c r="K864" s="28"/>
      <c r="L864" s="28"/>
      <c r="M864" s="28"/>
      <c r="N864" s="26"/>
      <c r="O864" s="29"/>
      <c r="P864" s="27"/>
      <c r="Q864" s="26"/>
      <c r="R864" s="29"/>
      <c r="S864" s="28"/>
      <c r="T864" s="29"/>
      <c r="U864" s="28"/>
      <c r="V864" s="28"/>
      <c r="W864" s="28"/>
      <c r="X864" s="28"/>
      <c r="Y864" s="26"/>
      <c r="Z864" s="29"/>
      <c r="AA864" s="28"/>
      <c r="AB864" s="26"/>
      <c r="AC864" s="29"/>
      <c r="AD864" s="25"/>
      <c r="AE864" s="29"/>
      <c r="AF864" s="25"/>
      <c r="AG864" s="25"/>
      <c r="AH864" s="25"/>
      <c r="AI864" s="25"/>
      <c r="AJ864" s="26"/>
      <c r="AK864" s="29"/>
      <c r="AL864" s="28"/>
      <c r="AM864" s="26"/>
      <c r="AN864" s="29"/>
      <c r="AO864" s="25"/>
      <c r="AP864" s="29"/>
      <c r="AQ864" s="25"/>
      <c r="AR864" s="25"/>
      <c r="AS864" s="25"/>
      <c r="AT864" s="25"/>
      <c r="AU864" s="26"/>
      <c r="AV864" s="26"/>
      <c r="AW864" s="26"/>
      <c r="AX864" s="26"/>
      <c r="AY864" s="26"/>
      <c r="AZ864" s="26"/>
      <c r="BA864" s="26"/>
    </row>
    <row r="865">
      <c r="A865" s="26"/>
      <c r="B865" s="26"/>
      <c r="C865" s="26"/>
      <c r="D865" s="27"/>
      <c r="E865" s="27"/>
      <c r="F865" s="26"/>
      <c r="G865" s="28"/>
      <c r="H865" s="28"/>
      <c r="I865" s="28"/>
      <c r="J865" s="28"/>
      <c r="K865" s="28"/>
      <c r="L865" s="28"/>
      <c r="M865" s="28"/>
      <c r="N865" s="26"/>
      <c r="O865" s="29"/>
      <c r="P865" s="27"/>
      <c r="Q865" s="26"/>
      <c r="R865" s="29"/>
      <c r="S865" s="28"/>
      <c r="T865" s="29"/>
      <c r="U865" s="28"/>
      <c r="V865" s="28"/>
      <c r="W865" s="28"/>
      <c r="X865" s="28"/>
      <c r="Y865" s="26"/>
      <c r="Z865" s="29"/>
      <c r="AA865" s="28"/>
      <c r="AB865" s="26"/>
      <c r="AC865" s="29"/>
      <c r="AD865" s="25"/>
      <c r="AE865" s="29"/>
      <c r="AF865" s="25"/>
      <c r="AG865" s="25"/>
      <c r="AH865" s="25"/>
      <c r="AI865" s="25"/>
      <c r="AJ865" s="26"/>
      <c r="AK865" s="29"/>
      <c r="AL865" s="28"/>
      <c r="AM865" s="26"/>
      <c r="AN865" s="29"/>
      <c r="AO865" s="25"/>
      <c r="AP865" s="29"/>
      <c r="AQ865" s="25"/>
      <c r="AR865" s="25"/>
      <c r="AS865" s="25"/>
      <c r="AT865" s="25"/>
      <c r="AU865" s="26"/>
      <c r="AV865" s="26"/>
      <c r="AW865" s="26"/>
      <c r="AX865" s="26"/>
      <c r="AY865" s="26"/>
      <c r="AZ865" s="26"/>
      <c r="BA865" s="26"/>
    </row>
    <row r="866">
      <c r="A866" s="26"/>
      <c r="B866" s="26"/>
      <c r="C866" s="26"/>
      <c r="D866" s="27"/>
      <c r="E866" s="27"/>
      <c r="F866" s="26"/>
      <c r="G866" s="28"/>
      <c r="H866" s="28"/>
      <c r="I866" s="28"/>
      <c r="J866" s="28"/>
      <c r="K866" s="28"/>
      <c r="L866" s="28"/>
      <c r="M866" s="28"/>
      <c r="N866" s="26"/>
      <c r="O866" s="29"/>
      <c r="P866" s="27"/>
      <c r="Q866" s="26"/>
      <c r="R866" s="29"/>
      <c r="S866" s="28"/>
      <c r="T866" s="29"/>
      <c r="U866" s="28"/>
      <c r="V866" s="28"/>
      <c r="W866" s="28"/>
      <c r="X866" s="28"/>
      <c r="Y866" s="26"/>
      <c r="Z866" s="29"/>
      <c r="AA866" s="28"/>
      <c r="AB866" s="26"/>
      <c r="AC866" s="29"/>
      <c r="AD866" s="25"/>
      <c r="AE866" s="29"/>
      <c r="AF866" s="25"/>
      <c r="AG866" s="25"/>
      <c r="AH866" s="25"/>
      <c r="AI866" s="25"/>
      <c r="AJ866" s="26"/>
      <c r="AK866" s="29"/>
      <c r="AL866" s="28"/>
      <c r="AM866" s="26"/>
      <c r="AN866" s="29"/>
      <c r="AO866" s="25"/>
      <c r="AP866" s="29"/>
      <c r="AQ866" s="25"/>
      <c r="AR866" s="25"/>
      <c r="AS866" s="25"/>
      <c r="AT866" s="25"/>
      <c r="AU866" s="26"/>
      <c r="AV866" s="26"/>
      <c r="AW866" s="26"/>
      <c r="AX866" s="26"/>
      <c r="AY866" s="26"/>
      <c r="AZ866" s="26"/>
      <c r="BA866" s="26"/>
    </row>
    <row r="867">
      <c r="A867" s="26"/>
      <c r="B867" s="26"/>
      <c r="C867" s="26"/>
      <c r="D867" s="27"/>
      <c r="E867" s="27"/>
      <c r="F867" s="26"/>
      <c r="G867" s="28"/>
      <c r="H867" s="28"/>
      <c r="I867" s="28"/>
      <c r="J867" s="28"/>
      <c r="K867" s="28"/>
      <c r="L867" s="28"/>
      <c r="M867" s="28"/>
      <c r="N867" s="26"/>
      <c r="O867" s="29"/>
      <c r="P867" s="27"/>
      <c r="Q867" s="26"/>
      <c r="R867" s="29"/>
      <c r="S867" s="28"/>
      <c r="T867" s="29"/>
      <c r="U867" s="28"/>
      <c r="V867" s="28"/>
      <c r="W867" s="28"/>
      <c r="X867" s="28"/>
      <c r="Y867" s="26"/>
      <c r="Z867" s="29"/>
      <c r="AA867" s="28"/>
      <c r="AB867" s="26"/>
      <c r="AC867" s="29"/>
      <c r="AD867" s="25"/>
      <c r="AE867" s="29"/>
      <c r="AF867" s="25"/>
      <c r="AG867" s="25"/>
      <c r="AH867" s="25"/>
      <c r="AI867" s="25"/>
      <c r="AJ867" s="26"/>
      <c r="AK867" s="29"/>
      <c r="AL867" s="28"/>
      <c r="AM867" s="26"/>
      <c r="AN867" s="29"/>
      <c r="AO867" s="25"/>
      <c r="AP867" s="29"/>
      <c r="AQ867" s="25"/>
      <c r="AR867" s="25"/>
      <c r="AS867" s="25"/>
      <c r="AT867" s="25"/>
      <c r="AU867" s="26"/>
      <c r="AV867" s="26"/>
      <c r="AW867" s="26"/>
      <c r="AX867" s="26"/>
      <c r="AY867" s="26"/>
      <c r="AZ867" s="26"/>
      <c r="BA867" s="26"/>
    </row>
    <row r="868">
      <c r="A868" s="26"/>
      <c r="B868" s="26"/>
      <c r="C868" s="26"/>
      <c r="D868" s="27"/>
      <c r="E868" s="27"/>
      <c r="F868" s="26"/>
      <c r="G868" s="28"/>
      <c r="H868" s="28"/>
      <c r="I868" s="28"/>
      <c r="J868" s="28"/>
      <c r="K868" s="28"/>
      <c r="L868" s="28"/>
      <c r="M868" s="28"/>
      <c r="N868" s="26"/>
      <c r="O868" s="29"/>
      <c r="P868" s="27"/>
      <c r="Q868" s="26"/>
      <c r="R868" s="29"/>
      <c r="S868" s="28"/>
      <c r="T868" s="29"/>
      <c r="U868" s="28"/>
      <c r="V868" s="28"/>
      <c r="W868" s="28"/>
      <c r="X868" s="28"/>
      <c r="Y868" s="26"/>
      <c r="Z868" s="29"/>
      <c r="AA868" s="28"/>
      <c r="AB868" s="26"/>
      <c r="AC868" s="29"/>
      <c r="AD868" s="25"/>
      <c r="AE868" s="29"/>
      <c r="AF868" s="25"/>
      <c r="AG868" s="25"/>
      <c r="AH868" s="25"/>
      <c r="AI868" s="25"/>
      <c r="AJ868" s="26"/>
      <c r="AK868" s="29"/>
      <c r="AL868" s="28"/>
      <c r="AM868" s="26"/>
      <c r="AN868" s="29"/>
      <c r="AO868" s="25"/>
      <c r="AP868" s="29"/>
      <c r="AQ868" s="25"/>
      <c r="AR868" s="25"/>
      <c r="AS868" s="25"/>
      <c r="AT868" s="25"/>
      <c r="AU868" s="26"/>
      <c r="AV868" s="26"/>
      <c r="AW868" s="26"/>
      <c r="AX868" s="26"/>
      <c r="AY868" s="26"/>
      <c r="AZ868" s="26"/>
      <c r="BA868" s="26"/>
    </row>
    <row r="869">
      <c r="A869" s="26"/>
      <c r="B869" s="26"/>
      <c r="C869" s="26"/>
      <c r="D869" s="27"/>
      <c r="E869" s="27"/>
      <c r="F869" s="26"/>
      <c r="G869" s="28"/>
      <c r="H869" s="28"/>
      <c r="I869" s="28"/>
      <c r="J869" s="28"/>
      <c r="K869" s="28"/>
      <c r="L869" s="28"/>
      <c r="M869" s="28"/>
      <c r="N869" s="26"/>
      <c r="O869" s="29"/>
      <c r="P869" s="27"/>
      <c r="Q869" s="26"/>
      <c r="R869" s="29"/>
      <c r="S869" s="28"/>
      <c r="T869" s="29"/>
      <c r="U869" s="28"/>
      <c r="V869" s="28"/>
      <c r="W869" s="28"/>
      <c r="X869" s="28"/>
      <c r="Y869" s="26"/>
      <c r="Z869" s="29"/>
      <c r="AA869" s="28"/>
      <c r="AB869" s="26"/>
      <c r="AC869" s="29"/>
      <c r="AD869" s="25"/>
      <c r="AE869" s="29"/>
      <c r="AF869" s="25"/>
      <c r="AG869" s="25"/>
      <c r="AH869" s="25"/>
      <c r="AI869" s="25"/>
      <c r="AJ869" s="26"/>
      <c r="AK869" s="29"/>
      <c r="AL869" s="28"/>
      <c r="AM869" s="26"/>
      <c r="AN869" s="29"/>
      <c r="AO869" s="25"/>
      <c r="AP869" s="29"/>
      <c r="AQ869" s="25"/>
      <c r="AR869" s="25"/>
      <c r="AS869" s="25"/>
      <c r="AT869" s="25"/>
      <c r="AU869" s="26"/>
      <c r="AV869" s="26"/>
      <c r="AW869" s="26"/>
      <c r="AX869" s="26"/>
      <c r="AY869" s="26"/>
      <c r="AZ869" s="26"/>
      <c r="BA869" s="26"/>
    </row>
    <row r="870">
      <c r="A870" s="26"/>
      <c r="B870" s="26"/>
      <c r="C870" s="26"/>
      <c r="D870" s="27"/>
      <c r="E870" s="27"/>
      <c r="F870" s="26"/>
      <c r="G870" s="28"/>
      <c r="H870" s="28"/>
      <c r="I870" s="28"/>
      <c r="J870" s="28"/>
      <c r="K870" s="28"/>
      <c r="L870" s="28"/>
      <c r="M870" s="28"/>
      <c r="N870" s="26"/>
      <c r="O870" s="29"/>
      <c r="P870" s="27"/>
      <c r="Q870" s="26"/>
      <c r="R870" s="29"/>
      <c r="S870" s="28"/>
      <c r="T870" s="29"/>
      <c r="U870" s="28"/>
      <c r="V870" s="28"/>
      <c r="W870" s="28"/>
      <c r="X870" s="28"/>
      <c r="Y870" s="26"/>
      <c r="Z870" s="29"/>
      <c r="AA870" s="28"/>
      <c r="AB870" s="26"/>
      <c r="AC870" s="29"/>
      <c r="AD870" s="25"/>
      <c r="AE870" s="29"/>
      <c r="AF870" s="25"/>
      <c r="AG870" s="25"/>
      <c r="AH870" s="25"/>
      <c r="AI870" s="25"/>
      <c r="AJ870" s="26"/>
      <c r="AK870" s="29"/>
      <c r="AL870" s="28"/>
      <c r="AM870" s="26"/>
      <c r="AN870" s="29"/>
      <c r="AO870" s="25"/>
      <c r="AP870" s="29"/>
      <c r="AQ870" s="25"/>
      <c r="AR870" s="25"/>
      <c r="AS870" s="25"/>
      <c r="AT870" s="25"/>
      <c r="AU870" s="26"/>
      <c r="AV870" s="26"/>
      <c r="AW870" s="26"/>
      <c r="AX870" s="26"/>
      <c r="AY870" s="26"/>
      <c r="AZ870" s="26"/>
      <c r="BA870" s="26"/>
    </row>
    <row r="871">
      <c r="A871" s="26"/>
      <c r="B871" s="26"/>
      <c r="C871" s="26"/>
      <c r="D871" s="27"/>
      <c r="E871" s="27"/>
      <c r="F871" s="26"/>
      <c r="G871" s="28"/>
      <c r="H871" s="28"/>
      <c r="I871" s="28"/>
      <c r="J871" s="28"/>
      <c r="K871" s="28"/>
      <c r="L871" s="28"/>
      <c r="M871" s="28"/>
      <c r="N871" s="26"/>
      <c r="O871" s="29"/>
      <c r="P871" s="27"/>
      <c r="Q871" s="26"/>
      <c r="R871" s="29"/>
      <c r="S871" s="28"/>
      <c r="T871" s="29"/>
      <c r="U871" s="28"/>
      <c r="V871" s="28"/>
      <c r="W871" s="28"/>
      <c r="X871" s="28"/>
      <c r="Y871" s="26"/>
      <c r="Z871" s="29"/>
      <c r="AA871" s="28"/>
      <c r="AB871" s="26"/>
      <c r="AC871" s="29"/>
      <c r="AD871" s="25"/>
      <c r="AE871" s="29"/>
      <c r="AF871" s="25"/>
      <c r="AG871" s="25"/>
      <c r="AH871" s="25"/>
      <c r="AI871" s="25"/>
      <c r="AJ871" s="26"/>
      <c r="AK871" s="29"/>
      <c r="AL871" s="28"/>
      <c r="AM871" s="26"/>
      <c r="AN871" s="29"/>
      <c r="AO871" s="25"/>
      <c r="AP871" s="29"/>
      <c r="AQ871" s="25"/>
      <c r="AR871" s="25"/>
      <c r="AS871" s="25"/>
      <c r="AT871" s="25"/>
      <c r="AU871" s="26"/>
      <c r="AV871" s="26"/>
      <c r="AW871" s="26"/>
      <c r="AX871" s="26"/>
      <c r="AY871" s="26"/>
      <c r="AZ871" s="26"/>
      <c r="BA871" s="26"/>
    </row>
    <row r="872">
      <c r="A872" s="26"/>
      <c r="B872" s="26"/>
      <c r="C872" s="26"/>
      <c r="D872" s="27"/>
      <c r="E872" s="27"/>
      <c r="F872" s="26"/>
      <c r="G872" s="28"/>
      <c r="H872" s="28"/>
      <c r="I872" s="28"/>
      <c r="J872" s="28"/>
      <c r="K872" s="28"/>
      <c r="L872" s="28"/>
      <c r="M872" s="28"/>
      <c r="N872" s="26"/>
      <c r="O872" s="29"/>
      <c r="P872" s="27"/>
      <c r="Q872" s="26"/>
      <c r="R872" s="29"/>
      <c r="S872" s="28"/>
      <c r="T872" s="29"/>
      <c r="U872" s="28"/>
      <c r="V872" s="28"/>
      <c r="W872" s="28"/>
      <c r="X872" s="28"/>
      <c r="Y872" s="26"/>
      <c r="Z872" s="29"/>
      <c r="AA872" s="28"/>
      <c r="AB872" s="26"/>
      <c r="AC872" s="29"/>
      <c r="AD872" s="25"/>
      <c r="AE872" s="29"/>
      <c r="AF872" s="25"/>
      <c r="AG872" s="25"/>
      <c r="AH872" s="25"/>
      <c r="AI872" s="25"/>
      <c r="AJ872" s="26"/>
      <c r="AK872" s="29"/>
      <c r="AL872" s="28"/>
      <c r="AM872" s="26"/>
      <c r="AN872" s="29"/>
      <c r="AO872" s="25"/>
      <c r="AP872" s="29"/>
      <c r="AQ872" s="25"/>
      <c r="AR872" s="25"/>
      <c r="AS872" s="25"/>
      <c r="AT872" s="25"/>
      <c r="AU872" s="26"/>
      <c r="AV872" s="26"/>
      <c r="AW872" s="26"/>
      <c r="AX872" s="26"/>
      <c r="AY872" s="26"/>
      <c r="AZ872" s="26"/>
      <c r="BA872" s="26"/>
    </row>
    <row r="873">
      <c r="A873" s="26"/>
      <c r="B873" s="26"/>
      <c r="C873" s="26"/>
      <c r="D873" s="27"/>
      <c r="E873" s="27"/>
      <c r="F873" s="26"/>
      <c r="G873" s="28"/>
      <c r="H873" s="28"/>
      <c r="I873" s="28"/>
      <c r="J873" s="28"/>
      <c r="K873" s="28"/>
      <c r="L873" s="28"/>
      <c r="M873" s="28"/>
      <c r="N873" s="26"/>
      <c r="O873" s="29"/>
      <c r="P873" s="27"/>
      <c r="Q873" s="26"/>
      <c r="R873" s="29"/>
      <c r="S873" s="28"/>
      <c r="T873" s="29"/>
      <c r="U873" s="28"/>
      <c r="V873" s="28"/>
      <c r="W873" s="28"/>
      <c r="X873" s="28"/>
      <c r="Y873" s="26"/>
      <c r="Z873" s="29"/>
      <c r="AA873" s="28"/>
      <c r="AB873" s="26"/>
      <c r="AC873" s="29"/>
      <c r="AD873" s="25"/>
      <c r="AE873" s="29"/>
      <c r="AF873" s="25"/>
      <c r="AG873" s="25"/>
      <c r="AH873" s="25"/>
      <c r="AI873" s="25"/>
      <c r="AJ873" s="26"/>
      <c r="AK873" s="29"/>
      <c r="AL873" s="28"/>
      <c r="AM873" s="26"/>
      <c r="AN873" s="29"/>
      <c r="AO873" s="25"/>
      <c r="AP873" s="29"/>
      <c r="AQ873" s="25"/>
      <c r="AR873" s="25"/>
      <c r="AS873" s="25"/>
      <c r="AT873" s="25"/>
      <c r="AU873" s="26"/>
      <c r="AV873" s="26"/>
      <c r="AW873" s="26"/>
      <c r="AX873" s="26"/>
      <c r="AY873" s="26"/>
      <c r="AZ873" s="26"/>
      <c r="BA873" s="26"/>
    </row>
    <row r="874">
      <c r="A874" s="26"/>
      <c r="B874" s="26"/>
      <c r="C874" s="26"/>
      <c r="D874" s="27"/>
      <c r="E874" s="27"/>
      <c r="F874" s="26"/>
      <c r="G874" s="28"/>
      <c r="H874" s="28"/>
      <c r="I874" s="28"/>
      <c r="J874" s="28"/>
      <c r="K874" s="28"/>
      <c r="L874" s="28"/>
      <c r="M874" s="28"/>
      <c r="N874" s="26"/>
      <c r="O874" s="29"/>
      <c r="P874" s="27"/>
      <c r="Q874" s="26"/>
      <c r="R874" s="29"/>
      <c r="S874" s="28"/>
      <c r="T874" s="29"/>
      <c r="U874" s="28"/>
      <c r="V874" s="28"/>
      <c r="W874" s="28"/>
      <c r="X874" s="28"/>
      <c r="Y874" s="26"/>
      <c r="Z874" s="29"/>
      <c r="AA874" s="28"/>
      <c r="AB874" s="26"/>
      <c r="AC874" s="29"/>
      <c r="AD874" s="25"/>
      <c r="AE874" s="29"/>
      <c r="AF874" s="25"/>
      <c r="AG874" s="25"/>
      <c r="AH874" s="25"/>
      <c r="AI874" s="25"/>
      <c r="AJ874" s="26"/>
      <c r="AK874" s="29"/>
      <c r="AL874" s="28"/>
      <c r="AM874" s="26"/>
      <c r="AN874" s="29"/>
      <c r="AO874" s="25"/>
      <c r="AP874" s="29"/>
      <c r="AQ874" s="25"/>
      <c r="AR874" s="25"/>
      <c r="AS874" s="25"/>
      <c r="AT874" s="25"/>
      <c r="AU874" s="26"/>
      <c r="AV874" s="26"/>
      <c r="AW874" s="26"/>
      <c r="AX874" s="26"/>
      <c r="AY874" s="26"/>
      <c r="AZ874" s="26"/>
      <c r="BA874" s="26"/>
    </row>
    <row r="875">
      <c r="A875" s="26"/>
      <c r="B875" s="26"/>
      <c r="C875" s="26"/>
      <c r="D875" s="27"/>
      <c r="E875" s="27"/>
      <c r="F875" s="26"/>
      <c r="G875" s="28"/>
      <c r="H875" s="28"/>
      <c r="I875" s="28"/>
      <c r="J875" s="28"/>
      <c r="K875" s="28"/>
      <c r="L875" s="28"/>
      <c r="M875" s="28"/>
      <c r="N875" s="26"/>
      <c r="O875" s="29"/>
      <c r="P875" s="27"/>
      <c r="Q875" s="26"/>
      <c r="R875" s="29"/>
      <c r="S875" s="28"/>
      <c r="T875" s="29"/>
      <c r="U875" s="28"/>
      <c r="V875" s="28"/>
      <c r="W875" s="28"/>
      <c r="X875" s="28"/>
      <c r="Y875" s="26"/>
      <c r="Z875" s="29"/>
      <c r="AA875" s="28"/>
      <c r="AB875" s="26"/>
      <c r="AC875" s="29"/>
      <c r="AD875" s="25"/>
      <c r="AE875" s="29"/>
      <c r="AF875" s="25"/>
      <c r="AG875" s="25"/>
      <c r="AH875" s="25"/>
      <c r="AI875" s="25"/>
      <c r="AJ875" s="26"/>
      <c r="AK875" s="29"/>
      <c r="AL875" s="28"/>
      <c r="AM875" s="26"/>
      <c r="AN875" s="29"/>
      <c r="AO875" s="25"/>
      <c r="AP875" s="29"/>
      <c r="AQ875" s="25"/>
      <c r="AR875" s="25"/>
      <c r="AS875" s="25"/>
      <c r="AT875" s="25"/>
      <c r="AU875" s="26"/>
      <c r="AV875" s="26"/>
      <c r="AW875" s="26"/>
      <c r="AX875" s="26"/>
      <c r="AY875" s="26"/>
      <c r="AZ875" s="26"/>
      <c r="BA875" s="26"/>
    </row>
    <row r="876">
      <c r="A876" s="26"/>
      <c r="B876" s="26"/>
      <c r="C876" s="26"/>
      <c r="D876" s="27"/>
      <c r="E876" s="27"/>
      <c r="F876" s="26"/>
      <c r="G876" s="28"/>
      <c r="H876" s="28"/>
      <c r="I876" s="28"/>
      <c r="J876" s="28"/>
      <c r="K876" s="28"/>
      <c r="L876" s="28"/>
      <c r="M876" s="28"/>
      <c r="N876" s="26"/>
      <c r="O876" s="29"/>
      <c r="P876" s="27"/>
      <c r="Q876" s="26"/>
      <c r="R876" s="29"/>
      <c r="S876" s="28"/>
      <c r="T876" s="29"/>
      <c r="U876" s="28"/>
      <c r="V876" s="28"/>
      <c r="W876" s="28"/>
      <c r="X876" s="28"/>
      <c r="Y876" s="26"/>
      <c r="Z876" s="29"/>
      <c r="AA876" s="28"/>
      <c r="AB876" s="26"/>
      <c r="AC876" s="29"/>
      <c r="AD876" s="25"/>
      <c r="AE876" s="29"/>
      <c r="AF876" s="25"/>
      <c r="AG876" s="25"/>
      <c r="AH876" s="25"/>
      <c r="AI876" s="25"/>
      <c r="AJ876" s="26"/>
      <c r="AK876" s="29"/>
      <c r="AL876" s="28"/>
      <c r="AM876" s="26"/>
      <c r="AN876" s="29"/>
      <c r="AO876" s="25"/>
      <c r="AP876" s="29"/>
      <c r="AQ876" s="25"/>
      <c r="AR876" s="25"/>
      <c r="AS876" s="25"/>
      <c r="AT876" s="25"/>
      <c r="AU876" s="26"/>
      <c r="AV876" s="26"/>
      <c r="AW876" s="26"/>
      <c r="AX876" s="26"/>
      <c r="AY876" s="26"/>
      <c r="AZ876" s="26"/>
      <c r="BA876" s="26"/>
    </row>
    <row r="877">
      <c r="A877" s="26"/>
      <c r="B877" s="26"/>
      <c r="C877" s="26"/>
      <c r="D877" s="27"/>
      <c r="E877" s="27"/>
      <c r="F877" s="26"/>
      <c r="G877" s="28"/>
      <c r="H877" s="28"/>
      <c r="I877" s="28"/>
      <c r="J877" s="28"/>
      <c r="K877" s="28"/>
      <c r="L877" s="28"/>
      <c r="M877" s="28"/>
      <c r="N877" s="26"/>
      <c r="O877" s="29"/>
      <c r="P877" s="27"/>
      <c r="Q877" s="26"/>
      <c r="R877" s="29"/>
      <c r="S877" s="28"/>
      <c r="T877" s="29"/>
      <c r="U877" s="28"/>
      <c r="V877" s="28"/>
      <c r="W877" s="28"/>
      <c r="X877" s="28"/>
      <c r="Y877" s="26"/>
      <c r="Z877" s="29"/>
      <c r="AA877" s="28"/>
      <c r="AB877" s="26"/>
      <c r="AC877" s="29"/>
      <c r="AD877" s="25"/>
      <c r="AE877" s="29"/>
      <c r="AF877" s="25"/>
      <c r="AG877" s="25"/>
      <c r="AH877" s="25"/>
      <c r="AI877" s="25"/>
      <c r="AJ877" s="26"/>
      <c r="AK877" s="29"/>
      <c r="AL877" s="28"/>
      <c r="AM877" s="26"/>
      <c r="AN877" s="29"/>
      <c r="AO877" s="25"/>
      <c r="AP877" s="29"/>
      <c r="AQ877" s="25"/>
      <c r="AR877" s="25"/>
      <c r="AS877" s="25"/>
      <c r="AT877" s="25"/>
      <c r="AU877" s="26"/>
      <c r="AV877" s="26"/>
      <c r="AW877" s="26"/>
      <c r="AX877" s="26"/>
      <c r="AY877" s="26"/>
      <c r="AZ877" s="26"/>
      <c r="BA877" s="26"/>
    </row>
    <row r="878">
      <c r="A878" s="26"/>
      <c r="B878" s="26"/>
      <c r="C878" s="26"/>
      <c r="D878" s="27"/>
      <c r="E878" s="27"/>
      <c r="F878" s="26"/>
      <c r="G878" s="28"/>
      <c r="H878" s="28"/>
      <c r="I878" s="28"/>
      <c r="J878" s="28"/>
      <c r="K878" s="28"/>
      <c r="L878" s="28"/>
      <c r="M878" s="28"/>
      <c r="N878" s="26"/>
      <c r="O878" s="29"/>
      <c r="P878" s="27"/>
      <c r="Q878" s="26"/>
      <c r="R878" s="29"/>
      <c r="S878" s="28"/>
      <c r="T878" s="29"/>
      <c r="U878" s="28"/>
      <c r="V878" s="28"/>
      <c r="W878" s="28"/>
      <c r="X878" s="28"/>
      <c r="Y878" s="26"/>
      <c r="Z878" s="29"/>
      <c r="AA878" s="28"/>
      <c r="AB878" s="26"/>
      <c r="AC878" s="29"/>
      <c r="AD878" s="25"/>
      <c r="AE878" s="29"/>
      <c r="AF878" s="25"/>
      <c r="AG878" s="25"/>
      <c r="AH878" s="25"/>
      <c r="AI878" s="25"/>
      <c r="AJ878" s="26"/>
      <c r="AK878" s="29"/>
      <c r="AL878" s="28"/>
      <c r="AM878" s="26"/>
      <c r="AN878" s="29"/>
      <c r="AO878" s="25"/>
      <c r="AP878" s="29"/>
      <c r="AQ878" s="25"/>
      <c r="AR878" s="25"/>
      <c r="AS878" s="25"/>
      <c r="AT878" s="25"/>
      <c r="AU878" s="26"/>
      <c r="AV878" s="26"/>
      <c r="AW878" s="26"/>
      <c r="AX878" s="26"/>
      <c r="AY878" s="26"/>
      <c r="AZ878" s="26"/>
      <c r="BA878" s="26"/>
    </row>
    <row r="879">
      <c r="A879" s="26"/>
      <c r="B879" s="26"/>
      <c r="C879" s="26"/>
      <c r="D879" s="27"/>
      <c r="E879" s="27"/>
      <c r="F879" s="26"/>
      <c r="G879" s="28"/>
      <c r="H879" s="28"/>
      <c r="I879" s="28"/>
      <c r="J879" s="28"/>
      <c r="K879" s="28"/>
      <c r="L879" s="28"/>
      <c r="M879" s="28"/>
      <c r="N879" s="26"/>
      <c r="O879" s="29"/>
      <c r="P879" s="27"/>
      <c r="Q879" s="26"/>
      <c r="R879" s="29"/>
      <c r="S879" s="28"/>
      <c r="T879" s="29"/>
      <c r="U879" s="28"/>
      <c r="V879" s="28"/>
      <c r="W879" s="28"/>
      <c r="X879" s="28"/>
      <c r="Y879" s="26"/>
      <c r="Z879" s="29"/>
      <c r="AA879" s="28"/>
      <c r="AB879" s="26"/>
      <c r="AC879" s="29"/>
      <c r="AD879" s="25"/>
      <c r="AE879" s="29"/>
      <c r="AF879" s="25"/>
      <c r="AG879" s="25"/>
      <c r="AH879" s="25"/>
      <c r="AI879" s="25"/>
      <c r="AJ879" s="26"/>
      <c r="AK879" s="29"/>
      <c r="AL879" s="28"/>
      <c r="AM879" s="26"/>
      <c r="AN879" s="29"/>
      <c r="AO879" s="25"/>
      <c r="AP879" s="29"/>
      <c r="AQ879" s="25"/>
      <c r="AR879" s="25"/>
      <c r="AS879" s="25"/>
      <c r="AT879" s="25"/>
      <c r="AU879" s="26"/>
      <c r="AV879" s="26"/>
      <c r="AW879" s="26"/>
      <c r="AX879" s="26"/>
      <c r="AY879" s="26"/>
      <c r="AZ879" s="26"/>
      <c r="BA879" s="26"/>
    </row>
    <row r="880">
      <c r="A880" s="26"/>
      <c r="B880" s="26"/>
      <c r="C880" s="26"/>
      <c r="D880" s="27"/>
      <c r="E880" s="27"/>
      <c r="F880" s="26"/>
      <c r="G880" s="28"/>
      <c r="H880" s="28"/>
      <c r="I880" s="28"/>
      <c r="J880" s="28"/>
      <c r="K880" s="28"/>
      <c r="L880" s="28"/>
      <c r="M880" s="28"/>
      <c r="N880" s="26"/>
      <c r="O880" s="29"/>
      <c r="P880" s="27"/>
      <c r="Q880" s="26"/>
      <c r="R880" s="29"/>
      <c r="S880" s="28"/>
      <c r="T880" s="29"/>
      <c r="U880" s="28"/>
      <c r="V880" s="28"/>
      <c r="W880" s="28"/>
      <c r="X880" s="28"/>
      <c r="Y880" s="26"/>
      <c r="Z880" s="29"/>
      <c r="AA880" s="28"/>
      <c r="AB880" s="26"/>
      <c r="AC880" s="29"/>
      <c r="AD880" s="25"/>
      <c r="AE880" s="29"/>
      <c r="AF880" s="25"/>
      <c r="AG880" s="25"/>
      <c r="AH880" s="25"/>
      <c r="AI880" s="25"/>
      <c r="AJ880" s="26"/>
      <c r="AK880" s="29"/>
      <c r="AL880" s="28"/>
      <c r="AM880" s="26"/>
      <c r="AN880" s="29"/>
      <c r="AO880" s="25"/>
      <c r="AP880" s="29"/>
      <c r="AQ880" s="25"/>
      <c r="AR880" s="25"/>
      <c r="AS880" s="25"/>
      <c r="AT880" s="25"/>
      <c r="AU880" s="26"/>
      <c r="AV880" s="26"/>
      <c r="AW880" s="26"/>
      <c r="AX880" s="26"/>
      <c r="AY880" s="26"/>
      <c r="AZ880" s="26"/>
      <c r="BA880" s="26"/>
    </row>
    <row r="881">
      <c r="A881" s="26"/>
      <c r="B881" s="26"/>
      <c r="C881" s="26"/>
      <c r="D881" s="27"/>
      <c r="E881" s="27"/>
      <c r="F881" s="26"/>
      <c r="G881" s="28"/>
      <c r="H881" s="28"/>
      <c r="I881" s="28"/>
      <c r="J881" s="28"/>
      <c r="K881" s="28"/>
      <c r="L881" s="28"/>
      <c r="M881" s="28"/>
      <c r="N881" s="26"/>
      <c r="O881" s="29"/>
      <c r="P881" s="27"/>
      <c r="Q881" s="26"/>
      <c r="R881" s="29"/>
      <c r="S881" s="28"/>
      <c r="T881" s="29"/>
      <c r="U881" s="28"/>
      <c r="V881" s="28"/>
      <c r="W881" s="28"/>
      <c r="X881" s="28"/>
      <c r="Y881" s="26"/>
      <c r="Z881" s="29"/>
      <c r="AA881" s="28"/>
      <c r="AB881" s="26"/>
      <c r="AC881" s="29"/>
      <c r="AD881" s="25"/>
      <c r="AE881" s="29"/>
      <c r="AF881" s="25"/>
      <c r="AG881" s="25"/>
      <c r="AH881" s="25"/>
      <c r="AI881" s="25"/>
      <c r="AJ881" s="26"/>
      <c r="AK881" s="29"/>
      <c r="AL881" s="28"/>
      <c r="AM881" s="26"/>
      <c r="AN881" s="29"/>
      <c r="AO881" s="25"/>
      <c r="AP881" s="29"/>
      <c r="AQ881" s="25"/>
      <c r="AR881" s="25"/>
      <c r="AS881" s="25"/>
      <c r="AT881" s="25"/>
      <c r="AU881" s="26"/>
      <c r="AV881" s="26"/>
      <c r="AW881" s="26"/>
      <c r="AX881" s="26"/>
      <c r="AY881" s="26"/>
      <c r="AZ881" s="26"/>
      <c r="BA881" s="26"/>
    </row>
    <row r="882">
      <c r="A882" s="26"/>
      <c r="B882" s="26"/>
      <c r="C882" s="26"/>
      <c r="D882" s="27"/>
      <c r="E882" s="27"/>
      <c r="F882" s="26"/>
      <c r="G882" s="28"/>
      <c r="H882" s="28"/>
      <c r="I882" s="28"/>
      <c r="J882" s="28"/>
      <c r="K882" s="28"/>
      <c r="L882" s="28"/>
      <c r="M882" s="28"/>
      <c r="N882" s="26"/>
      <c r="O882" s="29"/>
      <c r="P882" s="27"/>
      <c r="Q882" s="26"/>
      <c r="R882" s="29"/>
      <c r="S882" s="28"/>
      <c r="T882" s="29"/>
      <c r="U882" s="28"/>
      <c r="V882" s="28"/>
      <c r="W882" s="28"/>
      <c r="X882" s="28"/>
      <c r="Y882" s="26"/>
      <c r="Z882" s="29"/>
      <c r="AA882" s="28"/>
      <c r="AB882" s="26"/>
      <c r="AC882" s="29"/>
      <c r="AD882" s="25"/>
      <c r="AE882" s="29"/>
      <c r="AF882" s="25"/>
      <c r="AG882" s="25"/>
      <c r="AH882" s="25"/>
      <c r="AI882" s="25"/>
      <c r="AJ882" s="26"/>
      <c r="AK882" s="29"/>
      <c r="AL882" s="28"/>
      <c r="AM882" s="26"/>
      <c r="AN882" s="29"/>
      <c r="AO882" s="25"/>
      <c r="AP882" s="29"/>
      <c r="AQ882" s="25"/>
      <c r="AR882" s="25"/>
      <c r="AS882" s="25"/>
      <c r="AT882" s="25"/>
      <c r="AU882" s="26"/>
      <c r="AV882" s="26"/>
      <c r="AW882" s="26"/>
      <c r="AX882" s="26"/>
      <c r="AY882" s="26"/>
      <c r="AZ882" s="26"/>
      <c r="BA882" s="26"/>
    </row>
    <row r="883">
      <c r="A883" s="26"/>
      <c r="B883" s="26"/>
      <c r="C883" s="26"/>
      <c r="D883" s="27"/>
      <c r="E883" s="27"/>
      <c r="F883" s="26"/>
      <c r="G883" s="28"/>
      <c r="H883" s="28"/>
      <c r="I883" s="28"/>
      <c r="J883" s="28"/>
      <c r="K883" s="28"/>
      <c r="L883" s="28"/>
      <c r="M883" s="28"/>
      <c r="N883" s="26"/>
      <c r="O883" s="29"/>
      <c r="P883" s="27"/>
      <c r="Q883" s="26"/>
      <c r="R883" s="29"/>
      <c r="S883" s="28"/>
      <c r="T883" s="29"/>
      <c r="U883" s="28"/>
      <c r="V883" s="28"/>
      <c r="W883" s="28"/>
      <c r="X883" s="28"/>
      <c r="Y883" s="26"/>
      <c r="Z883" s="29"/>
      <c r="AA883" s="28"/>
      <c r="AB883" s="26"/>
      <c r="AC883" s="29"/>
      <c r="AD883" s="25"/>
      <c r="AE883" s="29"/>
      <c r="AF883" s="25"/>
      <c r="AG883" s="25"/>
      <c r="AH883" s="25"/>
      <c r="AI883" s="25"/>
      <c r="AJ883" s="26"/>
      <c r="AK883" s="29"/>
      <c r="AL883" s="28"/>
      <c r="AM883" s="26"/>
      <c r="AN883" s="29"/>
      <c r="AO883" s="25"/>
      <c r="AP883" s="29"/>
      <c r="AQ883" s="25"/>
      <c r="AR883" s="25"/>
      <c r="AS883" s="25"/>
      <c r="AT883" s="25"/>
      <c r="AU883" s="26"/>
      <c r="AV883" s="26"/>
      <c r="AW883" s="26"/>
      <c r="AX883" s="26"/>
      <c r="AY883" s="26"/>
      <c r="AZ883" s="26"/>
      <c r="BA883" s="26"/>
    </row>
    <row r="884">
      <c r="A884" s="26"/>
      <c r="B884" s="26"/>
      <c r="C884" s="26"/>
      <c r="D884" s="27"/>
      <c r="E884" s="27"/>
      <c r="F884" s="26"/>
      <c r="G884" s="28"/>
      <c r="H884" s="28"/>
      <c r="I884" s="28"/>
      <c r="J884" s="28"/>
      <c r="K884" s="28"/>
      <c r="L884" s="28"/>
      <c r="M884" s="28"/>
      <c r="N884" s="26"/>
      <c r="O884" s="29"/>
      <c r="P884" s="27"/>
      <c r="Q884" s="26"/>
      <c r="R884" s="29"/>
      <c r="S884" s="28"/>
      <c r="T884" s="29"/>
      <c r="U884" s="28"/>
      <c r="V884" s="28"/>
      <c r="W884" s="28"/>
      <c r="X884" s="28"/>
      <c r="Y884" s="26"/>
      <c r="Z884" s="29"/>
      <c r="AA884" s="28"/>
      <c r="AB884" s="26"/>
      <c r="AC884" s="29"/>
      <c r="AD884" s="25"/>
      <c r="AE884" s="29"/>
      <c r="AF884" s="25"/>
      <c r="AG884" s="25"/>
      <c r="AH884" s="25"/>
      <c r="AI884" s="25"/>
      <c r="AJ884" s="26"/>
      <c r="AK884" s="29"/>
      <c r="AL884" s="28"/>
      <c r="AM884" s="26"/>
      <c r="AN884" s="29"/>
      <c r="AO884" s="25"/>
      <c r="AP884" s="29"/>
      <c r="AQ884" s="25"/>
      <c r="AR884" s="25"/>
      <c r="AS884" s="25"/>
      <c r="AT884" s="25"/>
      <c r="AU884" s="26"/>
      <c r="AV884" s="26"/>
      <c r="AW884" s="26"/>
      <c r="AX884" s="26"/>
      <c r="AY884" s="26"/>
      <c r="AZ884" s="26"/>
      <c r="BA884" s="26"/>
    </row>
    <row r="885">
      <c r="A885" s="26"/>
      <c r="B885" s="26"/>
      <c r="C885" s="26"/>
      <c r="D885" s="27"/>
      <c r="E885" s="27"/>
      <c r="F885" s="26"/>
      <c r="G885" s="28"/>
      <c r="H885" s="28"/>
      <c r="I885" s="28"/>
      <c r="J885" s="28"/>
      <c r="K885" s="28"/>
      <c r="L885" s="28"/>
      <c r="M885" s="28"/>
      <c r="N885" s="26"/>
      <c r="O885" s="29"/>
      <c r="P885" s="27"/>
      <c r="Q885" s="26"/>
      <c r="R885" s="29"/>
      <c r="S885" s="28"/>
      <c r="T885" s="29"/>
      <c r="U885" s="28"/>
      <c r="V885" s="28"/>
      <c r="W885" s="28"/>
      <c r="X885" s="28"/>
      <c r="Y885" s="26"/>
      <c r="Z885" s="29"/>
      <c r="AA885" s="28"/>
      <c r="AB885" s="26"/>
      <c r="AC885" s="29"/>
      <c r="AD885" s="25"/>
      <c r="AE885" s="29"/>
      <c r="AF885" s="25"/>
      <c r="AG885" s="25"/>
      <c r="AH885" s="25"/>
      <c r="AI885" s="25"/>
      <c r="AJ885" s="26"/>
      <c r="AK885" s="29"/>
      <c r="AL885" s="28"/>
      <c r="AM885" s="26"/>
      <c r="AN885" s="29"/>
      <c r="AO885" s="25"/>
      <c r="AP885" s="29"/>
      <c r="AQ885" s="25"/>
      <c r="AR885" s="25"/>
      <c r="AS885" s="25"/>
      <c r="AT885" s="25"/>
      <c r="AU885" s="26"/>
      <c r="AV885" s="26"/>
      <c r="AW885" s="26"/>
      <c r="AX885" s="26"/>
      <c r="AY885" s="26"/>
      <c r="AZ885" s="26"/>
      <c r="BA885" s="26"/>
    </row>
    <row r="886">
      <c r="A886" s="26"/>
      <c r="B886" s="26"/>
      <c r="C886" s="26"/>
      <c r="D886" s="27"/>
      <c r="E886" s="27"/>
      <c r="F886" s="26"/>
      <c r="G886" s="28"/>
      <c r="H886" s="28"/>
      <c r="I886" s="28"/>
      <c r="J886" s="28"/>
      <c r="K886" s="28"/>
      <c r="L886" s="28"/>
      <c r="M886" s="28"/>
      <c r="N886" s="26"/>
      <c r="O886" s="29"/>
      <c r="P886" s="27"/>
      <c r="Q886" s="26"/>
      <c r="R886" s="29"/>
      <c r="S886" s="28"/>
      <c r="T886" s="29"/>
      <c r="U886" s="28"/>
      <c r="V886" s="28"/>
      <c r="W886" s="28"/>
      <c r="X886" s="28"/>
      <c r="Y886" s="26"/>
      <c r="Z886" s="29"/>
      <c r="AA886" s="28"/>
      <c r="AB886" s="26"/>
      <c r="AC886" s="29"/>
      <c r="AD886" s="25"/>
      <c r="AE886" s="29"/>
      <c r="AF886" s="25"/>
      <c r="AG886" s="25"/>
      <c r="AH886" s="25"/>
      <c r="AI886" s="25"/>
      <c r="AJ886" s="26"/>
      <c r="AK886" s="29"/>
      <c r="AL886" s="28"/>
      <c r="AM886" s="26"/>
      <c r="AN886" s="29"/>
      <c r="AO886" s="25"/>
      <c r="AP886" s="29"/>
      <c r="AQ886" s="25"/>
      <c r="AR886" s="25"/>
      <c r="AS886" s="25"/>
      <c r="AT886" s="25"/>
      <c r="AU886" s="26"/>
      <c r="AV886" s="26"/>
      <c r="AW886" s="26"/>
      <c r="AX886" s="26"/>
      <c r="AY886" s="26"/>
      <c r="AZ886" s="26"/>
      <c r="BA886" s="26"/>
    </row>
    <row r="887">
      <c r="A887" s="26"/>
      <c r="B887" s="26"/>
      <c r="C887" s="26"/>
      <c r="D887" s="27"/>
      <c r="E887" s="27"/>
      <c r="F887" s="26"/>
      <c r="G887" s="28"/>
      <c r="H887" s="28"/>
      <c r="I887" s="28"/>
      <c r="J887" s="28"/>
      <c r="K887" s="28"/>
      <c r="L887" s="28"/>
      <c r="M887" s="28"/>
      <c r="N887" s="26"/>
      <c r="O887" s="29"/>
      <c r="P887" s="27"/>
      <c r="Q887" s="26"/>
      <c r="R887" s="29"/>
      <c r="S887" s="28"/>
      <c r="T887" s="29"/>
      <c r="U887" s="28"/>
      <c r="V887" s="28"/>
      <c r="W887" s="28"/>
      <c r="X887" s="28"/>
      <c r="Y887" s="26"/>
      <c r="Z887" s="29"/>
      <c r="AA887" s="28"/>
      <c r="AB887" s="26"/>
      <c r="AC887" s="29"/>
      <c r="AD887" s="25"/>
      <c r="AE887" s="29"/>
      <c r="AF887" s="25"/>
      <c r="AG887" s="25"/>
      <c r="AH887" s="25"/>
      <c r="AI887" s="25"/>
      <c r="AJ887" s="26"/>
      <c r="AK887" s="29"/>
      <c r="AL887" s="28"/>
      <c r="AM887" s="26"/>
      <c r="AN887" s="29"/>
      <c r="AO887" s="25"/>
      <c r="AP887" s="29"/>
      <c r="AQ887" s="25"/>
      <c r="AR887" s="25"/>
      <c r="AS887" s="25"/>
      <c r="AT887" s="25"/>
      <c r="AU887" s="26"/>
      <c r="AV887" s="26"/>
      <c r="AW887" s="26"/>
      <c r="AX887" s="26"/>
      <c r="AY887" s="26"/>
      <c r="AZ887" s="26"/>
      <c r="BA887" s="26"/>
    </row>
    <row r="888">
      <c r="A888" s="26"/>
      <c r="B888" s="26"/>
      <c r="C888" s="26"/>
      <c r="D888" s="27"/>
      <c r="E888" s="27"/>
      <c r="F888" s="26"/>
      <c r="G888" s="28"/>
      <c r="H888" s="28"/>
      <c r="I888" s="28"/>
      <c r="J888" s="28"/>
      <c r="K888" s="28"/>
      <c r="L888" s="28"/>
      <c r="M888" s="28"/>
      <c r="N888" s="26"/>
      <c r="O888" s="29"/>
      <c r="P888" s="27"/>
      <c r="Q888" s="26"/>
      <c r="R888" s="29"/>
      <c r="S888" s="28"/>
      <c r="T888" s="29"/>
      <c r="U888" s="28"/>
      <c r="V888" s="28"/>
      <c r="W888" s="28"/>
      <c r="X888" s="28"/>
      <c r="Y888" s="26"/>
      <c r="Z888" s="29"/>
      <c r="AA888" s="28"/>
      <c r="AB888" s="26"/>
      <c r="AC888" s="29"/>
      <c r="AD888" s="25"/>
      <c r="AE888" s="29"/>
      <c r="AF888" s="25"/>
      <c r="AG888" s="25"/>
      <c r="AH888" s="25"/>
      <c r="AI888" s="25"/>
      <c r="AJ888" s="26"/>
      <c r="AK888" s="29"/>
      <c r="AL888" s="28"/>
      <c r="AM888" s="26"/>
      <c r="AN888" s="29"/>
      <c r="AO888" s="25"/>
      <c r="AP888" s="29"/>
      <c r="AQ888" s="25"/>
      <c r="AR888" s="25"/>
      <c r="AS888" s="25"/>
      <c r="AT888" s="25"/>
      <c r="AU888" s="26"/>
      <c r="AV888" s="26"/>
      <c r="AW888" s="26"/>
      <c r="AX888" s="26"/>
      <c r="AY888" s="26"/>
      <c r="AZ888" s="26"/>
      <c r="BA888" s="26"/>
    </row>
    <row r="889">
      <c r="A889" s="26"/>
      <c r="B889" s="26"/>
      <c r="C889" s="26"/>
      <c r="D889" s="27"/>
      <c r="E889" s="27"/>
      <c r="F889" s="26"/>
      <c r="G889" s="28"/>
      <c r="H889" s="28"/>
      <c r="I889" s="28"/>
      <c r="J889" s="28"/>
      <c r="K889" s="28"/>
      <c r="L889" s="28"/>
      <c r="M889" s="28"/>
      <c r="N889" s="26"/>
      <c r="O889" s="29"/>
      <c r="P889" s="27"/>
      <c r="Q889" s="26"/>
      <c r="R889" s="29"/>
      <c r="S889" s="28"/>
      <c r="T889" s="29"/>
      <c r="U889" s="28"/>
      <c r="V889" s="28"/>
      <c r="W889" s="28"/>
      <c r="X889" s="28"/>
      <c r="Y889" s="26"/>
      <c r="Z889" s="29"/>
      <c r="AA889" s="28"/>
      <c r="AB889" s="26"/>
      <c r="AC889" s="29"/>
      <c r="AD889" s="25"/>
      <c r="AE889" s="29"/>
      <c r="AF889" s="25"/>
      <c r="AG889" s="25"/>
      <c r="AH889" s="25"/>
      <c r="AI889" s="25"/>
      <c r="AJ889" s="26"/>
      <c r="AK889" s="29"/>
      <c r="AL889" s="28"/>
      <c r="AM889" s="26"/>
      <c r="AN889" s="29"/>
      <c r="AO889" s="25"/>
      <c r="AP889" s="29"/>
      <c r="AQ889" s="25"/>
      <c r="AR889" s="25"/>
      <c r="AS889" s="25"/>
      <c r="AT889" s="25"/>
      <c r="AU889" s="26"/>
      <c r="AV889" s="26"/>
      <c r="AW889" s="26"/>
      <c r="AX889" s="26"/>
      <c r="AY889" s="26"/>
      <c r="AZ889" s="26"/>
      <c r="BA889" s="26"/>
    </row>
    <row r="890">
      <c r="A890" s="26"/>
      <c r="B890" s="26"/>
      <c r="C890" s="26"/>
      <c r="D890" s="27"/>
      <c r="E890" s="27"/>
      <c r="F890" s="26"/>
      <c r="G890" s="28"/>
      <c r="H890" s="28"/>
      <c r="I890" s="28"/>
      <c r="J890" s="28"/>
      <c r="K890" s="28"/>
      <c r="L890" s="28"/>
      <c r="M890" s="28"/>
      <c r="N890" s="26"/>
      <c r="O890" s="29"/>
      <c r="P890" s="27"/>
      <c r="Q890" s="26"/>
      <c r="R890" s="29"/>
      <c r="S890" s="28"/>
      <c r="T890" s="29"/>
      <c r="U890" s="28"/>
      <c r="V890" s="28"/>
      <c r="W890" s="28"/>
      <c r="X890" s="28"/>
      <c r="Y890" s="26"/>
      <c r="Z890" s="29"/>
      <c r="AA890" s="28"/>
      <c r="AB890" s="26"/>
      <c r="AC890" s="29"/>
      <c r="AD890" s="25"/>
      <c r="AE890" s="29"/>
      <c r="AF890" s="25"/>
      <c r="AG890" s="25"/>
      <c r="AH890" s="25"/>
      <c r="AI890" s="25"/>
      <c r="AJ890" s="26"/>
      <c r="AK890" s="29"/>
      <c r="AL890" s="28"/>
      <c r="AM890" s="26"/>
      <c r="AN890" s="29"/>
      <c r="AO890" s="25"/>
      <c r="AP890" s="29"/>
      <c r="AQ890" s="25"/>
      <c r="AR890" s="25"/>
      <c r="AS890" s="25"/>
      <c r="AT890" s="25"/>
      <c r="AU890" s="26"/>
      <c r="AV890" s="26"/>
      <c r="AW890" s="26"/>
      <c r="AX890" s="26"/>
      <c r="AY890" s="26"/>
      <c r="AZ890" s="26"/>
      <c r="BA890" s="26"/>
    </row>
    <row r="891">
      <c r="A891" s="26"/>
      <c r="B891" s="26"/>
      <c r="C891" s="26"/>
      <c r="D891" s="27"/>
      <c r="E891" s="27"/>
      <c r="F891" s="26"/>
      <c r="G891" s="28"/>
      <c r="H891" s="28"/>
      <c r="I891" s="28"/>
      <c r="J891" s="28"/>
      <c r="K891" s="28"/>
      <c r="L891" s="28"/>
      <c r="M891" s="28"/>
      <c r="N891" s="26"/>
      <c r="O891" s="29"/>
      <c r="P891" s="27"/>
      <c r="Q891" s="26"/>
      <c r="R891" s="29"/>
      <c r="S891" s="28"/>
      <c r="T891" s="29"/>
      <c r="U891" s="28"/>
      <c r="V891" s="28"/>
      <c r="W891" s="28"/>
      <c r="X891" s="28"/>
      <c r="Y891" s="26"/>
      <c r="Z891" s="29"/>
      <c r="AA891" s="28"/>
      <c r="AB891" s="26"/>
      <c r="AC891" s="29"/>
      <c r="AD891" s="25"/>
      <c r="AE891" s="29"/>
      <c r="AF891" s="25"/>
      <c r="AG891" s="25"/>
      <c r="AH891" s="25"/>
      <c r="AI891" s="25"/>
      <c r="AJ891" s="26"/>
      <c r="AK891" s="29"/>
      <c r="AL891" s="28"/>
      <c r="AM891" s="26"/>
      <c r="AN891" s="29"/>
      <c r="AO891" s="25"/>
      <c r="AP891" s="29"/>
      <c r="AQ891" s="25"/>
      <c r="AR891" s="25"/>
      <c r="AS891" s="25"/>
      <c r="AT891" s="25"/>
      <c r="AU891" s="26"/>
      <c r="AV891" s="26"/>
      <c r="AW891" s="26"/>
      <c r="AX891" s="26"/>
      <c r="AY891" s="26"/>
      <c r="AZ891" s="26"/>
      <c r="BA891" s="26"/>
    </row>
    <row r="892">
      <c r="A892" s="26"/>
      <c r="B892" s="26"/>
      <c r="C892" s="26"/>
      <c r="D892" s="27"/>
      <c r="E892" s="27"/>
      <c r="F892" s="26"/>
      <c r="G892" s="28"/>
      <c r="H892" s="28"/>
      <c r="I892" s="28"/>
      <c r="J892" s="28"/>
      <c r="K892" s="28"/>
      <c r="L892" s="28"/>
      <c r="M892" s="28"/>
      <c r="N892" s="26"/>
      <c r="O892" s="29"/>
      <c r="P892" s="27"/>
      <c r="Q892" s="26"/>
      <c r="R892" s="29"/>
      <c r="S892" s="28"/>
      <c r="T892" s="29"/>
      <c r="U892" s="28"/>
      <c r="V892" s="28"/>
      <c r="W892" s="28"/>
      <c r="X892" s="28"/>
      <c r="Y892" s="26"/>
      <c r="Z892" s="29"/>
      <c r="AA892" s="28"/>
      <c r="AB892" s="26"/>
      <c r="AC892" s="29"/>
      <c r="AD892" s="25"/>
      <c r="AE892" s="29"/>
      <c r="AF892" s="25"/>
      <c r="AG892" s="25"/>
      <c r="AH892" s="25"/>
      <c r="AI892" s="25"/>
      <c r="AJ892" s="26"/>
      <c r="AK892" s="29"/>
      <c r="AL892" s="28"/>
      <c r="AM892" s="26"/>
      <c r="AN892" s="29"/>
      <c r="AO892" s="25"/>
      <c r="AP892" s="29"/>
      <c r="AQ892" s="25"/>
      <c r="AR892" s="25"/>
      <c r="AS892" s="25"/>
      <c r="AT892" s="25"/>
      <c r="AU892" s="26"/>
      <c r="AV892" s="26"/>
      <c r="AW892" s="26"/>
      <c r="AX892" s="26"/>
      <c r="AY892" s="26"/>
      <c r="AZ892" s="26"/>
      <c r="BA892" s="26"/>
    </row>
    <row r="893">
      <c r="A893" s="26"/>
      <c r="B893" s="26"/>
      <c r="C893" s="26"/>
      <c r="D893" s="27"/>
      <c r="E893" s="27"/>
      <c r="F893" s="26"/>
      <c r="G893" s="28"/>
      <c r="H893" s="28"/>
      <c r="I893" s="28"/>
      <c r="J893" s="28"/>
      <c r="K893" s="28"/>
      <c r="L893" s="28"/>
      <c r="M893" s="28"/>
      <c r="N893" s="26"/>
      <c r="O893" s="29"/>
      <c r="P893" s="27"/>
      <c r="Q893" s="26"/>
      <c r="R893" s="29"/>
      <c r="S893" s="28"/>
      <c r="T893" s="29"/>
      <c r="U893" s="28"/>
      <c r="V893" s="28"/>
      <c r="W893" s="28"/>
      <c r="X893" s="28"/>
      <c r="Y893" s="26"/>
      <c r="Z893" s="29"/>
      <c r="AA893" s="28"/>
      <c r="AB893" s="26"/>
      <c r="AC893" s="29"/>
      <c r="AD893" s="25"/>
      <c r="AE893" s="29"/>
      <c r="AF893" s="25"/>
      <c r="AG893" s="25"/>
      <c r="AH893" s="25"/>
      <c r="AI893" s="25"/>
      <c r="AJ893" s="26"/>
      <c r="AK893" s="29"/>
      <c r="AL893" s="28"/>
      <c r="AM893" s="26"/>
      <c r="AN893" s="29"/>
      <c r="AO893" s="25"/>
      <c r="AP893" s="29"/>
      <c r="AQ893" s="25"/>
      <c r="AR893" s="25"/>
      <c r="AS893" s="25"/>
      <c r="AT893" s="25"/>
      <c r="AU893" s="26"/>
      <c r="AV893" s="26"/>
      <c r="AW893" s="26"/>
      <c r="AX893" s="26"/>
      <c r="AY893" s="26"/>
      <c r="AZ893" s="26"/>
      <c r="BA893" s="26"/>
    </row>
    <row r="894">
      <c r="A894" s="26"/>
      <c r="B894" s="26"/>
      <c r="C894" s="26"/>
      <c r="D894" s="27"/>
      <c r="E894" s="27"/>
      <c r="F894" s="26"/>
      <c r="G894" s="28"/>
      <c r="H894" s="28"/>
      <c r="I894" s="28"/>
      <c r="J894" s="28"/>
      <c r="K894" s="28"/>
      <c r="L894" s="28"/>
      <c r="M894" s="28"/>
      <c r="N894" s="26"/>
      <c r="O894" s="29"/>
      <c r="P894" s="27"/>
      <c r="Q894" s="26"/>
      <c r="R894" s="29"/>
      <c r="S894" s="28"/>
      <c r="T894" s="29"/>
      <c r="U894" s="28"/>
      <c r="V894" s="28"/>
      <c r="W894" s="28"/>
      <c r="X894" s="28"/>
      <c r="Y894" s="26"/>
      <c r="Z894" s="29"/>
      <c r="AA894" s="28"/>
      <c r="AB894" s="26"/>
      <c r="AC894" s="29"/>
      <c r="AD894" s="25"/>
      <c r="AE894" s="29"/>
      <c r="AF894" s="25"/>
      <c r="AG894" s="25"/>
      <c r="AH894" s="25"/>
      <c r="AI894" s="25"/>
      <c r="AJ894" s="26"/>
      <c r="AK894" s="29"/>
      <c r="AL894" s="28"/>
      <c r="AM894" s="26"/>
      <c r="AN894" s="29"/>
      <c r="AO894" s="25"/>
      <c r="AP894" s="29"/>
      <c r="AQ894" s="25"/>
      <c r="AR894" s="25"/>
      <c r="AS894" s="25"/>
      <c r="AT894" s="25"/>
      <c r="AU894" s="26"/>
      <c r="AV894" s="26"/>
      <c r="AW894" s="26"/>
      <c r="AX894" s="26"/>
      <c r="AY894" s="26"/>
      <c r="AZ894" s="26"/>
      <c r="BA894" s="26"/>
    </row>
    <row r="895">
      <c r="A895" s="26"/>
      <c r="B895" s="26"/>
      <c r="C895" s="26"/>
      <c r="D895" s="27"/>
      <c r="E895" s="27"/>
      <c r="F895" s="26"/>
      <c r="G895" s="28"/>
      <c r="H895" s="28"/>
      <c r="I895" s="28"/>
      <c r="J895" s="28"/>
      <c r="K895" s="28"/>
      <c r="L895" s="28"/>
      <c r="M895" s="28"/>
      <c r="N895" s="26"/>
      <c r="O895" s="29"/>
      <c r="P895" s="27"/>
      <c r="Q895" s="26"/>
      <c r="R895" s="29"/>
      <c r="S895" s="28"/>
      <c r="T895" s="29"/>
      <c r="U895" s="28"/>
      <c r="V895" s="28"/>
      <c r="W895" s="28"/>
      <c r="X895" s="28"/>
      <c r="Y895" s="26"/>
      <c r="Z895" s="29"/>
      <c r="AA895" s="28"/>
      <c r="AB895" s="26"/>
      <c r="AC895" s="29"/>
      <c r="AD895" s="25"/>
      <c r="AE895" s="29"/>
      <c r="AF895" s="25"/>
      <c r="AG895" s="25"/>
      <c r="AH895" s="25"/>
      <c r="AI895" s="25"/>
      <c r="AJ895" s="26"/>
      <c r="AK895" s="29"/>
      <c r="AL895" s="28"/>
      <c r="AM895" s="26"/>
      <c r="AN895" s="29"/>
      <c r="AO895" s="25"/>
      <c r="AP895" s="29"/>
      <c r="AQ895" s="25"/>
      <c r="AR895" s="25"/>
      <c r="AS895" s="25"/>
      <c r="AT895" s="25"/>
      <c r="AU895" s="26"/>
      <c r="AV895" s="26"/>
      <c r="AW895" s="26"/>
      <c r="AX895" s="26"/>
      <c r="AY895" s="26"/>
      <c r="AZ895" s="26"/>
      <c r="BA895" s="26"/>
    </row>
    <row r="896">
      <c r="A896" s="26"/>
      <c r="B896" s="26"/>
      <c r="C896" s="26"/>
      <c r="D896" s="27"/>
      <c r="E896" s="27"/>
      <c r="F896" s="26"/>
      <c r="G896" s="28"/>
      <c r="H896" s="28"/>
      <c r="I896" s="28"/>
      <c r="J896" s="28"/>
      <c r="K896" s="28"/>
      <c r="L896" s="28"/>
      <c r="M896" s="28"/>
      <c r="N896" s="26"/>
      <c r="O896" s="29"/>
      <c r="P896" s="27"/>
      <c r="Q896" s="26"/>
      <c r="R896" s="29"/>
      <c r="S896" s="28"/>
      <c r="T896" s="29"/>
      <c r="U896" s="28"/>
      <c r="V896" s="28"/>
      <c r="W896" s="28"/>
      <c r="X896" s="28"/>
      <c r="Y896" s="26"/>
      <c r="Z896" s="29"/>
      <c r="AA896" s="28"/>
      <c r="AB896" s="26"/>
      <c r="AC896" s="29"/>
      <c r="AD896" s="25"/>
      <c r="AE896" s="29"/>
      <c r="AF896" s="25"/>
      <c r="AG896" s="25"/>
      <c r="AH896" s="25"/>
      <c r="AI896" s="25"/>
      <c r="AJ896" s="26"/>
      <c r="AK896" s="29"/>
      <c r="AL896" s="28"/>
      <c r="AM896" s="26"/>
      <c r="AN896" s="29"/>
      <c r="AO896" s="25"/>
      <c r="AP896" s="29"/>
      <c r="AQ896" s="25"/>
      <c r="AR896" s="25"/>
      <c r="AS896" s="25"/>
      <c r="AT896" s="25"/>
      <c r="AU896" s="26"/>
      <c r="AV896" s="26"/>
      <c r="AW896" s="26"/>
      <c r="AX896" s="26"/>
      <c r="AY896" s="26"/>
      <c r="AZ896" s="26"/>
      <c r="BA896" s="26"/>
    </row>
    <row r="897">
      <c r="A897" s="26"/>
      <c r="B897" s="26"/>
      <c r="C897" s="26"/>
      <c r="D897" s="27"/>
      <c r="E897" s="27"/>
      <c r="F897" s="26"/>
      <c r="G897" s="28"/>
      <c r="H897" s="28"/>
      <c r="I897" s="28"/>
      <c r="J897" s="28"/>
      <c r="K897" s="28"/>
      <c r="L897" s="28"/>
      <c r="M897" s="28"/>
      <c r="N897" s="26"/>
      <c r="O897" s="29"/>
      <c r="P897" s="27"/>
      <c r="Q897" s="26"/>
      <c r="R897" s="29"/>
      <c r="S897" s="28"/>
      <c r="T897" s="29"/>
      <c r="U897" s="28"/>
      <c r="V897" s="28"/>
      <c r="W897" s="28"/>
      <c r="X897" s="28"/>
      <c r="Y897" s="26"/>
      <c r="Z897" s="29"/>
      <c r="AA897" s="28"/>
      <c r="AB897" s="26"/>
      <c r="AC897" s="29"/>
      <c r="AD897" s="25"/>
      <c r="AE897" s="29"/>
      <c r="AF897" s="25"/>
      <c r="AG897" s="25"/>
      <c r="AH897" s="25"/>
      <c r="AI897" s="25"/>
      <c r="AJ897" s="26"/>
      <c r="AK897" s="29"/>
      <c r="AL897" s="28"/>
      <c r="AM897" s="26"/>
      <c r="AN897" s="29"/>
      <c r="AO897" s="25"/>
      <c r="AP897" s="29"/>
      <c r="AQ897" s="25"/>
      <c r="AR897" s="25"/>
      <c r="AS897" s="25"/>
      <c r="AT897" s="25"/>
      <c r="AU897" s="26"/>
      <c r="AV897" s="26"/>
      <c r="AW897" s="26"/>
      <c r="AX897" s="26"/>
      <c r="AY897" s="26"/>
      <c r="AZ897" s="26"/>
      <c r="BA897" s="26"/>
    </row>
    <row r="898">
      <c r="A898" s="26"/>
      <c r="B898" s="26"/>
      <c r="C898" s="26"/>
      <c r="D898" s="27"/>
      <c r="E898" s="27"/>
      <c r="F898" s="26"/>
      <c r="G898" s="28"/>
      <c r="H898" s="28"/>
      <c r="I898" s="28"/>
      <c r="J898" s="28"/>
      <c r="K898" s="28"/>
      <c r="L898" s="28"/>
      <c r="M898" s="28"/>
      <c r="N898" s="26"/>
      <c r="O898" s="29"/>
      <c r="P898" s="27"/>
      <c r="Q898" s="26"/>
      <c r="R898" s="29"/>
      <c r="S898" s="28"/>
      <c r="T898" s="29"/>
      <c r="U898" s="28"/>
      <c r="V898" s="28"/>
      <c r="W898" s="28"/>
      <c r="X898" s="28"/>
      <c r="Y898" s="26"/>
      <c r="Z898" s="29"/>
      <c r="AA898" s="28"/>
      <c r="AB898" s="26"/>
      <c r="AC898" s="29"/>
      <c r="AD898" s="25"/>
      <c r="AE898" s="29"/>
      <c r="AF898" s="25"/>
      <c r="AG898" s="25"/>
      <c r="AH898" s="25"/>
      <c r="AI898" s="25"/>
      <c r="AJ898" s="26"/>
      <c r="AK898" s="29"/>
      <c r="AL898" s="28"/>
      <c r="AM898" s="26"/>
      <c r="AN898" s="29"/>
      <c r="AO898" s="25"/>
      <c r="AP898" s="29"/>
      <c r="AQ898" s="25"/>
      <c r="AR898" s="25"/>
      <c r="AS898" s="25"/>
      <c r="AT898" s="25"/>
      <c r="AU898" s="26"/>
      <c r="AV898" s="26"/>
      <c r="AW898" s="26"/>
      <c r="AX898" s="26"/>
      <c r="AY898" s="26"/>
      <c r="AZ898" s="26"/>
      <c r="BA898" s="26"/>
    </row>
    <row r="899">
      <c r="A899" s="26"/>
      <c r="B899" s="26"/>
      <c r="C899" s="26"/>
      <c r="D899" s="27"/>
      <c r="E899" s="27"/>
      <c r="F899" s="26"/>
      <c r="G899" s="28"/>
      <c r="H899" s="28"/>
      <c r="I899" s="28"/>
      <c r="J899" s="28"/>
      <c r="K899" s="28"/>
      <c r="L899" s="28"/>
      <c r="M899" s="28"/>
      <c r="N899" s="26"/>
      <c r="O899" s="29"/>
      <c r="P899" s="27"/>
      <c r="Q899" s="26"/>
      <c r="R899" s="29"/>
      <c r="S899" s="28"/>
      <c r="T899" s="29"/>
      <c r="U899" s="28"/>
      <c r="V899" s="28"/>
      <c r="W899" s="28"/>
      <c r="X899" s="28"/>
      <c r="Y899" s="26"/>
      <c r="Z899" s="29"/>
      <c r="AA899" s="28"/>
      <c r="AB899" s="26"/>
      <c r="AC899" s="29"/>
      <c r="AD899" s="25"/>
      <c r="AE899" s="29"/>
      <c r="AF899" s="25"/>
      <c r="AG899" s="25"/>
      <c r="AH899" s="25"/>
      <c r="AI899" s="25"/>
      <c r="AJ899" s="26"/>
      <c r="AK899" s="29"/>
      <c r="AL899" s="28"/>
      <c r="AM899" s="26"/>
      <c r="AN899" s="29"/>
      <c r="AO899" s="25"/>
      <c r="AP899" s="29"/>
      <c r="AQ899" s="25"/>
      <c r="AR899" s="25"/>
      <c r="AS899" s="25"/>
      <c r="AT899" s="25"/>
      <c r="AU899" s="26"/>
      <c r="AV899" s="26"/>
      <c r="AW899" s="26"/>
      <c r="AX899" s="26"/>
      <c r="AY899" s="26"/>
      <c r="AZ899" s="26"/>
      <c r="BA899" s="26"/>
    </row>
    <row r="900">
      <c r="A900" s="26"/>
      <c r="B900" s="26"/>
      <c r="C900" s="26"/>
      <c r="D900" s="27"/>
      <c r="E900" s="27"/>
      <c r="F900" s="26"/>
      <c r="G900" s="28"/>
      <c r="H900" s="28"/>
      <c r="I900" s="28"/>
      <c r="J900" s="28"/>
      <c r="K900" s="28"/>
      <c r="L900" s="28"/>
      <c r="M900" s="28"/>
      <c r="N900" s="26"/>
      <c r="O900" s="29"/>
      <c r="P900" s="27"/>
      <c r="Q900" s="26"/>
      <c r="R900" s="29"/>
      <c r="S900" s="28"/>
      <c r="T900" s="29"/>
      <c r="U900" s="28"/>
      <c r="V900" s="28"/>
      <c r="W900" s="28"/>
      <c r="X900" s="28"/>
      <c r="Y900" s="26"/>
      <c r="Z900" s="29"/>
      <c r="AA900" s="28"/>
      <c r="AB900" s="26"/>
      <c r="AC900" s="29"/>
      <c r="AD900" s="25"/>
      <c r="AE900" s="29"/>
      <c r="AF900" s="25"/>
      <c r="AG900" s="25"/>
      <c r="AH900" s="25"/>
      <c r="AI900" s="25"/>
      <c r="AJ900" s="26"/>
      <c r="AK900" s="29"/>
      <c r="AL900" s="28"/>
      <c r="AM900" s="26"/>
      <c r="AN900" s="29"/>
      <c r="AO900" s="25"/>
      <c r="AP900" s="29"/>
      <c r="AQ900" s="25"/>
      <c r="AR900" s="25"/>
      <c r="AS900" s="25"/>
      <c r="AT900" s="25"/>
      <c r="AU900" s="26"/>
      <c r="AV900" s="26"/>
      <c r="AW900" s="26"/>
      <c r="AX900" s="26"/>
      <c r="AY900" s="26"/>
      <c r="AZ900" s="26"/>
      <c r="BA900" s="26"/>
    </row>
    <row r="901">
      <c r="A901" s="26"/>
      <c r="B901" s="26"/>
      <c r="C901" s="26"/>
      <c r="D901" s="27"/>
      <c r="E901" s="27"/>
      <c r="F901" s="26"/>
      <c r="G901" s="28"/>
      <c r="H901" s="28"/>
      <c r="I901" s="28"/>
      <c r="J901" s="28"/>
      <c r="K901" s="28"/>
      <c r="L901" s="28"/>
      <c r="M901" s="28"/>
      <c r="N901" s="26"/>
      <c r="O901" s="29"/>
      <c r="P901" s="27"/>
      <c r="Q901" s="26"/>
      <c r="R901" s="29"/>
      <c r="S901" s="28"/>
      <c r="T901" s="29"/>
      <c r="U901" s="28"/>
      <c r="V901" s="28"/>
      <c r="W901" s="28"/>
      <c r="X901" s="28"/>
      <c r="Y901" s="26"/>
      <c r="Z901" s="29"/>
      <c r="AA901" s="28"/>
      <c r="AB901" s="26"/>
      <c r="AC901" s="29"/>
      <c r="AD901" s="25"/>
      <c r="AE901" s="29"/>
      <c r="AF901" s="25"/>
      <c r="AG901" s="25"/>
      <c r="AH901" s="25"/>
      <c r="AI901" s="25"/>
      <c r="AJ901" s="26"/>
      <c r="AK901" s="29"/>
      <c r="AL901" s="28"/>
      <c r="AM901" s="26"/>
      <c r="AN901" s="29"/>
      <c r="AO901" s="25"/>
      <c r="AP901" s="29"/>
      <c r="AQ901" s="25"/>
      <c r="AR901" s="25"/>
      <c r="AS901" s="25"/>
      <c r="AT901" s="25"/>
      <c r="AU901" s="26"/>
      <c r="AV901" s="26"/>
      <c r="AW901" s="26"/>
      <c r="AX901" s="26"/>
      <c r="AY901" s="26"/>
      <c r="AZ901" s="26"/>
      <c r="BA901" s="26"/>
    </row>
    <row r="902">
      <c r="A902" s="26"/>
      <c r="B902" s="26"/>
      <c r="C902" s="26"/>
      <c r="D902" s="27"/>
      <c r="E902" s="27"/>
      <c r="F902" s="26"/>
      <c r="G902" s="28"/>
      <c r="H902" s="28"/>
      <c r="I902" s="28"/>
      <c r="J902" s="28"/>
      <c r="K902" s="28"/>
      <c r="L902" s="28"/>
      <c r="M902" s="28"/>
      <c r="N902" s="26"/>
      <c r="O902" s="29"/>
      <c r="P902" s="27"/>
      <c r="Q902" s="26"/>
      <c r="R902" s="29"/>
      <c r="S902" s="28"/>
      <c r="T902" s="29"/>
      <c r="U902" s="28"/>
      <c r="V902" s="28"/>
      <c r="W902" s="28"/>
      <c r="X902" s="28"/>
      <c r="Y902" s="26"/>
      <c r="Z902" s="29"/>
      <c r="AA902" s="28"/>
      <c r="AB902" s="26"/>
      <c r="AC902" s="29"/>
      <c r="AD902" s="25"/>
      <c r="AE902" s="29"/>
      <c r="AF902" s="25"/>
      <c r="AG902" s="25"/>
      <c r="AH902" s="25"/>
      <c r="AI902" s="25"/>
      <c r="AJ902" s="26"/>
      <c r="AK902" s="29"/>
      <c r="AL902" s="28"/>
      <c r="AM902" s="26"/>
      <c r="AN902" s="29"/>
      <c r="AO902" s="25"/>
      <c r="AP902" s="29"/>
      <c r="AQ902" s="25"/>
      <c r="AR902" s="25"/>
      <c r="AS902" s="25"/>
      <c r="AT902" s="25"/>
      <c r="AU902" s="26"/>
      <c r="AV902" s="26"/>
      <c r="AW902" s="26"/>
      <c r="AX902" s="26"/>
      <c r="AY902" s="26"/>
      <c r="AZ902" s="26"/>
      <c r="BA902" s="26"/>
    </row>
    <row r="903">
      <c r="A903" s="26"/>
      <c r="B903" s="26"/>
      <c r="C903" s="26"/>
      <c r="D903" s="27"/>
      <c r="E903" s="27"/>
      <c r="F903" s="26"/>
      <c r="G903" s="28"/>
      <c r="H903" s="28"/>
      <c r="I903" s="28"/>
      <c r="J903" s="28"/>
      <c r="K903" s="28"/>
      <c r="L903" s="28"/>
      <c r="M903" s="28"/>
      <c r="N903" s="26"/>
      <c r="O903" s="29"/>
      <c r="P903" s="27"/>
      <c r="Q903" s="26"/>
      <c r="R903" s="29"/>
      <c r="S903" s="28"/>
      <c r="T903" s="29"/>
      <c r="U903" s="28"/>
      <c r="V903" s="28"/>
      <c r="W903" s="28"/>
      <c r="X903" s="28"/>
      <c r="Y903" s="26"/>
      <c r="Z903" s="29"/>
      <c r="AA903" s="28"/>
      <c r="AB903" s="26"/>
      <c r="AC903" s="29"/>
      <c r="AD903" s="25"/>
      <c r="AE903" s="29"/>
      <c r="AF903" s="25"/>
      <c r="AG903" s="25"/>
      <c r="AH903" s="25"/>
      <c r="AI903" s="25"/>
      <c r="AJ903" s="26"/>
      <c r="AK903" s="29"/>
      <c r="AL903" s="28"/>
      <c r="AM903" s="26"/>
      <c r="AN903" s="29"/>
      <c r="AO903" s="25"/>
      <c r="AP903" s="29"/>
      <c r="AQ903" s="25"/>
      <c r="AR903" s="25"/>
      <c r="AS903" s="25"/>
      <c r="AT903" s="25"/>
      <c r="AU903" s="26"/>
      <c r="AV903" s="26"/>
      <c r="AW903" s="26"/>
      <c r="AX903" s="26"/>
      <c r="AY903" s="26"/>
      <c r="AZ903" s="26"/>
      <c r="BA903" s="26"/>
    </row>
    <row r="904">
      <c r="A904" s="26"/>
      <c r="B904" s="26"/>
      <c r="C904" s="26"/>
      <c r="D904" s="27"/>
      <c r="E904" s="27"/>
      <c r="F904" s="26"/>
      <c r="G904" s="28"/>
      <c r="H904" s="28"/>
      <c r="I904" s="28"/>
      <c r="J904" s="28"/>
      <c r="K904" s="28"/>
      <c r="L904" s="28"/>
      <c r="M904" s="28"/>
      <c r="N904" s="26"/>
      <c r="O904" s="29"/>
      <c r="P904" s="27"/>
      <c r="Q904" s="26"/>
      <c r="R904" s="29"/>
      <c r="S904" s="28"/>
      <c r="T904" s="29"/>
      <c r="U904" s="28"/>
      <c r="V904" s="28"/>
      <c r="W904" s="28"/>
      <c r="X904" s="28"/>
      <c r="Y904" s="26"/>
      <c r="Z904" s="29"/>
      <c r="AA904" s="28"/>
      <c r="AB904" s="26"/>
      <c r="AC904" s="29"/>
      <c r="AD904" s="25"/>
      <c r="AE904" s="29"/>
      <c r="AF904" s="25"/>
      <c r="AG904" s="25"/>
      <c r="AH904" s="25"/>
      <c r="AI904" s="25"/>
      <c r="AJ904" s="26"/>
      <c r="AK904" s="29"/>
      <c r="AL904" s="28"/>
      <c r="AM904" s="26"/>
      <c r="AN904" s="29"/>
      <c r="AO904" s="25"/>
      <c r="AP904" s="29"/>
      <c r="AQ904" s="25"/>
      <c r="AR904" s="25"/>
      <c r="AS904" s="25"/>
      <c r="AT904" s="25"/>
      <c r="AU904" s="26"/>
      <c r="AV904" s="26"/>
      <c r="AW904" s="26"/>
      <c r="AX904" s="26"/>
      <c r="AY904" s="26"/>
      <c r="AZ904" s="26"/>
      <c r="BA904" s="26"/>
    </row>
    <row r="905">
      <c r="A905" s="26"/>
      <c r="B905" s="26"/>
      <c r="C905" s="26"/>
      <c r="D905" s="27"/>
      <c r="E905" s="27"/>
      <c r="F905" s="26"/>
      <c r="G905" s="28"/>
      <c r="H905" s="28"/>
      <c r="I905" s="28"/>
      <c r="J905" s="28"/>
      <c r="K905" s="28"/>
      <c r="L905" s="28"/>
      <c r="M905" s="28"/>
      <c r="N905" s="26"/>
      <c r="O905" s="29"/>
      <c r="P905" s="27"/>
      <c r="Q905" s="26"/>
      <c r="R905" s="29"/>
      <c r="S905" s="28"/>
      <c r="T905" s="29"/>
      <c r="U905" s="28"/>
      <c r="V905" s="28"/>
      <c r="W905" s="28"/>
      <c r="X905" s="28"/>
      <c r="Y905" s="26"/>
      <c r="Z905" s="29"/>
      <c r="AA905" s="28"/>
      <c r="AB905" s="26"/>
      <c r="AC905" s="29"/>
      <c r="AD905" s="25"/>
      <c r="AE905" s="29"/>
      <c r="AF905" s="25"/>
      <c r="AG905" s="25"/>
      <c r="AH905" s="25"/>
      <c r="AI905" s="25"/>
      <c r="AJ905" s="26"/>
      <c r="AK905" s="29"/>
      <c r="AL905" s="28"/>
      <c r="AM905" s="26"/>
      <c r="AN905" s="29"/>
      <c r="AO905" s="25"/>
      <c r="AP905" s="29"/>
      <c r="AQ905" s="25"/>
      <c r="AR905" s="25"/>
      <c r="AS905" s="25"/>
      <c r="AT905" s="25"/>
      <c r="AU905" s="26"/>
      <c r="AV905" s="26"/>
      <c r="AW905" s="26"/>
      <c r="AX905" s="26"/>
      <c r="AY905" s="26"/>
      <c r="AZ905" s="26"/>
      <c r="BA905" s="26"/>
    </row>
    <row r="906">
      <c r="A906" s="26"/>
      <c r="B906" s="26"/>
      <c r="C906" s="26"/>
      <c r="D906" s="27"/>
      <c r="E906" s="27"/>
      <c r="F906" s="26"/>
      <c r="G906" s="28"/>
      <c r="H906" s="28"/>
      <c r="I906" s="28"/>
      <c r="J906" s="28"/>
      <c r="K906" s="28"/>
      <c r="L906" s="28"/>
      <c r="M906" s="28"/>
      <c r="N906" s="26"/>
      <c r="O906" s="29"/>
      <c r="P906" s="27"/>
      <c r="Q906" s="26"/>
      <c r="R906" s="29"/>
      <c r="S906" s="28"/>
      <c r="T906" s="29"/>
      <c r="U906" s="28"/>
      <c r="V906" s="28"/>
      <c r="W906" s="28"/>
      <c r="X906" s="28"/>
      <c r="Y906" s="26"/>
      <c r="Z906" s="29"/>
      <c r="AA906" s="28"/>
      <c r="AB906" s="26"/>
      <c r="AC906" s="29"/>
      <c r="AD906" s="25"/>
      <c r="AE906" s="29"/>
      <c r="AF906" s="25"/>
      <c r="AG906" s="25"/>
      <c r="AH906" s="25"/>
      <c r="AI906" s="25"/>
      <c r="AJ906" s="26"/>
      <c r="AK906" s="29"/>
      <c r="AL906" s="28"/>
      <c r="AM906" s="26"/>
      <c r="AN906" s="29"/>
      <c r="AO906" s="25"/>
      <c r="AP906" s="29"/>
      <c r="AQ906" s="25"/>
      <c r="AR906" s="25"/>
      <c r="AS906" s="25"/>
      <c r="AT906" s="25"/>
      <c r="AU906" s="26"/>
      <c r="AV906" s="26"/>
      <c r="AW906" s="26"/>
      <c r="AX906" s="26"/>
      <c r="AY906" s="26"/>
      <c r="AZ906" s="26"/>
      <c r="BA906" s="26"/>
    </row>
    <row r="907">
      <c r="A907" s="26"/>
      <c r="B907" s="26"/>
      <c r="C907" s="26"/>
      <c r="D907" s="27"/>
      <c r="E907" s="27"/>
      <c r="F907" s="26"/>
      <c r="G907" s="28"/>
      <c r="H907" s="28"/>
      <c r="I907" s="28"/>
      <c r="J907" s="28"/>
      <c r="K907" s="28"/>
      <c r="L907" s="28"/>
      <c r="M907" s="28"/>
      <c r="N907" s="26"/>
      <c r="O907" s="29"/>
      <c r="P907" s="27"/>
      <c r="Q907" s="26"/>
      <c r="R907" s="29"/>
      <c r="S907" s="28"/>
      <c r="T907" s="29"/>
      <c r="U907" s="28"/>
      <c r="V907" s="28"/>
      <c r="W907" s="28"/>
      <c r="X907" s="28"/>
      <c r="Y907" s="26"/>
      <c r="Z907" s="29"/>
      <c r="AA907" s="28"/>
      <c r="AB907" s="26"/>
      <c r="AC907" s="29"/>
      <c r="AD907" s="25"/>
      <c r="AE907" s="29"/>
      <c r="AF907" s="25"/>
      <c r="AG907" s="25"/>
      <c r="AH907" s="25"/>
      <c r="AI907" s="25"/>
      <c r="AJ907" s="26"/>
      <c r="AK907" s="29"/>
      <c r="AL907" s="28"/>
      <c r="AM907" s="26"/>
      <c r="AN907" s="29"/>
      <c r="AO907" s="25"/>
      <c r="AP907" s="29"/>
      <c r="AQ907" s="25"/>
      <c r="AR907" s="25"/>
      <c r="AS907" s="25"/>
      <c r="AT907" s="25"/>
      <c r="AU907" s="26"/>
      <c r="AV907" s="26"/>
      <c r="AW907" s="26"/>
      <c r="AX907" s="26"/>
      <c r="AY907" s="26"/>
      <c r="AZ907" s="26"/>
      <c r="BA907" s="26"/>
    </row>
    <row r="908">
      <c r="A908" s="26"/>
      <c r="B908" s="26"/>
      <c r="C908" s="26"/>
      <c r="D908" s="27"/>
      <c r="E908" s="27"/>
      <c r="F908" s="26"/>
      <c r="G908" s="28"/>
      <c r="H908" s="28"/>
      <c r="I908" s="28"/>
      <c r="J908" s="28"/>
      <c r="K908" s="28"/>
      <c r="L908" s="28"/>
      <c r="M908" s="28"/>
      <c r="N908" s="26"/>
      <c r="O908" s="29"/>
      <c r="P908" s="27"/>
      <c r="Q908" s="26"/>
      <c r="R908" s="29"/>
      <c r="S908" s="28"/>
      <c r="T908" s="29"/>
      <c r="U908" s="28"/>
      <c r="V908" s="28"/>
      <c r="W908" s="28"/>
      <c r="X908" s="28"/>
      <c r="Y908" s="26"/>
      <c r="Z908" s="29"/>
      <c r="AA908" s="28"/>
      <c r="AB908" s="26"/>
      <c r="AC908" s="29"/>
      <c r="AD908" s="25"/>
      <c r="AE908" s="29"/>
      <c r="AF908" s="25"/>
      <c r="AG908" s="25"/>
      <c r="AH908" s="25"/>
      <c r="AI908" s="25"/>
      <c r="AJ908" s="26"/>
      <c r="AK908" s="29"/>
      <c r="AL908" s="28"/>
      <c r="AM908" s="26"/>
      <c r="AN908" s="29"/>
      <c r="AO908" s="25"/>
      <c r="AP908" s="29"/>
      <c r="AQ908" s="25"/>
      <c r="AR908" s="25"/>
      <c r="AS908" s="25"/>
      <c r="AT908" s="25"/>
      <c r="AU908" s="26"/>
      <c r="AV908" s="26"/>
      <c r="AW908" s="26"/>
      <c r="AX908" s="26"/>
      <c r="AY908" s="26"/>
      <c r="AZ908" s="26"/>
      <c r="BA908" s="26"/>
    </row>
    <row r="909">
      <c r="A909" s="26"/>
      <c r="B909" s="26"/>
      <c r="C909" s="26"/>
      <c r="D909" s="27"/>
      <c r="E909" s="27"/>
      <c r="F909" s="26"/>
      <c r="G909" s="28"/>
      <c r="H909" s="28"/>
      <c r="I909" s="28"/>
      <c r="J909" s="28"/>
      <c r="K909" s="28"/>
      <c r="L909" s="28"/>
      <c r="M909" s="28"/>
      <c r="N909" s="26"/>
      <c r="O909" s="29"/>
      <c r="P909" s="27"/>
      <c r="Q909" s="26"/>
      <c r="R909" s="29"/>
      <c r="S909" s="28"/>
      <c r="T909" s="29"/>
      <c r="U909" s="28"/>
      <c r="V909" s="28"/>
      <c r="W909" s="28"/>
      <c r="X909" s="28"/>
      <c r="Y909" s="26"/>
      <c r="Z909" s="29"/>
      <c r="AA909" s="28"/>
      <c r="AB909" s="26"/>
      <c r="AC909" s="29"/>
      <c r="AD909" s="25"/>
      <c r="AE909" s="29"/>
      <c r="AF909" s="25"/>
      <c r="AG909" s="25"/>
      <c r="AH909" s="25"/>
      <c r="AI909" s="25"/>
      <c r="AJ909" s="26"/>
      <c r="AK909" s="29"/>
      <c r="AL909" s="28"/>
      <c r="AM909" s="26"/>
      <c r="AN909" s="29"/>
      <c r="AO909" s="25"/>
      <c r="AP909" s="29"/>
      <c r="AQ909" s="25"/>
      <c r="AR909" s="25"/>
      <c r="AS909" s="25"/>
      <c r="AT909" s="25"/>
      <c r="AU909" s="26"/>
      <c r="AV909" s="26"/>
      <c r="AW909" s="26"/>
      <c r="AX909" s="26"/>
      <c r="AY909" s="26"/>
      <c r="AZ909" s="26"/>
      <c r="BA909" s="26"/>
    </row>
    <row r="910">
      <c r="A910" s="26"/>
      <c r="B910" s="26"/>
      <c r="C910" s="26"/>
      <c r="D910" s="27"/>
      <c r="E910" s="27"/>
      <c r="F910" s="26"/>
      <c r="G910" s="28"/>
      <c r="H910" s="28"/>
      <c r="I910" s="28"/>
      <c r="J910" s="28"/>
      <c r="K910" s="28"/>
      <c r="L910" s="28"/>
      <c r="M910" s="28"/>
      <c r="N910" s="26"/>
      <c r="O910" s="29"/>
      <c r="P910" s="27"/>
      <c r="Q910" s="26"/>
      <c r="R910" s="29"/>
      <c r="S910" s="28"/>
      <c r="T910" s="29"/>
      <c r="U910" s="28"/>
      <c r="V910" s="28"/>
      <c r="W910" s="28"/>
      <c r="X910" s="28"/>
      <c r="Y910" s="26"/>
      <c r="Z910" s="29"/>
      <c r="AA910" s="28"/>
      <c r="AB910" s="26"/>
      <c r="AC910" s="29"/>
      <c r="AD910" s="25"/>
      <c r="AE910" s="29"/>
      <c r="AF910" s="25"/>
      <c r="AG910" s="25"/>
      <c r="AH910" s="25"/>
      <c r="AI910" s="25"/>
      <c r="AJ910" s="26"/>
      <c r="AK910" s="29"/>
      <c r="AL910" s="28"/>
      <c r="AM910" s="26"/>
      <c r="AN910" s="29"/>
      <c r="AO910" s="25"/>
      <c r="AP910" s="29"/>
      <c r="AQ910" s="25"/>
      <c r="AR910" s="25"/>
      <c r="AS910" s="25"/>
      <c r="AT910" s="25"/>
      <c r="AU910" s="26"/>
      <c r="AV910" s="26"/>
      <c r="AW910" s="26"/>
      <c r="AX910" s="26"/>
      <c r="AY910" s="26"/>
      <c r="AZ910" s="26"/>
      <c r="BA910" s="26"/>
    </row>
    <row r="911">
      <c r="A911" s="26"/>
      <c r="B911" s="26"/>
      <c r="C911" s="26"/>
      <c r="D911" s="27"/>
      <c r="E911" s="27"/>
      <c r="F911" s="26"/>
      <c r="G911" s="28"/>
      <c r="H911" s="28"/>
      <c r="I911" s="28"/>
      <c r="J911" s="28"/>
      <c r="K911" s="28"/>
      <c r="L911" s="28"/>
      <c r="M911" s="28"/>
      <c r="N911" s="26"/>
      <c r="O911" s="29"/>
      <c r="P911" s="27"/>
      <c r="Q911" s="26"/>
      <c r="R911" s="29"/>
      <c r="S911" s="28"/>
      <c r="T911" s="29"/>
      <c r="U911" s="28"/>
      <c r="V911" s="28"/>
      <c r="W911" s="28"/>
      <c r="X911" s="28"/>
      <c r="Y911" s="26"/>
      <c r="Z911" s="29"/>
      <c r="AA911" s="28"/>
      <c r="AB911" s="26"/>
      <c r="AC911" s="29"/>
      <c r="AD911" s="25"/>
      <c r="AE911" s="29"/>
      <c r="AF911" s="25"/>
      <c r="AG911" s="25"/>
      <c r="AH911" s="25"/>
      <c r="AI911" s="25"/>
      <c r="AJ911" s="26"/>
      <c r="AK911" s="29"/>
      <c r="AL911" s="28"/>
      <c r="AM911" s="26"/>
      <c r="AN911" s="29"/>
      <c r="AO911" s="25"/>
      <c r="AP911" s="29"/>
      <c r="AQ911" s="25"/>
      <c r="AR911" s="25"/>
      <c r="AS911" s="25"/>
      <c r="AT911" s="25"/>
      <c r="AU911" s="26"/>
      <c r="AV911" s="26"/>
      <c r="AW911" s="26"/>
      <c r="AX911" s="26"/>
      <c r="AY911" s="26"/>
      <c r="AZ911" s="26"/>
      <c r="BA911" s="26"/>
    </row>
    <row r="912">
      <c r="A912" s="26"/>
      <c r="B912" s="26"/>
      <c r="C912" s="26"/>
      <c r="D912" s="27"/>
      <c r="E912" s="27"/>
      <c r="F912" s="26"/>
      <c r="G912" s="28"/>
      <c r="H912" s="28"/>
      <c r="I912" s="28"/>
      <c r="J912" s="28"/>
      <c r="K912" s="28"/>
      <c r="L912" s="28"/>
      <c r="M912" s="28"/>
      <c r="N912" s="26"/>
      <c r="O912" s="29"/>
      <c r="P912" s="27"/>
      <c r="Q912" s="26"/>
      <c r="R912" s="29"/>
      <c r="S912" s="28"/>
      <c r="T912" s="29"/>
      <c r="U912" s="28"/>
      <c r="V912" s="28"/>
      <c r="W912" s="28"/>
      <c r="X912" s="28"/>
      <c r="Y912" s="26"/>
      <c r="Z912" s="29"/>
      <c r="AA912" s="28"/>
      <c r="AB912" s="26"/>
      <c r="AC912" s="29"/>
      <c r="AD912" s="25"/>
      <c r="AE912" s="29"/>
      <c r="AF912" s="25"/>
      <c r="AG912" s="25"/>
      <c r="AH912" s="25"/>
      <c r="AI912" s="25"/>
      <c r="AJ912" s="26"/>
      <c r="AK912" s="29"/>
      <c r="AL912" s="28"/>
      <c r="AM912" s="26"/>
      <c r="AN912" s="29"/>
      <c r="AO912" s="25"/>
      <c r="AP912" s="29"/>
      <c r="AQ912" s="25"/>
      <c r="AR912" s="25"/>
      <c r="AS912" s="25"/>
      <c r="AT912" s="25"/>
      <c r="AU912" s="26"/>
      <c r="AV912" s="26"/>
      <c r="AW912" s="26"/>
      <c r="AX912" s="26"/>
      <c r="AY912" s="26"/>
      <c r="AZ912" s="26"/>
      <c r="BA912" s="26"/>
    </row>
    <row r="913">
      <c r="A913" s="26"/>
      <c r="B913" s="26"/>
      <c r="C913" s="26"/>
      <c r="D913" s="27"/>
      <c r="E913" s="27"/>
      <c r="F913" s="26"/>
      <c r="G913" s="28"/>
      <c r="H913" s="28"/>
      <c r="I913" s="28"/>
      <c r="J913" s="28"/>
      <c r="K913" s="28"/>
      <c r="L913" s="28"/>
      <c r="M913" s="28"/>
      <c r="N913" s="26"/>
      <c r="O913" s="29"/>
      <c r="P913" s="27"/>
      <c r="Q913" s="26"/>
      <c r="R913" s="29"/>
      <c r="S913" s="28"/>
      <c r="T913" s="29"/>
      <c r="U913" s="28"/>
      <c r="V913" s="28"/>
      <c r="W913" s="28"/>
      <c r="X913" s="28"/>
      <c r="Y913" s="26"/>
      <c r="Z913" s="29"/>
      <c r="AA913" s="28"/>
      <c r="AB913" s="26"/>
      <c r="AC913" s="29"/>
      <c r="AD913" s="25"/>
      <c r="AE913" s="29"/>
      <c r="AF913" s="25"/>
      <c r="AG913" s="25"/>
      <c r="AH913" s="25"/>
      <c r="AI913" s="25"/>
      <c r="AJ913" s="26"/>
      <c r="AK913" s="29"/>
      <c r="AL913" s="28"/>
      <c r="AM913" s="26"/>
      <c r="AN913" s="29"/>
      <c r="AO913" s="25"/>
      <c r="AP913" s="29"/>
      <c r="AQ913" s="25"/>
      <c r="AR913" s="25"/>
      <c r="AS913" s="25"/>
      <c r="AT913" s="25"/>
      <c r="AU913" s="26"/>
      <c r="AV913" s="26"/>
      <c r="AW913" s="26"/>
      <c r="AX913" s="26"/>
      <c r="AY913" s="26"/>
      <c r="AZ913" s="26"/>
      <c r="BA913" s="26"/>
    </row>
    <row r="914">
      <c r="A914" s="26"/>
      <c r="B914" s="26"/>
      <c r="C914" s="26"/>
      <c r="D914" s="27"/>
      <c r="E914" s="27"/>
      <c r="F914" s="26"/>
      <c r="G914" s="28"/>
      <c r="H914" s="28"/>
      <c r="I914" s="28"/>
      <c r="J914" s="28"/>
      <c r="K914" s="28"/>
      <c r="L914" s="28"/>
      <c r="M914" s="28"/>
      <c r="N914" s="26"/>
      <c r="O914" s="29"/>
      <c r="P914" s="27"/>
      <c r="Q914" s="26"/>
      <c r="R914" s="29"/>
      <c r="S914" s="28"/>
      <c r="T914" s="29"/>
      <c r="U914" s="28"/>
      <c r="V914" s="28"/>
      <c r="W914" s="28"/>
      <c r="X914" s="28"/>
      <c r="Y914" s="26"/>
      <c r="Z914" s="29"/>
      <c r="AA914" s="28"/>
      <c r="AB914" s="26"/>
      <c r="AC914" s="29"/>
      <c r="AD914" s="25"/>
      <c r="AE914" s="29"/>
      <c r="AF914" s="25"/>
      <c r="AG914" s="25"/>
      <c r="AH914" s="25"/>
      <c r="AI914" s="25"/>
      <c r="AJ914" s="26"/>
      <c r="AK914" s="29"/>
      <c r="AL914" s="28"/>
      <c r="AM914" s="26"/>
      <c r="AN914" s="29"/>
      <c r="AO914" s="25"/>
      <c r="AP914" s="29"/>
      <c r="AQ914" s="25"/>
      <c r="AR914" s="25"/>
      <c r="AS914" s="25"/>
      <c r="AT914" s="25"/>
      <c r="AU914" s="26"/>
      <c r="AV914" s="26"/>
      <c r="AW914" s="26"/>
      <c r="AX914" s="26"/>
      <c r="AY914" s="26"/>
      <c r="AZ914" s="26"/>
      <c r="BA914" s="26"/>
    </row>
    <row r="915">
      <c r="A915" s="26"/>
      <c r="B915" s="26"/>
      <c r="C915" s="26"/>
      <c r="D915" s="27"/>
      <c r="E915" s="27"/>
      <c r="F915" s="26"/>
      <c r="G915" s="28"/>
      <c r="H915" s="28"/>
      <c r="I915" s="28"/>
      <c r="J915" s="28"/>
      <c r="K915" s="28"/>
      <c r="L915" s="28"/>
      <c r="M915" s="28"/>
      <c r="N915" s="26"/>
      <c r="O915" s="29"/>
      <c r="P915" s="27"/>
      <c r="Q915" s="26"/>
      <c r="R915" s="29"/>
      <c r="S915" s="28"/>
      <c r="T915" s="29"/>
      <c r="U915" s="28"/>
      <c r="V915" s="28"/>
      <c r="W915" s="28"/>
      <c r="X915" s="28"/>
      <c r="Y915" s="26"/>
      <c r="Z915" s="29"/>
      <c r="AA915" s="28"/>
      <c r="AB915" s="26"/>
      <c r="AC915" s="29"/>
      <c r="AD915" s="25"/>
      <c r="AE915" s="29"/>
      <c r="AF915" s="25"/>
      <c r="AG915" s="25"/>
      <c r="AH915" s="25"/>
      <c r="AI915" s="25"/>
      <c r="AJ915" s="26"/>
      <c r="AK915" s="29"/>
      <c r="AL915" s="28"/>
      <c r="AM915" s="26"/>
      <c r="AN915" s="29"/>
      <c r="AO915" s="25"/>
      <c r="AP915" s="29"/>
      <c r="AQ915" s="25"/>
      <c r="AR915" s="25"/>
      <c r="AS915" s="25"/>
      <c r="AT915" s="25"/>
      <c r="AU915" s="26"/>
      <c r="AV915" s="26"/>
      <c r="AW915" s="26"/>
      <c r="AX915" s="26"/>
      <c r="AY915" s="26"/>
      <c r="AZ915" s="26"/>
      <c r="BA915" s="26"/>
    </row>
    <row r="916">
      <c r="A916" s="26"/>
      <c r="B916" s="26"/>
      <c r="C916" s="26"/>
      <c r="D916" s="27"/>
      <c r="E916" s="27"/>
      <c r="F916" s="26"/>
      <c r="G916" s="28"/>
      <c r="H916" s="28"/>
      <c r="I916" s="28"/>
      <c r="J916" s="28"/>
      <c r="K916" s="28"/>
      <c r="L916" s="28"/>
      <c r="M916" s="28"/>
      <c r="N916" s="26"/>
      <c r="O916" s="29"/>
      <c r="P916" s="27"/>
      <c r="Q916" s="26"/>
      <c r="R916" s="29"/>
      <c r="S916" s="28"/>
      <c r="T916" s="29"/>
      <c r="U916" s="28"/>
      <c r="V916" s="28"/>
      <c r="W916" s="28"/>
      <c r="X916" s="28"/>
      <c r="Y916" s="26"/>
      <c r="Z916" s="29"/>
      <c r="AA916" s="28"/>
      <c r="AB916" s="26"/>
      <c r="AC916" s="29"/>
      <c r="AD916" s="25"/>
      <c r="AE916" s="29"/>
      <c r="AF916" s="25"/>
      <c r="AG916" s="25"/>
      <c r="AH916" s="25"/>
      <c r="AI916" s="25"/>
      <c r="AJ916" s="26"/>
      <c r="AK916" s="29"/>
      <c r="AL916" s="28"/>
      <c r="AM916" s="26"/>
      <c r="AN916" s="29"/>
      <c r="AO916" s="25"/>
      <c r="AP916" s="29"/>
      <c r="AQ916" s="25"/>
      <c r="AR916" s="25"/>
      <c r="AS916" s="25"/>
      <c r="AT916" s="25"/>
      <c r="AU916" s="26"/>
      <c r="AV916" s="26"/>
      <c r="AW916" s="26"/>
      <c r="AX916" s="26"/>
      <c r="AY916" s="26"/>
      <c r="AZ916" s="26"/>
      <c r="BA916" s="26"/>
    </row>
    <row r="917">
      <c r="A917" s="26"/>
      <c r="B917" s="26"/>
      <c r="C917" s="26"/>
      <c r="D917" s="27"/>
      <c r="E917" s="27"/>
      <c r="F917" s="26"/>
      <c r="G917" s="28"/>
      <c r="H917" s="28"/>
      <c r="I917" s="28"/>
      <c r="J917" s="28"/>
      <c r="K917" s="28"/>
      <c r="L917" s="28"/>
      <c r="M917" s="28"/>
      <c r="N917" s="26"/>
      <c r="O917" s="29"/>
      <c r="P917" s="27"/>
      <c r="Q917" s="26"/>
      <c r="R917" s="29"/>
      <c r="S917" s="28"/>
      <c r="T917" s="29"/>
      <c r="U917" s="28"/>
      <c r="V917" s="28"/>
      <c r="W917" s="28"/>
      <c r="X917" s="28"/>
      <c r="Y917" s="26"/>
      <c r="Z917" s="29"/>
      <c r="AA917" s="28"/>
      <c r="AB917" s="26"/>
      <c r="AC917" s="29"/>
      <c r="AD917" s="25"/>
      <c r="AE917" s="29"/>
      <c r="AF917" s="25"/>
      <c r="AG917" s="25"/>
      <c r="AH917" s="25"/>
      <c r="AI917" s="25"/>
      <c r="AJ917" s="26"/>
      <c r="AK917" s="29"/>
      <c r="AL917" s="28"/>
      <c r="AM917" s="26"/>
      <c r="AN917" s="29"/>
      <c r="AO917" s="25"/>
      <c r="AP917" s="29"/>
      <c r="AQ917" s="25"/>
      <c r="AR917" s="25"/>
      <c r="AS917" s="25"/>
      <c r="AT917" s="25"/>
      <c r="AU917" s="26"/>
      <c r="AV917" s="26"/>
      <c r="AW917" s="26"/>
      <c r="AX917" s="26"/>
      <c r="AY917" s="26"/>
      <c r="AZ917" s="26"/>
      <c r="BA917" s="26"/>
    </row>
    <row r="918">
      <c r="A918" s="26"/>
      <c r="B918" s="26"/>
      <c r="C918" s="26"/>
      <c r="D918" s="27"/>
      <c r="E918" s="27"/>
      <c r="F918" s="26"/>
      <c r="G918" s="28"/>
      <c r="H918" s="28"/>
      <c r="I918" s="28"/>
      <c r="J918" s="28"/>
      <c r="K918" s="28"/>
      <c r="L918" s="28"/>
      <c r="M918" s="28"/>
      <c r="N918" s="26"/>
      <c r="O918" s="29"/>
      <c r="P918" s="27"/>
      <c r="Q918" s="26"/>
      <c r="R918" s="29"/>
      <c r="S918" s="28"/>
      <c r="T918" s="29"/>
      <c r="U918" s="28"/>
      <c r="V918" s="28"/>
      <c r="W918" s="28"/>
      <c r="X918" s="28"/>
      <c r="Y918" s="26"/>
      <c r="Z918" s="29"/>
      <c r="AA918" s="28"/>
      <c r="AB918" s="26"/>
      <c r="AC918" s="29"/>
      <c r="AD918" s="25"/>
      <c r="AE918" s="29"/>
      <c r="AF918" s="25"/>
      <c r="AG918" s="25"/>
      <c r="AH918" s="25"/>
      <c r="AI918" s="25"/>
      <c r="AJ918" s="26"/>
      <c r="AK918" s="29"/>
      <c r="AL918" s="28"/>
      <c r="AM918" s="26"/>
      <c r="AN918" s="29"/>
      <c r="AO918" s="25"/>
      <c r="AP918" s="29"/>
      <c r="AQ918" s="25"/>
      <c r="AR918" s="25"/>
      <c r="AS918" s="25"/>
      <c r="AT918" s="25"/>
      <c r="AU918" s="26"/>
      <c r="AV918" s="26"/>
      <c r="AW918" s="26"/>
      <c r="AX918" s="26"/>
      <c r="AY918" s="26"/>
      <c r="AZ918" s="26"/>
      <c r="BA918" s="26"/>
    </row>
    <row r="919">
      <c r="A919" s="26"/>
      <c r="B919" s="26"/>
      <c r="C919" s="26"/>
      <c r="D919" s="27"/>
      <c r="E919" s="27"/>
      <c r="F919" s="26"/>
      <c r="G919" s="28"/>
      <c r="H919" s="28"/>
      <c r="I919" s="28"/>
      <c r="J919" s="28"/>
      <c r="K919" s="28"/>
      <c r="L919" s="28"/>
      <c r="M919" s="28"/>
      <c r="N919" s="26"/>
      <c r="O919" s="29"/>
      <c r="P919" s="27"/>
      <c r="Q919" s="26"/>
      <c r="R919" s="29"/>
      <c r="S919" s="28"/>
      <c r="T919" s="29"/>
      <c r="U919" s="28"/>
      <c r="V919" s="28"/>
      <c r="W919" s="28"/>
      <c r="X919" s="28"/>
      <c r="Y919" s="26"/>
      <c r="Z919" s="29"/>
      <c r="AA919" s="28"/>
      <c r="AB919" s="26"/>
      <c r="AC919" s="29"/>
      <c r="AD919" s="25"/>
      <c r="AE919" s="29"/>
      <c r="AF919" s="25"/>
      <c r="AG919" s="25"/>
      <c r="AH919" s="25"/>
      <c r="AI919" s="25"/>
      <c r="AJ919" s="26"/>
      <c r="AK919" s="29"/>
      <c r="AL919" s="28"/>
      <c r="AM919" s="26"/>
      <c r="AN919" s="29"/>
      <c r="AO919" s="25"/>
      <c r="AP919" s="29"/>
      <c r="AQ919" s="25"/>
      <c r="AR919" s="25"/>
      <c r="AS919" s="25"/>
      <c r="AT919" s="25"/>
      <c r="AU919" s="26"/>
      <c r="AV919" s="26"/>
      <c r="AW919" s="26"/>
      <c r="AX919" s="26"/>
      <c r="AY919" s="26"/>
      <c r="AZ919" s="26"/>
      <c r="BA919" s="26"/>
    </row>
    <row r="920">
      <c r="A920" s="26"/>
      <c r="B920" s="26"/>
      <c r="C920" s="26"/>
      <c r="D920" s="27"/>
      <c r="E920" s="27"/>
      <c r="F920" s="26"/>
      <c r="G920" s="28"/>
      <c r="H920" s="28"/>
      <c r="I920" s="28"/>
      <c r="J920" s="28"/>
      <c r="K920" s="28"/>
      <c r="L920" s="28"/>
      <c r="M920" s="28"/>
      <c r="N920" s="26"/>
      <c r="O920" s="29"/>
      <c r="P920" s="27"/>
      <c r="Q920" s="26"/>
      <c r="R920" s="29"/>
      <c r="S920" s="28"/>
      <c r="T920" s="29"/>
      <c r="U920" s="28"/>
      <c r="V920" s="28"/>
      <c r="W920" s="28"/>
      <c r="X920" s="28"/>
      <c r="Y920" s="26"/>
      <c r="Z920" s="29"/>
      <c r="AA920" s="28"/>
      <c r="AB920" s="26"/>
      <c r="AC920" s="29"/>
      <c r="AD920" s="25"/>
      <c r="AE920" s="29"/>
      <c r="AF920" s="25"/>
      <c r="AG920" s="25"/>
      <c r="AH920" s="25"/>
      <c r="AI920" s="25"/>
      <c r="AJ920" s="26"/>
      <c r="AK920" s="29"/>
      <c r="AL920" s="28"/>
      <c r="AM920" s="26"/>
      <c r="AN920" s="29"/>
      <c r="AO920" s="25"/>
      <c r="AP920" s="29"/>
      <c r="AQ920" s="25"/>
      <c r="AR920" s="25"/>
      <c r="AS920" s="25"/>
      <c r="AT920" s="25"/>
      <c r="AU920" s="26"/>
      <c r="AV920" s="26"/>
      <c r="AW920" s="26"/>
      <c r="AX920" s="26"/>
      <c r="AY920" s="26"/>
      <c r="AZ920" s="26"/>
      <c r="BA920" s="26"/>
    </row>
    <row r="921">
      <c r="A921" s="26"/>
      <c r="B921" s="26"/>
      <c r="C921" s="26"/>
      <c r="D921" s="27"/>
      <c r="E921" s="27"/>
      <c r="F921" s="26"/>
      <c r="G921" s="28"/>
      <c r="H921" s="28"/>
      <c r="I921" s="28"/>
      <c r="J921" s="28"/>
      <c r="K921" s="28"/>
      <c r="L921" s="28"/>
      <c r="M921" s="28"/>
      <c r="N921" s="26"/>
      <c r="O921" s="29"/>
      <c r="P921" s="27"/>
      <c r="Q921" s="26"/>
      <c r="R921" s="29"/>
      <c r="S921" s="28"/>
      <c r="T921" s="29"/>
      <c r="U921" s="28"/>
      <c r="V921" s="28"/>
      <c r="W921" s="28"/>
      <c r="X921" s="28"/>
      <c r="Y921" s="26"/>
      <c r="Z921" s="29"/>
      <c r="AA921" s="28"/>
      <c r="AB921" s="26"/>
      <c r="AC921" s="29"/>
      <c r="AD921" s="25"/>
      <c r="AE921" s="29"/>
      <c r="AF921" s="25"/>
      <c r="AG921" s="25"/>
      <c r="AH921" s="25"/>
      <c r="AI921" s="25"/>
      <c r="AJ921" s="26"/>
      <c r="AK921" s="29"/>
      <c r="AL921" s="28"/>
      <c r="AM921" s="26"/>
      <c r="AN921" s="29"/>
      <c r="AO921" s="25"/>
      <c r="AP921" s="29"/>
      <c r="AQ921" s="25"/>
      <c r="AR921" s="25"/>
      <c r="AS921" s="25"/>
      <c r="AT921" s="25"/>
      <c r="AU921" s="26"/>
      <c r="AV921" s="26"/>
      <c r="AW921" s="26"/>
      <c r="AX921" s="26"/>
      <c r="AY921" s="26"/>
      <c r="AZ921" s="26"/>
      <c r="BA921" s="26"/>
    </row>
    <row r="922">
      <c r="A922" s="26"/>
      <c r="B922" s="26"/>
      <c r="C922" s="26"/>
      <c r="D922" s="27"/>
      <c r="E922" s="27"/>
      <c r="F922" s="26"/>
      <c r="G922" s="28"/>
      <c r="H922" s="28"/>
      <c r="I922" s="28"/>
      <c r="J922" s="28"/>
      <c r="K922" s="28"/>
      <c r="L922" s="28"/>
      <c r="M922" s="28"/>
      <c r="N922" s="26"/>
      <c r="O922" s="29"/>
      <c r="P922" s="27"/>
      <c r="Q922" s="26"/>
      <c r="R922" s="29"/>
      <c r="S922" s="28"/>
      <c r="T922" s="29"/>
      <c r="U922" s="28"/>
      <c r="V922" s="28"/>
      <c r="W922" s="28"/>
      <c r="X922" s="28"/>
      <c r="Y922" s="26"/>
      <c r="Z922" s="29"/>
      <c r="AA922" s="28"/>
      <c r="AB922" s="26"/>
      <c r="AC922" s="29"/>
      <c r="AD922" s="25"/>
      <c r="AE922" s="29"/>
      <c r="AF922" s="25"/>
      <c r="AG922" s="25"/>
      <c r="AH922" s="25"/>
      <c r="AI922" s="25"/>
      <c r="AJ922" s="26"/>
      <c r="AK922" s="29"/>
      <c r="AL922" s="28"/>
      <c r="AM922" s="26"/>
      <c r="AN922" s="29"/>
      <c r="AO922" s="25"/>
      <c r="AP922" s="29"/>
      <c r="AQ922" s="25"/>
      <c r="AR922" s="25"/>
      <c r="AS922" s="25"/>
      <c r="AT922" s="25"/>
      <c r="AU922" s="26"/>
      <c r="AV922" s="26"/>
      <c r="AW922" s="26"/>
      <c r="AX922" s="26"/>
      <c r="AY922" s="26"/>
      <c r="AZ922" s="26"/>
      <c r="BA922" s="26"/>
    </row>
    <row r="923">
      <c r="A923" s="26"/>
      <c r="B923" s="26"/>
      <c r="C923" s="26"/>
      <c r="D923" s="27"/>
      <c r="E923" s="27"/>
      <c r="F923" s="26"/>
      <c r="G923" s="28"/>
      <c r="H923" s="28"/>
      <c r="I923" s="28"/>
      <c r="J923" s="28"/>
      <c r="K923" s="28"/>
      <c r="L923" s="28"/>
      <c r="M923" s="28"/>
      <c r="N923" s="26"/>
      <c r="O923" s="29"/>
      <c r="P923" s="27"/>
      <c r="Q923" s="26"/>
      <c r="R923" s="29"/>
      <c r="S923" s="28"/>
      <c r="T923" s="29"/>
      <c r="U923" s="28"/>
      <c r="V923" s="28"/>
      <c r="W923" s="28"/>
      <c r="X923" s="28"/>
      <c r="Y923" s="26"/>
      <c r="Z923" s="29"/>
      <c r="AA923" s="28"/>
      <c r="AB923" s="26"/>
      <c r="AC923" s="29"/>
      <c r="AD923" s="25"/>
      <c r="AE923" s="29"/>
      <c r="AF923" s="25"/>
      <c r="AG923" s="25"/>
      <c r="AH923" s="25"/>
      <c r="AI923" s="25"/>
      <c r="AJ923" s="26"/>
      <c r="AK923" s="29"/>
      <c r="AL923" s="28"/>
      <c r="AM923" s="26"/>
      <c r="AN923" s="29"/>
      <c r="AO923" s="25"/>
      <c r="AP923" s="29"/>
      <c r="AQ923" s="25"/>
      <c r="AR923" s="25"/>
      <c r="AS923" s="25"/>
      <c r="AT923" s="25"/>
      <c r="AU923" s="26"/>
      <c r="AV923" s="26"/>
      <c r="AW923" s="26"/>
      <c r="AX923" s="26"/>
      <c r="AY923" s="26"/>
      <c r="AZ923" s="26"/>
      <c r="BA923" s="26"/>
    </row>
    <row r="924">
      <c r="A924" s="26"/>
      <c r="B924" s="26"/>
      <c r="C924" s="26"/>
      <c r="D924" s="27"/>
      <c r="E924" s="27"/>
      <c r="F924" s="26"/>
      <c r="G924" s="28"/>
      <c r="H924" s="28"/>
      <c r="I924" s="28"/>
      <c r="J924" s="28"/>
      <c r="K924" s="28"/>
      <c r="L924" s="28"/>
      <c r="M924" s="28"/>
      <c r="N924" s="26"/>
      <c r="O924" s="29"/>
      <c r="P924" s="27"/>
      <c r="Q924" s="26"/>
      <c r="R924" s="29"/>
      <c r="S924" s="28"/>
      <c r="T924" s="29"/>
      <c r="U924" s="28"/>
      <c r="V924" s="28"/>
      <c r="W924" s="28"/>
      <c r="X924" s="28"/>
      <c r="Y924" s="26"/>
      <c r="Z924" s="29"/>
      <c r="AA924" s="28"/>
      <c r="AB924" s="26"/>
      <c r="AC924" s="29"/>
      <c r="AD924" s="25"/>
      <c r="AE924" s="29"/>
      <c r="AF924" s="25"/>
      <c r="AG924" s="25"/>
      <c r="AH924" s="25"/>
      <c r="AI924" s="25"/>
      <c r="AJ924" s="26"/>
      <c r="AK924" s="29"/>
      <c r="AL924" s="28"/>
      <c r="AM924" s="26"/>
      <c r="AN924" s="29"/>
      <c r="AO924" s="25"/>
      <c r="AP924" s="29"/>
      <c r="AQ924" s="25"/>
      <c r="AR924" s="25"/>
      <c r="AS924" s="25"/>
      <c r="AT924" s="25"/>
      <c r="AU924" s="26"/>
      <c r="AV924" s="26"/>
      <c r="AW924" s="26"/>
      <c r="AX924" s="26"/>
      <c r="AY924" s="26"/>
      <c r="AZ924" s="26"/>
      <c r="BA924" s="26"/>
    </row>
    <row r="925">
      <c r="A925" s="26"/>
      <c r="B925" s="26"/>
      <c r="C925" s="26"/>
      <c r="D925" s="27"/>
      <c r="E925" s="27"/>
      <c r="F925" s="26"/>
      <c r="G925" s="28"/>
      <c r="H925" s="28"/>
      <c r="I925" s="28"/>
      <c r="J925" s="28"/>
      <c r="K925" s="28"/>
      <c r="L925" s="28"/>
      <c r="M925" s="28"/>
      <c r="N925" s="26"/>
      <c r="O925" s="29"/>
      <c r="P925" s="27"/>
      <c r="Q925" s="26"/>
      <c r="R925" s="29"/>
      <c r="S925" s="28"/>
      <c r="T925" s="29"/>
      <c r="U925" s="28"/>
      <c r="V925" s="28"/>
      <c r="W925" s="28"/>
      <c r="X925" s="28"/>
      <c r="Y925" s="26"/>
      <c r="Z925" s="29"/>
      <c r="AA925" s="28"/>
      <c r="AB925" s="26"/>
      <c r="AC925" s="29"/>
      <c r="AD925" s="25"/>
      <c r="AE925" s="29"/>
      <c r="AF925" s="25"/>
      <c r="AG925" s="25"/>
      <c r="AH925" s="25"/>
      <c r="AI925" s="25"/>
      <c r="AJ925" s="26"/>
      <c r="AK925" s="29"/>
      <c r="AL925" s="28"/>
      <c r="AM925" s="26"/>
      <c r="AN925" s="29"/>
      <c r="AO925" s="25"/>
      <c r="AP925" s="29"/>
      <c r="AQ925" s="25"/>
      <c r="AR925" s="25"/>
      <c r="AS925" s="25"/>
      <c r="AT925" s="25"/>
      <c r="AU925" s="26"/>
      <c r="AV925" s="26"/>
      <c r="AW925" s="26"/>
      <c r="AX925" s="26"/>
      <c r="AY925" s="26"/>
      <c r="AZ925" s="26"/>
      <c r="BA925" s="26"/>
    </row>
    <row r="926">
      <c r="A926" s="26"/>
      <c r="B926" s="26"/>
      <c r="C926" s="26"/>
      <c r="D926" s="27"/>
      <c r="E926" s="27"/>
      <c r="F926" s="26"/>
      <c r="G926" s="28"/>
      <c r="H926" s="28"/>
      <c r="I926" s="28"/>
      <c r="J926" s="28"/>
      <c r="K926" s="28"/>
      <c r="L926" s="28"/>
      <c r="M926" s="28"/>
      <c r="N926" s="26"/>
      <c r="O926" s="29"/>
      <c r="P926" s="27"/>
      <c r="Q926" s="26"/>
      <c r="R926" s="29"/>
      <c r="S926" s="28"/>
      <c r="T926" s="29"/>
      <c r="U926" s="28"/>
      <c r="V926" s="28"/>
      <c r="W926" s="28"/>
      <c r="X926" s="28"/>
      <c r="Y926" s="26"/>
      <c r="Z926" s="29"/>
      <c r="AA926" s="28"/>
      <c r="AB926" s="26"/>
      <c r="AC926" s="29"/>
      <c r="AD926" s="25"/>
      <c r="AE926" s="29"/>
      <c r="AF926" s="25"/>
      <c r="AG926" s="25"/>
      <c r="AH926" s="25"/>
      <c r="AI926" s="25"/>
      <c r="AJ926" s="26"/>
      <c r="AK926" s="29"/>
      <c r="AL926" s="28"/>
      <c r="AM926" s="26"/>
      <c r="AN926" s="29"/>
      <c r="AO926" s="25"/>
      <c r="AP926" s="29"/>
      <c r="AQ926" s="25"/>
      <c r="AR926" s="25"/>
      <c r="AS926" s="25"/>
      <c r="AT926" s="25"/>
      <c r="AU926" s="26"/>
      <c r="AV926" s="26"/>
      <c r="AW926" s="26"/>
      <c r="AX926" s="26"/>
      <c r="AY926" s="26"/>
      <c r="AZ926" s="26"/>
      <c r="BA926" s="26"/>
    </row>
    <row r="927">
      <c r="A927" s="26"/>
      <c r="B927" s="26"/>
      <c r="C927" s="26"/>
      <c r="D927" s="27"/>
      <c r="E927" s="27"/>
      <c r="F927" s="26"/>
      <c r="G927" s="28"/>
      <c r="H927" s="28"/>
      <c r="I927" s="28"/>
      <c r="J927" s="28"/>
      <c r="K927" s="28"/>
      <c r="L927" s="28"/>
      <c r="M927" s="28"/>
      <c r="N927" s="26"/>
      <c r="O927" s="29"/>
      <c r="P927" s="27"/>
      <c r="Q927" s="26"/>
      <c r="R927" s="29"/>
      <c r="S927" s="28"/>
      <c r="T927" s="29"/>
      <c r="U927" s="28"/>
      <c r="V927" s="28"/>
      <c r="W927" s="28"/>
      <c r="X927" s="28"/>
      <c r="Y927" s="26"/>
      <c r="Z927" s="29"/>
      <c r="AA927" s="28"/>
      <c r="AB927" s="26"/>
      <c r="AC927" s="29"/>
      <c r="AD927" s="25"/>
      <c r="AE927" s="29"/>
      <c r="AF927" s="25"/>
      <c r="AG927" s="25"/>
      <c r="AH927" s="25"/>
      <c r="AI927" s="25"/>
      <c r="AJ927" s="26"/>
      <c r="AK927" s="29"/>
      <c r="AL927" s="28"/>
      <c r="AM927" s="26"/>
      <c r="AN927" s="29"/>
      <c r="AO927" s="25"/>
      <c r="AP927" s="29"/>
      <c r="AQ927" s="25"/>
      <c r="AR927" s="25"/>
      <c r="AS927" s="25"/>
      <c r="AT927" s="25"/>
      <c r="AU927" s="26"/>
      <c r="AV927" s="26"/>
      <c r="AW927" s="26"/>
      <c r="AX927" s="26"/>
      <c r="AY927" s="26"/>
      <c r="AZ927" s="26"/>
      <c r="BA927" s="26"/>
    </row>
    <row r="928">
      <c r="A928" s="26"/>
      <c r="B928" s="26"/>
      <c r="C928" s="26"/>
      <c r="D928" s="27"/>
      <c r="E928" s="27"/>
      <c r="F928" s="26"/>
      <c r="G928" s="28"/>
      <c r="H928" s="28"/>
      <c r="I928" s="28"/>
      <c r="J928" s="28"/>
      <c r="K928" s="28"/>
      <c r="L928" s="28"/>
      <c r="M928" s="28"/>
      <c r="N928" s="26"/>
      <c r="O928" s="29"/>
      <c r="P928" s="27"/>
      <c r="Q928" s="26"/>
      <c r="R928" s="29"/>
      <c r="S928" s="28"/>
      <c r="T928" s="29"/>
      <c r="U928" s="28"/>
      <c r="V928" s="28"/>
      <c r="W928" s="28"/>
      <c r="X928" s="28"/>
      <c r="Y928" s="26"/>
      <c r="Z928" s="29"/>
      <c r="AA928" s="28"/>
      <c r="AB928" s="26"/>
      <c r="AC928" s="29"/>
      <c r="AD928" s="25"/>
      <c r="AE928" s="29"/>
      <c r="AF928" s="25"/>
      <c r="AG928" s="25"/>
      <c r="AH928" s="25"/>
      <c r="AI928" s="25"/>
      <c r="AJ928" s="26"/>
      <c r="AK928" s="29"/>
      <c r="AL928" s="28"/>
      <c r="AM928" s="26"/>
      <c r="AN928" s="29"/>
      <c r="AO928" s="25"/>
      <c r="AP928" s="29"/>
      <c r="AQ928" s="25"/>
      <c r="AR928" s="25"/>
      <c r="AS928" s="25"/>
      <c r="AT928" s="25"/>
      <c r="AU928" s="26"/>
      <c r="AV928" s="26"/>
      <c r="AW928" s="26"/>
      <c r="AX928" s="26"/>
      <c r="AY928" s="26"/>
      <c r="AZ928" s="26"/>
      <c r="BA928" s="26"/>
    </row>
    <row r="929">
      <c r="A929" s="26"/>
      <c r="B929" s="26"/>
      <c r="C929" s="26"/>
      <c r="D929" s="27"/>
      <c r="E929" s="27"/>
      <c r="F929" s="26"/>
      <c r="G929" s="28"/>
      <c r="H929" s="28"/>
      <c r="I929" s="28"/>
      <c r="J929" s="28"/>
      <c r="K929" s="28"/>
      <c r="L929" s="28"/>
      <c r="M929" s="28"/>
      <c r="N929" s="26"/>
      <c r="O929" s="29"/>
      <c r="P929" s="27"/>
      <c r="Q929" s="26"/>
      <c r="R929" s="29"/>
      <c r="S929" s="28"/>
      <c r="T929" s="29"/>
      <c r="U929" s="28"/>
      <c r="V929" s="28"/>
      <c r="W929" s="28"/>
      <c r="X929" s="28"/>
      <c r="Y929" s="26"/>
      <c r="Z929" s="29"/>
      <c r="AA929" s="28"/>
      <c r="AB929" s="26"/>
      <c r="AC929" s="29"/>
      <c r="AD929" s="25"/>
      <c r="AE929" s="29"/>
      <c r="AF929" s="25"/>
      <c r="AG929" s="25"/>
      <c r="AH929" s="25"/>
      <c r="AI929" s="25"/>
      <c r="AJ929" s="26"/>
      <c r="AK929" s="29"/>
      <c r="AL929" s="28"/>
      <c r="AM929" s="26"/>
      <c r="AN929" s="29"/>
      <c r="AO929" s="25"/>
      <c r="AP929" s="29"/>
      <c r="AQ929" s="25"/>
      <c r="AR929" s="25"/>
      <c r="AS929" s="25"/>
      <c r="AT929" s="25"/>
      <c r="AU929" s="26"/>
      <c r="AV929" s="26"/>
      <c r="AW929" s="26"/>
      <c r="AX929" s="26"/>
      <c r="AY929" s="26"/>
      <c r="AZ929" s="26"/>
      <c r="BA929" s="26"/>
    </row>
    <row r="930">
      <c r="A930" s="26"/>
      <c r="B930" s="26"/>
      <c r="C930" s="26"/>
      <c r="D930" s="27"/>
      <c r="E930" s="27"/>
      <c r="F930" s="26"/>
      <c r="G930" s="28"/>
      <c r="H930" s="28"/>
      <c r="I930" s="28"/>
      <c r="J930" s="28"/>
      <c r="K930" s="28"/>
      <c r="L930" s="28"/>
      <c r="M930" s="28"/>
      <c r="N930" s="26"/>
      <c r="O930" s="29"/>
      <c r="P930" s="27"/>
      <c r="Q930" s="26"/>
      <c r="R930" s="29"/>
      <c r="S930" s="28"/>
      <c r="T930" s="29"/>
      <c r="U930" s="28"/>
      <c r="V930" s="28"/>
      <c r="W930" s="28"/>
      <c r="X930" s="28"/>
      <c r="Y930" s="26"/>
      <c r="Z930" s="29"/>
      <c r="AA930" s="28"/>
      <c r="AB930" s="26"/>
      <c r="AC930" s="29"/>
      <c r="AD930" s="25"/>
      <c r="AE930" s="29"/>
      <c r="AF930" s="25"/>
      <c r="AG930" s="25"/>
      <c r="AH930" s="25"/>
      <c r="AI930" s="25"/>
      <c r="AJ930" s="26"/>
      <c r="AK930" s="29"/>
      <c r="AL930" s="28"/>
      <c r="AM930" s="26"/>
      <c r="AN930" s="29"/>
      <c r="AO930" s="25"/>
      <c r="AP930" s="29"/>
      <c r="AQ930" s="25"/>
      <c r="AR930" s="25"/>
      <c r="AS930" s="25"/>
      <c r="AT930" s="25"/>
      <c r="AU930" s="26"/>
      <c r="AV930" s="26"/>
      <c r="AW930" s="26"/>
      <c r="AX930" s="26"/>
      <c r="AY930" s="26"/>
      <c r="AZ930" s="26"/>
      <c r="BA930" s="26"/>
    </row>
    <row r="931">
      <c r="A931" s="26"/>
      <c r="B931" s="26"/>
      <c r="C931" s="26"/>
      <c r="D931" s="27"/>
      <c r="E931" s="27"/>
      <c r="F931" s="26"/>
      <c r="G931" s="28"/>
      <c r="H931" s="28"/>
      <c r="I931" s="28"/>
      <c r="J931" s="28"/>
      <c r="K931" s="28"/>
      <c r="L931" s="28"/>
      <c r="M931" s="28"/>
      <c r="N931" s="26"/>
      <c r="O931" s="29"/>
      <c r="P931" s="27"/>
      <c r="Q931" s="26"/>
      <c r="R931" s="29"/>
      <c r="S931" s="28"/>
      <c r="T931" s="29"/>
      <c r="U931" s="28"/>
      <c r="V931" s="28"/>
      <c r="W931" s="28"/>
      <c r="X931" s="28"/>
      <c r="Y931" s="26"/>
      <c r="Z931" s="29"/>
      <c r="AA931" s="28"/>
      <c r="AB931" s="26"/>
      <c r="AC931" s="29"/>
      <c r="AD931" s="25"/>
      <c r="AE931" s="29"/>
      <c r="AF931" s="25"/>
      <c r="AG931" s="25"/>
      <c r="AH931" s="25"/>
      <c r="AI931" s="25"/>
      <c r="AJ931" s="26"/>
      <c r="AK931" s="29"/>
      <c r="AL931" s="28"/>
      <c r="AM931" s="26"/>
      <c r="AN931" s="29"/>
      <c r="AO931" s="25"/>
      <c r="AP931" s="29"/>
      <c r="AQ931" s="25"/>
      <c r="AR931" s="25"/>
      <c r="AS931" s="25"/>
      <c r="AT931" s="25"/>
      <c r="AU931" s="26"/>
      <c r="AV931" s="26"/>
      <c r="AW931" s="26"/>
      <c r="AX931" s="26"/>
      <c r="AY931" s="26"/>
      <c r="AZ931" s="26"/>
      <c r="BA931" s="26"/>
    </row>
    <row r="932">
      <c r="A932" s="26"/>
      <c r="B932" s="26"/>
      <c r="C932" s="26"/>
      <c r="D932" s="27"/>
      <c r="E932" s="27"/>
      <c r="F932" s="26"/>
      <c r="G932" s="28"/>
      <c r="H932" s="28"/>
      <c r="I932" s="28"/>
      <c r="J932" s="28"/>
      <c r="K932" s="28"/>
      <c r="L932" s="28"/>
      <c r="M932" s="28"/>
      <c r="N932" s="26"/>
      <c r="O932" s="29"/>
      <c r="P932" s="27"/>
      <c r="Q932" s="26"/>
      <c r="R932" s="29"/>
      <c r="S932" s="28"/>
      <c r="T932" s="29"/>
      <c r="U932" s="28"/>
      <c r="V932" s="28"/>
      <c r="W932" s="28"/>
      <c r="X932" s="28"/>
      <c r="Y932" s="26"/>
      <c r="Z932" s="29"/>
      <c r="AA932" s="28"/>
      <c r="AB932" s="26"/>
      <c r="AC932" s="29"/>
      <c r="AD932" s="25"/>
      <c r="AE932" s="29"/>
      <c r="AF932" s="25"/>
      <c r="AG932" s="25"/>
      <c r="AH932" s="25"/>
      <c r="AI932" s="25"/>
      <c r="AJ932" s="26"/>
      <c r="AK932" s="29"/>
      <c r="AL932" s="28"/>
      <c r="AM932" s="26"/>
      <c r="AN932" s="29"/>
      <c r="AO932" s="25"/>
      <c r="AP932" s="29"/>
      <c r="AQ932" s="25"/>
      <c r="AR932" s="25"/>
      <c r="AS932" s="25"/>
      <c r="AT932" s="25"/>
      <c r="AU932" s="26"/>
      <c r="AV932" s="26"/>
      <c r="AW932" s="26"/>
      <c r="AX932" s="26"/>
      <c r="AY932" s="26"/>
      <c r="AZ932" s="26"/>
      <c r="BA932" s="26"/>
    </row>
    <row r="933">
      <c r="A933" s="26"/>
      <c r="B933" s="26"/>
      <c r="C933" s="26"/>
      <c r="D933" s="27"/>
      <c r="E933" s="27"/>
      <c r="F933" s="26"/>
      <c r="G933" s="28"/>
      <c r="H933" s="28"/>
      <c r="I933" s="28"/>
      <c r="J933" s="28"/>
      <c r="K933" s="28"/>
      <c r="L933" s="28"/>
      <c r="M933" s="28"/>
      <c r="N933" s="26"/>
      <c r="O933" s="29"/>
      <c r="P933" s="27"/>
      <c r="Q933" s="26"/>
      <c r="R933" s="29"/>
      <c r="S933" s="28"/>
      <c r="T933" s="29"/>
      <c r="U933" s="28"/>
      <c r="V933" s="28"/>
      <c r="W933" s="28"/>
      <c r="X933" s="28"/>
      <c r="Y933" s="26"/>
      <c r="Z933" s="29"/>
      <c r="AA933" s="28"/>
      <c r="AB933" s="26"/>
      <c r="AC933" s="29"/>
      <c r="AD933" s="25"/>
      <c r="AE933" s="29"/>
      <c r="AF933" s="25"/>
      <c r="AG933" s="25"/>
      <c r="AH933" s="25"/>
      <c r="AI933" s="25"/>
      <c r="AJ933" s="26"/>
      <c r="AK933" s="29"/>
      <c r="AL933" s="28"/>
      <c r="AM933" s="26"/>
      <c r="AN933" s="29"/>
      <c r="AO933" s="25"/>
      <c r="AP933" s="29"/>
      <c r="AQ933" s="25"/>
      <c r="AR933" s="25"/>
      <c r="AS933" s="25"/>
      <c r="AT933" s="25"/>
      <c r="AU933" s="26"/>
      <c r="AV933" s="26"/>
      <c r="AW933" s="26"/>
      <c r="AX933" s="26"/>
      <c r="AY933" s="26"/>
      <c r="AZ933" s="26"/>
      <c r="BA933" s="26"/>
    </row>
    <row r="934">
      <c r="A934" s="26"/>
      <c r="B934" s="26"/>
      <c r="C934" s="26"/>
      <c r="D934" s="27"/>
      <c r="E934" s="27"/>
      <c r="F934" s="26"/>
      <c r="G934" s="28"/>
      <c r="H934" s="28"/>
      <c r="I934" s="28"/>
      <c r="J934" s="28"/>
      <c r="K934" s="28"/>
      <c r="L934" s="28"/>
      <c r="M934" s="28"/>
      <c r="N934" s="26"/>
      <c r="O934" s="29"/>
      <c r="P934" s="27"/>
      <c r="Q934" s="26"/>
      <c r="R934" s="29"/>
      <c r="S934" s="28"/>
      <c r="T934" s="29"/>
      <c r="U934" s="28"/>
      <c r="V934" s="28"/>
      <c r="W934" s="28"/>
      <c r="X934" s="28"/>
      <c r="Y934" s="26"/>
      <c r="Z934" s="29"/>
      <c r="AA934" s="28"/>
      <c r="AB934" s="26"/>
      <c r="AC934" s="29"/>
      <c r="AD934" s="25"/>
      <c r="AE934" s="29"/>
      <c r="AF934" s="25"/>
      <c r="AG934" s="25"/>
      <c r="AH934" s="25"/>
      <c r="AI934" s="25"/>
      <c r="AJ934" s="26"/>
      <c r="AK934" s="29"/>
      <c r="AL934" s="28"/>
      <c r="AM934" s="26"/>
      <c r="AN934" s="29"/>
      <c r="AO934" s="25"/>
      <c r="AP934" s="29"/>
      <c r="AQ934" s="25"/>
      <c r="AR934" s="25"/>
      <c r="AS934" s="25"/>
      <c r="AT934" s="25"/>
      <c r="AU934" s="26"/>
      <c r="AV934" s="26"/>
      <c r="AW934" s="26"/>
      <c r="AX934" s="26"/>
      <c r="AY934" s="26"/>
      <c r="AZ934" s="26"/>
      <c r="BA934" s="26"/>
    </row>
    <row r="935">
      <c r="A935" s="26"/>
      <c r="B935" s="26"/>
      <c r="C935" s="26"/>
      <c r="D935" s="27"/>
      <c r="E935" s="27"/>
      <c r="F935" s="26"/>
      <c r="G935" s="28"/>
      <c r="H935" s="28"/>
      <c r="I935" s="28"/>
      <c r="J935" s="28"/>
      <c r="K935" s="28"/>
      <c r="L935" s="28"/>
      <c r="M935" s="28"/>
      <c r="N935" s="26"/>
      <c r="O935" s="29"/>
      <c r="P935" s="27"/>
      <c r="Q935" s="26"/>
      <c r="R935" s="29"/>
      <c r="S935" s="28"/>
      <c r="T935" s="29"/>
      <c r="U935" s="28"/>
      <c r="V935" s="28"/>
      <c r="W935" s="28"/>
      <c r="X935" s="28"/>
      <c r="Y935" s="26"/>
      <c r="Z935" s="29"/>
      <c r="AA935" s="28"/>
      <c r="AB935" s="26"/>
      <c r="AC935" s="29"/>
      <c r="AD935" s="25"/>
      <c r="AE935" s="29"/>
      <c r="AF935" s="25"/>
      <c r="AG935" s="25"/>
      <c r="AH935" s="25"/>
      <c r="AI935" s="25"/>
      <c r="AJ935" s="26"/>
      <c r="AK935" s="29"/>
      <c r="AL935" s="28"/>
      <c r="AM935" s="26"/>
      <c r="AN935" s="29"/>
      <c r="AO935" s="25"/>
      <c r="AP935" s="29"/>
      <c r="AQ935" s="25"/>
      <c r="AR935" s="25"/>
      <c r="AS935" s="25"/>
      <c r="AT935" s="25"/>
      <c r="AU935" s="26"/>
      <c r="AV935" s="26"/>
      <c r="AW935" s="26"/>
      <c r="AX935" s="26"/>
      <c r="AY935" s="26"/>
      <c r="AZ935" s="26"/>
      <c r="BA935" s="26"/>
    </row>
    <row r="936">
      <c r="A936" s="26"/>
      <c r="B936" s="26"/>
      <c r="C936" s="26"/>
      <c r="D936" s="27"/>
      <c r="E936" s="27"/>
      <c r="F936" s="26"/>
      <c r="G936" s="28"/>
      <c r="H936" s="28"/>
      <c r="I936" s="28"/>
      <c r="J936" s="28"/>
      <c r="K936" s="28"/>
      <c r="L936" s="28"/>
      <c r="M936" s="28"/>
      <c r="N936" s="26"/>
      <c r="O936" s="29"/>
      <c r="P936" s="27"/>
      <c r="Q936" s="26"/>
      <c r="R936" s="29"/>
      <c r="S936" s="28"/>
      <c r="T936" s="29"/>
      <c r="U936" s="28"/>
      <c r="V936" s="28"/>
      <c r="W936" s="28"/>
      <c r="X936" s="28"/>
      <c r="Y936" s="26"/>
      <c r="Z936" s="29"/>
      <c r="AA936" s="28"/>
      <c r="AB936" s="26"/>
      <c r="AC936" s="29"/>
      <c r="AD936" s="25"/>
      <c r="AE936" s="29"/>
      <c r="AF936" s="25"/>
      <c r="AG936" s="25"/>
      <c r="AH936" s="25"/>
      <c r="AI936" s="25"/>
      <c r="AJ936" s="26"/>
      <c r="AK936" s="29"/>
      <c r="AL936" s="28"/>
      <c r="AM936" s="26"/>
      <c r="AN936" s="29"/>
      <c r="AO936" s="25"/>
      <c r="AP936" s="29"/>
      <c r="AQ936" s="25"/>
      <c r="AR936" s="25"/>
      <c r="AS936" s="25"/>
      <c r="AT936" s="25"/>
      <c r="AU936" s="26"/>
      <c r="AV936" s="26"/>
      <c r="AW936" s="26"/>
      <c r="AX936" s="26"/>
      <c r="AY936" s="26"/>
      <c r="AZ936" s="26"/>
      <c r="BA936" s="26"/>
    </row>
    <row r="937">
      <c r="A937" s="26"/>
      <c r="B937" s="26"/>
      <c r="C937" s="26"/>
      <c r="D937" s="27"/>
      <c r="E937" s="27"/>
      <c r="F937" s="26"/>
      <c r="G937" s="28"/>
      <c r="H937" s="28"/>
      <c r="I937" s="28"/>
      <c r="J937" s="28"/>
      <c r="K937" s="28"/>
      <c r="L937" s="28"/>
      <c r="M937" s="28"/>
      <c r="N937" s="26"/>
      <c r="O937" s="29"/>
      <c r="P937" s="27"/>
      <c r="Q937" s="26"/>
      <c r="R937" s="29"/>
      <c r="S937" s="28"/>
      <c r="T937" s="29"/>
      <c r="U937" s="28"/>
      <c r="V937" s="28"/>
      <c r="W937" s="28"/>
      <c r="X937" s="28"/>
      <c r="Y937" s="26"/>
      <c r="Z937" s="29"/>
      <c r="AA937" s="28"/>
      <c r="AB937" s="26"/>
      <c r="AC937" s="29"/>
      <c r="AD937" s="25"/>
      <c r="AE937" s="29"/>
      <c r="AF937" s="25"/>
      <c r="AG937" s="25"/>
      <c r="AH937" s="25"/>
      <c r="AI937" s="25"/>
      <c r="AJ937" s="26"/>
      <c r="AK937" s="29"/>
      <c r="AL937" s="28"/>
      <c r="AM937" s="26"/>
      <c r="AN937" s="29"/>
      <c r="AO937" s="25"/>
      <c r="AP937" s="29"/>
      <c r="AQ937" s="25"/>
      <c r="AR937" s="25"/>
      <c r="AS937" s="25"/>
      <c r="AT937" s="25"/>
      <c r="AU937" s="26"/>
      <c r="AV937" s="26"/>
      <c r="AW937" s="26"/>
      <c r="AX937" s="26"/>
      <c r="AY937" s="26"/>
      <c r="AZ937" s="26"/>
      <c r="BA937" s="26"/>
    </row>
    <row r="938">
      <c r="A938" s="26"/>
      <c r="B938" s="26"/>
      <c r="C938" s="26"/>
      <c r="D938" s="27"/>
      <c r="E938" s="27"/>
      <c r="F938" s="26"/>
      <c r="G938" s="28"/>
      <c r="H938" s="28"/>
      <c r="I938" s="28"/>
      <c r="J938" s="28"/>
      <c r="K938" s="28"/>
      <c r="L938" s="28"/>
      <c r="M938" s="28"/>
      <c r="N938" s="26"/>
      <c r="O938" s="29"/>
      <c r="P938" s="27"/>
      <c r="Q938" s="26"/>
      <c r="R938" s="29"/>
      <c r="S938" s="28"/>
      <c r="T938" s="29"/>
      <c r="U938" s="28"/>
      <c r="V938" s="28"/>
      <c r="W938" s="28"/>
      <c r="X938" s="28"/>
      <c r="Y938" s="26"/>
      <c r="Z938" s="29"/>
      <c r="AA938" s="28"/>
      <c r="AB938" s="26"/>
      <c r="AC938" s="29"/>
      <c r="AD938" s="25"/>
      <c r="AE938" s="29"/>
      <c r="AF938" s="25"/>
      <c r="AG938" s="25"/>
      <c r="AH938" s="25"/>
      <c r="AI938" s="25"/>
      <c r="AJ938" s="26"/>
      <c r="AK938" s="29"/>
      <c r="AL938" s="28"/>
      <c r="AM938" s="26"/>
      <c r="AN938" s="29"/>
      <c r="AO938" s="25"/>
      <c r="AP938" s="29"/>
      <c r="AQ938" s="25"/>
      <c r="AR938" s="25"/>
      <c r="AS938" s="25"/>
      <c r="AT938" s="25"/>
      <c r="AU938" s="26"/>
      <c r="AV938" s="26"/>
      <c r="AW938" s="26"/>
      <c r="AX938" s="26"/>
      <c r="AY938" s="26"/>
      <c r="AZ938" s="26"/>
      <c r="BA938" s="26"/>
    </row>
    <row r="939">
      <c r="A939" s="26"/>
      <c r="B939" s="26"/>
      <c r="C939" s="26"/>
      <c r="D939" s="27"/>
      <c r="E939" s="27"/>
      <c r="F939" s="26"/>
      <c r="G939" s="28"/>
      <c r="H939" s="28"/>
      <c r="I939" s="28"/>
      <c r="J939" s="28"/>
      <c r="K939" s="28"/>
      <c r="L939" s="28"/>
      <c r="M939" s="28"/>
      <c r="N939" s="26"/>
      <c r="O939" s="29"/>
      <c r="P939" s="27"/>
      <c r="Q939" s="26"/>
      <c r="R939" s="29"/>
      <c r="S939" s="28"/>
      <c r="T939" s="29"/>
      <c r="U939" s="28"/>
      <c r="V939" s="28"/>
      <c r="W939" s="28"/>
      <c r="X939" s="28"/>
      <c r="Y939" s="26"/>
      <c r="Z939" s="29"/>
      <c r="AA939" s="28"/>
      <c r="AB939" s="26"/>
      <c r="AC939" s="29"/>
      <c r="AD939" s="25"/>
      <c r="AE939" s="29"/>
      <c r="AF939" s="25"/>
      <c r="AG939" s="25"/>
      <c r="AH939" s="25"/>
      <c r="AI939" s="25"/>
      <c r="AJ939" s="26"/>
      <c r="AK939" s="29"/>
      <c r="AL939" s="28"/>
      <c r="AM939" s="26"/>
      <c r="AN939" s="29"/>
      <c r="AO939" s="25"/>
      <c r="AP939" s="29"/>
      <c r="AQ939" s="25"/>
      <c r="AR939" s="25"/>
      <c r="AS939" s="25"/>
      <c r="AT939" s="25"/>
      <c r="AU939" s="26"/>
      <c r="AV939" s="26"/>
      <c r="AW939" s="26"/>
      <c r="AX939" s="26"/>
      <c r="AY939" s="26"/>
      <c r="AZ939" s="26"/>
      <c r="BA939" s="26"/>
    </row>
    <row r="940">
      <c r="A940" s="26"/>
      <c r="B940" s="26"/>
      <c r="C940" s="26"/>
      <c r="D940" s="27"/>
      <c r="E940" s="27"/>
      <c r="F940" s="26"/>
      <c r="G940" s="28"/>
      <c r="H940" s="28"/>
      <c r="I940" s="28"/>
      <c r="J940" s="28"/>
      <c r="K940" s="28"/>
      <c r="L940" s="28"/>
      <c r="M940" s="28"/>
      <c r="N940" s="26"/>
      <c r="O940" s="29"/>
      <c r="P940" s="27"/>
      <c r="Q940" s="26"/>
      <c r="R940" s="29"/>
      <c r="S940" s="28"/>
      <c r="T940" s="29"/>
      <c r="U940" s="28"/>
      <c r="V940" s="28"/>
      <c r="W940" s="28"/>
      <c r="X940" s="28"/>
      <c r="Y940" s="26"/>
      <c r="Z940" s="29"/>
      <c r="AA940" s="28"/>
      <c r="AB940" s="26"/>
      <c r="AC940" s="29"/>
      <c r="AD940" s="25"/>
      <c r="AE940" s="29"/>
      <c r="AF940" s="25"/>
      <c r="AG940" s="25"/>
      <c r="AH940" s="25"/>
      <c r="AI940" s="25"/>
      <c r="AJ940" s="26"/>
      <c r="AK940" s="29"/>
      <c r="AL940" s="28"/>
      <c r="AM940" s="26"/>
      <c r="AN940" s="29"/>
      <c r="AO940" s="25"/>
      <c r="AP940" s="29"/>
      <c r="AQ940" s="25"/>
      <c r="AR940" s="25"/>
      <c r="AS940" s="25"/>
      <c r="AT940" s="25"/>
      <c r="AU940" s="26"/>
      <c r="AV940" s="26"/>
      <c r="AW940" s="26"/>
      <c r="AX940" s="26"/>
      <c r="AY940" s="26"/>
      <c r="AZ940" s="26"/>
      <c r="BA940" s="26"/>
    </row>
    <row r="941">
      <c r="A941" s="26"/>
      <c r="B941" s="26"/>
      <c r="C941" s="26"/>
      <c r="D941" s="27"/>
      <c r="E941" s="27"/>
      <c r="F941" s="26"/>
      <c r="G941" s="28"/>
      <c r="H941" s="28"/>
      <c r="I941" s="28"/>
      <c r="J941" s="28"/>
      <c r="K941" s="28"/>
      <c r="L941" s="28"/>
      <c r="M941" s="28"/>
      <c r="N941" s="26"/>
      <c r="O941" s="29"/>
      <c r="P941" s="27"/>
      <c r="Q941" s="26"/>
      <c r="R941" s="29"/>
      <c r="S941" s="28"/>
      <c r="T941" s="29"/>
      <c r="U941" s="28"/>
      <c r="V941" s="28"/>
      <c r="W941" s="28"/>
      <c r="X941" s="28"/>
      <c r="Y941" s="26"/>
      <c r="Z941" s="29"/>
      <c r="AA941" s="28"/>
      <c r="AB941" s="26"/>
      <c r="AC941" s="29"/>
      <c r="AD941" s="25"/>
      <c r="AE941" s="29"/>
      <c r="AF941" s="25"/>
      <c r="AG941" s="25"/>
      <c r="AH941" s="25"/>
      <c r="AI941" s="25"/>
      <c r="AJ941" s="26"/>
      <c r="AK941" s="29"/>
      <c r="AL941" s="28"/>
      <c r="AM941" s="26"/>
      <c r="AN941" s="29"/>
      <c r="AO941" s="25"/>
      <c r="AP941" s="29"/>
      <c r="AQ941" s="25"/>
      <c r="AR941" s="25"/>
      <c r="AS941" s="25"/>
      <c r="AT941" s="25"/>
      <c r="AU941" s="26"/>
      <c r="AV941" s="26"/>
      <c r="AW941" s="26"/>
      <c r="AX941" s="26"/>
      <c r="AY941" s="26"/>
      <c r="AZ941" s="26"/>
      <c r="BA941" s="26"/>
    </row>
    <row r="942">
      <c r="A942" s="26"/>
      <c r="B942" s="26"/>
      <c r="C942" s="26"/>
      <c r="D942" s="27"/>
      <c r="E942" s="27"/>
      <c r="F942" s="26"/>
      <c r="G942" s="28"/>
      <c r="H942" s="28"/>
      <c r="I942" s="28"/>
      <c r="J942" s="28"/>
      <c r="K942" s="28"/>
      <c r="L942" s="28"/>
      <c r="M942" s="28"/>
      <c r="N942" s="26"/>
      <c r="O942" s="29"/>
      <c r="P942" s="27"/>
      <c r="Q942" s="26"/>
      <c r="R942" s="29"/>
      <c r="S942" s="28"/>
      <c r="T942" s="29"/>
      <c r="U942" s="28"/>
      <c r="V942" s="28"/>
      <c r="W942" s="28"/>
      <c r="X942" s="28"/>
      <c r="Y942" s="26"/>
      <c r="Z942" s="29"/>
      <c r="AA942" s="28"/>
      <c r="AB942" s="26"/>
      <c r="AC942" s="29"/>
      <c r="AD942" s="25"/>
      <c r="AE942" s="29"/>
      <c r="AF942" s="25"/>
      <c r="AG942" s="25"/>
      <c r="AH942" s="25"/>
      <c r="AI942" s="25"/>
      <c r="AJ942" s="26"/>
      <c r="AK942" s="29"/>
      <c r="AL942" s="28"/>
      <c r="AM942" s="26"/>
      <c r="AN942" s="29"/>
      <c r="AO942" s="25"/>
      <c r="AP942" s="29"/>
      <c r="AQ942" s="25"/>
      <c r="AR942" s="25"/>
      <c r="AS942" s="25"/>
      <c r="AT942" s="25"/>
      <c r="AU942" s="26"/>
      <c r="AV942" s="26"/>
      <c r="AW942" s="26"/>
      <c r="AX942" s="26"/>
      <c r="AY942" s="26"/>
      <c r="AZ942" s="26"/>
      <c r="BA942" s="26"/>
    </row>
    <row r="943">
      <c r="A943" s="26"/>
      <c r="B943" s="26"/>
      <c r="C943" s="26"/>
      <c r="D943" s="27"/>
      <c r="E943" s="27"/>
      <c r="F943" s="26"/>
      <c r="G943" s="28"/>
      <c r="H943" s="28"/>
      <c r="I943" s="28"/>
      <c r="J943" s="28"/>
      <c r="K943" s="28"/>
      <c r="L943" s="28"/>
      <c r="M943" s="28"/>
      <c r="N943" s="26"/>
      <c r="O943" s="29"/>
      <c r="P943" s="27"/>
      <c r="Q943" s="26"/>
      <c r="R943" s="29"/>
      <c r="S943" s="28"/>
      <c r="T943" s="29"/>
      <c r="U943" s="28"/>
      <c r="V943" s="28"/>
      <c r="W943" s="28"/>
      <c r="X943" s="28"/>
      <c r="Y943" s="26"/>
      <c r="Z943" s="29"/>
      <c r="AA943" s="28"/>
      <c r="AB943" s="26"/>
      <c r="AC943" s="29"/>
      <c r="AD943" s="25"/>
      <c r="AE943" s="29"/>
      <c r="AF943" s="25"/>
      <c r="AG943" s="25"/>
      <c r="AH943" s="25"/>
      <c r="AI943" s="25"/>
      <c r="AJ943" s="26"/>
      <c r="AK943" s="29"/>
      <c r="AL943" s="28"/>
      <c r="AM943" s="26"/>
      <c r="AN943" s="29"/>
      <c r="AO943" s="25"/>
      <c r="AP943" s="29"/>
      <c r="AQ943" s="25"/>
      <c r="AR943" s="25"/>
      <c r="AS943" s="25"/>
      <c r="AT943" s="25"/>
      <c r="AU943" s="26"/>
      <c r="AV943" s="26"/>
      <c r="AW943" s="26"/>
      <c r="AX943" s="26"/>
      <c r="AY943" s="26"/>
      <c r="AZ943" s="26"/>
      <c r="BA943" s="26"/>
    </row>
    <row r="944">
      <c r="A944" s="26"/>
      <c r="B944" s="26"/>
      <c r="C944" s="26"/>
      <c r="D944" s="27"/>
      <c r="E944" s="27"/>
      <c r="F944" s="26"/>
      <c r="G944" s="28"/>
      <c r="H944" s="28"/>
      <c r="I944" s="28"/>
      <c r="J944" s="28"/>
      <c r="K944" s="28"/>
      <c r="L944" s="28"/>
      <c r="M944" s="28"/>
      <c r="N944" s="26"/>
      <c r="O944" s="29"/>
      <c r="P944" s="27"/>
      <c r="Q944" s="26"/>
      <c r="R944" s="29"/>
      <c r="S944" s="28"/>
      <c r="T944" s="29"/>
      <c r="U944" s="28"/>
      <c r="V944" s="28"/>
      <c r="W944" s="28"/>
      <c r="X944" s="28"/>
      <c r="Y944" s="26"/>
      <c r="Z944" s="29"/>
      <c r="AA944" s="28"/>
      <c r="AB944" s="26"/>
      <c r="AC944" s="29"/>
      <c r="AD944" s="25"/>
      <c r="AE944" s="29"/>
      <c r="AF944" s="25"/>
      <c r="AG944" s="25"/>
      <c r="AH944" s="25"/>
      <c r="AI944" s="25"/>
      <c r="AJ944" s="26"/>
      <c r="AK944" s="29"/>
      <c r="AL944" s="28"/>
      <c r="AM944" s="26"/>
      <c r="AN944" s="29"/>
      <c r="AO944" s="25"/>
      <c r="AP944" s="29"/>
      <c r="AQ944" s="25"/>
      <c r="AR944" s="25"/>
      <c r="AS944" s="25"/>
      <c r="AT944" s="25"/>
      <c r="AU944" s="26"/>
      <c r="AV944" s="26"/>
      <c r="AW944" s="26"/>
      <c r="AX944" s="26"/>
      <c r="AY944" s="26"/>
      <c r="AZ944" s="26"/>
      <c r="BA944" s="26"/>
    </row>
    <row r="945">
      <c r="A945" s="26"/>
      <c r="B945" s="26"/>
      <c r="C945" s="26"/>
      <c r="D945" s="27"/>
      <c r="E945" s="27"/>
      <c r="F945" s="26"/>
      <c r="G945" s="28"/>
      <c r="H945" s="28"/>
      <c r="I945" s="28"/>
      <c r="J945" s="28"/>
      <c r="K945" s="28"/>
      <c r="L945" s="28"/>
      <c r="M945" s="28"/>
      <c r="N945" s="26"/>
      <c r="O945" s="29"/>
      <c r="P945" s="27"/>
      <c r="Q945" s="26"/>
      <c r="R945" s="29"/>
      <c r="S945" s="28"/>
      <c r="T945" s="29"/>
      <c r="U945" s="28"/>
      <c r="V945" s="28"/>
      <c r="W945" s="28"/>
      <c r="X945" s="28"/>
      <c r="Y945" s="26"/>
      <c r="Z945" s="29"/>
      <c r="AA945" s="28"/>
      <c r="AB945" s="26"/>
      <c r="AC945" s="29"/>
      <c r="AD945" s="25"/>
      <c r="AE945" s="29"/>
      <c r="AF945" s="25"/>
      <c r="AG945" s="25"/>
      <c r="AH945" s="25"/>
      <c r="AI945" s="25"/>
      <c r="AJ945" s="26"/>
      <c r="AK945" s="29"/>
      <c r="AL945" s="28"/>
      <c r="AM945" s="26"/>
      <c r="AN945" s="29"/>
      <c r="AO945" s="25"/>
      <c r="AP945" s="29"/>
      <c r="AQ945" s="25"/>
      <c r="AR945" s="25"/>
      <c r="AS945" s="25"/>
      <c r="AT945" s="25"/>
      <c r="AU945" s="26"/>
      <c r="AV945" s="26"/>
      <c r="AW945" s="26"/>
      <c r="AX945" s="26"/>
      <c r="AY945" s="26"/>
      <c r="AZ945" s="26"/>
      <c r="BA945" s="26"/>
    </row>
    <row r="946">
      <c r="A946" s="26"/>
      <c r="B946" s="26"/>
      <c r="C946" s="26"/>
      <c r="D946" s="27"/>
      <c r="E946" s="27"/>
      <c r="F946" s="26"/>
      <c r="G946" s="28"/>
      <c r="H946" s="28"/>
      <c r="I946" s="28"/>
      <c r="J946" s="28"/>
      <c r="K946" s="28"/>
      <c r="L946" s="28"/>
      <c r="M946" s="28"/>
      <c r="N946" s="26"/>
      <c r="O946" s="29"/>
      <c r="P946" s="27"/>
      <c r="Q946" s="26"/>
      <c r="R946" s="29"/>
      <c r="S946" s="28"/>
      <c r="T946" s="29"/>
      <c r="U946" s="28"/>
      <c r="V946" s="28"/>
      <c r="W946" s="28"/>
      <c r="X946" s="28"/>
      <c r="Y946" s="26"/>
      <c r="Z946" s="29"/>
      <c r="AA946" s="28"/>
      <c r="AB946" s="26"/>
      <c r="AC946" s="29"/>
      <c r="AD946" s="25"/>
      <c r="AE946" s="29"/>
      <c r="AF946" s="25"/>
      <c r="AG946" s="25"/>
      <c r="AH946" s="25"/>
      <c r="AI946" s="25"/>
      <c r="AJ946" s="26"/>
      <c r="AK946" s="29"/>
      <c r="AL946" s="28"/>
      <c r="AM946" s="26"/>
      <c r="AN946" s="29"/>
      <c r="AO946" s="25"/>
      <c r="AP946" s="29"/>
      <c r="AQ946" s="25"/>
      <c r="AR946" s="25"/>
      <c r="AS946" s="25"/>
      <c r="AT946" s="25"/>
      <c r="AU946" s="26"/>
      <c r="AV946" s="26"/>
      <c r="AW946" s="26"/>
      <c r="AX946" s="26"/>
      <c r="AY946" s="26"/>
      <c r="AZ946" s="26"/>
      <c r="BA946" s="26"/>
    </row>
    <row r="947">
      <c r="A947" s="26"/>
      <c r="B947" s="26"/>
      <c r="C947" s="26"/>
      <c r="D947" s="27"/>
      <c r="E947" s="27"/>
      <c r="F947" s="26"/>
      <c r="G947" s="28"/>
      <c r="H947" s="28"/>
      <c r="I947" s="28"/>
      <c r="J947" s="28"/>
      <c r="K947" s="28"/>
      <c r="L947" s="28"/>
      <c r="M947" s="28"/>
      <c r="N947" s="26"/>
      <c r="O947" s="29"/>
      <c r="P947" s="27"/>
      <c r="Q947" s="26"/>
      <c r="R947" s="29"/>
      <c r="S947" s="28"/>
      <c r="T947" s="29"/>
      <c r="U947" s="28"/>
      <c r="V947" s="28"/>
      <c r="W947" s="28"/>
      <c r="X947" s="28"/>
      <c r="Y947" s="26"/>
      <c r="Z947" s="29"/>
      <c r="AA947" s="28"/>
      <c r="AB947" s="26"/>
      <c r="AC947" s="29"/>
      <c r="AD947" s="25"/>
      <c r="AE947" s="29"/>
      <c r="AF947" s="25"/>
      <c r="AG947" s="25"/>
      <c r="AH947" s="25"/>
      <c r="AI947" s="25"/>
      <c r="AJ947" s="26"/>
      <c r="AK947" s="29"/>
      <c r="AL947" s="28"/>
      <c r="AM947" s="26"/>
      <c r="AN947" s="29"/>
      <c r="AO947" s="25"/>
      <c r="AP947" s="29"/>
      <c r="AQ947" s="25"/>
      <c r="AR947" s="25"/>
      <c r="AS947" s="25"/>
      <c r="AT947" s="25"/>
      <c r="AU947" s="26"/>
      <c r="AV947" s="26"/>
      <c r="AW947" s="26"/>
      <c r="AX947" s="26"/>
      <c r="AY947" s="26"/>
      <c r="AZ947" s="26"/>
      <c r="BA947" s="26"/>
    </row>
    <row r="948">
      <c r="A948" s="26"/>
      <c r="B948" s="26"/>
      <c r="C948" s="26"/>
      <c r="D948" s="27"/>
      <c r="E948" s="27"/>
      <c r="F948" s="26"/>
      <c r="G948" s="28"/>
      <c r="H948" s="28"/>
      <c r="I948" s="28"/>
      <c r="J948" s="28"/>
      <c r="K948" s="28"/>
      <c r="L948" s="28"/>
      <c r="M948" s="28"/>
      <c r="N948" s="26"/>
      <c r="O948" s="29"/>
      <c r="P948" s="27"/>
      <c r="Q948" s="26"/>
      <c r="R948" s="29"/>
      <c r="S948" s="28"/>
      <c r="T948" s="29"/>
      <c r="U948" s="28"/>
      <c r="V948" s="28"/>
      <c r="W948" s="28"/>
      <c r="X948" s="28"/>
      <c r="Y948" s="26"/>
      <c r="Z948" s="29"/>
      <c r="AA948" s="28"/>
      <c r="AB948" s="26"/>
      <c r="AC948" s="29"/>
      <c r="AD948" s="25"/>
      <c r="AE948" s="29"/>
      <c r="AF948" s="25"/>
      <c r="AG948" s="25"/>
      <c r="AH948" s="25"/>
      <c r="AI948" s="25"/>
      <c r="AJ948" s="26"/>
      <c r="AK948" s="29"/>
      <c r="AL948" s="28"/>
      <c r="AM948" s="26"/>
      <c r="AN948" s="29"/>
      <c r="AO948" s="25"/>
      <c r="AP948" s="29"/>
      <c r="AQ948" s="25"/>
      <c r="AR948" s="25"/>
      <c r="AS948" s="25"/>
      <c r="AT948" s="25"/>
      <c r="AU948" s="26"/>
      <c r="AV948" s="26"/>
      <c r="AW948" s="26"/>
      <c r="AX948" s="26"/>
      <c r="AY948" s="26"/>
      <c r="AZ948" s="26"/>
      <c r="BA948" s="26"/>
    </row>
    <row r="949">
      <c r="A949" s="26"/>
      <c r="B949" s="26"/>
      <c r="C949" s="26"/>
      <c r="D949" s="27"/>
      <c r="E949" s="27"/>
      <c r="F949" s="26"/>
      <c r="G949" s="28"/>
      <c r="H949" s="28"/>
      <c r="I949" s="28"/>
      <c r="J949" s="28"/>
      <c r="K949" s="28"/>
      <c r="L949" s="28"/>
      <c r="M949" s="28"/>
      <c r="N949" s="26"/>
      <c r="O949" s="29"/>
      <c r="P949" s="27"/>
      <c r="Q949" s="26"/>
      <c r="R949" s="29"/>
      <c r="S949" s="28"/>
      <c r="T949" s="29"/>
      <c r="U949" s="28"/>
      <c r="V949" s="28"/>
      <c r="W949" s="28"/>
      <c r="X949" s="28"/>
      <c r="Y949" s="26"/>
      <c r="Z949" s="29"/>
      <c r="AA949" s="28"/>
      <c r="AB949" s="26"/>
      <c r="AC949" s="29"/>
      <c r="AD949" s="25"/>
      <c r="AE949" s="29"/>
      <c r="AF949" s="25"/>
      <c r="AG949" s="25"/>
      <c r="AH949" s="25"/>
      <c r="AI949" s="25"/>
      <c r="AJ949" s="26"/>
      <c r="AK949" s="29"/>
      <c r="AL949" s="28"/>
      <c r="AM949" s="26"/>
      <c r="AN949" s="29"/>
      <c r="AO949" s="25"/>
      <c r="AP949" s="29"/>
      <c r="AQ949" s="25"/>
      <c r="AR949" s="25"/>
      <c r="AS949" s="25"/>
      <c r="AT949" s="25"/>
      <c r="AU949" s="26"/>
      <c r="AV949" s="26"/>
      <c r="AW949" s="26"/>
      <c r="AX949" s="26"/>
      <c r="AY949" s="26"/>
      <c r="AZ949" s="26"/>
      <c r="BA949" s="26"/>
    </row>
    <row r="950">
      <c r="A950" s="26"/>
      <c r="B950" s="26"/>
      <c r="C950" s="26"/>
      <c r="D950" s="27"/>
      <c r="E950" s="27"/>
      <c r="F950" s="26"/>
      <c r="G950" s="28"/>
      <c r="H950" s="28"/>
      <c r="I950" s="28"/>
      <c r="J950" s="28"/>
      <c r="K950" s="28"/>
      <c r="L950" s="28"/>
      <c r="M950" s="28"/>
      <c r="N950" s="26"/>
      <c r="O950" s="29"/>
      <c r="P950" s="27"/>
      <c r="Q950" s="26"/>
      <c r="R950" s="29"/>
      <c r="S950" s="28"/>
      <c r="T950" s="29"/>
      <c r="U950" s="28"/>
      <c r="V950" s="28"/>
      <c r="W950" s="28"/>
      <c r="X950" s="28"/>
      <c r="Y950" s="26"/>
      <c r="Z950" s="29"/>
      <c r="AA950" s="28"/>
      <c r="AB950" s="26"/>
      <c r="AC950" s="29"/>
      <c r="AD950" s="25"/>
      <c r="AE950" s="29"/>
      <c r="AF950" s="25"/>
      <c r="AG950" s="25"/>
      <c r="AH950" s="25"/>
      <c r="AI950" s="25"/>
      <c r="AJ950" s="26"/>
      <c r="AK950" s="29"/>
      <c r="AL950" s="28"/>
      <c r="AM950" s="26"/>
      <c r="AN950" s="29"/>
      <c r="AO950" s="25"/>
      <c r="AP950" s="29"/>
      <c r="AQ950" s="25"/>
      <c r="AR950" s="25"/>
      <c r="AS950" s="25"/>
      <c r="AT950" s="25"/>
      <c r="AU950" s="26"/>
      <c r="AV950" s="26"/>
      <c r="AW950" s="26"/>
      <c r="AX950" s="26"/>
      <c r="AY950" s="26"/>
      <c r="AZ950" s="26"/>
      <c r="BA950" s="26"/>
    </row>
    <row r="951">
      <c r="A951" s="26"/>
      <c r="B951" s="26"/>
      <c r="C951" s="26"/>
      <c r="D951" s="27"/>
      <c r="E951" s="27"/>
      <c r="F951" s="26"/>
      <c r="G951" s="28"/>
      <c r="H951" s="28"/>
      <c r="I951" s="28"/>
      <c r="J951" s="28"/>
      <c r="K951" s="28"/>
      <c r="L951" s="28"/>
      <c r="M951" s="28"/>
      <c r="N951" s="26"/>
      <c r="O951" s="29"/>
      <c r="P951" s="27"/>
      <c r="Q951" s="26"/>
      <c r="R951" s="29"/>
      <c r="S951" s="28"/>
      <c r="T951" s="29"/>
      <c r="U951" s="28"/>
      <c r="V951" s="28"/>
      <c r="W951" s="28"/>
      <c r="X951" s="28"/>
      <c r="Y951" s="26"/>
      <c r="Z951" s="29"/>
      <c r="AA951" s="28"/>
      <c r="AB951" s="26"/>
      <c r="AC951" s="29"/>
      <c r="AD951" s="25"/>
      <c r="AE951" s="29"/>
      <c r="AF951" s="25"/>
      <c r="AG951" s="25"/>
      <c r="AH951" s="25"/>
      <c r="AI951" s="25"/>
      <c r="AJ951" s="26"/>
      <c r="AK951" s="29"/>
      <c r="AL951" s="28"/>
      <c r="AM951" s="26"/>
      <c r="AN951" s="29"/>
      <c r="AO951" s="25"/>
      <c r="AP951" s="29"/>
      <c r="AQ951" s="25"/>
      <c r="AR951" s="25"/>
      <c r="AS951" s="25"/>
      <c r="AT951" s="25"/>
      <c r="AU951" s="26"/>
      <c r="AV951" s="26"/>
      <c r="AW951" s="26"/>
      <c r="AX951" s="26"/>
      <c r="AY951" s="26"/>
      <c r="AZ951" s="26"/>
      <c r="BA951" s="26"/>
    </row>
    <row r="952">
      <c r="A952" s="26"/>
      <c r="B952" s="26"/>
      <c r="C952" s="26"/>
      <c r="D952" s="27"/>
      <c r="E952" s="27"/>
      <c r="F952" s="26"/>
      <c r="G952" s="28"/>
      <c r="H952" s="28"/>
      <c r="I952" s="28"/>
      <c r="J952" s="28"/>
      <c r="K952" s="28"/>
      <c r="L952" s="28"/>
      <c r="M952" s="28"/>
      <c r="N952" s="26"/>
      <c r="O952" s="29"/>
      <c r="P952" s="27"/>
      <c r="Q952" s="26"/>
      <c r="R952" s="29"/>
      <c r="S952" s="28"/>
      <c r="T952" s="29"/>
      <c r="U952" s="28"/>
      <c r="V952" s="28"/>
      <c r="W952" s="28"/>
      <c r="X952" s="28"/>
      <c r="Y952" s="26"/>
      <c r="Z952" s="29"/>
      <c r="AA952" s="28"/>
      <c r="AB952" s="26"/>
      <c r="AC952" s="29"/>
      <c r="AD952" s="25"/>
      <c r="AE952" s="29"/>
      <c r="AF952" s="25"/>
      <c r="AG952" s="25"/>
      <c r="AH952" s="25"/>
      <c r="AI952" s="25"/>
      <c r="AJ952" s="26"/>
      <c r="AK952" s="29"/>
      <c r="AL952" s="28"/>
      <c r="AM952" s="26"/>
      <c r="AN952" s="29"/>
      <c r="AO952" s="25"/>
      <c r="AP952" s="29"/>
      <c r="AQ952" s="25"/>
      <c r="AR952" s="25"/>
      <c r="AS952" s="25"/>
      <c r="AT952" s="25"/>
      <c r="AU952" s="26"/>
      <c r="AV952" s="26"/>
      <c r="AW952" s="26"/>
      <c r="AX952" s="26"/>
      <c r="AY952" s="26"/>
      <c r="AZ952" s="26"/>
      <c r="BA952" s="26"/>
    </row>
    <row r="953">
      <c r="A953" s="26"/>
      <c r="B953" s="26"/>
      <c r="C953" s="26"/>
      <c r="D953" s="27"/>
      <c r="E953" s="27"/>
      <c r="F953" s="26"/>
      <c r="G953" s="28"/>
      <c r="H953" s="28"/>
      <c r="I953" s="28"/>
      <c r="J953" s="28"/>
      <c r="K953" s="28"/>
      <c r="L953" s="28"/>
      <c r="M953" s="28"/>
      <c r="N953" s="26"/>
      <c r="O953" s="29"/>
      <c r="P953" s="27"/>
      <c r="Q953" s="26"/>
      <c r="R953" s="29"/>
      <c r="S953" s="28"/>
      <c r="T953" s="29"/>
      <c r="U953" s="28"/>
      <c r="V953" s="28"/>
      <c r="W953" s="28"/>
      <c r="X953" s="28"/>
      <c r="Y953" s="26"/>
      <c r="Z953" s="29"/>
      <c r="AA953" s="28"/>
      <c r="AB953" s="26"/>
      <c r="AC953" s="29"/>
      <c r="AD953" s="25"/>
      <c r="AE953" s="29"/>
      <c r="AF953" s="25"/>
      <c r="AG953" s="25"/>
      <c r="AH953" s="25"/>
      <c r="AI953" s="25"/>
      <c r="AJ953" s="26"/>
      <c r="AK953" s="29"/>
      <c r="AL953" s="28"/>
      <c r="AM953" s="26"/>
      <c r="AN953" s="29"/>
      <c r="AO953" s="25"/>
      <c r="AP953" s="29"/>
      <c r="AQ953" s="25"/>
      <c r="AR953" s="25"/>
      <c r="AS953" s="25"/>
      <c r="AT953" s="25"/>
      <c r="AU953" s="26"/>
      <c r="AV953" s="26"/>
      <c r="AW953" s="26"/>
      <c r="AX953" s="26"/>
      <c r="AY953" s="26"/>
      <c r="AZ953" s="26"/>
      <c r="BA953" s="26"/>
    </row>
    <row r="954">
      <c r="A954" s="26"/>
      <c r="B954" s="26"/>
      <c r="C954" s="26"/>
      <c r="D954" s="27"/>
      <c r="E954" s="27"/>
      <c r="F954" s="26"/>
      <c r="G954" s="28"/>
      <c r="H954" s="28"/>
      <c r="I954" s="28"/>
      <c r="J954" s="28"/>
      <c r="K954" s="28"/>
      <c r="L954" s="28"/>
      <c r="M954" s="28"/>
      <c r="N954" s="26"/>
      <c r="O954" s="29"/>
      <c r="P954" s="27"/>
      <c r="Q954" s="26"/>
      <c r="R954" s="29"/>
      <c r="S954" s="28"/>
      <c r="T954" s="29"/>
      <c r="U954" s="28"/>
      <c r="V954" s="28"/>
      <c r="W954" s="28"/>
      <c r="X954" s="28"/>
      <c r="Y954" s="26"/>
      <c r="Z954" s="29"/>
      <c r="AA954" s="28"/>
      <c r="AB954" s="26"/>
      <c r="AC954" s="29"/>
      <c r="AD954" s="25"/>
      <c r="AE954" s="29"/>
      <c r="AF954" s="25"/>
      <c r="AG954" s="25"/>
      <c r="AH954" s="25"/>
      <c r="AI954" s="25"/>
      <c r="AJ954" s="26"/>
      <c r="AK954" s="29"/>
      <c r="AL954" s="28"/>
      <c r="AM954" s="26"/>
      <c r="AN954" s="29"/>
      <c r="AO954" s="25"/>
      <c r="AP954" s="29"/>
      <c r="AQ954" s="25"/>
      <c r="AR954" s="25"/>
      <c r="AS954" s="25"/>
      <c r="AT954" s="25"/>
      <c r="AU954" s="26"/>
      <c r="AV954" s="26"/>
      <c r="AW954" s="26"/>
      <c r="AX954" s="26"/>
      <c r="AY954" s="26"/>
      <c r="AZ954" s="26"/>
      <c r="BA954" s="26"/>
    </row>
    <row r="955">
      <c r="A955" s="26"/>
      <c r="B955" s="26"/>
      <c r="C955" s="26"/>
      <c r="D955" s="27"/>
      <c r="E955" s="27"/>
      <c r="F955" s="26"/>
      <c r="G955" s="28"/>
      <c r="H955" s="28"/>
      <c r="I955" s="28"/>
      <c r="J955" s="28"/>
      <c r="K955" s="28"/>
      <c r="L955" s="28"/>
      <c r="M955" s="28"/>
      <c r="N955" s="26"/>
      <c r="O955" s="29"/>
      <c r="P955" s="27"/>
      <c r="Q955" s="26"/>
      <c r="R955" s="29"/>
      <c r="S955" s="28"/>
      <c r="T955" s="29"/>
      <c r="U955" s="28"/>
      <c r="V955" s="28"/>
      <c r="W955" s="28"/>
      <c r="X955" s="28"/>
      <c r="Y955" s="26"/>
      <c r="Z955" s="29"/>
      <c r="AA955" s="28"/>
      <c r="AB955" s="26"/>
      <c r="AC955" s="29"/>
      <c r="AD955" s="25"/>
      <c r="AE955" s="29"/>
      <c r="AF955" s="25"/>
      <c r="AG955" s="25"/>
      <c r="AH955" s="25"/>
      <c r="AI955" s="25"/>
      <c r="AJ955" s="26"/>
      <c r="AK955" s="29"/>
      <c r="AL955" s="28"/>
      <c r="AM955" s="26"/>
      <c r="AN955" s="29"/>
      <c r="AO955" s="25"/>
      <c r="AP955" s="29"/>
      <c r="AQ955" s="25"/>
      <c r="AR955" s="25"/>
      <c r="AS955" s="25"/>
      <c r="AT955" s="25"/>
      <c r="AU955" s="26"/>
      <c r="AV955" s="26"/>
      <c r="AW955" s="26"/>
      <c r="AX955" s="26"/>
      <c r="AY955" s="26"/>
      <c r="AZ955" s="26"/>
      <c r="BA955" s="26"/>
    </row>
    <row r="956">
      <c r="A956" s="26"/>
      <c r="B956" s="26"/>
      <c r="C956" s="26"/>
      <c r="D956" s="27"/>
      <c r="E956" s="27"/>
      <c r="F956" s="26"/>
      <c r="G956" s="28"/>
      <c r="H956" s="28"/>
      <c r="I956" s="28"/>
      <c r="J956" s="28"/>
      <c r="K956" s="28"/>
      <c r="L956" s="28"/>
      <c r="M956" s="28"/>
      <c r="N956" s="26"/>
      <c r="O956" s="29"/>
      <c r="P956" s="27"/>
      <c r="Q956" s="26"/>
      <c r="R956" s="29"/>
      <c r="S956" s="28"/>
      <c r="T956" s="29"/>
      <c r="U956" s="28"/>
      <c r="V956" s="28"/>
      <c r="W956" s="28"/>
      <c r="X956" s="28"/>
      <c r="Y956" s="26"/>
      <c r="Z956" s="29"/>
      <c r="AA956" s="28"/>
      <c r="AB956" s="26"/>
      <c r="AC956" s="29"/>
      <c r="AD956" s="25"/>
      <c r="AE956" s="29"/>
      <c r="AF956" s="25"/>
      <c r="AG956" s="25"/>
      <c r="AH956" s="25"/>
      <c r="AI956" s="25"/>
      <c r="AJ956" s="26"/>
      <c r="AK956" s="29"/>
      <c r="AL956" s="28"/>
      <c r="AM956" s="26"/>
      <c r="AN956" s="29"/>
      <c r="AO956" s="25"/>
      <c r="AP956" s="29"/>
      <c r="AQ956" s="25"/>
      <c r="AR956" s="25"/>
      <c r="AS956" s="25"/>
      <c r="AT956" s="25"/>
      <c r="AU956" s="26"/>
      <c r="AV956" s="26"/>
      <c r="AW956" s="26"/>
      <c r="AX956" s="26"/>
      <c r="AY956" s="26"/>
      <c r="AZ956" s="26"/>
      <c r="BA956" s="26"/>
    </row>
    <row r="957">
      <c r="A957" s="26"/>
      <c r="B957" s="26"/>
      <c r="C957" s="26"/>
      <c r="D957" s="27"/>
      <c r="E957" s="27"/>
      <c r="F957" s="26"/>
      <c r="G957" s="28"/>
      <c r="H957" s="28"/>
      <c r="I957" s="28"/>
      <c r="J957" s="28"/>
      <c r="K957" s="28"/>
      <c r="L957" s="28"/>
      <c r="M957" s="28"/>
      <c r="N957" s="26"/>
      <c r="O957" s="29"/>
      <c r="P957" s="27"/>
      <c r="Q957" s="26"/>
      <c r="R957" s="29"/>
      <c r="S957" s="28"/>
      <c r="T957" s="29"/>
      <c r="U957" s="28"/>
      <c r="V957" s="28"/>
      <c r="W957" s="28"/>
      <c r="X957" s="28"/>
      <c r="Y957" s="26"/>
      <c r="Z957" s="29"/>
      <c r="AA957" s="28"/>
      <c r="AB957" s="26"/>
      <c r="AC957" s="29"/>
      <c r="AD957" s="25"/>
      <c r="AE957" s="29"/>
      <c r="AF957" s="25"/>
      <c r="AG957" s="25"/>
      <c r="AH957" s="25"/>
      <c r="AI957" s="25"/>
      <c r="AJ957" s="26"/>
      <c r="AK957" s="29"/>
      <c r="AL957" s="28"/>
      <c r="AM957" s="26"/>
      <c r="AN957" s="29"/>
      <c r="AO957" s="25"/>
      <c r="AP957" s="29"/>
      <c r="AQ957" s="25"/>
      <c r="AR957" s="25"/>
      <c r="AS957" s="25"/>
      <c r="AT957" s="25"/>
      <c r="AU957" s="26"/>
      <c r="AV957" s="26"/>
      <c r="AW957" s="26"/>
      <c r="AX957" s="26"/>
      <c r="AY957" s="26"/>
      <c r="AZ957" s="26"/>
      <c r="BA957" s="26"/>
    </row>
    <row r="958">
      <c r="A958" s="26"/>
      <c r="B958" s="26"/>
      <c r="C958" s="26"/>
      <c r="D958" s="27"/>
      <c r="E958" s="27"/>
      <c r="F958" s="26"/>
      <c r="G958" s="28"/>
      <c r="H958" s="28"/>
      <c r="I958" s="28"/>
      <c r="J958" s="28"/>
      <c r="K958" s="28"/>
      <c r="L958" s="28"/>
      <c r="M958" s="28"/>
      <c r="N958" s="26"/>
      <c r="O958" s="29"/>
      <c r="P958" s="27"/>
      <c r="Q958" s="26"/>
      <c r="R958" s="29"/>
      <c r="S958" s="28"/>
      <c r="T958" s="29"/>
      <c r="U958" s="28"/>
      <c r="V958" s="28"/>
      <c r="W958" s="28"/>
      <c r="X958" s="28"/>
      <c r="Y958" s="26"/>
      <c r="Z958" s="29"/>
      <c r="AA958" s="28"/>
      <c r="AB958" s="26"/>
      <c r="AC958" s="29"/>
      <c r="AD958" s="25"/>
      <c r="AE958" s="29"/>
      <c r="AF958" s="25"/>
      <c r="AG958" s="25"/>
      <c r="AH958" s="25"/>
      <c r="AI958" s="25"/>
      <c r="AJ958" s="26"/>
      <c r="AK958" s="29"/>
      <c r="AL958" s="28"/>
      <c r="AM958" s="26"/>
      <c r="AN958" s="29"/>
      <c r="AO958" s="25"/>
      <c r="AP958" s="29"/>
      <c r="AQ958" s="25"/>
      <c r="AR958" s="25"/>
      <c r="AS958" s="25"/>
      <c r="AT958" s="25"/>
      <c r="AU958" s="26"/>
      <c r="AV958" s="26"/>
      <c r="AW958" s="26"/>
      <c r="AX958" s="26"/>
      <c r="AY958" s="26"/>
      <c r="AZ958" s="26"/>
      <c r="BA958" s="26"/>
    </row>
    <row r="959">
      <c r="A959" s="26"/>
      <c r="B959" s="26"/>
      <c r="C959" s="26"/>
      <c r="D959" s="27"/>
      <c r="E959" s="27"/>
      <c r="F959" s="26"/>
      <c r="G959" s="28"/>
      <c r="H959" s="28"/>
      <c r="I959" s="28"/>
      <c r="J959" s="28"/>
      <c r="K959" s="28"/>
      <c r="L959" s="28"/>
      <c r="M959" s="28"/>
      <c r="N959" s="26"/>
      <c r="O959" s="29"/>
      <c r="P959" s="27"/>
      <c r="Q959" s="26"/>
      <c r="R959" s="29"/>
      <c r="S959" s="28"/>
      <c r="T959" s="29"/>
      <c r="U959" s="28"/>
      <c r="V959" s="28"/>
      <c r="W959" s="28"/>
      <c r="X959" s="28"/>
      <c r="Y959" s="26"/>
      <c r="Z959" s="29"/>
      <c r="AA959" s="28"/>
      <c r="AB959" s="26"/>
      <c r="AC959" s="29"/>
      <c r="AD959" s="25"/>
      <c r="AE959" s="29"/>
      <c r="AF959" s="25"/>
      <c r="AG959" s="25"/>
      <c r="AH959" s="25"/>
      <c r="AI959" s="25"/>
      <c r="AJ959" s="26"/>
      <c r="AK959" s="29"/>
      <c r="AL959" s="28"/>
      <c r="AM959" s="26"/>
      <c r="AN959" s="29"/>
      <c r="AO959" s="25"/>
      <c r="AP959" s="29"/>
      <c r="AQ959" s="25"/>
      <c r="AR959" s="25"/>
      <c r="AS959" s="25"/>
      <c r="AT959" s="25"/>
      <c r="AU959" s="26"/>
      <c r="AV959" s="26"/>
      <c r="AW959" s="26"/>
      <c r="AX959" s="26"/>
      <c r="AY959" s="26"/>
      <c r="AZ959" s="26"/>
      <c r="BA959" s="26"/>
    </row>
    <row r="960">
      <c r="A960" s="26"/>
      <c r="B960" s="26"/>
      <c r="C960" s="26"/>
      <c r="D960" s="27"/>
      <c r="E960" s="27"/>
      <c r="F960" s="26"/>
      <c r="G960" s="28"/>
      <c r="H960" s="28"/>
      <c r="I960" s="28"/>
      <c r="J960" s="28"/>
      <c r="K960" s="28"/>
      <c r="L960" s="28"/>
      <c r="M960" s="28"/>
      <c r="N960" s="26"/>
      <c r="O960" s="29"/>
      <c r="P960" s="27"/>
      <c r="Q960" s="26"/>
      <c r="R960" s="29"/>
      <c r="S960" s="28"/>
      <c r="T960" s="29"/>
      <c r="U960" s="28"/>
      <c r="V960" s="28"/>
      <c r="W960" s="28"/>
      <c r="X960" s="28"/>
      <c r="Y960" s="26"/>
      <c r="Z960" s="29"/>
      <c r="AA960" s="28"/>
      <c r="AB960" s="26"/>
      <c r="AC960" s="29"/>
      <c r="AD960" s="25"/>
      <c r="AE960" s="29"/>
      <c r="AF960" s="25"/>
      <c r="AG960" s="25"/>
      <c r="AH960" s="25"/>
      <c r="AI960" s="25"/>
      <c r="AJ960" s="26"/>
      <c r="AK960" s="29"/>
      <c r="AL960" s="28"/>
      <c r="AM960" s="26"/>
      <c r="AN960" s="29"/>
      <c r="AO960" s="25"/>
      <c r="AP960" s="29"/>
      <c r="AQ960" s="25"/>
      <c r="AR960" s="25"/>
      <c r="AS960" s="25"/>
      <c r="AT960" s="25"/>
      <c r="AU960" s="26"/>
      <c r="AV960" s="26"/>
      <c r="AW960" s="26"/>
      <c r="AX960" s="26"/>
      <c r="AY960" s="26"/>
      <c r="AZ960" s="26"/>
      <c r="BA960" s="26"/>
    </row>
    <row r="961">
      <c r="A961" s="26"/>
      <c r="B961" s="26"/>
      <c r="C961" s="26"/>
      <c r="D961" s="27"/>
      <c r="E961" s="27"/>
      <c r="F961" s="26"/>
      <c r="G961" s="28"/>
      <c r="H961" s="28"/>
      <c r="I961" s="28"/>
      <c r="J961" s="28"/>
      <c r="K961" s="28"/>
      <c r="L961" s="28"/>
      <c r="M961" s="28"/>
      <c r="N961" s="26"/>
      <c r="O961" s="29"/>
      <c r="P961" s="27"/>
      <c r="Q961" s="26"/>
      <c r="R961" s="29"/>
      <c r="S961" s="28"/>
      <c r="T961" s="29"/>
      <c r="U961" s="28"/>
      <c r="V961" s="28"/>
      <c r="W961" s="28"/>
      <c r="X961" s="28"/>
      <c r="Y961" s="26"/>
      <c r="Z961" s="29"/>
      <c r="AA961" s="28"/>
      <c r="AB961" s="26"/>
      <c r="AC961" s="29"/>
      <c r="AD961" s="25"/>
      <c r="AE961" s="29"/>
      <c r="AF961" s="25"/>
      <c r="AG961" s="25"/>
      <c r="AH961" s="25"/>
      <c r="AI961" s="25"/>
      <c r="AJ961" s="26"/>
      <c r="AK961" s="29"/>
      <c r="AL961" s="28"/>
      <c r="AM961" s="26"/>
      <c r="AN961" s="29"/>
      <c r="AO961" s="25"/>
      <c r="AP961" s="29"/>
      <c r="AQ961" s="25"/>
      <c r="AR961" s="25"/>
      <c r="AS961" s="25"/>
      <c r="AT961" s="25"/>
      <c r="AU961" s="26"/>
      <c r="AV961" s="26"/>
      <c r="AW961" s="26"/>
      <c r="AX961" s="26"/>
      <c r="AY961" s="26"/>
      <c r="AZ961" s="26"/>
      <c r="BA961" s="26"/>
    </row>
    <row r="962">
      <c r="A962" s="26"/>
      <c r="B962" s="26"/>
      <c r="C962" s="26"/>
      <c r="D962" s="27"/>
      <c r="E962" s="27"/>
      <c r="F962" s="26"/>
      <c r="G962" s="28"/>
      <c r="H962" s="28"/>
      <c r="I962" s="28"/>
      <c r="J962" s="28"/>
      <c r="K962" s="28"/>
      <c r="L962" s="28"/>
      <c r="M962" s="28"/>
      <c r="N962" s="26"/>
      <c r="O962" s="29"/>
      <c r="P962" s="27"/>
      <c r="Q962" s="26"/>
      <c r="R962" s="29"/>
      <c r="S962" s="28"/>
      <c r="T962" s="29"/>
      <c r="U962" s="28"/>
      <c r="V962" s="28"/>
      <c r="W962" s="28"/>
      <c r="X962" s="28"/>
      <c r="Y962" s="26"/>
      <c r="Z962" s="29"/>
      <c r="AA962" s="28"/>
      <c r="AB962" s="26"/>
      <c r="AC962" s="29"/>
      <c r="AD962" s="25"/>
      <c r="AE962" s="29"/>
      <c r="AF962" s="25"/>
      <c r="AG962" s="25"/>
      <c r="AH962" s="25"/>
      <c r="AI962" s="25"/>
      <c r="AJ962" s="26"/>
      <c r="AK962" s="29"/>
      <c r="AL962" s="28"/>
      <c r="AM962" s="26"/>
      <c r="AN962" s="29"/>
      <c r="AO962" s="25"/>
      <c r="AP962" s="29"/>
      <c r="AQ962" s="25"/>
      <c r="AR962" s="25"/>
      <c r="AS962" s="25"/>
      <c r="AT962" s="25"/>
      <c r="AU962" s="26"/>
      <c r="AV962" s="26"/>
      <c r="AW962" s="26"/>
      <c r="AX962" s="26"/>
      <c r="AY962" s="26"/>
      <c r="AZ962" s="26"/>
      <c r="BA962" s="26"/>
    </row>
    <row r="963">
      <c r="A963" s="26"/>
      <c r="B963" s="26"/>
      <c r="C963" s="26"/>
      <c r="D963" s="27"/>
      <c r="E963" s="27"/>
      <c r="F963" s="26"/>
      <c r="G963" s="28"/>
      <c r="H963" s="28"/>
      <c r="I963" s="28"/>
      <c r="J963" s="28"/>
      <c r="K963" s="28"/>
      <c r="L963" s="28"/>
      <c r="M963" s="28"/>
      <c r="N963" s="26"/>
      <c r="O963" s="29"/>
      <c r="P963" s="27"/>
      <c r="Q963" s="26"/>
      <c r="R963" s="29"/>
      <c r="S963" s="28"/>
      <c r="T963" s="29"/>
      <c r="U963" s="28"/>
      <c r="V963" s="28"/>
      <c r="W963" s="28"/>
      <c r="X963" s="28"/>
      <c r="Y963" s="26"/>
      <c r="Z963" s="29"/>
      <c r="AA963" s="28"/>
      <c r="AB963" s="26"/>
      <c r="AC963" s="29"/>
      <c r="AD963" s="25"/>
      <c r="AE963" s="29"/>
      <c r="AF963" s="25"/>
      <c r="AG963" s="25"/>
      <c r="AH963" s="25"/>
      <c r="AI963" s="25"/>
      <c r="AJ963" s="26"/>
      <c r="AK963" s="29"/>
      <c r="AL963" s="28"/>
      <c r="AM963" s="26"/>
      <c r="AN963" s="29"/>
      <c r="AO963" s="25"/>
      <c r="AP963" s="29"/>
      <c r="AQ963" s="25"/>
      <c r="AR963" s="25"/>
      <c r="AS963" s="25"/>
      <c r="AT963" s="25"/>
      <c r="AU963" s="26"/>
      <c r="AV963" s="26"/>
      <c r="AW963" s="26"/>
      <c r="AX963" s="26"/>
      <c r="AY963" s="26"/>
      <c r="AZ963" s="26"/>
      <c r="BA963" s="26"/>
    </row>
    <row r="964">
      <c r="A964" s="26"/>
      <c r="B964" s="26"/>
      <c r="C964" s="26"/>
      <c r="D964" s="27"/>
      <c r="E964" s="27"/>
      <c r="F964" s="26"/>
      <c r="G964" s="28"/>
      <c r="H964" s="28"/>
      <c r="I964" s="28"/>
      <c r="J964" s="28"/>
      <c r="K964" s="28"/>
      <c r="L964" s="28"/>
      <c r="M964" s="28"/>
      <c r="N964" s="26"/>
      <c r="O964" s="29"/>
      <c r="P964" s="27"/>
      <c r="Q964" s="26"/>
      <c r="R964" s="29"/>
      <c r="S964" s="28"/>
      <c r="T964" s="29"/>
      <c r="U964" s="28"/>
      <c r="V964" s="28"/>
      <c r="W964" s="28"/>
      <c r="X964" s="28"/>
      <c r="Y964" s="26"/>
      <c r="Z964" s="29"/>
      <c r="AA964" s="28"/>
      <c r="AB964" s="26"/>
      <c r="AC964" s="29"/>
      <c r="AD964" s="25"/>
      <c r="AE964" s="29"/>
      <c r="AF964" s="25"/>
      <c r="AG964" s="25"/>
      <c r="AH964" s="25"/>
      <c r="AI964" s="25"/>
      <c r="AJ964" s="26"/>
      <c r="AK964" s="29"/>
      <c r="AL964" s="28"/>
      <c r="AM964" s="26"/>
      <c r="AN964" s="29"/>
      <c r="AO964" s="25"/>
      <c r="AP964" s="29"/>
      <c r="AQ964" s="25"/>
      <c r="AR964" s="25"/>
      <c r="AS964" s="25"/>
      <c r="AT964" s="25"/>
      <c r="AU964" s="26"/>
      <c r="AV964" s="26"/>
      <c r="AW964" s="26"/>
      <c r="AX964" s="26"/>
      <c r="AY964" s="26"/>
      <c r="AZ964" s="26"/>
      <c r="BA964" s="26"/>
    </row>
    <row r="965">
      <c r="A965" s="26"/>
      <c r="B965" s="26"/>
      <c r="C965" s="26"/>
      <c r="D965" s="27"/>
      <c r="E965" s="27"/>
      <c r="F965" s="26"/>
      <c r="G965" s="28"/>
      <c r="H965" s="28"/>
      <c r="I965" s="28"/>
      <c r="J965" s="28"/>
      <c r="K965" s="28"/>
      <c r="L965" s="28"/>
      <c r="M965" s="28"/>
      <c r="N965" s="26"/>
      <c r="O965" s="29"/>
      <c r="P965" s="27"/>
      <c r="Q965" s="26"/>
      <c r="R965" s="29"/>
      <c r="S965" s="28"/>
      <c r="T965" s="29"/>
      <c r="U965" s="28"/>
      <c r="V965" s="28"/>
      <c r="W965" s="28"/>
      <c r="X965" s="28"/>
      <c r="Y965" s="26"/>
      <c r="Z965" s="29"/>
      <c r="AA965" s="28"/>
      <c r="AB965" s="26"/>
      <c r="AC965" s="29"/>
      <c r="AD965" s="25"/>
      <c r="AE965" s="29"/>
      <c r="AF965" s="25"/>
      <c r="AG965" s="25"/>
      <c r="AH965" s="25"/>
      <c r="AI965" s="25"/>
      <c r="AJ965" s="26"/>
      <c r="AK965" s="29"/>
      <c r="AL965" s="28"/>
      <c r="AM965" s="26"/>
      <c r="AN965" s="29"/>
      <c r="AO965" s="25"/>
      <c r="AP965" s="29"/>
      <c r="AQ965" s="25"/>
      <c r="AR965" s="25"/>
      <c r="AS965" s="25"/>
      <c r="AT965" s="25"/>
      <c r="AU965" s="26"/>
      <c r="AV965" s="26"/>
      <c r="AW965" s="26"/>
      <c r="AX965" s="26"/>
      <c r="AY965" s="26"/>
      <c r="AZ965" s="26"/>
      <c r="BA965" s="26"/>
    </row>
    <row r="966">
      <c r="A966" s="26"/>
      <c r="B966" s="26"/>
      <c r="C966" s="26"/>
      <c r="D966" s="27"/>
      <c r="E966" s="27"/>
      <c r="F966" s="26"/>
      <c r="G966" s="28"/>
      <c r="H966" s="28"/>
      <c r="I966" s="28"/>
      <c r="J966" s="28"/>
      <c r="K966" s="28"/>
      <c r="L966" s="28"/>
      <c r="M966" s="28"/>
      <c r="N966" s="26"/>
      <c r="O966" s="29"/>
      <c r="P966" s="27"/>
      <c r="Q966" s="26"/>
      <c r="R966" s="29"/>
      <c r="S966" s="28"/>
      <c r="T966" s="29"/>
      <c r="U966" s="28"/>
      <c r="V966" s="28"/>
      <c r="W966" s="28"/>
      <c r="X966" s="28"/>
      <c r="Y966" s="26"/>
      <c r="Z966" s="29"/>
      <c r="AA966" s="28"/>
      <c r="AB966" s="26"/>
      <c r="AC966" s="29"/>
      <c r="AD966" s="25"/>
      <c r="AE966" s="29"/>
      <c r="AF966" s="25"/>
      <c r="AG966" s="25"/>
      <c r="AH966" s="25"/>
      <c r="AI966" s="25"/>
      <c r="AJ966" s="26"/>
      <c r="AK966" s="29"/>
      <c r="AL966" s="28"/>
      <c r="AM966" s="26"/>
      <c r="AN966" s="29"/>
      <c r="AO966" s="25"/>
      <c r="AP966" s="29"/>
      <c r="AQ966" s="25"/>
      <c r="AR966" s="25"/>
      <c r="AS966" s="25"/>
      <c r="AT966" s="25"/>
      <c r="AU966" s="26"/>
      <c r="AV966" s="26"/>
      <c r="AW966" s="26"/>
      <c r="AX966" s="26"/>
      <c r="AY966" s="26"/>
      <c r="AZ966" s="26"/>
      <c r="BA966" s="26"/>
    </row>
    <row r="967">
      <c r="A967" s="26"/>
      <c r="B967" s="26"/>
      <c r="C967" s="26"/>
      <c r="D967" s="27"/>
      <c r="E967" s="27"/>
      <c r="F967" s="26"/>
      <c r="G967" s="28"/>
      <c r="H967" s="28"/>
      <c r="I967" s="28"/>
      <c r="J967" s="28"/>
      <c r="K967" s="28"/>
      <c r="L967" s="28"/>
      <c r="M967" s="28"/>
      <c r="N967" s="26"/>
      <c r="O967" s="29"/>
      <c r="P967" s="27"/>
      <c r="Q967" s="26"/>
      <c r="R967" s="29"/>
      <c r="S967" s="28"/>
      <c r="T967" s="29"/>
      <c r="U967" s="28"/>
      <c r="V967" s="28"/>
      <c r="W967" s="28"/>
      <c r="X967" s="28"/>
      <c r="Y967" s="26"/>
      <c r="Z967" s="29"/>
      <c r="AA967" s="28"/>
      <c r="AB967" s="26"/>
      <c r="AC967" s="29"/>
      <c r="AD967" s="25"/>
      <c r="AE967" s="29"/>
      <c r="AF967" s="25"/>
      <c r="AG967" s="25"/>
      <c r="AH967" s="25"/>
      <c r="AI967" s="25"/>
      <c r="AJ967" s="26"/>
      <c r="AK967" s="29"/>
      <c r="AL967" s="28"/>
      <c r="AM967" s="26"/>
      <c r="AN967" s="29"/>
      <c r="AO967" s="25"/>
      <c r="AP967" s="29"/>
      <c r="AQ967" s="25"/>
      <c r="AR967" s="25"/>
      <c r="AS967" s="25"/>
      <c r="AT967" s="25"/>
      <c r="AU967" s="26"/>
      <c r="AV967" s="26"/>
      <c r="AW967" s="26"/>
      <c r="AX967" s="26"/>
      <c r="AY967" s="26"/>
      <c r="AZ967" s="26"/>
      <c r="BA967" s="26"/>
    </row>
    <row r="968">
      <c r="A968" s="26"/>
      <c r="B968" s="26"/>
      <c r="C968" s="26"/>
      <c r="D968" s="27"/>
      <c r="E968" s="27"/>
      <c r="F968" s="26"/>
      <c r="G968" s="28"/>
      <c r="H968" s="28"/>
      <c r="I968" s="28"/>
      <c r="J968" s="28"/>
      <c r="K968" s="28"/>
      <c r="L968" s="28"/>
      <c r="M968" s="28"/>
      <c r="N968" s="26"/>
      <c r="O968" s="29"/>
      <c r="P968" s="27"/>
      <c r="Q968" s="26"/>
      <c r="R968" s="29"/>
      <c r="S968" s="28"/>
      <c r="T968" s="29"/>
      <c r="U968" s="28"/>
      <c r="V968" s="28"/>
      <c r="W968" s="28"/>
      <c r="X968" s="28"/>
      <c r="Y968" s="26"/>
      <c r="Z968" s="29"/>
      <c r="AA968" s="28"/>
      <c r="AB968" s="26"/>
      <c r="AC968" s="29"/>
      <c r="AD968" s="25"/>
      <c r="AE968" s="29"/>
      <c r="AF968" s="25"/>
      <c r="AG968" s="25"/>
      <c r="AH968" s="25"/>
      <c r="AI968" s="25"/>
      <c r="AJ968" s="26"/>
      <c r="AK968" s="29"/>
      <c r="AL968" s="28"/>
      <c r="AM968" s="26"/>
      <c r="AN968" s="29"/>
      <c r="AO968" s="25"/>
      <c r="AP968" s="29"/>
      <c r="AQ968" s="25"/>
      <c r="AR968" s="25"/>
      <c r="AS968" s="25"/>
      <c r="AT968" s="25"/>
      <c r="AU968" s="26"/>
      <c r="AV968" s="26"/>
      <c r="AW968" s="26"/>
      <c r="AX968" s="26"/>
      <c r="AY968" s="26"/>
      <c r="AZ968" s="26"/>
      <c r="BA968" s="26"/>
    </row>
    <row r="969">
      <c r="A969" s="26"/>
      <c r="B969" s="26"/>
      <c r="C969" s="26"/>
      <c r="D969" s="27"/>
      <c r="E969" s="27"/>
      <c r="F969" s="26"/>
      <c r="G969" s="28"/>
      <c r="H969" s="28"/>
      <c r="I969" s="28"/>
      <c r="J969" s="28"/>
      <c r="K969" s="28"/>
      <c r="L969" s="28"/>
      <c r="M969" s="28"/>
      <c r="N969" s="26"/>
      <c r="O969" s="29"/>
      <c r="P969" s="27"/>
      <c r="Q969" s="26"/>
      <c r="R969" s="29"/>
      <c r="S969" s="28"/>
      <c r="T969" s="29"/>
      <c r="U969" s="28"/>
      <c r="V969" s="28"/>
      <c r="W969" s="28"/>
      <c r="X969" s="28"/>
      <c r="Y969" s="26"/>
      <c r="Z969" s="29"/>
      <c r="AA969" s="28"/>
      <c r="AB969" s="26"/>
      <c r="AC969" s="29"/>
      <c r="AD969" s="25"/>
      <c r="AE969" s="29"/>
      <c r="AF969" s="25"/>
      <c r="AG969" s="25"/>
      <c r="AH969" s="25"/>
      <c r="AI969" s="25"/>
      <c r="AJ969" s="26"/>
      <c r="AK969" s="29"/>
      <c r="AL969" s="28"/>
      <c r="AM969" s="26"/>
      <c r="AN969" s="29"/>
      <c r="AO969" s="25"/>
      <c r="AP969" s="29"/>
      <c r="AQ969" s="25"/>
      <c r="AR969" s="25"/>
      <c r="AS969" s="25"/>
      <c r="AT969" s="25"/>
      <c r="AU969" s="26"/>
      <c r="AV969" s="26"/>
      <c r="AW969" s="26"/>
      <c r="AX969" s="26"/>
      <c r="AY969" s="26"/>
      <c r="AZ969" s="26"/>
      <c r="BA969" s="26"/>
    </row>
    <row r="970">
      <c r="A970" s="26"/>
      <c r="B970" s="26"/>
      <c r="C970" s="26"/>
      <c r="D970" s="27"/>
      <c r="E970" s="27"/>
      <c r="F970" s="26"/>
      <c r="G970" s="28"/>
      <c r="H970" s="28"/>
      <c r="I970" s="28"/>
      <c r="J970" s="28"/>
      <c r="K970" s="28"/>
      <c r="L970" s="28"/>
      <c r="M970" s="28"/>
      <c r="N970" s="26"/>
      <c r="O970" s="29"/>
      <c r="P970" s="27"/>
      <c r="Q970" s="26"/>
      <c r="R970" s="29"/>
      <c r="S970" s="28"/>
      <c r="T970" s="29"/>
      <c r="U970" s="28"/>
      <c r="V970" s="28"/>
      <c r="W970" s="28"/>
      <c r="X970" s="28"/>
      <c r="Y970" s="26"/>
      <c r="Z970" s="29"/>
      <c r="AA970" s="28"/>
      <c r="AB970" s="26"/>
      <c r="AC970" s="29"/>
      <c r="AD970" s="25"/>
      <c r="AE970" s="29"/>
      <c r="AF970" s="25"/>
      <c r="AG970" s="25"/>
      <c r="AH970" s="25"/>
      <c r="AI970" s="25"/>
      <c r="AJ970" s="26"/>
      <c r="AK970" s="29"/>
      <c r="AL970" s="28"/>
      <c r="AM970" s="26"/>
      <c r="AN970" s="29"/>
      <c r="AO970" s="25"/>
      <c r="AP970" s="29"/>
      <c r="AQ970" s="25"/>
      <c r="AR970" s="25"/>
      <c r="AS970" s="25"/>
      <c r="AT970" s="25"/>
      <c r="AU970" s="26"/>
      <c r="AV970" s="26"/>
      <c r="AW970" s="26"/>
      <c r="AX970" s="26"/>
      <c r="AY970" s="26"/>
      <c r="AZ970" s="26"/>
      <c r="BA970" s="26"/>
    </row>
    <row r="971">
      <c r="A971" s="26"/>
      <c r="B971" s="26"/>
      <c r="C971" s="26"/>
      <c r="D971" s="27"/>
      <c r="E971" s="27"/>
      <c r="F971" s="26"/>
      <c r="G971" s="28"/>
      <c r="H971" s="28"/>
      <c r="I971" s="28"/>
      <c r="J971" s="28"/>
      <c r="K971" s="28"/>
      <c r="L971" s="28"/>
      <c r="M971" s="28"/>
      <c r="N971" s="26"/>
      <c r="O971" s="29"/>
      <c r="P971" s="27"/>
      <c r="Q971" s="26"/>
      <c r="R971" s="29"/>
      <c r="S971" s="28"/>
      <c r="T971" s="29"/>
      <c r="U971" s="28"/>
      <c r="V971" s="28"/>
      <c r="W971" s="28"/>
      <c r="X971" s="28"/>
      <c r="Y971" s="26"/>
      <c r="Z971" s="29"/>
      <c r="AA971" s="28"/>
      <c r="AB971" s="26"/>
      <c r="AC971" s="29"/>
      <c r="AD971" s="25"/>
      <c r="AE971" s="29"/>
      <c r="AF971" s="25"/>
      <c r="AG971" s="25"/>
      <c r="AH971" s="25"/>
      <c r="AI971" s="25"/>
      <c r="AJ971" s="26"/>
      <c r="AK971" s="29"/>
      <c r="AL971" s="28"/>
      <c r="AM971" s="26"/>
      <c r="AN971" s="29"/>
      <c r="AO971" s="25"/>
      <c r="AP971" s="29"/>
      <c r="AQ971" s="25"/>
      <c r="AR971" s="25"/>
      <c r="AS971" s="25"/>
      <c r="AT971" s="25"/>
      <c r="AU971" s="26"/>
      <c r="AV971" s="26"/>
      <c r="AW971" s="26"/>
      <c r="AX971" s="26"/>
      <c r="AY971" s="26"/>
      <c r="AZ971" s="26"/>
      <c r="BA971" s="26"/>
    </row>
    <row r="972">
      <c r="A972" s="26"/>
      <c r="B972" s="26"/>
      <c r="C972" s="26"/>
      <c r="D972" s="27"/>
      <c r="E972" s="27"/>
      <c r="F972" s="26"/>
      <c r="G972" s="28"/>
      <c r="H972" s="28"/>
      <c r="I972" s="28"/>
      <c r="J972" s="28"/>
      <c r="K972" s="28"/>
      <c r="L972" s="28"/>
      <c r="M972" s="28"/>
      <c r="N972" s="26"/>
      <c r="O972" s="29"/>
      <c r="P972" s="27"/>
      <c r="Q972" s="26"/>
      <c r="R972" s="29"/>
      <c r="S972" s="28"/>
      <c r="T972" s="29"/>
      <c r="U972" s="28"/>
      <c r="V972" s="28"/>
      <c r="W972" s="28"/>
      <c r="X972" s="28"/>
      <c r="Y972" s="26"/>
      <c r="Z972" s="29"/>
      <c r="AA972" s="28"/>
      <c r="AB972" s="26"/>
      <c r="AC972" s="29"/>
      <c r="AD972" s="25"/>
      <c r="AE972" s="29"/>
      <c r="AF972" s="25"/>
      <c r="AG972" s="25"/>
      <c r="AH972" s="25"/>
      <c r="AI972" s="25"/>
      <c r="AJ972" s="26"/>
      <c r="AK972" s="29"/>
      <c r="AL972" s="28"/>
      <c r="AM972" s="26"/>
      <c r="AN972" s="29"/>
      <c r="AO972" s="25"/>
      <c r="AP972" s="29"/>
      <c r="AQ972" s="25"/>
      <c r="AR972" s="25"/>
      <c r="AS972" s="25"/>
      <c r="AT972" s="25"/>
      <c r="AU972" s="26"/>
      <c r="AV972" s="26"/>
      <c r="AW972" s="26"/>
      <c r="AX972" s="26"/>
      <c r="AY972" s="26"/>
      <c r="AZ972" s="26"/>
      <c r="BA972" s="26"/>
    </row>
    <row r="973">
      <c r="A973" s="26"/>
      <c r="B973" s="26"/>
      <c r="C973" s="26"/>
      <c r="D973" s="27"/>
      <c r="E973" s="27"/>
      <c r="F973" s="26"/>
      <c r="G973" s="28"/>
      <c r="H973" s="28"/>
      <c r="I973" s="28"/>
      <c r="J973" s="28"/>
      <c r="K973" s="28"/>
      <c r="L973" s="28"/>
      <c r="M973" s="28"/>
      <c r="N973" s="26"/>
      <c r="O973" s="29"/>
      <c r="P973" s="27"/>
      <c r="Q973" s="26"/>
      <c r="R973" s="29"/>
      <c r="S973" s="28"/>
      <c r="T973" s="29"/>
      <c r="U973" s="28"/>
      <c r="V973" s="28"/>
      <c r="W973" s="28"/>
      <c r="X973" s="28"/>
      <c r="Y973" s="26"/>
      <c r="Z973" s="29"/>
      <c r="AA973" s="28"/>
      <c r="AB973" s="26"/>
      <c r="AC973" s="29"/>
      <c r="AD973" s="25"/>
      <c r="AE973" s="29"/>
      <c r="AF973" s="25"/>
      <c r="AG973" s="25"/>
      <c r="AH973" s="25"/>
      <c r="AI973" s="25"/>
      <c r="AJ973" s="26"/>
      <c r="AK973" s="29"/>
      <c r="AL973" s="28"/>
      <c r="AM973" s="26"/>
      <c r="AN973" s="29"/>
      <c r="AO973" s="25"/>
      <c r="AP973" s="29"/>
      <c r="AQ973" s="25"/>
      <c r="AR973" s="25"/>
      <c r="AS973" s="25"/>
      <c r="AT973" s="25"/>
      <c r="AU973" s="26"/>
      <c r="AV973" s="26"/>
      <c r="AW973" s="26"/>
      <c r="AX973" s="26"/>
      <c r="AY973" s="26"/>
      <c r="AZ973" s="26"/>
      <c r="BA973" s="26"/>
    </row>
    <row r="974">
      <c r="A974" s="26"/>
      <c r="B974" s="26"/>
      <c r="C974" s="26"/>
      <c r="D974" s="27"/>
      <c r="E974" s="27"/>
      <c r="F974" s="26"/>
      <c r="G974" s="28"/>
      <c r="H974" s="28"/>
      <c r="I974" s="28"/>
      <c r="J974" s="28"/>
      <c r="K974" s="28"/>
      <c r="L974" s="28"/>
      <c r="M974" s="28"/>
      <c r="N974" s="26"/>
      <c r="O974" s="29"/>
      <c r="P974" s="27"/>
      <c r="Q974" s="26"/>
      <c r="R974" s="29"/>
      <c r="S974" s="28"/>
      <c r="T974" s="29"/>
      <c r="U974" s="28"/>
      <c r="V974" s="28"/>
      <c r="W974" s="28"/>
      <c r="X974" s="28"/>
      <c r="Y974" s="26"/>
      <c r="Z974" s="29"/>
      <c r="AA974" s="28"/>
      <c r="AB974" s="26"/>
      <c r="AC974" s="29"/>
      <c r="AD974" s="25"/>
      <c r="AE974" s="29"/>
      <c r="AF974" s="25"/>
      <c r="AG974" s="25"/>
      <c r="AH974" s="25"/>
      <c r="AI974" s="25"/>
      <c r="AJ974" s="26"/>
      <c r="AK974" s="29"/>
      <c r="AL974" s="28"/>
      <c r="AM974" s="26"/>
      <c r="AN974" s="29"/>
      <c r="AO974" s="25"/>
      <c r="AP974" s="29"/>
      <c r="AQ974" s="25"/>
      <c r="AR974" s="25"/>
      <c r="AS974" s="25"/>
      <c r="AT974" s="25"/>
      <c r="AU974" s="26"/>
      <c r="AV974" s="26"/>
      <c r="AW974" s="26"/>
      <c r="AX974" s="26"/>
      <c r="AY974" s="26"/>
      <c r="AZ974" s="26"/>
      <c r="BA974" s="26"/>
    </row>
    <row r="975">
      <c r="A975" s="26"/>
      <c r="B975" s="26"/>
      <c r="C975" s="26"/>
      <c r="D975" s="27"/>
      <c r="E975" s="27"/>
      <c r="F975" s="26"/>
      <c r="G975" s="28"/>
      <c r="H975" s="28"/>
      <c r="I975" s="28"/>
      <c r="J975" s="28"/>
      <c r="K975" s="28"/>
      <c r="L975" s="28"/>
      <c r="M975" s="28"/>
      <c r="N975" s="26"/>
      <c r="O975" s="29"/>
      <c r="P975" s="27"/>
      <c r="Q975" s="26"/>
      <c r="R975" s="29"/>
      <c r="S975" s="28"/>
      <c r="T975" s="29"/>
      <c r="U975" s="28"/>
      <c r="V975" s="28"/>
      <c r="W975" s="28"/>
      <c r="X975" s="28"/>
      <c r="Y975" s="26"/>
      <c r="Z975" s="29"/>
      <c r="AA975" s="28"/>
      <c r="AB975" s="26"/>
      <c r="AC975" s="29"/>
      <c r="AD975" s="25"/>
      <c r="AE975" s="29"/>
      <c r="AF975" s="25"/>
      <c r="AG975" s="25"/>
      <c r="AH975" s="25"/>
      <c r="AI975" s="25"/>
      <c r="AJ975" s="26"/>
      <c r="AK975" s="29"/>
      <c r="AL975" s="28"/>
      <c r="AM975" s="26"/>
      <c r="AN975" s="29"/>
      <c r="AO975" s="25"/>
      <c r="AP975" s="29"/>
      <c r="AQ975" s="25"/>
      <c r="AR975" s="25"/>
      <c r="AS975" s="25"/>
      <c r="AT975" s="25"/>
      <c r="AU975" s="26"/>
      <c r="AV975" s="26"/>
      <c r="AW975" s="26"/>
      <c r="AX975" s="26"/>
      <c r="AY975" s="26"/>
      <c r="AZ975" s="26"/>
      <c r="BA975" s="26"/>
    </row>
    <row r="976">
      <c r="A976" s="26"/>
      <c r="B976" s="26"/>
      <c r="C976" s="26"/>
      <c r="D976" s="27"/>
      <c r="E976" s="27"/>
      <c r="F976" s="26"/>
      <c r="G976" s="28"/>
      <c r="H976" s="28"/>
      <c r="I976" s="28"/>
      <c r="J976" s="28"/>
      <c r="K976" s="28"/>
      <c r="L976" s="28"/>
      <c r="M976" s="28"/>
      <c r="N976" s="26"/>
      <c r="O976" s="29"/>
      <c r="P976" s="27"/>
      <c r="Q976" s="26"/>
      <c r="R976" s="29"/>
      <c r="S976" s="28"/>
      <c r="T976" s="29"/>
      <c r="U976" s="28"/>
      <c r="V976" s="28"/>
      <c r="W976" s="28"/>
      <c r="X976" s="28"/>
      <c r="Y976" s="26"/>
      <c r="Z976" s="29"/>
      <c r="AA976" s="28"/>
      <c r="AB976" s="26"/>
      <c r="AC976" s="29"/>
      <c r="AD976" s="25"/>
      <c r="AE976" s="29"/>
      <c r="AF976" s="25"/>
      <c r="AG976" s="25"/>
      <c r="AH976" s="25"/>
      <c r="AI976" s="25"/>
      <c r="AJ976" s="26"/>
      <c r="AK976" s="29"/>
      <c r="AL976" s="28"/>
      <c r="AM976" s="26"/>
      <c r="AN976" s="29"/>
      <c r="AO976" s="25"/>
      <c r="AP976" s="29"/>
      <c r="AQ976" s="25"/>
      <c r="AR976" s="25"/>
      <c r="AS976" s="25"/>
      <c r="AT976" s="25"/>
      <c r="AU976" s="26"/>
      <c r="AV976" s="26"/>
      <c r="AW976" s="26"/>
      <c r="AX976" s="26"/>
      <c r="AY976" s="26"/>
      <c r="AZ976" s="26"/>
      <c r="BA976" s="26"/>
    </row>
    <row r="977">
      <c r="A977" s="26"/>
      <c r="B977" s="26"/>
      <c r="C977" s="26"/>
      <c r="D977" s="27"/>
      <c r="E977" s="27"/>
      <c r="F977" s="26"/>
      <c r="G977" s="28"/>
      <c r="H977" s="28"/>
      <c r="I977" s="28"/>
      <c r="J977" s="28"/>
      <c r="K977" s="28"/>
      <c r="L977" s="28"/>
      <c r="M977" s="28"/>
      <c r="N977" s="26"/>
      <c r="O977" s="29"/>
      <c r="P977" s="27"/>
      <c r="Q977" s="26"/>
      <c r="R977" s="29"/>
      <c r="S977" s="28"/>
      <c r="T977" s="29"/>
      <c r="U977" s="28"/>
      <c r="V977" s="28"/>
      <c r="W977" s="28"/>
      <c r="X977" s="28"/>
      <c r="Y977" s="26"/>
      <c r="Z977" s="29"/>
      <c r="AA977" s="28"/>
      <c r="AB977" s="26"/>
      <c r="AC977" s="29"/>
      <c r="AD977" s="25"/>
      <c r="AE977" s="29"/>
      <c r="AF977" s="25"/>
      <c r="AG977" s="25"/>
      <c r="AH977" s="25"/>
      <c r="AI977" s="25"/>
      <c r="AJ977" s="26"/>
      <c r="AK977" s="29"/>
      <c r="AL977" s="28"/>
      <c r="AM977" s="26"/>
      <c r="AN977" s="29"/>
      <c r="AO977" s="25"/>
      <c r="AP977" s="29"/>
      <c r="AQ977" s="25"/>
      <c r="AR977" s="25"/>
      <c r="AS977" s="25"/>
      <c r="AT977" s="25"/>
      <c r="AU977" s="26"/>
      <c r="AV977" s="26"/>
      <c r="AW977" s="26"/>
      <c r="AX977" s="26"/>
      <c r="AY977" s="26"/>
      <c r="AZ977" s="26"/>
      <c r="BA977" s="26"/>
    </row>
    <row r="978">
      <c r="A978" s="26"/>
      <c r="B978" s="26"/>
      <c r="C978" s="26"/>
      <c r="D978" s="27"/>
      <c r="E978" s="27"/>
      <c r="F978" s="26"/>
      <c r="G978" s="28"/>
      <c r="H978" s="28"/>
      <c r="I978" s="28"/>
      <c r="J978" s="28"/>
      <c r="K978" s="28"/>
      <c r="L978" s="28"/>
      <c r="M978" s="28"/>
      <c r="N978" s="26"/>
      <c r="O978" s="29"/>
      <c r="P978" s="27"/>
      <c r="Q978" s="26"/>
      <c r="R978" s="29"/>
      <c r="S978" s="28"/>
      <c r="T978" s="29"/>
      <c r="U978" s="28"/>
      <c r="V978" s="28"/>
      <c r="W978" s="28"/>
      <c r="X978" s="28"/>
      <c r="Y978" s="26"/>
      <c r="Z978" s="29"/>
      <c r="AA978" s="28"/>
      <c r="AB978" s="26"/>
      <c r="AC978" s="29"/>
      <c r="AD978" s="25"/>
      <c r="AE978" s="29"/>
      <c r="AF978" s="25"/>
      <c r="AG978" s="25"/>
      <c r="AH978" s="25"/>
      <c r="AI978" s="25"/>
      <c r="AJ978" s="26"/>
      <c r="AK978" s="29"/>
      <c r="AL978" s="28"/>
      <c r="AM978" s="26"/>
      <c r="AN978" s="29"/>
      <c r="AO978" s="25"/>
      <c r="AP978" s="29"/>
      <c r="AQ978" s="25"/>
      <c r="AR978" s="25"/>
      <c r="AS978" s="25"/>
      <c r="AT978" s="25"/>
      <c r="AU978" s="26"/>
      <c r="AV978" s="26"/>
      <c r="AW978" s="26"/>
      <c r="AX978" s="26"/>
      <c r="AY978" s="26"/>
      <c r="AZ978" s="26"/>
      <c r="BA978" s="26"/>
    </row>
    <row r="979">
      <c r="A979" s="26"/>
      <c r="B979" s="26"/>
      <c r="C979" s="26"/>
      <c r="D979" s="27"/>
      <c r="E979" s="27"/>
      <c r="F979" s="26"/>
      <c r="G979" s="28"/>
      <c r="H979" s="28"/>
      <c r="I979" s="28"/>
      <c r="J979" s="28"/>
      <c r="K979" s="28"/>
      <c r="L979" s="28"/>
      <c r="M979" s="28"/>
      <c r="N979" s="26"/>
      <c r="O979" s="29"/>
      <c r="P979" s="27"/>
      <c r="Q979" s="26"/>
      <c r="R979" s="29"/>
      <c r="S979" s="28"/>
      <c r="T979" s="29"/>
      <c r="U979" s="28"/>
      <c r="V979" s="28"/>
      <c r="W979" s="28"/>
      <c r="X979" s="28"/>
      <c r="Y979" s="26"/>
      <c r="Z979" s="29"/>
      <c r="AA979" s="28"/>
      <c r="AB979" s="26"/>
      <c r="AC979" s="29"/>
      <c r="AD979" s="25"/>
      <c r="AE979" s="29"/>
      <c r="AF979" s="25"/>
      <c r="AG979" s="25"/>
      <c r="AH979" s="25"/>
      <c r="AI979" s="25"/>
      <c r="AJ979" s="26"/>
      <c r="AK979" s="29"/>
      <c r="AL979" s="28"/>
      <c r="AM979" s="26"/>
      <c r="AN979" s="29"/>
      <c r="AO979" s="25"/>
      <c r="AP979" s="29"/>
      <c r="AQ979" s="25"/>
      <c r="AR979" s="25"/>
      <c r="AS979" s="25"/>
      <c r="AT979" s="25"/>
      <c r="AU979" s="26"/>
      <c r="AV979" s="26"/>
      <c r="AW979" s="26"/>
      <c r="AX979" s="26"/>
      <c r="AY979" s="26"/>
      <c r="AZ979" s="26"/>
      <c r="BA979" s="26"/>
    </row>
    <row r="980">
      <c r="A980" s="26"/>
      <c r="B980" s="26"/>
      <c r="C980" s="26"/>
      <c r="D980" s="27"/>
      <c r="E980" s="27"/>
      <c r="F980" s="26"/>
      <c r="G980" s="28"/>
      <c r="H980" s="28"/>
      <c r="I980" s="28"/>
      <c r="J980" s="28"/>
      <c r="K980" s="28"/>
      <c r="L980" s="28"/>
      <c r="M980" s="28"/>
      <c r="N980" s="26"/>
      <c r="O980" s="29"/>
      <c r="P980" s="27"/>
      <c r="Q980" s="26"/>
      <c r="R980" s="29"/>
      <c r="S980" s="28"/>
      <c r="T980" s="29"/>
      <c r="U980" s="28"/>
      <c r="V980" s="28"/>
      <c r="W980" s="28"/>
      <c r="X980" s="28"/>
      <c r="Y980" s="26"/>
      <c r="Z980" s="29"/>
      <c r="AA980" s="28"/>
      <c r="AB980" s="26"/>
      <c r="AC980" s="29"/>
      <c r="AD980" s="25"/>
      <c r="AE980" s="29"/>
      <c r="AF980" s="25"/>
      <c r="AG980" s="25"/>
      <c r="AH980" s="25"/>
      <c r="AI980" s="25"/>
      <c r="AJ980" s="26"/>
      <c r="AK980" s="29"/>
      <c r="AL980" s="28"/>
      <c r="AM980" s="26"/>
      <c r="AN980" s="29"/>
      <c r="AO980" s="25"/>
      <c r="AP980" s="29"/>
      <c r="AQ980" s="25"/>
      <c r="AR980" s="25"/>
      <c r="AS980" s="25"/>
      <c r="AT980" s="25"/>
      <c r="AU980" s="26"/>
      <c r="AV980" s="26"/>
      <c r="AW980" s="26"/>
      <c r="AX980" s="26"/>
      <c r="AY980" s="26"/>
      <c r="AZ980" s="26"/>
      <c r="BA980" s="26"/>
    </row>
    <row r="981">
      <c r="A981" s="26"/>
      <c r="B981" s="26"/>
      <c r="C981" s="26"/>
      <c r="D981" s="27"/>
      <c r="E981" s="27"/>
      <c r="F981" s="26"/>
      <c r="G981" s="28"/>
      <c r="H981" s="28"/>
      <c r="I981" s="28"/>
      <c r="J981" s="28"/>
      <c r="K981" s="28"/>
      <c r="L981" s="28"/>
      <c r="M981" s="28"/>
      <c r="N981" s="26"/>
      <c r="O981" s="29"/>
      <c r="P981" s="27"/>
      <c r="Q981" s="26"/>
      <c r="R981" s="29"/>
      <c r="S981" s="28"/>
      <c r="T981" s="29"/>
      <c r="U981" s="28"/>
      <c r="V981" s="28"/>
      <c r="W981" s="28"/>
      <c r="X981" s="28"/>
      <c r="Y981" s="26"/>
      <c r="Z981" s="29"/>
      <c r="AA981" s="28"/>
      <c r="AB981" s="26"/>
      <c r="AC981" s="29"/>
      <c r="AD981" s="25"/>
      <c r="AE981" s="29"/>
      <c r="AF981" s="25"/>
      <c r="AG981" s="25"/>
      <c r="AH981" s="25"/>
      <c r="AI981" s="25"/>
      <c r="AJ981" s="26"/>
      <c r="AK981" s="29"/>
      <c r="AL981" s="28"/>
      <c r="AM981" s="26"/>
      <c r="AN981" s="29"/>
      <c r="AO981" s="25"/>
      <c r="AP981" s="29"/>
      <c r="AQ981" s="25"/>
      <c r="AR981" s="25"/>
      <c r="AS981" s="25"/>
      <c r="AT981" s="25"/>
      <c r="AU981" s="26"/>
      <c r="AV981" s="26"/>
      <c r="AW981" s="26"/>
      <c r="AX981" s="26"/>
      <c r="AY981" s="26"/>
      <c r="AZ981" s="26"/>
      <c r="BA981" s="26"/>
    </row>
    <row r="982">
      <c r="A982" s="26"/>
      <c r="B982" s="26"/>
      <c r="C982" s="26"/>
      <c r="D982" s="27"/>
      <c r="E982" s="27"/>
      <c r="F982" s="26"/>
      <c r="G982" s="28"/>
      <c r="H982" s="28"/>
      <c r="I982" s="28"/>
      <c r="J982" s="28"/>
      <c r="K982" s="28"/>
      <c r="L982" s="28"/>
      <c r="M982" s="28"/>
      <c r="N982" s="26"/>
      <c r="O982" s="29"/>
      <c r="P982" s="27"/>
      <c r="Q982" s="26"/>
      <c r="R982" s="29"/>
      <c r="S982" s="28"/>
      <c r="T982" s="29"/>
      <c r="U982" s="28"/>
      <c r="V982" s="28"/>
      <c r="W982" s="28"/>
      <c r="X982" s="28"/>
      <c r="Y982" s="26"/>
      <c r="Z982" s="29"/>
      <c r="AA982" s="28"/>
      <c r="AB982" s="26"/>
      <c r="AC982" s="29"/>
      <c r="AD982" s="25"/>
      <c r="AE982" s="29"/>
      <c r="AF982" s="25"/>
      <c r="AG982" s="25"/>
      <c r="AH982" s="25"/>
      <c r="AI982" s="25"/>
      <c r="AJ982" s="26"/>
      <c r="AK982" s="29"/>
      <c r="AL982" s="28"/>
      <c r="AM982" s="26"/>
      <c r="AN982" s="29"/>
      <c r="AO982" s="25"/>
      <c r="AP982" s="29"/>
      <c r="AQ982" s="25"/>
      <c r="AR982" s="25"/>
      <c r="AS982" s="25"/>
      <c r="AT982" s="25"/>
      <c r="AU982" s="26"/>
      <c r="AV982" s="26"/>
      <c r="AW982" s="26"/>
      <c r="AX982" s="26"/>
      <c r="AY982" s="26"/>
      <c r="AZ982" s="26"/>
      <c r="BA982" s="26"/>
    </row>
    <row r="983">
      <c r="A983" s="26"/>
      <c r="B983" s="26"/>
      <c r="C983" s="26"/>
      <c r="D983" s="27"/>
      <c r="E983" s="27"/>
      <c r="F983" s="26"/>
      <c r="G983" s="28"/>
      <c r="H983" s="28"/>
      <c r="I983" s="28"/>
      <c r="J983" s="28"/>
      <c r="K983" s="28"/>
      <c r="L983" s="28"/>
      <c r="M983" s="28"/>
      <c r="N983" s="26"/>
      <c r="O983" s="29"/>
      <c r="P983" s="27"/>
      <c r="Q983" s="26"/>
      <c r="R983" s="29"/>
      <c r="S983" s="28"/>
      <c r="T983" s="29"/>
      <c r="U983" s="28"/>
      <c r="V983" s="28"/>
      <c r="W983" s="28"/>
      <c r="X983" s="28"/>
      <c r="Y983" s="26"/>
      <c r="Z983" s="29"/>
      <c r="AA983" s="28"/>
      <c r="AB983" s="26"/>
      <c r="AC983" s="29"/>
      <c r="AD983" s="25"/>
      <c r="AE983" s="29"/>
      <c r="AF983" s="25"/>
      <c r="AG983" s="25"/>
      <c r="AH983" s="25"/>
      <c r="AI983" s="25"/>
      <c r="AJ983" s="26"/>
      <c r="AK983" s="29"/>
      <c r="AL983" s="28"/>
      <c r="AM983" s="26"/>
      <c r="AN983" s="29"/>
      <c r="AO983" s="25"/>
      <c r="AP983" s="29"/>
      <c r="AQ983" s="25"/>
      <c r="AR983" s="25"/>
      <c r="AS983" s="25"/>
      <c r="AT983" s="25"/>
      <c r="AU983" s="26"/>
      <c r="AV983" s="26"/>
      <c r="AW983" s="26"/>
      <c r="AX983" s="26"/>
      <c r="AY983" s="26"/>
      <c r="AZ983" s="26"/>
      <c r="BA983" s="26"/>
    </row>
    <row r="984">
      <c r="A984" s="26"/>
      <c r="B984" s="26"/>
      <c r="C984" s="26"/>
      <c r="D984" s="27"/>
      <c r="E984" s="27"/>
      <c r="F984" s="26"/>
      <c r="G984" s="28"/>
      <c r="H984" s="28"/>
      <c r="I984" s="28"/>
      <c r="J984" s="28"/>
      <c r="K984" s="28"/>
      <c r="L984" s="28"/>
      <c r="M984" s="28"/>
      <c r="N984" s="26"/>
      <c r="O984" s="29"/>
      <c r="P984" s="27"/>
      <c r="Q984" s="26"/>
      <c r="R984" s="29"/>
      <c r="S984" s="28"/>
      <c r="T984" s="29"/>
      <c r="U984" s="28"/>
      <c r="V984" s="28"/>
      <c r="W984" s="28"/>
      <c r="X984" s="28"/>
      <c r="Y984" s="26"/>
      <c r="Z984" s="29"/>
      <c r="AA984" s="28"/>
      <c r="AB984" s="26"/>
      <c r="AC984" s="29"/>
      <c r="AD984" s="25"/>
      <c r="AE984" s="29"/>
      <c r="AF984" s="25"/>
      <c r="AG984" s="25"/>
      <c r="AH984" s="25"/>
      <c r="AI984" s="25"/>
      <c r="AJ984" s="26"/>
      <c r="AK984" s="29"/>
      <c r="AL984" s="28"/>
      <c r="AM984" s="26"/>
      <c r="AN984" s="29"/>
      <c r="AO984" s="25"/>
      <c r="AP984" s="29"/>
      <c r="AQ984" s="25"/>
      <c r="AR984" s="25"/>
      <c r="AS984" s="25"/>
      <c r="AT984" s="25"/>
      <c r="AU984" s="26"/>
      <c r="AV984" s="26"/>
      <c r="AW984" s="26"/>
      <c r="AX984" s="26"/>
      <c r="AY984" s="26"/>
      <c r="AZ984" s="26"/>
      <c r="BA984" s="26"/>
    </row>
    <row r="985">
      <c r="A985" s="26"/>
      <c r="B985" s="26"/>
      <c r="C985" s="26"/>
      <c r="D985" s="27"/>
      <c r="E985" s="27"/>
      <c r="F985" s="26"/>
      <c r="G985" s="28"/>
      <c r="H985" s="28"/>
      <c r="I985" s="28"/>
      <c r="J985" s="28"/>
      <c r="K985" s="28"/>
      <c r="L985" s="28"/>
      <c r="M985" s="28"/>
      <c r="N985" s="26"/>
      <c r="O985" s="29"/>
      <c r="P985" s="27"/>
      <c r="Q985" s="26"/>
      <c r="R985" s="29"/>
      <c r="S985" s="28"/>
      <c r="T985" s="29"/>
      <c r="U985" s="28"/>
      <c r="V985" s="28"/>
      <c r="W985" s="28"/>
      <c r="X985" s="28"/>
      <c r="Y985" s="26"/>
      <c r="Z985" s="29"/>
      <c r="AA985" s="28"/>
      <c r="AB985" s="26"/>
      <c r="AC985" s="29"/>
      <c r="AD985" s="25"/>
      <c r="AE985" s="29"/>
      <c r="AF985" s="25"/>
      <c r="AG985" s="25"/>
      <c r="AH985" s="25"/>
      <c r="AI985" s="25"/>
      <c r="AJ985" s="26"/>
      <c r="AK985" s="29"/>
      <c r="AL985" s="28"/>
      <c r="AM985" s="26"/>
      <c r="AN985" s="29"/>
      <c r="AO985" s="25"/>
      <c r="AP985" s="29"/>
      <c r="AQ985" s="25"/>
      <c r="AR985" s="25"/>
      <c r="AS985" s="25"/>
      <c r="AT985" s="25"/>
      <c r="AU985" s="26"/>
      <c r="AV985" s="26"/>
      <c r="AW985" s="26"/>
      <c r="AX985" s="26"/>
      <c r="AY985" s="26"/>
      <c r="AZ985" s="26"/>
      <c r="BA985" s="26"/>
    </row>
    <row r="986">
      <c r="A986" s="26"/>
      <c r="B986" s="26"/>
      <c r="C986" s="26"/>
      <c r="D986" s="27"/>
      <c r="E986" s="27"/>
      <c r="F986" s="26"/>
      <c r="G986" s="28"/>
      <c r="H986" s="28"/>
      <c r="I986" s="28"/>
      <c r="J986" s="28"/>
      <c r="K986" s="28"/>
      <c r="L986" s="28"/>
      <c r="M986" s="28"/>
      <c r="N986" s="26"/>
      <c r="O986" s="29"/>
      <c r="P986" s="27"/>
      <c r="Q986" s="26"/>
      <c r="R986" s="29"/>
      <c r="S986" s="28"/>
      <c r="T986" s="29"/>
      <c r="U986" s="28"/>
      <c r="V986" s="28"/>
      <c r="W986" s="28"/>
      <c r="X986" s="28"/>
      <c r="Y986" s="26"/>
      <c r="Z986" s="29"/>
      <c r="AA986" s="28"/>
      <c r="AB986" s="26"/>
      <c r="AC986" s="29"/>
      <c r="AD986" s="25"/>
      <c r="AE986" s="29"/>
      <c r="AF986" s="25"/>
      <c r="AG986" s="25"/>
      <c r="AH986" s="25"/>
      <c r="AI986" s="25"/>
      <c r="AJ986" s="26"/>
      <c r="AK986" s="29"/>
      <c r="AL986" s="28"/>
      <c r="AM986" s="26"/>
      <c r="AN986" s="29"/>
      <c r="AO986" s="25"/>
      <c r="AP986" s="29"/>
      <c r="AQ986" s="25"/>
      <c r="AR986" s="25"/>
      <c r="AS986" s="25"/>
      <c r="AT986" s="25"/>
      <c r="AU986" s="26"/>
      <c r="AV986" s="26"/>
      <c r="AW986" s="26"/>
      <c r="AX986" s="26"/>
      <c r="AY986" s="26"/>
      <c r="AZ986" s="26"/>
      <c r="BA986" s="26"/>
    </row>
    <row r="987">
      <c r="A987" s="26"/>
      <c r="B987" s="26"/>
      <c r="C987" s="26"/>
      <c r="D987" s="27"/>
      <c r="E987" s="27"/>
      <c r="F987" s="26"/>
      <c r="G987" s="28"/>
      <c r="H987" s="28"/>
      <c r="I987" s="28"/>
      <c r="J987" s="28"/>
      <c r="K987" s="28"/>
      <c r="L987" s="28"/>
      <c r="M987" s="28"/>
      <c r="N987" s="26"/>
      <c r="O987" s="29"/>
      <c r="P987" s="27"/>
      <c r="Q987" s="26"/>
      <c r="R987" s="29"/>
      <c r="S987" s="28"/>
      <c r="T987" s="29"/>
      <c r="U987" s="28"/>
      <c r="V987" s="28"/>
      <c r="W987" s="28"/>
      <c r="X987" s="28"/>
      <c r="Y987" s="26"/>
      <c r="Z987" s="29"/>
      <c r="AA987" s="28"/>
      <c r="AB987" s="26"/>
      <c r="AC987" s="29"/>
      <c r="AD987" s="25"/>
      <c r="AE987" s="29"/>
      <c r="AF987" s="25"/>
      <c r="AG987" s="25"/>
      <c r="AH987" s="25"/>
      <c r="AI987" s="25"/>
      <c r="AJ987" s="26"/>
      <c r="AK987" s="29"/>
      <c r="AL987" s="28"/>
      <c r="AM987" s="26"/>
      <c r="AN987" s="29"/>
      <c r="AO987" s="25"/>
      <c r="AP987" s="29"/>
      <c r="AQ987" s="25"/>
      <c r="AR987" s="25"/>
      <c r="AS987" s="25"/>
      <c r="AT987" s="25"/>
      <c r="AU987" s="26"/>
      <c r="AV987" s="26"/>
      <c r="AW987" s="26"/>
      <c r="AX987" s="26"/>
      <c r="AY987" s="26"/>
      <c r="AZ987" s="26"/>
      <c r="BA987" s="26"/>
    </row>
    <row r="988">
      <c r="A988" s="26"/>
      <c r="B988" s="26"/>
      <c r="C988" s="26"/>
      <c r="D988" s="27"/>
      <c r="E988" s="27"/>
      <c r="F988" s="26"/>
      <c r="G988" s="28"/>
      <c r="H988" s="28"/>
      <c r="I988" s="28"/>
      <c r="J988" s="28"/>
      <c r="K988" s="28"/>
      <c r="L988" s="28"/>
      <c r="M988" s="28"/>
      <c r="N988" s="26"/>
      <c r="O988" s="29"/>
      <c r="P988" s="27"/>
      <c r="Q988" s="26"/>
      <c r="R988" s="29"/>
      <c r="S988" s="28"/>
      <c r="T988" s="29"/>
      <c r="U988" s="28"/>
      <c r="V988" s="28"/>
      <c r="W988" s="28"/>
      <c r="X988" s="28"/>
      <c r="Y988" s="26"/>
      <c r="Z988" s="29"/>
      <c r="AA988" s="28"/>
      <c r="AB988" s="26"/>
      <c r="AC988" s="29"/>
      <c r="AD988" s="25"/>
      <c r="AE988" s="29"/>
      <c r="AF988" s="25"/>
      <c r="AG988" s="25"/>
      <c r="AH988" s="25"/>
      <c r="AI988" s="25"/>
      <c r="AJ988" s="26"/>
      <c r="AK988" s="29"/>
      <c r="AL988" s="28"/>
      <c r="AM988" s="26"/>
      <c r="AN988" s="29"/>
      <c r="AO988" s="25"/>
      <c r="AP988" s="29"/>
      <c r="AQ988" s="25"/>
      <c r="AR988" s="25"/>
      <c r="AS988" s="25"/>
      <c r="AT988" s="25"/>
      <c r="AU988" s="26"/>
      <c r="AV988" s="26"/>
      <c r="AW988" s="26"/>
      <c r="AX988" s="26"/>
      <c r="AY988" s="26"/>
      <c r="AZ988" s="26"/>
      <c r="BA988" s="26"/>
    </row>
    <row r="989">
      <c r="A989" s="26"/>
      <c r="B989" s="26"/>
      <c r="C989" s="26"/>
      <c r="D989" s="27"/>
      <c r="E989" s="27"/>
      <c r="F989" s="26"/>
      <c r="G989" s="28"/>
      <c r="H989" s="28"/>
      <c r="I989" s="28"/>
      <c r="J989" s="28"/>
      <c r="K989" s="28"/>
      <c r="L989" s="28"/>
      <c r="M989" s="28"/>
      <c r="N989" s="26"/>
      <c r="O989" s="29"/>
      <c r="P989" s="27"/>
      <c r="Q989" s="26"/>
      <c r="R989" s="29"/>
      <c r="S989" s="28"/>
      <c r="T989" s="29"/>
      <c r="U989" s="28"/>
      <c r="V989" s="28"/>
      <c r="W989" s="28"/>
      <c r="X989" s="28"/>
      <c r="Y989" s="26"/>
      <c r="Z989" s="29"/>
      <c r="AA989" s="28"/>
      <c r="AB989" s="26"/>
      <c r="AC989" s="29"/>
      <c r="AD989" s="25"/>
      <c r="AE989" s="29"/>
      <c r="AF989" s="25"/>
      <c r="AG989" s="25"/>
      <c r="AH989" s="25"/>
      <c r="AI989" s="25"/>
      <c r="AJ989" s="26"/>
      <c r="AK989" s="29"/>
      <c r="AL989" s="28"/>
      <c r="AM989" s="26"/>
      <c r="AN989" s="29"/>
      <c r="AO989" s="25"/>
      <c r="AP989" s="29"/>
      <c r="AQ989" s="25"/>
      <c r="AR989" s="25"/>
      <c r="AS989" s="25"/>
      <c r="AT989" s="25"/>
      <c r="AU989" s="26"/>
      <c r="AV989" s="26"/>
      <c r="AW989" s="26"/>
      <c r="AX989" s="26"/>
      <c r="AY989" s="26"/>
      <c r="AZ989" s="26"/>
      <c r="BA989" s="26"/>
    </row>
    <row r="990">
      <c r="A990" s="26"/>
      <c r="B990" s="26"/>
      <c r="C990" s="26"/>
      <c r="D990" s="27"/>
      <c r="E990" s="27"/>
      <c r="F990" s="26"/>
      <c r="G990" s="28"/>
      <c r="H990" s="28"/>
      <c r="I990" s="28"/>
      <c r="J990" s="28"/>
      <c r="K990" s="28"/>
      <c r="L990" s="28"/>
      <c r="M990" s="28"/>
      <c r="N990" s="26"/>
      <c r="O990" s="29"/>
      <c r="P990" s="27"/>
      <c r="Q990" s="26"/>
      <c r="R990" s="29"/>
      <c r="S990" s="28"/>
      <c r="T990" s="29"/>
      <c r="U990" s="28"/>
      <c r="V990" s="28"/>
      <c r="W990" s="28"/>
      <c r="X990" s="28"/>
      <c r="Y990" s="26"/>
      <c r="Z990" s="29"/>
      <c r="AA990" s="28"/>
      <c r="AB990" s="26"/>
      <c r="AC990" s="29"/>
      <c r="AD990" s="25"/>
      <c r="AE990" s="29"/>
      <c r="AF990" s="25"/>
      <c r="AG990" s="25"/>
      <c r="AH990" s="25"/>
      <c r="AI990" s="25"/>
      <c r="AJ990" s="26"/>
      <c r="AK990" s="29"/>
      <c r="AL990" s="28"/>
      <c r="AM990" s="26"/>
      <c r="AN990" s="29"/>
      <c r="AO990" s="25"/>
      <c r="AP990" s="29"/>
      <c r="AQ990" s="25"/>
      <c r="AR990" s="25"/>
      <c r="AS990" s="25"/>
      <c r="AT990" s="25"/>
      <c r="AU990" s="26"/>
      <c r="AV990" s="26"/>
      <c r="AW990" s="26"/>
      <c r="AX990" s="26"/>
      <c r="AY990" s="26"/>
      <c r="AZ990" s="26"/>
      <c r="BA990" s="26"/>
    </row>
    <row r="991">
      <c r="A991" s="26"/>
      <c r="B991" s="26"/>
      <c r="C991" s="26"/>
      <c r="D991" s="27"/>
      <c r="E991" s="27"/>
      <c r="F991" s="26"/>
      <c r="G991" s="28"/>
      <c r="H991" s="28"/>
      <c r="I991" s="28"/>
      <c r="J991" s="28"/>
      <c r="K991" s="28"/>
      <c r="L991" s="28"/>
      <c r="M991" s="28"/>
      <c r="N991" s="26"/>
      <c r="O991" s="29"/>
      <c r="P991" s="27"/>
      <c r="Q991" s="26"/>
      <c r="R991" s="29"/>
      <c r="S991" s="28"/>
      <c r="T991" s="29"/>
      <c r="U991" s="28"/>
      <c r="V991" s="28"/>
      <c r="W991" s="28"/>
      <c r="X991" s="28"/>
      <c r="Y991" s="26"/>
      <c r="Z991" s="29"/>
      <c r="AA991" s="28"/>
      <c r="AB991" s="26"/>
      <c r="AC991" s="29"/>
      <c r="AD991" s="25"/>
      <c r="AE991" s="29"/>
      <c r="AF991" s="25"/>
      <c r="AG991" s="25"/>
      <c r="AH991" s="25"/>
      <c r="AI991" s="25"/>
      <c r="AJ991" s="26"/>
      <c r="AK991" s="29"/>
      <c r="AL991" s="28"/>
      <c r="AM991" s="26"/>
      <c r="AN991" s="29"/>
      <c r="AO991" s="25"/>
      <c r="AP991" s="29"/>
      <c r="AQ991" s="25"/>
      <c r="AR991" s="25"/>
      <c r="AS991" s="25"/>
      <c r="AT991" s="25"/>
      <c r="AU991" s="26"/>
      <c r="AV991" s="26"/>
      <c r="AW991" s="26"/>
      <c r="AX991" s="26"/>
      <c r="AY991" s="26"/>
      <c r="AZ991" s="26"/>
      <c r="BA991" s="26"/>
    </row>
    <row r="992">
      <c r="A992" s="26"/>
      <c r="B992" s="26"/>
      <c r="C992" s="26"/>
      <c r="D992" s="27"/>
      <c r="E992" s="27"/>
      <c r="F992" s="26"/>
      <c r="G992" s="28"/>
      <c r="H992" s="28"/>
      <c r="I992" s="28"/>
      <c r="J992" s="28"/>
      <c r="K992" s="28"/>
      <c r="L992" s="28"/>
      <c r="M992" s="28"/>
      <c r="N992" s="26"/>
      <c r="O992" s="29"/>
      <c r="P992" s="27"/>
      <c r="Q992" s="26"/>
      <c r="R992" s="29"/>
      <c r="S992" s="28"/>
      <c r="T992" s="29"/>
      <c r="U992" s="28"/>
      <c r="V992" s="28"/>
      <c r="W992" s="28"/>
      <c r="X992" s="28"/>
      <c r="Y992" s="26"/>
      <c r="Z992" s="29"/>
      <c r="AA992" s="28"/>
      <c r="AB992" s="26"/>
      <c r="AC992" s="29"/>
      <c r="AD992" s="25"/>
      <c r="AE992" s="29"/>
      <c r="AF992" s="25"/>
      <c r="AG992" s="25"/>
      <c r="AH992" s="25"/>
      <c r="AI992" s="25"/>
      <c r="AJ992" s="26"/>
      <c r="AK992" s="29"/>
      <c r="AL992" s="28"/>
      <c r="AM992" s="26"/>
      <c r="AN992" s="29"/>
      <c r="AO992" s="25"/>
      <c r="AP992" s="29"/>
      <c r="AQ992" s="25"/>
      <c r="AR992" s="25"/>
      <c r="AS992" s="25"/>
      <c r="AT992" s="25"/>
      <c r="AU992" s="26"/>
      <c r="AV992" s="26"/>
      <c r="AW992" s="26"/>
      <c r="AX992" s="26"/>
      <c r="AY992" s="26"/>
      <c r="AZ992" s="26"/>
      <c r="BA992" s="26"/>
    </row>
    <row r="993">
      <c r="A993" s="26"/>
      <c r="B993" s="26"/>
      <c r="C993" s="26"/>
      <c r="D993" s="27"/>
      <c r="E993" s="27"/>
      <c r="F993" s="26"/>
      <c r="G993" s="28"/>
      <c r="H993" s="28"/>
      <c r="I993" s="28"/>
      <c r="J993" s="28"/>
      <c r="K993" s="28"/>
      <c r="L993" s="28"/>
      <c r="M993" s="28"/>
      <c r="N993" s="26"/>
      <c r="O993" s="29"/>
      <c r="P993" s="27"/>
      <c r="Q993" s="26"/>
      <c r="R993" s="29"/>
      <c r="S993" s="28"/>
      <c r="T993" s="29"/>
      <c r="U993" s="28"/>
      <c r="V993" s="28"/>
      <c r="W993" s="28"/>
      <c r="X993" s="28"/>
      <c r="Y993" s="26"/>
      <c r="Z993" s="29"/>
      <c r="AA993" s="28"/>
      <c r="AB993" s="26"/>
      <c r="AC993" s="29"/>
      <c r="AD993" s="25"/>
      <c r="AE993" s="29"/>
      <c r="AF993" s="25"/>
      <c r="AG993" s="25"/>
      <c r="AH993" s="25"/>
      <c r="AI993" s="25"/>
      <c r="AJ993" s="26"/>
      <c r="AK993" s="29"/>
      <c r="AL993" s="28"/>
      <c r="AM993" s="26"/>
      <c r="AN993" s="29"/>
      <c r="AO993" s="25"/>
      <c r="AP993" s="29"/>
      <c r="AQ993" s="25"/>
      <c r="AR993" s="25"/>
      <c r="AS993" s="25"/>
      <c r="AT993" s="25"/>
      <c r="AU993" s="26"/>
      <c r="AV993" s="26"/>
      <c r="AW993" s="26"/>
      <c r="AX993" s="26"/>
      <c r="AY993" s="26"/>
      <c r="AZ993" s="26"/>
      <c r="BA993" s="26"/>
    </row>
    <row r="994">
      <c r="A994" s="26"/>
      <c r="B994" s="26"/>
      <c r="C994" s="26"/>
      <c r="D994" s="27"/>
      <c r="E994" s="27"/>
      <c r="F994" s="26"/>
      <c r="G994" s="28"/>
      <c r="H994" s="28"/>
      <c r="I994" s="28"/>
      <c r="J994" s="28"/>
      <c r="K994" s="28"/>
      <c r="L994" s="28"/>
      <c r="M994" s="28"/>
      <c r="N994" s="26"/>
      <c r="O994" s="29"/>
      <c r="P994" s="27"/>
      <c r="Q994" s="26"/>
      <c r="R994" s="29"/>
      <c r="S994" s="28"/>
      <c r="T994" s="29"/>
      <c r="U994" s="28"/>
      <c r="V994" s="28"/>
      <c r="W994" s="28"/>
      <c r="X994" s="28"/>
      <c r="Y994" s="26"/>
      <c r="Z994" s="29"/>
      <c r="AA994" s="28"/>
      <c r="AB994" s="26"/>
      <c r="AC994" s="29"/>
      <c r="AD994" s="25"/>
      <c r="AE994" s="29"/>
      <c r="AF994" s="25"/>
      <c r="AG994" s="25"/>
      <c r="AH994" s="25"/>
      <c r="AI994" s="25"/>
      <c r="AJ994" s="26"/>
      <c r="AK994" s="29"/>
      <c r="AL994" s="28"/>
      <c r="AM994" s="26"/>
      <c r="AN994" s="29"/>
      <c r="AO994" s="25"/>
      <c r="AP994" s="29"/>
      <c r="AQ994" s="25"/>
      <c r="AR994" s="25"/>
      <c r="AS994" s="25"/>
      <c r="AT994" s="25"/>
      <c r="AU994" s="26"/>
      <c r="AV994" s="26"/>
      <c r="AW994" s="26"/>
      <c r="AX994" s="26"/>
      <c r="AY994" s="26"/>
      <c r="AZ994" s="26"/>
      <c r="BA994" s="26"/>
    </row>
    <row r="995">
      <c r="A995" s="26"/>
      <c r="B995" s="26"/>
      <c r="C995" s="26"/>
      <c r="D995" s="27"/>
      <c r="E995" s="27"/>
      <c r="F995" s="26"/>
      <c r="G995" s="28"/>
      <c r="H995" s="28"/>
      <c r="I995" s="28"/>
      <c r="J995" s="28"/>
      <c r="K995" s="28"/>
      <c r="L995" s="28"/>
      <c r="M995" s="28"/>
      <c r="N995" s="26"/>
      <c r="O995" s="29"/>
      <c r="P995" s="27"/>
      <c r="Q995" s="26"/>
      <c r="R995" s="29"/>
      <c r="S995" s="28"/>
      <c r="T995" s="29"/>
      <c r="U995" s="28"/>
      <c r="V995" s="28"/>
      <c r="W995" s="28"/>
      <c r="X995" s="28"/>
      <c r="Y995" s="26"/>
      <c r="Z995" s="29"/>
      <c r="AA995" s="28"/>
      <c r="AB995" s="26"/>
      <c r="AC995" s="29"/>
      <c r="AD995" s="25"/>
      <c r="AE995" s="29"/>
      <c r="AF995" s="25"/>
      <c r="AG995" s="25"/>
      <c r="AH995" s="25"/>
      <c r="AI995" s="25"/>
      <c r="AJ995" s="26"/>
      <c r="AK995" s="29"/>
      <c r="AL995" s="28"/>
      <c r="AM995" s="26"/>
      <c r="AN995" s="29"/>
      <c r="AO995" s="25"/>
      <c r="AP995" s="29"/>
      <c r="AQ995" s="25"/>
      <c r="AR995" s="25"/>
      <c r="AS995" s="25"/>
      <c r="AT995" s="25"/>
      <c r="AU995" s="26"/>
      <c r="AV995" s="26"/>
      <c r="AW995" s="26"/>
      <c r="AX995" s="26"/>
      <c r="AY995" s="26"/>
      <c r="AZ995" s="26"/>
      <c r="BA995" s="26"/>
    </row>
    <row r="996">
      <c r="A996" s="26"/>
      <c r="B996" s="26"/>
      <c r="C996" s="26"/>
      <c r="D996" s="27"/>
      <c r="E996" s="27"/>
      <c r="F996" s="26"/>
      <c r="G996" s="28"/>
      <c r="H996" s="28"/>
      <c r="I996" s="28"/>
      <c r="J996" s="28"/>
      <c r="K996" s="28"/>
      <c r="L996" s="28"/>
      <c r="M996" s="28"/>
      <c r="N996" s="26"/>
      <c r="O996" s="29"/>
      <c r="P996" s="27"/>
      <c r="Q996" s="26"/>
      <c r="R996" s="29"/>
      <c r="S996" s="28"/>
      <c r="T996" s="29"/>
      <c r="U996" s="28"/>
      <c r="V996" s="28"/>
      <c r="W996" s="28"/>
      <c r="X996" s="28"/>
      <c r="Y996" s="26"/>
      <c r="Z996" s="29"/>
      <c r="AA996" s="28"/>
      <c r="AB996" s="26"/>
      <c r="AC996" s="29"/>
      <c r="AD996" s="25"/>
      <c r="AE996" s="29"/>
      <c r="AF996" s="25"/>
      <c r="AG996" s="25"/>
      <c r="AH996" s="25"/>
      <c r="AI996" s="25"/>
      <c r="AJ996" s="26"/>
      <c r="AK996" s="29"/>
      <c r="AL996" s="28"/>
      <c r="AM996" s="26"/>
      <c r="AN996" s="29"/>
      <c r="AO996" s="25"/>
      <c r="AP996" s="29"/>
      <c r="AQ996" s="25"/>
      <c r="AR996" s="25"/>
      <c r="AS996" s="25"/>
      <c r="AT996" s="25"/>
      <c r="AU996" s="26"/>
      <c r="AV996" s="26"/>
      <c r="AW996" s="26"/>
      <c r="AX996" s="26"/>
      <c r="AY996" s="26"/>
      <c r="AZ996" s="26"/>
      <c r="BA996" s="26"/>
    </row>
    <row r="997">
      <c r="A997" s="26"/>
      <c r="B997" s="26"/>
      <c r="C997" s="26"/>
      <c r="D997" s="27"/>
      <c r="E997" s="27"/>
      <c r="F997" s="26"/>
      <c r="G997" s="28"/>
      <c r="H997" s="28"/>
      <c r="I997" s="28"/>
      <c r="J997" s="28"/>
      <c r="K997" s="28"/>
      <c r="L997" s="28"/>
      <c r="M997" s="28"/>
      <c r="N997" s="26"/>
      <c r="O997" s="29"/>
      <c r="P997" s="27"/>
      <c r="Q997" s="26"/>
      <c r="R997" s="29"/>
      <c r="S997" s="28"/>
      <c r="T997" s="29"/>
      <c r="U997" s="28"/>
      <c r="V997" s="28"/>
      <c r="W997" s="28"/>
      <c r="X997" s="28"/>
      <c r="Y997" s="26"/>
      <c r="Z997" s="29"/>
      <c r="AA997" s="28"/>
      <c r="AB997" s="26"/>
      <c r="AC997" s="29"/>
      <c r="AD997" s="25"/>
      <c r="AE997" s="29"/>
      <c r="AF997" s="25"/>
      <c r="AG997" s="25"/>
      <c r="AH997" s="25"/>
      <c r="AI997" s="25"/>
      <c r="AJ997" s="26"/>
      <c r="AK997" s="29"/>
      <c r="AL997" s="28"/>
      <c r="AM997" s="26"/>
      <c r="AN997" s="29"/>
      <c r="AO997" s="25"/>
      <c r="AP997" s="29"/>
      <c r="AQ997" s="25"/>
      <c r="AR997" s="25"/>
      <c r="AS997" s="25"/>
      <c r="AT997" s="25"/>
      <c r="AU997" s="26"/>
      <c r="AV997" s="26"/>
      <c r="AW997" s="26"/>
      <c r="AX997" s="26"/>
      <c r="AY997" s="26"/>
      <c r="AZ997" s="26"/>
      <c r="BA997" s="26"/>
    </row>
    <row r="998">
      <c r="A998" s="26"/>
      <c r="B998" s="26"/>
      <c r="C998" s="26"/>
      <c r="D998" s="27"/>
      <c r="E998" s="27"/>
      <c r="F998" s="26"/>
      <c r="G998" s="28"/>
      <c r="H998" s="28"/>
      <c r="I998" s="28"/>
      <c r="J998" s="28"/>
      <c r="K998" s="28"/>
      <c r="L998" s="28"/>
      <c r="M998" s="28"/>
      <c r="N998" s="26"/>
      <c r="O998" s="29"/>
      <c r="P998" s="27"/>
      <c r="Q998" s="26"/>
      <c r="R998" s="29"/>
      <c r="S998" s="28"/>
      <c r="T998" s="29"/>
      <c r="U998" s="28"/>
      <c r="V998" s="28"/>
      <c r="W998" s="28"/>
      <c r="X998" s="28"/>
      <c r="Y998" s="26"/>
      <c r="Z998" s="29"/>
      <c r="AA998" s="28"/>
      <c r="AB998" s="26"/>
      <c r="AC998" s="29"/>
      <c r="AD998" s="25"/>
      <c r="AE998" s="29"/>
      <c r="AF998" s="25"/>
      <c r="AG998" s="25"/>
      <c r="AH998" s="25"/>
      <c r="AI998" s="25"/>
      <c r="AJ998" s="26"/>
      <c r="AK998" s="29"/>
      <c r="AL998" s="28"/>
      <c r="AM998" s="26"/>
      <c r="AN998" s="29"/>
      <c r="AO998" s="25"/>
      <c r="AP998" s="29"/>
      <c r="AQ998" s="25"/>
      <c r="AR998" s="25"/>
      <c r="AS998" s="25"/>
      <c r="AT998" s="25"/>
      <c r="AU998" s="26"/>
      <c r="AV998" s="26"/>
      <c r="AW998" s="26"/>
      <c r="AX998" s="26"/>
      <c r="AY998" s="26"/>
      <c r="AZ998" s="26"/>
      <c r="BA998" s="26"/>
    </row>
    <row r="999">
      <c r="A999" s="26"/>
      <c r="B999" s="26"/>
      <c r="C999" s="26"/>
      <c r="D999" s="27"/>
      <c r="E999" s="27"/>
      <c r="F999" s="26"/>
      <c r="G999" s="28"/>
      <c r="H999" s="28"/>
      <c r="I999" s="28"/>
      <c r="J999" s="28"/>
      <c r="K999" s="28"/>
      <c r="L999" s="28"/>
      <c r="M999" s="28"/>
      <c r="N999" s="26"/>
      <c r="O999" s="29"/>
      <c r="P999" s="27"/>
      <c r="Q999" s="26"/>
      <c r="R999" s="29"/>
      <c r="S999" s="28"/>
      <c r="T999" s="29"/>
      <c r="U999" s="28"/>
      <c r="V999" s="28"/>
      <c r="W999" s="28"/>
      <c r="X999" s="28"/>
      <c r="Y999" s="26"/>
      <c r="Z999" s="29"/>
      <c r="AA999" s="28"/>
      <c r="AB999" s="26"/>
      <c r="AC999" s="29"/>
      <c r="AD999" s="25"/>
      <c r="AE999" s="29"/>
      <c r="AF999" s="25"/>
      <c r="AG999" s="25"/>
      <c r="AH999" s="25"/>
      <c r="AI999" s="25"/>
      <c r="AJ999" s="26"/>
      <c r="AK999" s="29"/>
      <c r="AL999" s="28"/>
      <c r="AM999" s="26"/>
      <c r="AN999" s="29"/>
      <c r="AO999" s="25"/>
      <c r="AP999" s="29"/>
      <c r="AQ999" s="25"/>
      <c r="AR999" s="25"/>
      <c r="AS999" s="25"/>
      <c r="AT999" s="25"/>
      <c r="AU999" s="26"/>
      <c r="AV999" s="26"/>
      <c r="AW999" s="26"/>
      <c r="AX999" s="26"/>
      <c r="AY999" s="26"/>
      <c r="AZ999" s="26"/>
      <c r="BA999" s="26"/>
    </row>
    <row r="1000">
      <c r="A1000" s="26"/>
      <c r="B1000" s="26"/>
      <c r="C1000" s="26"/>
      <c r="D1000" s="27"/>
      <c r="E1000" s="27"/>
      <c r="F1000" s="26"/>
      <c r="G1000" s="28"/>
      <c r="H1000" s="28"/>
      <c r="I1000" s="28"/>
      <c r="J1000" s="28"/>
      <c r="K1000" s="28"/>
      <c r="L1000" s="28"/>
      <c r="M1000" s="28"/>
      <c r="N1000" s="26"/>
      <c r="O1000" s="29"/>
      <c r="P1000" s="27"/>
      <c r="Q1000" s="26"/>
      <c r="R1000" s="29"/>
      <c r="S1000" s="28"/>
      <c r="T1000" s="29"/>
      <c r="U1000" s="28"/>
      <c r="V1000" s="28"/>
      <c r="W1000" s="28"/>
      <c r="X1000" s="28"/>
      <c r="Y1000" s="26"/>
      <c r="Z1000" s="29"/>
      <c r="AA1000" s="28"/>
      <c r="AB1000" s="26"/>
      <c r="AC1000" s="29"/>
      <c r="AD1000" s="25"/>
      <c r="AE1000" s="29"/>
      <c r="AF1000" s="25"/>
      <c r="AG1000" s="25"/>
      <c r="AH1000" s="25"/>
      <c r="AI1000" s="25"/>
      <c r="AJ1000" s="26"/>
      <c r="AK1000" s="29"/>
      <c r="AL1000" s="28"/>
      <c r="AM1000" s="26"/>
      <c r="AN1000" s="29"/>
      <c r="AO1000" s="25"/>
      <c r="AP1000" s="29"/>
      <c r="AQ1000" s="25"/>
      <c r="AR1000" s="25"/>
      <c r="AS1000" s="25"/>
      <c r="AT1000" s="25"/>
      <c r="AU1000" s="26"/>
      <c r="AV1000" s="26"/>
      <c r="AW1000" s="26"/>
      <c r="AX1000" s="26"/>
      <c r="AY1000" s="26"/>
      <c r="AZ1000" s="26"/>
      <c r="BA1000" s="26"/>
    </row>
    <row r="1001">
      <c r="A1001" s="26"/>
      <c r="B1001" s="26"/>
      <c r="C1001" s="26"/>
      <c r="D1001" s="27"/>
      <c r="E1001" s="27"/>
      <c r="F1001" s="26"/>
      <c r="G1001" s="28"/>
      <c r="H1001" s="28"/>
      <c r="I1001" s="28"/>
      <c r="J1001" s="28"/>
      <c r="K1001" s="28"/>
      <c r="L1001" s="28"/>
      <c r="M1001" s="28"/>
      <c r="N1001" s="26"/>
      <c r="O1001" s="29"/>
      <c r="P1001" s="27"/>
      <c r="Q1001" s="26"/>
      <c r="R1001" s="29"/>
      <c r="S1001" s="28"/>
      <c r="T1001" s="29"/>
      <c r="U1001" s="28"/>
      <c r="V1001" s="28"/>
      <c r="W1001" s="28"/>
      <c r="X1001" s="28"/>
      <c r="Y1001" s="26"/>
      <c r="Z1001" s="29"/>
      <c r="AA1001" s="28"/>
      <c r="AB1001" s="26"/>
      <c r="AC1001" s="29"/>
      <c r="AD1001" s="25"/>
      <c r="AE1001" s="29"/>
      <c r="AF1001" s="25"/>
      <c r="AG1001" s="25"/>
      <c r="AH1001" s="25"/>
      <c r="AI1001" s="25"/>
      <c r="AJ1001" s="26"/>
      <c r="AK1001" s="29"/>
      <c r="AL1001" s="28"/>
      <c r="AM1001" s="26"/>
      <c r="AN1001" s="29"/>
      <c r="AO1001" s="25"/>
      <c r="AP1001" s="29"/>
      <c r="AQ1001" s="25"/>
      <c r="AR1001" s="25"/>
      <c r="AS1001" s="25"/>
      <c r="AT1001" s="25"/>
      <c r="AU1001" s="26"/>
      <c r="AV1001" s="26"/>
      <c r="AW1001" s="26"/>
      <c r="AX1001" s="26"/>
      <c r="AY1001" s="26"/>
      <c r="AZ1001" s="26"/>
      <c r="BA1001" s="26"/>
    </row>
    <row r="1002">
      <c r="A1002" s="26"/>
      <c r="B1002" s="26"/>
      <c r="C1002" s="26"/>
      <c r="D1002" s="27"/>
      <c r="E1002" s="27"/>
      <c r="F1002" s="26"/>
      <c r="G1002" s="28"/>
      <c r="H1002" s="28"/>
      <c r="I1002" s="28"/>
      <c r="J1002" s="28"/>
      <c r="K1002" s="28"/>
      <c r="L1002" s="28"/>
      <c r="M1002" s="28"/>
      <c r="N1002" s="26"/>
      <c r="O1002" s="29"/>
      <c r="P1002" s="27"/>
      <c r="Q1002" s="26"/>
      <c r="R1002" s="29"/>
      <c r="S1002" s="28"/>
      <c r="T1002" s="29"/>
      <c r="U1002" s="28"/>
      <c r="V1002" s="28"/>
      <c r="W1002" s="28"/>
      <c r="X1002" s="28"/>
      <c r="Y1002" s="26"/>
      <c r="Z1002" s="29"/>
      <c r="AA1002" s="28"/>
      <c r="AB1002" s="26"/>
      <c r="AC1002" s="29"/>
      <c r="AD1002" s="25"/>
      <c r="AE1002" s="29"/>
      <c r="AF1002" s="25"/>
      <c r="AG1002" s="25"/>
      <c r="AH1002" s="25"/>
      <c r="AI1002" s="25"/>
      <c r="AJ1002" s="26"/>
      <c r="AK1002" s="29"/>
      <c r="AL1002" s="28"/>
      <c r="AM1002" s="26"/>
      <c r="AN1002" s="29"/>
      <c r="AO1002" s="25"/>
      <c r="AP1002" s="29"/>
      <c r="AQ1002" s="25"/>
      <c r="AR1002" s="25"/>
      <c r="AS1002" s="25"/>
      <c r="AT1002" s="25"/>
      <c r="AU1002" s="26"/>
      <c r="AV1002" s="26"/>
      <c r="AW1002" s="26"/>
      <c r="AX1002" s="26"/>
      <c r="AY1002" s="26"/>
      <c r="AZ1002" s="26"/>
      <c r="BA1002" s="26"/>
    </row>
    <row r="1003">
      <c r="A1003" s="26"/>
      <c r="B1003" s="26"/>
      <c r="C1003" s="26"/>
      <c r="D1003" s="27"/>
      <c r="E1003" s="27"/>
      <c r="F1003" s="26"/>
      <c r="G1003" s="28"/>
      <c r="H1003" s="28"/>
      <c r="I1003" s="28"/>
      <c r="J1003" s="28"/>
      <c r="K1003" s="28"/>
      <c r="L1003" s="28"/>
      <c r="M1003" s="28"/>
      <c r="N1003" s="26"/>
      <c r="O1003" s="29"/>
      <c r="P1003" s="27"/>
      <c r="Q1003" s="26"/>
      <c r="R1003" s="29"/>
      <c r="S1003" s="28"/>
      <c r="T1003" s="29"/>
      <c r="U1003" s="28"/>
      <c r="V1003" s="28"/>
      <c r="W1003" s="28"/>
      <c r="X1003" s="28"/>
      <c r="Y1003" s="26"/>
      <c r="Z1003" s="29"/>
      <c r="AA1003" s="28"/>
      <c r="AB1003" s="26"/>
      <c r="AC1003" s="29"/>
      <c r="AD1003" s="25"/>
      <c r="AE1003" s="29"/>
      <c r="AF1003" s="25"/>
      <c r="AG1003" s="25"/>
      <c r="AH1003" s="25"/>
      <c r="AI1003" s="25"/>
      <c r="AJ1003" s="26"/>
      <c r="AK1003" s="29"/>
      <c r="AL1003" s="28"/>
      <c r="AM1003" s="26"/>
      <c r="AN1003" s="29"/>
      <c r="AO1003" s="25"/>
      <c r="AP1003" s="29"/>
      <c r="AQ1003" s="25"/>
      <c r="AR1003" s="25"/>
      <c r="AS1003" s="25"/>
      <c r="AT1003" s="25"/>
      <c r="AU1003" s="26"/>
      <c r="AV1003" s="26"/>
      <c r="AW1003" s="26"/>
      <c r="AX1003" s="26"/>
      <c r="AY1003" s="26"/>
      <c r="AZ1003" s="26"/>
      <c r="BA1003" s="26"/>
    </row>
    <row r="1004">
      <c r="A1004" s="26"/>
      <c r="B1004" s="26"/>
      <c r="C1004" s="26"/>
      <c r="D1004" s="27"/>
      <c r="E1004" s="27"/>
      <c r="F1004" s="26"/>
      <c r="G1004" s="28"/>
      <c r="H1004" s="28"/>
      <c r="I1004" s="28"/>
      <c r="J1004" s="28"/>
      <c r="K1004" s="28"/>
      <c r="L1004" s="28"/>
      <c r="M1004" s="28"/>
      <c r="N1004" s="26"/>
      <c r="O1004" s="29"/>
      <c r="P1004" s="27"/>
      <c r="Q1004" s="26"/>
      <c r="R1004" s="29"/>
      <c r="S1004" s="28"/>
      <c r="T1004" s="29"/>
      <c r="U1004" s="28"/>
      <c r="V1004" s="28"/>
      <c r="W1004" s="28"/>
      <c r="X1004" s="28"/>
      <c r="Y1004" s="26"/>
      <c r="Z1004" s="29"/>
      <c r="AA1004" s="28"/>
      <c r="AB1004" s="26"/>
      <c r="AC1004" s="29"/>
      <c r="AD1004" s="25"/>
      <c r="AE1004" s="29"/>
      <c r="AF1004" s="25"/>
      <c r="AG1004" s="25"/>
      <c r="AH1004" s="25"/>
      <c r="AI1004" s="25"/>
      <c r="AJ1004" s="26"/>
      <c r="AK1004" s="29"/>
      <c r="AL1004" s="28"/>
      <c r="AM1004" s="26"/>
      <c r="AN1004" s="29"/>
      <c r="AO1004" s="25"/>
      <c r="AP1004" s="29"/>
      <c r="AQ1004" s="25"/>
      <c r="AR1004" s="25"/>
      <c r="AS1004" s="25"/>
      <c r="AT1004" s="25"/>
      <c r="AU1004" s="26"/>
      <c r="AV1004" s="26"/>
      <c r="AW1004" s="26"/>
      <c r="AX1004" s="26"/>
      <c r="AY1004" s="26"/>
      <c r="AZ1004" s="26"/>
      <c r="BA1004" s="26"/>
    </row>
    <row r="1005">
      <c r="A1005" s="26"/>
      <c r="B1005" s="26"/>
      <c r="C1005" s="26"/>
      <c r="D1005" s="27"/>
      <c r="E1005" s="27"/>
      <c r="F1005" s="26"/>
      <c r="G1005" s="28"/>
      <c r="H1005" s="28"/>
      <c r="I1005" s="28"/>
      <c r="J1005" s="28"/>
      <c r="K1005" s="28"/>
      <c r="L1005" s="28"/>
      <c r="M1005" s="28"/>
      <c r="N1005" s="26"/>
      <c r="O1005" s="29"/>
      <c r="P1005" s="27"/>
      <c r="Q1005" s="26"/>
      <c r="R1005" s="29"/>
      <c r="S1005" s="28"/>
      <c r="T1005" s="29"/>
      <c r="U1005" s="28"/>
      <c r="V1005" s="28"/>
      <c r="W1005" s="28"/>
      <c r="X1005" s="28"/>
      <c r="Y1005" s="26"/>
      <c r="Z1005" s="29"/>
      <c r="AA1005" s="28"/>
      <c r="AB1005" s="26"/>
      <c r="AC1005" s="29"/>
      <c r="AD1005" s="25"/>
      <c r="AE1005" s="29"/>
      <c r="AF1005" s="25"/>
      <c r="AG1005" s="25"/>
      <c r="AH1005" s="25"/>
      <c r="AI1005" s="25"/>
      <c r="AJ1005" s="26"/>
      <c r="AK1005" s="29"/>
      <c r="AL1005" s="28"/>
      <c r="AM1005" s="26"/>
      <c r="AN1005" s="29"/>
      <c r="AO1005" s="25"/>
      <c r="AP1005" s="29"/>
      <c r="AQ1005" s="25"/>
      <c r="AR1005" s="25"/>
      <c r="AS1005" s="25"/>
      <c r="AT1005" s="25"/>
      <c r="AU1005" s="26"/>
      <c r="AV1005" s="26"/>
      <c r="AW1005" s="26"/>
      <c r="AX1005" s="26"/>
      <c r="AY1005" s="26"/>
      <c r="AZ1005" s="26"/>
      <c r="BA1005" s="26"/>
    </row>
    <row r="1006">
      <c r="A1006" s="26"/>
      <c r="B1006" s="26"/>
      <c r="C1006" s="26"/>
      <c r="D1006" s="27"/>
      <c r="E1006" s="27"/>
      <c r="F1006" s="26"/>
      <c r="G1006" s="28"/>
      <c r="H1006" s="28"/>
      <c r="I1006" s="28"/>
      <c r="J1006" s="28"/>
      <c r="K1006" s="28"/>
      <c r="L1006" s="28"/>
      <c r="M1006" s="28"/>
      <c r="N1006" s="26"/>
      <c r="O1006" s="29"/>
      <c r="P1006" s="27"/>
      <c r="Q1006" s="26"/>
      <c r="R1006" s="29"/>
      <c r="S1006" s="28"/>
      <c r="T1006" s="29"/>
      <c r="U1006" s="28"/>
      <c r="V1006" s="28"/>
      <c r="W1006" s="28"/>
      <c r="X1006" s="28"/>
      <c r="Y1006" s="26"/>
      <c r="Z1006" s="29"/>
      <c r="AA1006" s="28"/>
      <c r="AB1006" s="26"/>
      <c r="AC1006" s="29"/>
      <c r="AD1006" s="25"/>
      <c r="AE1006" s="29"/>
      <c r="AF1006" s="25"/>
      <c r="AG1006" s="25"/>
      <c r="AH1006" s="25"/>
      <c r="AI1006" s="25"/>
      <c r="AJ1006" s="26"/>
      <c r="AK1006" s="29"/>
      <c r="AL1006" s="28"/>
      <c r="AM1006" s="26"/>
      <c r="AN1006" s="29"/>
      <c r="AO1006" s="25"/>
      <c r="AP1006" s="29"/>
      <c r="AQ1006" s="25"/>
      <c r="AR1006" s="25"/>
      <c r="AS1006" s="25"/>
      <c r="AT1006" s="25"/>
      <c r="AU1006" s="26"/>
      <c r="AV1006" s="26"/>
      <c r="AW1006" s="26"/>
      <c r="AX1006" s="26"/>
      <c r="AY1006" s="26"/>
      <c r="AZ1006" s="26"/>
      <c r="BA1006" s="26"/>
    </row>
    <row r="1007">
      <c r="A1007" s="26"/>
      <c r="B1007" s="26"/>
      <c r="C1007" s="26"/>
      <c r="D1007" s="27"/>
      <c r="E1007" s="27"/>
      <c r="F1007" s="26"/>
      <c r="G1007" s="28"/>
      <c r="H1007" s="28"/>
      <c r="I1007" s="28"/>
      <c r="J1007" s="28"/>
      <c r="K1007" s="28"/>
      <c r="L1007" s="28"/>
      <c r="M1007" s="28"/>
      <c r="N1007" s="26"/>
      <c r="O1007" s="29"/>
      <c r="P1007" s="27"/>
      <c r="Q1007" s="26"/>
      <c r="R1007" s="29"/>
      <c r="S1007" s="28"/>
      <c r="T1007" s="29"/>
      <c r="U1007" s="28"/>
      <c r="V1007" s="28"/>
      <c r="W1007" s="28"/>
      <c r="X1007" s="28"/>
      <c r="Y1007" s="26"/>
      <c r="Z1007" s="29"/>
      <c r="AA1007" s="28"/>
      <c r="AB1007" s="26"/>
      <c r="AC1007" s="29"/>
      <c r="AD1007" s="25"/>
      <c r="AE1007" s="29"/>
      <c r="AF1007" s="25"/>
      <c r="AG1007" s="25"/>
      <c r="AH1007" s="25"/>
      <c r="AI1007" s="25"/>
      <c r="AJ1007" s="26"/>
      <c r="AK1007" s="29"/>
      <c r="AL1007" s="28"/>
      <c r="AM1007" s="26"/>
      <c r="AN1007" s="29"/>
      <c r="AO1007" s="25"/>
      <c r="AP1007" s="29"/>
      <c r="AQ1007" s="25"/>
      <c r="AR1007" s="25"/>
      <c r="AS1007" s="25"/>
      <c r="AT1007" s="25"/>
      <c r="AU1007" s="26"/>
      <c r="AV1007" s="26"/>
      <c r="AW1007" s="26"/>
      <c r="AX1007" s="26"/>
      <c r="AY1007" s="26"/>
      <c r="AZ1007" s="26"/>
      <c r="BA1007" s="26"/>
    </row>
    <row r="1008">
      <c r="A1008" s="26"/>
      <c r="B1008" s="26"/>
      <c r="C1008" s="26"/>
      <c r="D1008" s="27"/>
      <c r="E1008" s="27"/>
      <c r="F1008" s="26"/>
      <c r="G1008" s="28"/>
      <c r="H1008" s="28"/>
      <c r="I1008" s="28"/>
      <c r="J1008" s="28"/>
      <c r="K1008" s="28"/>
      <c r="L1008" s="28"/>
      <c r="M1008" s="28"/>
      <c r="N1008" s="26"/>
      <c r="O1008" s="29"/>
      <c r="P1008" s="27"/>
      <c r="Q1008" s="26"/>
      <c r="R1008" s="29"/>
      <c r="S1008" s="28"/>
      <c r="T1008" s="29"/>
      <c r="U1008" s="28"/>
      <c r="V1008" s="28"/>
      <c r="W1008" s="28"/>
      <c r="X1008" s="28"/>
      <c r="Y1008" s="26"/>
      <c r="Z1008" s="29"/>
      <c r="AA1008" s="28"/>
      <c r="AB1008" s="26"/>
      <c r="AC1008" s="29"/>
      <c r="AD1008" s="25"/>
      <c r="AE1008" s="29"/>
      <c r="AF1008" s="25"/>
      <c r="AG1008" s="25"/>
      <c r="AH1008" s="25"/>
      <c r="AI1008" s="25"/>
      <c r="AJ1008" s="26"/>
      <c r="AK1008" s="29"/>
      <c r="AL1008" s="28"/>
      <c r="AM1008" s="26"/>
      <c r="AN1008" s="29"/>
      <c r="AO1008" s="25"/>
      <c r="AP1008" s="29"/>
      <c r="AQ1008" s="25"/>
      <c r="AR1008" s="25"/>
      <c r="AS1008" s="25"/>
      <c r="AT1008" s="25"/>
      <c r="AU1008" s="26"/>
      <c r="AV1008" s="26"/>
      <c r="AW1008" s="26"/>
      <c r="AX1008" s="26"/>
      <c r="AY1008" s="26"/>
      <c r="AZ1008" s="26"/>
      <c r="BA1008" s="26"/>
    </row>
    <row r="1009">
      <c r="A1009" s="26"/>
      <c r="B1009" s="26"/>
      <c r="C1009" s="26"/>
      <c r="D1009" s="27"/>
      <c r="E1009" s="27"/>
      <c r="F1009" s="26"/>
      <c r="G1009" s="28"/>
      <c r="H1009" s="28"/>
      <c r="I1009" s="28"/>
      <c r="J1009" s="28"/>
      <c r="K1009" s="28"/>
      <c r="L1009" s="28"/>
      <c r="M1009" s="28"/>
      <c r="N1009" s="26"/>
      <c r="O1009" s="29"/>
      <c r="P1009" s="27"/>
      <c r="Q1009" s="26"/>
      <c r="R1009" s="29"/>
      <c r="S1009" s="28"/>
      <c r="T1009" s="29"/>
      <c r="U1009" s="28"/>
      <c r="V1009" s="28"/>
      <c r="W1009" s="28"/>
      <c r="X1009" s="28"/>
      <c r="Y1009" s="26"/>
      <c r="Z1009" s="29"/>
      <c r="AA1009" s="28"/>
      <c r="AB1009" s="26"/>
      <c r="AC1009" s="29"/>
      <c r="AD1009" s="25"/>
      <c r="AE1009" s="29"/>
      <c r="AF1009" s="25"/>
      <c r="AG1009" s="25"/>
      <c r="AH1009" s="25"/>
      <c r="AI1009" s="25"/>
      <c r="AJ1009" s="26"/>
      <c r="AK1009" s="29"/>
      <c r="AL1009" s="28"/>
      <c r="AM1009" s="26"/>
      <c r="AN1009" s="29"/>
      <c r="AO1009" s="25"/>
      <c r="AP1009" s="29"/>
      <c r="AQ1009" s="25"/>
      <c r="AR1009" s="25"/>
      <c r="AS1009" s="25"/>
      <c r="AT1009" s="25"/>
      <c r="AU1009" s="26"/>
      <c r="AV1009" s="26"/>
      <c r="AW1009" s="26"/>
      <c r="AX1009" s="26"/>
      <c r="AY1009" s="26"/>
      <c r="AZ1009" s="26"/>
      <c r="BA1009" s="26"/>
    </row>
    <row r="1010">
      <c r="A1010" s="26"/>
      <c r="B1010" s="26"/>
      <c r="C1010" s="26"/>
      <c r="D1010" s="27"/>
      <c r="E1010" s="27"/>
      <c r="F1010" s="26"/>
      <c r="G1010" s="28"/>
      <c r="H1010" s="28"/>
      <c r="I1010" s="28"/>
      <c r="J1010" s="28"/>
      <c r="K1010" s="28"/>
      <c r="L1010" s="28"/>
      <c r="M1010" s="28"/>
      <c r="N1010" s="26"/>
      <c r="O1010" s="29"/>
      <c r="P1010" s="27"/>
      <c r="Q1010" s="26"/>
      <c r="R1010" s="29"/>
      <c r="S1010" s="28"/>
      <c r="T1010" s="29"/>
      <c r="U1010" s="28"/>
      <c r="V1010" s="28"/>
      <c r="W1010" s="28"/>
      <c r="X1010" s="28"/>
      <c r="Y1010" s="26"/>
      <c r="Z1010" s="29"/>
      <c r="AA1010" s="28"/>
      <c r="AB1010" s="26"/>
      <c r="AC1010" s="29"/>
      <c r="AD1010" s="25"/>
      <c r="AE1010" s="29"/>
      <c r="AF1010" s="25"/>
      <c r="AG1010" s="25"/>
      <c r="AH1010" s="25"/>
      <c r="AI1010" s="25"/>
      <c r="AJ1010" s="26"/>
      <c r="AK1010" s="29"/>
      <c r="AL1010" s="28"/>
      <c r="AM1010" s="26"/>
      <c r="AN1010" s="29"/>
      <c r="AO1010" s="25"/>
      <c r="AP1010" s="29"/>
      <c r="AQ1010" s="25"/>
      <c r="AR1010" s="25"/>
      <c r="AS1010" s="25"/>
      <c r="AT1010" s="25"/>
      <c r="AU1010" s="26"/>
      <c r="AV1010" s="26"/>
      <c r="AW1010" s="26"/>
      <c r="AX1010" s="26"/>
      <c r="AY1010" s="26"/>
      <c r="AZ1010" s="26"/>
      <c r="BA1010" s="26"/>
    </row>
    <row r="1011">
      <c r="A1011" s="26"/>
      <c r="B1011" s="26"/>
      <c r="C1011" s="26"/>
      <c r="D1011" s="27"/>
      <c r="E1011" s="27"/>
      <c r="F1011" s="26"/>
      <c r="G1011" s="28"/>
      <c r="H1011" s="28"/>
      <c r="I1011" s="28"/>
      <c r="J1011" s="28"/>
      <c r="K1011" s="28"/>
      <c r="L1011" s="28"/>
      <c r="M1011" s="28"/>
      <c r="N1011" s="26"/>
      <c r="O1011" s="29"/>
      <c r="P1011" s="27"/>
      <c r="Q1011" s="26"/>
      <c r="R1011" s="29"/>
      <c r="S1011" s="28"/>
      <c r="T1011" s="29"/>
      <c r="U1011" s="28"/>
      <c r="V1011" s="28"/>
      <c r="W1011" s="28"/>
      <c r="X1011" s="28"/>
      <c r="Y1011" s="26"/>
      <c r="Z1011" s="29"/>
      <c r="AA1011" s="28"/>
      <c r="AB1011" s="26"/>
      <c r="AC1011" s="29"/>
      <c r="AD1011" s="25"/>
      <c r="AE1011" s="29"/>
      <c r="AF1011" s="25"/>
      <c r="AG1011" s="25"/>
      <c r="AH1011" s="25"/>
      <c r="AI1011" s="25"/>
      <c r="AJ1011" s="26"/>
      <c r="AK1011" s="29"/>
      <c r="AL1011" s="28"/>
      <c r="AM1011" s="26"/>
      <c r="AN1011" s="29"/>
      <c r="AO1011" s="25"/>
      <c r="AP1011" s="29"/>
      <c r="AQ1011" s="25"/>
      <c r="AR1011" s="25"/>
      <c r="AS1011" s="25"/>
      <c r="AT1011" s="25"/>
      <c r="AU1011" s="26"/>
      <c r="AV1011" s="26"/>
      <c r="AW1011" s="26"/>
      <c r="AX1011" s="26"/>
      <c r="AY1011" s="26"/>
      <c r="AZ1011" s="26"/>
      <c r="BA1011" s="26"/>
    </row>
  </sheetData>
  <autoFilter ref="$A$1:$AR$41"/>
  <hyperlinks>
    <hyperlink r:id="rId1" ref="AB1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40">
        <v>1.0</v>
      </c>
      <c r="D2" s="41">
        <f>IFERROR(__xludf.DUMMYFUNCTION("IF(B2="""","""",COUNTA(SPLIT(B2,"" "")))"),214.0)</f>
        <v>214</v>
      </c>
      <c r="E2" s="50" t="s">
        <v>607</v>
      </c>
      <c r="F2" s="40">
        <v>1.0</v>
      </c>
      <c r="G2" s="16">
        <f>IFERROR(__xludf.DUMMYFUNCTION("IF(E2="""","""",COUNTA(SPLIT(E2,"" "")))"),175.0)</f>
        <v>175</v>
      </c>
      <c r="H2" s="16">
        <f t="shared" ref="H2:H6" si="1">compararRespostas(B2, E2)</f>
        <v>0.4119850187</v>
      </c>
      <c r="I2" s="16">
        <f t="shared" ref="I2:I6" si="2">(G2-D2)</f>
        <v>-39</v>
      </c>
      <c r="J2" s="16">
        <f t="shared" ref="J2:J6" si="3">abs(I2)</f>
        <v>39</v>
      </c>
      <c r="K2" s="16">
        <f t="shared" ref="K2:K6" si="4">RANK(J2, J$2:J$30, 1)</f>
        <v>15</v>
      </c>
    </row>
    <row r="3">
      <c r="A3" s="18">
        <v>2.0</v>
      </c>
      <c r="B3" s="50" t="s">
        <v>608</v>
      </c>
      <c r="C3" s="40">
        <v>1.0</v>
      </c>
      <c r="D3" s="41">
        <f>IFERROR(__xludf.DUMMYFUNCTION("IF(B3="""","""",COUNTA(SPLIT(B3,"" "")))"),219.0)</f>
        <v>219</v>
      </c>
      <c r="E3" s="50" t="s">
        <v>609</v>
      </c>
      <c r="F3" s="40">
        <v>1.0</v>
      </c>
      <c r="G3" s="16">
        <f>IFERROR(__xludf.DUMMYFUNCTION("IF(E3="""","""",COUNTA(SPLIT(E3,"" "")))"),341.0)</f>
        <v>341</v>
      </c>
      <c r="H3" s="16">
        <f t="shared" si="1"/>
        <v>0.3825275657</v>
      </c>
      <c r="I3" s="16">
        <f t="shared" si="2"/>
        <v>122</v>
      </c>
      <c r="J3" s="16">
        <f t="shared" si="3"/>
        <v>122</v>
      </c>
      <c r="K3" s="16">
        <f t="shared" si="4"/>
        <v>29</v>
      </c>
    </row>
    <row r="4">
      <c r="A4" s="18">
        <v>3.0</v>
      </c>
      <c r="B4" s="50" t="s">
        <v>610</v>
      </c>
      <c r="C4" s="42">
        <v>1.0</v>
      </c>
      <c r="D4" s="41">
        <f>IFERROR(__xludf.DUMMYFUNCTION("IF(B4="""","""",COUNTA(SPLIT(B4,"" "")))"),504.0)</f>
        <v>504</v>
      </c>
      <c r="E4" s="50" t="s">
        <v>611</v>
      </c>
      <c r="F4" s="42">
        <v>1.0</v>
      </c>
      <c r="G4" s="16">
        <f>IFERROR(__xludf.DUMMYFUNCTION("IF(E4="""","""",COUNTA(SPLIT(E4,"" "")))"),401.0)</f>
        <v>401</v>
      </c>
      <c r="H4" s="16">
        <f t="shared" si="1"/>
        <v>0.3726201269</v>
      </c>
      <c r="I4" s="16">
        <f t="shared" si="2"/>
        <v>-103</v>
      </c>
      <c r="J4" s="16">
        <f t="shared" si="3"/>
        <v>103</v>
      </c>
      <c r="K4" s="16">
        <f t="shared" si="4"/>
        <v>27</v>
      </c>
    </row>
    <row r="5">
      <c r="A5" s="18">
        <v>4.0</v>
      </c>
      <c r="B5" s="50" t="s">
        <v>612</v>
      </c>
      <c r="C5" s="42">
        <v>1.0</v>
      </c>
      <c r="D5" s="41">
        <f>IFERROR(__xludf.DUMMYFUNCTION("IF(B5="""","""",COUNTA(SPLIT(B5,"" "")))"),285.0)</f>
        <v>285</v>
      </c>
      <c r="E5" s="50" t="s">
        <v>613</v>
      </c>
      <c r="F5" s="42">
        <v>1.0</v>
      </c>
      <c r="G5" s="16">
        <f>IFERROR(__xludf.DUMMYFUNCTION("IF(E5="""","""",COUNTA(SPLIT(E5,"" "")))"),276.0)</f>
        <v>276</v>
      </c>
      <c r="H5" s="16">
        <f t="shared" si="1"/>
        <v>0.308815576</v>
      </c>
      <c r="I5" s="16">
        <f t="shared" si="2"/>
        <v>-9</v>
      </c>
      <c r="J5" s="16">
        <f t="shared" si="3"/>
        <v>9</v>
      </c>
      <c r="K5" s="16">
        <f t="shared" si="4"/>
        <v>10</v>
      </c>
    </row>
    <row r="6">
      <c r="A6" s="18">
        <v>5.0</v>
      </c>
      <c r="B6" s="50" t="s">
        <v>614</v>
      </c>
      <c r="C6" s="42">
        <v>1.0</v>
      </c>
      <c r="D6" s="41">
        <f>IFERROR(__xludf.DUMMYFUNCTION("IF(B6="""","""",COUNTA(SPLIT(B6,"" "")))"),181.0)</f>
        <v>181</v>
      </c>
      <c r="E6" s="50" t="s">
        <v>615</v>
      </c>
      <c r="F6" s="42">
        <v>1.0</v>
      </c>
      <c r="G6" s="16">
        <f>IFERROR(__xludf.DUMMYFUNCTION("IF(E6="""","""",COUNTA(SPLIT(E6,"" "")))"),184.0)</f>
        <v>184</v>
      </c>
      <c r="H6" s="16">
        <f t="shared" si="1"/>
        <v>0.3698510079</v>
      </c>
      <c r="I6" s="16">
        <f t="shared" si="2"/>
        <v>3</v>
      </c>
      <c r="J6" s="16">
        <f t="shared" si="3"/>
        <v>3</v>
      </c>
      <c r="K6" s="16">
        <f t="shared" si="4"/>
        <v>9</v>
      </c>
    </row>
    <row r="7">
      <c r="A7" s="18">
        <v>6.0</v>
      </c>
      <c r="B7" s="50" t="s">
        <v>616</v>
      </c>
      <c r="C7" s="42">
        <v>1.0</v>
      </c>
      <c r="D7" s="43">
        <v>0.0</v>
      </c>
      <c r="E7" s="50" t="s">
        <v>617</v>
      </c>
      <c r="F7" s="42">
        <v>0.0</v>
      </c>
      <c r="G7" s="44">
        <v>0.0</v>
      </c>
      <c r="H7" s="44">
        <v>0.0</v>
      </c>
      <c r="I7" s="44">
        <v>0.0</v>
      </c>
      <c r="J7" s="44">
        <v>0.0</v>
      </c>
      <c r="K7" s="44">
        <v>0.0</v>
      </c>
    </row>
    <row r="8">
      <c r="A8" s="18">
        <v>7.0</v>
      </c>
      <c r="B8" s="50" t="s">
        <v>618</v>
      </c>
      <c r="C8" s="42">
        <v>1.0</v>
      </c>
      <c r="D8" s="43">
        <v>0.0</v>
      </c>
      <c r="E8" s="50" t="s">
        <v>619</v>
      </c>
      <c r="F8" s="42">
        <v>1.0</v>
      </c>
      <c r="G8" s="44">
        <v>0.0</v>
      </c>
      <c r="H8" s="44">
        <v>0.0</v>
      </c>
      <c r="I8" s="44">
        <v>0.0</v>
      </c>
      <c r="J8" s="44">
        <v>0.0</v>
      </c>
      <c r="K8" s="44">
        <v>0.0</v>
      </c>
    </row>
    <row r="9">
      <c r="A9" s="18">
        <v>8.0</v>
      </c>
      <c r="B9" s="50" t="s">
        <v>620</v>
      </c>
      <c r="C9" s="42">
        <v>1.0</v>
      </c>
      <c r="D9" s="41">
        <f>IFERROR(__xludf.DUMMYFUNCTION("IF(B9="""","""",COUNTA(SPLIT(B9,"" "")))"),319.0)</f>
        <v>319</v>
      </c>
      <c r="E9" s="50" t="s">
        <v>621</v>
      </c>
      <c r="F9" s="42">
        <v>1.0</v>
      </c>
      <c r="G9" s="16">
        <f>IFERROR(__xludf.DUMMYFUNCTION("IF(E9="""","""",COUNTA(SPLIT(E9,"" "")))"),289.0)</f>
        <v>289</v>
      </c>
      <c r="H9" s="16">
        <f t="shared" ref="H9:H10" si="5">compararRespostas(B9, E9)</f>
        <v>0.3261552266</v>
      </c>
      <c r="I9" s="16">
        <f t="shared" ref="I9:I12" si="6">(G9-D9)</f>
        <v>-30</v>
      </c>
      <c r="J9" s="16">
        <f t="shared" ref="J9:J24" si="7">abs(I9)</f>
        <v>30</v>
      </c>
      <c r="K9" s="16">
        <f t="shared" ref="K9:K10" si="8">RANK(J9, J$2:J$30, 1)</f>
        <v>14</v>
      </c>
    </row>
    <row r="10">
      <c r="A10" s="18">
        <v>9.0</v>
      </c>
      <c r="B10" s="50" t="s">
        <v>622</v>
      </c>
      <c r="C10" s="42">
        <v>1.0</v>
      </c>
      <c r="D10" s="41">
        <f>IFERROR(__xludf.DUMMYFUNCTION("IF(B10="""","""",COUNTA(SPLIT(B10,"" "")))"),212.0)</f>
        <v>212</v>
      </c>
      <c r="E10" s="50" t="s">
        <v>623</v>
      </c>
      <c r="F10" s="42">
        <v>1.0</v>
      </c>
      <c r="G10" s="16">
        <f>IFERROR(__xludf.DUMMYFUNCTION("IF(E10="""","""",COUNTA(SPLIT(E10,"" "")))"),257.0)</f>
        <v>257</v>
      </c>
      <c r="H10" s="16">
        <f t="shared" si="5"/>
        <v>0.3670015865</v>
      </c>
      <c r="I10" s="16">
        <f t="shared" si="6"/>
        <v>45</v>
      </c>
      <c r="J10" s="16">
        <f t="shared" si="7"/>
        <v>45</v>
      </c>
      <c r="K10" s="16">
        <f t="shared" si="8"/>
        <v>17</v>
      </c>
    </row>
    <row r="11">
      <c r="A11" s="18">
        <v>10.0</v>
      </c>
      <c r="B11" s="50" t="s">
        <v>624</v>
      </c>
      <c r="C11" s="66"/>
      <c r="D11" s="43">
        <v>0.0</v>
      </c>
      <c r="E11" s="50" t="s">
        <v>625</v>
      </c>
      <c r="F11" s="66"/>
      <c r="G11" s="44">
        <v>0.0</v>
      </c>
      <c r="H11" s="44">
        <v>0.0</v>
      </c>
      <c r="I11" s="16">
        <f t="shared" si="6"/>
        <v>0</v>
      </c>
      <c r="J11" s="16">
        <f t="shared" si="7"/>
        <v>0</v>
      </c>
      <c r="K11" s="44">
        <v>0.0</v>
      </c>
    </row>
    <row r="12">
      <c r="A12" s="18">
        <v>11.0</v>
      </c>
      <c r="B12" s="50" t="s">
        <v>626</v>
      </c>
      <c r="C12" s="42">
        <v>1.0</v>
      </c>
      <c r="D12" s="41">
        <f>IFERROR(__xludf.DUMMYFUNCTION("IF(B12="""","""",COUNTA(SPLIT(B12,"" "")))"),177.0)</f>
        <v>177</v>
      </c>
      <c r="E12" s="50" t="s">
        <v>627</v>
      </c>
      <c r="F12" s="42">
        <v>1.0</v>
      </c>
      <c r="G12" s="16">
        <f>IFERROR(__xludf.DUMMYFUNCTION("IF(E12="""","""",COUNTA(SPLIT(E12,"" "")))"),273.0)</f>
        <v>273</v>
      </c>
      <c r="H12" s="16">
        <f>compararRespostas(B12, E12)</f>
        <v>0.3970414201</v>
      </c>
      <c r="I12" s="16">
        <f t="shared" si="6"/>
        <v>96</v>
      </c>
      <c r="J12" s="16">
        <f t="shared" si="7"/>
        <v>96</v>
      </c>
      <c r="K12" s="16">
        <f>RANK(J12, J$2:J$30, 1)</f>
        <v>26</v>
      </c>
    </row>
    <row r="13">
      <c r="A13" s="18">
        <v>12.0</v>
      </c>
      <c r="B13" s="50" t="s">
        <v>628</v>
      </c>
      <c r="C13" s="42">
        <v>1.0</v>
      </c>
      <c r="D13" s="43">
        <v>0.0</v>
      </c>
      <c r="E13" s="50" t="s">
        <v>629</v>
      </c>
      <c r="F13" s="42">
        <v>1.0</v>
      </c>
      <c r="G13" s="44">
        <v>0.0</v>
      </c>
      <c r="H13" s="44">
        <v>0.0</v>
      </c>
      <c r="I13" s="44">
        <v>0.0</v>
      </c>
      <c r="J13" s="16">
        <f t="shared" si="7"/>
        <v>0</v>
      </c>
      <c r="K13" s="44">
        <v>0.0</v>
      </c>
    </row>
    <row r="14">
      <c r="A14" s="18">
        <v>13.0</v>
      </c>
      <c r="B14" s="50" t="s">
        <v>630</v>
      </c>
      <c r="C14" s="42">
        <v>1.0</v>
      </c>
      <c r="D14" s="41">
        <f>IFERROR(__xludf.DUMMYFUNCTION("IF(B14="""","""",COUNTA(SPLIT(B14,"" "")))"),120.0)</f>
        <v>120</v>
      </c>
      <c r="E14" s="50" t="s">
        <v>631</v>
      </c>
      <c r="F14" s="42">
        <v>1.0</v>
      </c>
      <c r="G14" s="16">
        <f>IFERROR(__xludf.DUMMYFUNCTION("IF(E14="""","""",COUNTA(SPLIT(E14,"" "")))"),60.0)</f>
        <v>60</v>
      </c>
      <c r="H14" s="16">
        <f t="shared" ref="H14:H15" si="9">compararRespostas(B14, E14)</f>
        <v>0.3108614232</v>
      </c>
      <c r="I14" s="16">
        <f t="shared" ref="I14:I17" si="10">(G14-D14)</f>
        <v>-60</v>
      </c>
      <c r="J14" s="16">
        <f t="shared" si="7"/>
        <v>60</v>
      </c>
      <c r="K14" s="16">
        <f t="shared" ref="K14:K15" si="11">RANK(J14, J$2:J$30, 1)</f>
        <v>20</v>
      </c>
    </row>
    <row r="15">
      <c r="A15" s="18">
        <v>14.0</v>
      </c>
      <c r="B15" s="50" t="s">
        <v>632</v>
      </c>
      <c r="C15" s="42">
        <v>1.0</v>
      </c>
      <c r="D15" s="41">
        <f>IFERROR(__xludf.DUMMYFUNCTION("IF(B15="""","""",COUNTA(SPLIT(B15,"" "")))"),490.0)</f>
        <v>490</v>
      </c>
      <c r="E15" s="56" t="s">
        <v>742</v>
      </c>
      <c r="F15" s="42">
        <v>1.0</v>
      </c>
      <c r="G15" s="16">
        <f>IFERROR(__xludf.DUMMYFUNCTION("IF(E15="""","""",COUNTA(SPLIT(E15,"" "")))"),382.0)</f>
        <v>382</v>
      </c>
      <c r="H15" s="16">
        <f t="shared" si="9"/>
        <v>0.387374462</v>
      </c>
      <c r="I15" s="16">
        <f t="shared" si="10"/>
        <v>-108</v>
      </c>
      <c r="J15" s="16">
        <f t="shared" si="7"/>
        <v>108</v>
      </c>
      <c r="K15" s="16">
        <f t="shared" si="11"/>
        <v>28</v>
      </c>
    </row>
    <row r="16">
      <c r="A16" s="18">
        <v>15.0</v>
      </c>
      <c r="B16" s="50" t="s">
        <v>634</v>
      </c>
      <c r="C16" s="42">
        <v>0.0</v>
      </c>
      <c r="D16" s="43">
        <v>0.0</v>
      </c>
      <c r="E16" s="50" t="s">
        <v>635</v>
      </c>
      <c r="F16" s="42">
        <v>1.0</v>
      </c>
      <c r="G16" s="44">
        <v>0.0</v>
      </c>
      <c r="H16" s="44">
        <v>0.0</v>
      </c>
      <c r="I16" s="16">
        <f t="shared" si="10"/>
        <v>0</v>
      </c>
      <c r="J16" s="16">
        <f t="shared" si="7"/>
        <v>0</v>
      </c>
      <c r="K16" s="44">
        <v>0.0</v>
      </c>
    </row>
    <row r="17">
      <c r="A17" s="18">
        <v>16.0</v>
      </c>
      <c r="B17" s="50" t="s">
        <v>636</v>
      </c>
      <c r="C17" s="42">
        <v>1.0</v>
      </c>
      <c r="D17" s="43">
        <v>0.0</v>
      </c>
      <c r="E17" s="50" t="s">
        <v>637</v>
      </c>
      <c r="F17" s="42">
        <v>1.0</v>
      </c>
      <c r="G17" s="44">
        <v>0.0</v>
      </c>
      <c r="H17" s="44">
        <v>0.0</v>
      </c>
      <c r="I17" s="16">
        <f t="shared" si="10"/>
        <v>0</v>
      </c>
      <c r="J17" s="16">
        <f t="shared" si="7"/>
        <v>0</v>
      </c>
      <c r="K17" s="44">
        <v>0.0</v>
      </c>
    </row>
    <row r="18">
      <c r="A18" s="18">
        <v>17.0</v>
      </c>
      <c r="B18" s="50" t="s">
        <v>638</v>
      </c>
      <c r="C18" s="42">
        <v>1.0</v>
      </c>
      <c r="D18" s="43">
        <v>0.0</v>
      </c>
      <c r="E18" s="50" t="s">
        <v>639</v>
      </c>
      <c r="F18" s="42">
        <v>1.0</v>
      </c>
      <c r="G18" s="44">
        <v>0.0</v>
      </c>
      <c r="H18" s="44">
        <v>0.0</v>
      </c>
      <c r="I18" s="44">
        <v>0.0</v>
      </c>
      <c r="J18" s="16">
        <f t="shared" si="7"/>
        <v>0</v>
      </c>
      <c r="K18" s="44">
        <v>0.0</v>
      </c>
    </row>
    <row r="19">
      <c r="A19" s="18">
        <v>18.0</v>
      </c>
      <c r="B19" s="50" t="s">
        <v>640</v>
      </c>
      <c r="C19" s="42">
        <v>1.0</v>
      </c>
      <c r="D19" s="41">
        <f>IFERROR(__xludf.DUMMYFUNCTION("IF(B19="""","""",COUNTA(SPLIT(B19,"" "")))"),360.0)</f>
        <v>360</v>
      </c>
      <c r="E19" s="50" t="s">
        <v>641</v>
      </c>
      <c r="F19" s="42">
        <v>1.0</v>
      </c>
      <c r="G19" s="16">
        <f>IFERROR(__xludf.DUMMYFUNCTION("IF(E19="""","""",COUNTA(SPLIT(E19,"" "")))"),349.0)</f>
        <v>349</v>
      </c>
      <c r="H19" s="16">
        <f t="shared" ref="H19:H24" si="12">compararRespostas(B19, E19)</f>
        <v>0.3786024477</v>
      </c>
      <c r="I19" s="16">
        <f t="shared" ref="I19:I24" si="13">(G19-D19)</f>
        <v>-11</v>
      </c>
      <c r="J19" s="16">
        <f t="shared" si="7"/>
        <v>11</v>
      </c>
      <c r="K19" s="16">
        <f t="shared" ref="K19:K24" si="14">RANK(J19, J$2:J$30, 1)</f>
        <v>11</v>
      </c>
    </row>
    <row r="20">
      <c r="A20" s="18">
        <v>19.0</v>
      </c>
      <c r="B20" s="50" t="s">
        <v>642</v>
      </c>
      <c r="C20" s="42">
        <v>1.0</v>
      </c>
      <c r="D20" s="41">
        <f>IFERROR(__xludf.DUMMYFUNCTION("IF(B20="""","""",COUNTA(SPLIT(B20,"" "")))"),344.0)</f>
        <v>344</v>
      </c>
      <c r="E20" s="50" t="s">
        <v>643</v>
      </c>
      <c r="F20" s="42">
        <v>1.0</v>
      </c>
      <c r="G20" s="16">
        <f>IFERROR(__xludf.DUMMYFUNCTION("IF(E20="""","""",COUNTA(SPLIT(E20,"" "")))"),301.0)</f>
        <v>301</v>
      </c>
      <c r="H20" s="16">
        <f t="shared" si="12"/>
        <v>0.4733360893</v>
      </c>
      <c r="I20" s="16">
        <f t="shared" si="13"/>
        <v>-43</v>
      </c>
      <c r="J20" s="16">
        <f t="shared" si="7"/>
        <v>43</v>
      </c>
      <c r="K20" s="16">
        <f t="shared" si="14"/>
        <v>16</v>
      </c>
    </row>
    <row r="21">
      <c r="A21" s="18">
        <v>20.0</v>
      </c>
      <c r="B21" s="50" t="s">
        <v>644</v>
      </c>
      <c r="C21" s="42">
        <v>1.0</v>
      </c>
      <c r="D21" s="41">
        <f>IFERROR(__xludf.DUMMYFUNCTION("IF(B21="""","""",COUNTA(SPLIT(B21,"" "")))"),265.0)</f>
        <v>265</v>
      </c>
      <c r="E21" s="50" t="s">
        <v>645</v>
      </c>
      <c r="F21" s="42">
        <v>1.0</v>
      </c>
      <c r="G21" s="16">
        <f>IFERROR(__xludf.DUMMYFUNCTION("IF(E21="""","""",COUNTA(SPLIT(E21,"" "")))"),313.0)</f>
        <v>313</v>
      </c>
      <c r="H21" s="16">
        <f t="shared" si="12"/>
        <v>0.2920240137</v>
      </c>
      <c r="I21" s="16">
        <f t="shared" si="13"/>
        <v>48</v>
      </c>
      <c r="J21" s="16">
        <f t="shared" si="7"/>
        <v>48</v>
      </c>
      <c r="K21" s="16">
        <f t="shared" si="14"/>
        <v>19</v>
      </c>
    </row>
    <row r="22">
      <c r="A22" s="18">
        <v>21.0</v>
      </c>
      <c r="B22" s="50" t="s">
        <v>646</v>
      </c>
      <c r="C22" s="42">
        <v>1.0</v>
      </c>
      <c r="D22" s="41">
        <f>IFERROR(__xludf.DUMMYFUNCTION("IF(B22="""","""",COUNTA(SPLIT(B22,"" "")))"),314.0)</f>
        <v>314</v>
      </c>
      <c r="E22" s="50" t="s">
        <v>647</v>
      </c>
      <c r="F22" s="42">
        <v>1.0</v>
      </c>
      <c r="G22" s="16">
        <f>IFERROR(__xludf.DUMMYFUNCTION("IF(E22="""","""",COUNTA(SPLIT(E22,"" "")))"),229.0)</f>
        <v>229</v>
      </c>
      <c r="H22" s="16">
        <f t="shared" si="12"/>
        <v>0.3713751169</v>
      </c>
      <c r="I22" s="16">
        <f t="shared" si="13"/>
        <v>-85</v>
      </c>
      <c r="J22" s="16">
        <f t="shared" si="7"/>
        <v>85</v>
      </c>
      <c r="K22" s="16">
        <f t="shared" si="14"/>
        <v>24</v>
      </c>
    </row>
    <row r="23">
      <c r="A23" s="18">
        <v>22.0</v>
      </c>
      <c r="B23" s="50" t="s">
        <v>648</v>
      </c>
      <c r="C23" s="42">
        <v>1.0</v>
      </c>
      <c r="D23" s="41">
        <f>IFERROR(__xludf.DUMMYFUNCTION("IF(B23="""","""",COUNTA(SPLIT(B23,"" "")))"),445.0)</f>
        <v>445</v>
      </c>
      <c r="E23" s="50" t="s">
        <v>649</v>
      </c>
      <c r="F23" s="42">
        <v>1.0</v>
      </c>
      <c r="G23" s="16">
        <f>IFERROR(__xludf.DUMMYFUNCTION("IF(E23="""","""",COUNTA(SPLIT(E23,"" "")))"),378.0)</f>
        <v>378</v>
      </c>
      <c r="H23" s="16">
        <f t="shared" si="12"/>
        <v>0.3674171357</v>
      </c>
      <c r="I23" s="16">
        <f t="shared" si="13"/>
        <v>-67</v>
      </c>
      <c r="J23" s="16">
        <f t="shared" si="7"/>
        <v>67</v>
      </c>
      <c r="K23" s="16">
        <f t="shared" si="14"/>
        <v>22</v>
      </c>
    </row>
    <row r="24">
      <c r="A24" s="18">
        <v>23.0</v>
      </c>
      <c r="B24" s="50" t="s">
        <v>650</v>
      </c>
      <c r="C24" s="42">
        <v>1.0</v>
      </c>
      <c r="D24" s="41">
        <f>IFERROR(__xludf.DUMMYFUNCTION("IF(B24="""","""",COUNTA(SPLIT(B24,"" "")))"),370.0)</f>
        <v>370</v>
      </c>
      <c r="E24" s="50" t="s">
        <v>651</v>
      </c>
      <c r="F24" s="42">
        <v>1.0</v>
      </c>
      <c r="G24" s="16">
        <f>IFERROR(__xludf.DUMMYFUNCTION("IF(E24="""","""",COUNTA(SPLIT(E24,"" "")))"),351.0)</f>
        <v>351</v>
      </c>
      <c r="H24" s="16">
        <f t="shared" si="12"/>
        <v>0.3547140649</v>
      </c>
      <c r="I24" s="16">
        <f t="shared" si="13"/>
        <v>-19</v>
      </c>
      <c r="J24" s="16">
        <f t="shared" si="7"/>
        <v>19</v>
      </c>
      <c r="K24" s="16">
        <f t="shared" si="14"/>
        <v>13</v>
      </c>
    </row>
    <row r="25">
      <c r="A25" s="18">
        <v>24.0</v>
      </c>
      <c r="B25" s="50" t="s">
        <v>652</v>
      </c>
      <c r="C25" s="42">
        <v>0.0</v>
      </c>
      <c r="D25" s="43">
        <v>0.0</v>
      </c>
      <c r="E25" s="50" t="s">
        <v>653</v>
      </c>
      <c r="F25" s="42">
        <v>1.0</v>
      </c>
      <c r="G25" s="44">
        <v>0.0</v>
      </c>
      <c r="H25" s="44">
        <v>0.0</v>
      </c>
      <c r="I25" s="44">
        <v>0.0</v>
      </c>
      <c r="J25" s="44">
        <v>0.0</v>
      </c>
      <c r="K25" s="44">
        <v>0.0</v>
      </c>
    </row>
    <row r="26">
      <c r="A26" s="18">
        <v>25.0</v>
      </c>
      <c r="B26" s="50" t="s">
        <v>654</v>
      </c>
      <c r="C26" s="42">
        <v>1.0</v>
      </c>
      <c r="D26" s="41">
        <f>IFERROR(__xludf.DUMMYFUNCTION("IF(B26="""","""",COUNTA(SPLIT(B26,"" "")))"),344.0)</f>
        <v>344</v>
      </c>
      <c r="E26" s="50" t="s">
        <v>655</v>
      </c>
      <c r="F26" s="42">
        <v>1.0</v>
      </c>
      <c r="G26" s="16">
        <f>IFERROR(__xludf.DUMMYFUNCTION("IF(E26="""","""",COUNTA(SPLIT(E26,"" "")))"),413.0)</f>
        <v>413</v>
      </c>
      <c r="H26" s="16">
        <f t="shared" ref="H26:H30" si="15">compararRespostas(B26, E26)</f>
        <v>0.5489859058</v>
      </c>
      <c r="I26" s="16">
        <f t="shared" ref="I26:I30" si="16">(G26-D26)</f>
        <v>69</v>
      </c>
      <c r="J26" s="16">
        <f t="shared" ref="J26:J30" si="17">abs(I26)</f>
        <v>69</v>
      </c>
      <c r="K26" s="16">
        <f t="shared" ref="K26:K30" si="18">RANK(J26, J$2:J$30, 1)</f>
        <v>23</v>
      </c>
    </row>
    <row r="27">
      <c r="A27" s="18">
        <v>26.0</v>
      </c>
      <c r="B27" s="50" t="s">
        <v>656</v>
      </c>
      <c r="C27" s="42">
        <v>1.0</v>
      </c>
      <c r="D27" s="41">
        <f>IFERROR(__xludf.DUMMYFUNCTION("IF(B27="""","""",COUNTA(SPLIT(B27,"" "")))"),200.0)</f>
        <v>200</v>
      </c>
      <c r="E27" s="50" t="s">
        <v>657</v>
      </c>
      <c r="F27" s="42">
        <v>1.0</v>
      </c>
      <c r="G27" s="16">
        <f>IFERROR(__xludf.DUMMYFUNCTION("IF(E27="""","""",COUNTA(SPLIT(E27,"" "")))"),264.0)</f>
        <v>264</v>
      </c>
      <c r="H27" s="16">
        <f t="shared" si="15"/>
        <v>0.3052341598</v>
      </c>
      <c r="I27" s="16">
        <f t="shared" si="16"/>
        <v>64</v>
      </c>
      <c r="J27" s="16">
        <f t="shared" si="17"/>
        <v>64</v>
      </c>
      <c r="K27" s="16">
        <f t="shared" si="18"/>
        <v>21</v>
      </c>
    </row>
    <row r="28">
      <c r="A28" s="18">
        <v>27.0</v>
      </c>
      <c r="B28" s="50" t="s">
        <v>658</v>
      </c>
      <c r="C28" s="42">
        <v>1.0</v>
      </c>
      <c r="D28" s="41">
        <f>IFERROR(__xludf.DUMMYFUNCTION("IF(B28="""","""",COUNTA(SPLIT(B28,"" "")))"),160.0)</f>
        <v>160</v>
      </c>
      <c r="E28" s="50" t="s">
        <v>659</v>
      </c>
      <c r="F28" s="42">
        <v>1.0</v>
      </c>
      <c r="G28" s="16">
        <f>IFERROR(__xludf.DUMMYFUNCTION("IF(E28="""","""",COUNTA(SPLIT(E28,"" "")))"),69.0)</f>
        <v>69</v>
      </c>
      <c r="H28" s="16">
        <f t="shared" si="15"/>
        <v>0.3601462523</v>
      </c>
      <c r="I28" s="16">
        <f t="shared" si="16"/>
        <v>-91</v>
      </c>
      <c r="J28" s="16">
        <f t="shared" si="17"/>
        <v>91</v>
      </c>
      <c r="K28" s="16">
        <f t="shared" si="18"/>
        <v>25</v>
      </c>
    </row>
    <row r="29">
      <c r="A29" s="18">
        <v>28.0</v>
      </c>
      <c r="B29" s="50" t="s">
        <v>660</v>
      </c>
      <c r="C29" s="42">
        <v>1.0</v>
      </c>
      <c r="D29" s="41">
        <f>IFERROR(__xludf.DUMMYFUNCTION("IF(B29="""","""",COUNTA(SPLIT(B29,"" "")))"),163.0)</f>
        <v>163</v>
      </c>
      <c r="E29" s="50" t="s">
        <v>661</v>
      </c>
      <c r="F29" s="42">
        <v>1.0</v>
      </c>
      <c r="G29" s="16">
        <f>IFERROR(__xludf.DUMMYFUNCTION("IF(E29="""","""",COUNTA(SPLIT(E29,"" "")))"),118.0)</f>
        <v>118</v>
      </c>
      <c r="H29" s="16">
        <f t="shared" si="15"/>
        <v>0.5921985816</v>
      </c>
      <c r="I29" s="16">
        <f t="shared" si="16"/>
        <v>-45</v>
      </c>
      <c r="J29" s="16">
        <f t="shared" si="17"/>
        <v>45</v>
      </c>
      <c r="K29" s="16">
        <f t="shared" si="18"/>
        <v>17</v>
      </c>
    </row>
    <row r="30">
      <c r="A30" s="18">
        <v>29.0</v>
      </c>
      <c r="B30" s="50" t="s">
        <v>662</v>
      </c>
      <c r="C30" s="42">
        <v>1.0</v>
      </c>
      <c r="D30" s="41">
        <f>IFERROR(__xludf.DUMMYFUNCTION("IF(B30="""","""",COUNTA(SPLIT(B30,"" "")))"),187.0)</f>
        <v>187</v>
      </c>
      <c r="E30" s="50" t="s">
        <v>663</v>
      </c>
      <c r="F30" s="42">
        <v>1.0</v>
      </c>
      <c r="G30" s="16">
        <f>IFERROR(__xludf.DUMMYFUNCTION("IF(E30="""","""",COUNTA(SPLIT(E30,"" "")))"),172.0)</f>
        <v>172</v>
      </c>
      <c r="H30" s="16">
        <f t="shared" si="15"/>
        <v>0.2803278689</v>
      </c>
      <c r="I30" s="16">
        <f t="shared" si="16"/>
        <v>-15</v>
      </c>
      <c r="J30" s="16">
        <f t="shared" si="17"/>
        <v>15</v>
      </c>
      <c r="K30" s="16">
        <f t="shared" si="18"/>
        <v>12</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7.95859505</v>
      </c>
      <c r="C35" s="46"/>
      <c r="D35" s="49"/>
      <c r="E35" s="45"/>
      <c r="F35" s="48"/>
      <c r="G35" s="19"/>
      <c r="H35" s="19"/>
      <c r="I35" s="19"/>
      <c r="J35" s="19"/>
      <c r="K35" s="19"/>
    </row>
    <row r="36">
      <c r="A36" s="7"/>
      <c r="B36" s="7">
        <v>7.95859505</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398</v>
      </c>
      <c r="C38" s="46"/>
      <c r="D38" s="49"/>
      <c r="E38" s="45"/>
      <c r="F38" s="48"/>
      <c r="G38" s="19"/>
      <c r="H38" s="19"/>
      <c r="I38" s="19"/>
      <c r="J38" s="19"/>
      <c r="K38" s="19"/>
    </row>
    <row r="39">
      <c r="A39" s="7" t="s">
        <v>287</v>
      </c>
      <c r="B39" s="7" t="s">
        <v>743</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40">
        <v>1.0</v>
      </c>
      <c r="D2" s="41">
        <f>IFERROR(__xludf.DUMMYFUNCTION("IF(B2="""","""",COUNTA(SPLIT(B2,"" "")))"),214.0)</f>
        <v>214</v>
      </c>
      <c r="E2" s="50" t="s">
        <v>607</v>
      </c>
      <c r="F2" s="40">
        <v>1.0</v>
      </c>
      <c r="G2" s="16">
        <f>IFERROR(__xludf.DUMMYFUNCTION("IF(E2="""","""",COUNTA(SPLIT(E2,"" "")))"),175.0)</f>
        <v>175</v>
      </c>
      <c r="H2" s="16">
        <f t="shared" ref="H2:H3" si="1">compararRespostas(B2, E2)</f>
        <v>0.4119850187</v>
      </c>
      <c r="I2" s="16">
        <f t="shared" ref="I2:I9" si="2">(G2-D2)</f>
        <v>-39</v>
      </c>
      <c r="J2" s="16">
        <f t="shared" ref="J2:J30" si="3">abs(I2)</f>
        <v>39</v>
      </c>
      <c r="K2" s="16">
        <f t="shared" ref="K2:K3" si="4">RANK(J2, J$2:J$30, 1)</f>
        <v>15</v>
      </c>
    </row>
    <row r="3">
      <c r="A3" s="18">
        <v>2.0</v>
      </c>
      <c r="B3" s="50" t="s">
        <v>608</v>
      </c>
      <c r="C3" s="40">
        <v>1.0</v>
      </c>
      <c r="D3" s="41">
        <f>IFERROR(__xludf.DUMMYFUNCTION("IF(B3="""","""",COUNTA(SPLIT(B3,"" "")))"),219.0)</f>
        <v>219</v>
      </c>
      <c r="E3" s="50" t="s">
        <v>609</v>
      </c>
      <c r="F3" s="40">
        <v>1.0</v>
      </c>
      <c r="G3" s="16">
        <f>IFERROR(__xludf.DUMMYFUNCTION("IF(E3="""","""",COUNTA(SPLIT(E3,"" "")))"),341.0)</f>
        <v>341</v>
      </c>
      <c r="H3" s="16">
        <f t="shared" si="1"/>
        <v>0.3825275657</v>
      </c>
      <c r="I3" s="16">
        <f t="shared" si="2"/>
        <v>122</v>
      </c>
      <c r="J3" s="16">
        <f t="shared" si="3"/>
        <v>122</v>
      </c>
      <c r="K3" s="16">
        <f t="shared" si="4"/>
        <v>29</v>
      </c>
    </row>
    <row r="4">
      <c r="A4" s="18">
        <v>3.0</v>
      </c>
      <c r="B4" s="50" t="s">
        <v>610</v>
      </c>
      <c r="C4" s="66"/>
      <c r="D4" s="43">
        <v>0.0</v>
      </c>
      <c r="E4" s="50" t="s">
        <v>611</v>
      </c>
      <c r="F4" s="66"/>
      <c r="G4" s="44">
        <v>0.0</v>
      </c>
      <c r="H4" s="44">
        <v>0.0</v>
      </c>
      <c r="I4" s="16">
        <f t="shared" si="2"/>
        <v>0</v>
      </c>
      <c r="J4" s="16">
        <f t="shared" si="3"/>
        <v>0</v>
      </c>
      <c r="K4" s="44">
        <v>0.0</v>
      </c>
    </row>
    <row r="5">
      <c r="A5" s="18">
        <v>4.0</v>
      </c>
      <c r="B5" s="50" t="s">
        <v>612</v>
      </c>
      <c r="C5" s="42">
        <v>1.0</v>
      </c>
      <c r="D5" s="41">
        <f>IFERROR(__xludf.DUMMYFUNCTION("IF(B5="""","""",COUNTA(SPLIT(B5,"" "")))"),285.0)</f>
        <v>285</v>
      </c>
      <c r="E5" s="50" t="s">
        <v>613</v>
      </c>
      <c r="F5" s="42">
        <v>1.0</v>
      </c>
      <c r="G5" s="16">
        <f>IFERROR(__xludf.DUMMYFUNCTION("IF(E5="""","""",COUNTA(SPLIT(E5,"" "")))"),276.0)</f>
        <v>276</v>
      </c>
      <c r="H5" s="16">
        <f t="shared" ref="H5:H9" si="5">compararRespostas(B5, E5)</f>
        <v>0.308815576</v>
      </c>
      <c r="I5" s="16">
        <f t="shared" si="2"/>
        <v>-9</v>
      </c>
      <c r="J5" s="16">
        <f t="shared" si="3"/>
        <v>9</v>
      </c>
      <c r="K5" s="16">
        <f t="shared" ref="K5:K9" si="6">RANK(J5, J$2:J$30, 1)</f>
        <v>6</v>
      </c>
    </row>
    <row r="6">
      <c r="A6" s="18">
        <v>5.0</v>
      </c>
      <c r="B6" s="50" t="s">
        <v>614</v>
      </c>
      <c r="C6" s="42">
        <v>1.0</v>
      </c>
      <c r="D6" s="41">
        <f>IFERROR(__xludf.DUMMYFUNCTION("IF(B6="""","""",COUNTA(SPLIT(B6,"" "")))"),181.0)</f>
        <v>181</v>
      </c>
      <c r="E6" s="50" t="s">
        <v>615</v>
      </c>
      <c r="F6" s="42">
        <v>1.0</v>
      </c>
      <c r="G6" s="16">
        <f>IFERROR(__xludf.DUMMYFUNCTION("IF(E6="""","""",COUNTA(SPLIT(E6,"" "")))"),184.0)</f>
        <v>184</v>
      </c>
      <c r="H6" s="16">
        <f t="shared" si="5"/>
        <v>0.3698510079</v>
      </c>
      <c r="I6" s="16">
        <f t="shared" si="2"/>
        <v>3</v>
      </c>
      <c r="J6" s="16">
        <f t="shared" si="3"/>
        <v>3</v>
      </c>
      <c r="K6" s="16">
        <f t="shared" si="6"/>
        <v>5</v>
      </c>
    </row>
    <row r="7">
      <c r="A7" s="18">
        <v>6.0</v>
      </c>
      <c r="B7" s="50" t="s">
        <v>616</v>
      </c>
      <c r="C7" s="42">
        <v>1.0</v>
      </c>
      <c r="D7" s="41">
        <f>IFERROR(__xludf.DUMMYFUNCTION("IF(B7="""","""",COUNTA(SPLIT(B7,"" "")))"),127.0)</f>
        <v>127</v>
      </c>
      <c r="E7" s="50" t="s">
        <v>617</v>
      </c>
      <c r="F7" s="42">
        <v>1.0</v>
      </c>
      <c r="G7" s="16">
        <f>IFERROR(__xludf.DUMMYFUNCTION("IF(E7="""","""",COUNTA(SPLIT(E7,"" "")))"),183.0)</f>
        <v>183</v>
      </c>
      <c r="H7" s="16">
        <f t="shared" si="5"/>
        <v>0.4905660377</v>
      </c>
      <c r="I7" s="16">
        <f t="shared" si="2"/>
        <v>56</v>
      </c>
      <c r="J7" s="16">
        <f t="shared" si="3"/>
        <v>56</v>
      </c>
      <c r="K7" s="16">
        <f t="shared" si="6"/>
        <v>19</v>
      </c>
    </row>
    <row r="8">
      <c r="A8" s="18">
        <v>7.0</v>
      </c>
      <c r="B8" s="50" t="s">
        <v>618</v>
      </c>
      <c r="C8" s="42">
        <v>1.0</v>
      </c>
      <c r="D8" s="41">
        <f>IFERROR(__xludf.DUMMYFUNCTION("IF(B8="""","""",COUNTA(SPLIT(B8,"" "")))"),216.0)</f>
        <v>216</v>
      </c>
      <c r="E8" s="50" t="s">
        <v>619</v>
      </c>
      <c r="F8" s="42">
        <v>1.0</v>
      </c>
      <c r="G8" s="16">
        <f>IFERROR(__xludf.DUMMYFUNCTION("IF(E8="""","""",COUNTA(SPLIT(E8,"" "")))"),238.0)</f>
        <v>238</v>
      </c>
      <c r="H8" s="16">
        <f t="shared" si="5"/>
        <v>0.2485136742</v>
      </c>
      <c r="I8" s="16">
        <f t="shared" si="2"/>
        <v>22</v>
      </c>
      <c r="J8" s="16">
        <f t="shared" si="3"/>
        <v>22</v>
      </c>
      <c r="K8" s="16">
        <f t="shared" si="6"/>
        <v>12</v>
      </c>
    </row>
    <row r="9">
      <c r="A9" s="18">
        <v>8.0</v>
      </c>
      <c r="B9" s="50" t="s">
        <v>620</v>
      </c>
      <c r="C9" s="42">
        <v>1.0</v>
      </c>
      <c r="D9" s="41">
        <f>IFERROR(__xludf.DUMMYFUNCTION("IF(B9="""","""",COUNTA(SPLIT(B9,"" "")))"),319.0)</f>
        <v>319</v>
      </c>
      <c r="E9" s="50" t="s">
        <v>621</v>
      </c>
      <c r="F9" s="42">
        <v>1.0</v>
      </c>
      <c r="G9" s="16">
        <f>IFERROR(__xludf.DUMMYFUNCTION("IF(E9="""","""",COUNTA(SPLIT(E9,"" "")))"),289.0)</f>
        <v>289</v>
      </c>
      <c r="H9" s="16">
        <f t="shared" si="5"/>
        <v>0.3261552266</v>
      </c>
      <c r="I9" s="16">
        <f t="shared" si="2"/>
        <v>-30</v>
      </c>
      <c r="J9" s="16">
        <f t="shared" si="3"/>
        <v>30</v>
      </c>
      <c r="K9" s="16">
        <f t="shared" si="6"/>
        <v>13</v>
      </c>
    </row>
    <row r="10">
      <c r="A10" s="18">
        <v>9.0</v>
      </c>
      <c r="B10" s="50" t="s">
        <v>622</v>
      </c>
      <c r="C10" s="66"/>
      <c r="D10" s="43">
        <v>0.0</v>
      </c>
      <c r="E10" s="50" t="s">
        <v>623</v>
      </c>
      <c r="F10" s="66"/>
      <c r="G10" s="44">
        <v>0.0</v>
      </c>
      <c r="H10" s="44">
        <v>0.0</v>
      </c>
      <c r="I10" s="44">
        <v>0.0</v>
      </c>
      <c r="J10" s="16">
        <f t="shared" si="3"/>
        <v>0</v>
      </c>
      <c r="K10" s="44">
        <v>0.0</v>
      </c>
    </row>
    <row r="11">
      <c r="A11" s="18">
        <v>10.0</v>
      </c>
      <c r="B11" s="50" t="s">
        <v>624</v>
      </c>
      <c r="C11" s="42">
        <v>1.0</v>
      </c>
      <c r="D11" s="41">
        <f>IFERROR(__xludf.DUMMYFUNCTION("IF(B11="""","""",COUNTA(SPLIT(B11,"" "")))"),179.0)</f>
        <v>179</v>
      </c>
      <c r="E11" s="50" t="s">
        <v>625</v>
      </c>
      <c r="F11" s="42">
        <v>1.0</v>
      </c>
      <c r="G11" s="16">
        <f>IFERROR(__xludf.DUMMYFUNCTION("IF(E11="""","""",COUNTA(SPLIT(E11,"" "")))"),210.0)</f>
        <v>210</v>
      </c>
      <c r="H11" s="16">
        <f t="shared" ref="H11:H12" si="7">compararRespostas(B11, E11)</f>
        <v>0.3420860686</v>
      </c>
      <c r="I11" s="16">
        <f t="shared" ref="I11:I12" si="8">(G11-D11)</f>
        <v>31</v>
      </c>
      <c r="J11" s="16">
        <f t="shared" si="3"/>
        <v>31</v>
      </c>
      <c r="K11" s="16">
        <f t="shared" ref="K11:K12" si="9">RANK(J11, J$2:J$30, 1)</f>
        <v>14</v>
      </c>
    </row>
    <row r="12">
      <c r="A12" s="18">
        <v>11.0</v>
      </c>
      <c r="B12" s="50" t="s">
        <v>626</v>
      </c>
      <c r="C12" s="42">
        <v>1.0</v>
      </c>
      <c r="D12" s="41">
        <f>IFERROR(__xludf.DUMMYFUNCTION("IF(B12="""","""",COUNTA(SPLIT(B12,"" "")))"),177.0)</f>
        <v>177</v>
      </c>
      <c r="E12" s="50" t="s">
        <v>627</v>
      </c>
      <c r="F12" s="42">
        <v>1.0</v>
      </c>
      <c r="G12" s="16">
        <f>IFERROR(__xludf.DUMMYFUNCTION("IF(E12="""","""",COUNTA(SPLIT(E12,"" "")))"),273.0)</f>
        <v>273</v>
      </c>
      <c r="H12" s="16">
        <f t="shared" si="7"/>
        <v>0.3970414201</v>
      </c>
      <c r="I12" s="16">
        <f t="shared" si="8"/>
        <v>96</v>
      </c>
      <c r="J12" s="16">
        <f t="shared" si="3"/>
        <v>96</v>
      </c>
      <c r="K12" s="16">
        <f t="shared" si="9"/>
        <v>27</v>
      </c>
    </row>
    <row r="13">
      <c r="A13" s="18">
        <v>12.0</v>
      </c>
      <c r="B13" s="50" t="s">
        <v>628</v>
      </c>
      <c r="C13" s="42">
        <v>1.0</v>
      </c>
      <c r="D13" s="43">
        <v>0.0</v>
      </c>
      <c r="E13" s="50" t="s">
        <v>629</v>
      </c>
      <c r="F13" s="42">
        <v>1.0</v>
      </c>
      <c r="G13" s="44">
        <v>0.0</v>
      </c>
      <c r="H13" s="44">
        <v>0.0</v>
      </c>
      <c r="I13" s="44">
        <v>0.0</v>
      </c>
      <c r="J13" s="16">
        <f t="shared" si="3"/>
        <v>0</v>
      </c>
      <c r="K13" s="44">
        <v>0.0</v>
      </c>
    </row>
    <row r="14">
      <c r="A14" s="18">
        <v>13.0</v>
      </c>
      <c r="B14" s="50" t="s">
        <v>630</v>
      </c>
      <c r="C14" s="67" t="s">
        <v>744</v>
      </c>
      <c r="D14" s="41">
        <f>IFERROR(__xludf.DUMMYFUNCTION("IF(B14="""","""",COUNTA(SPLIT(B14,"" "")))"),120.0)</f>
        <v>120</v>
      </c>
      <c r="E14" s="50" t="s">
        <v>631</v>
      </c>
      <c r="F14" s="67" t="s">
        <v>744</v>
      </c>
      <c r="G14" s="16">
        <f>IFERROR(__xludf.DUMMYFUNCTION("IF(E14="""","""",COUNTA(SPLIT(E14,"" "")))"),60.0)</f>
        <v>60</v>
      </c>
      <c r="H14" s="16">
        <f t="shared" ref="H14:H15" si="10">compararRespostas(B14, E14)</f>
        <v>0.3108614232</v>
      </c>
      <c r="I14" s="16">
        <f t="shared" ref="I14:I30" si="11">(G14-D14)</f>
        <v>-60</v>
      </c>
      <c r="J14" s="16">
        <f t="shared" si="3"/>
        <v>60</v>
      </c>
      <c r="K14" s="16">
        <f t="shared" ref="K14:K15" si="12">RANK(J14, J$2:J$30, 1)</f>
        <v>21</v>
      </c>
    </row>
    <row r="15">
      <c r="A15" s="18">
        <v>14.0</v>
      </c>
      <c r="B15" s="50" t="s">
        <v>632</v>
      </c>
      <c r="C15" s="42">
        <v>1.0</v>
      </c>
      <c r="D15" s="41">
        <f>IFERROR(__xludf.DUMMYFUNCTION("IF(B15="""","""",COUNTA(SPLIT(B15,"" "")))"),490.0)</f>
        <v>490</v>
      </c>
      <c r="E15" s="56" t="s">
        <v>745</v>
      </c>
      <c r="F15" s="42">
        <v>1.0</v>
      </c>
      <c r="G15" s="16">
        <f>IFERROR(__xludf.DUMMYFUNCTION("IF(E15="""","""",COUNTA(SPLIT(E15,"" "")))"),382.0)</f>
        <v>382</v>
      </c>
      <c r="H15" s="16">
        <f t="shared" si="10"/>
        <v>0.387374462</v>
      </c>
      <c r="I15" s="16">
        <f t="shared" si="11"/>
        <v>-108</v>
      </c>
      <c r="J15" s="16">
        <f t="shared" si="3"/>
        <v>108</v>
      </c>
      <c r="K15" s="16">
        <f t="shared" si="12"/>
        <v>28</v>
      </c>
    </row>
    <row r="16">
      <c r="A16" s="18">
        <v>15.0</v>
      </c>
      <c r="B16" s="50" t="s">
        <v>634</v>
      </c>
      <c r="C16" s="42">
        <v>0.0</v>
      </c>
      <c r="D16" s="43">
        <v>0.0</v>
      </c>
      <c r="E16" s="50" t="s">
        <v>635</v>
      </c>
      <c r="F16" s="42">
        <v>1.0</v>
      </c>
      <c r="G16" s="44">
        <v>0.0</v>
      </c>
      <c r="H16" s="44">
        <v>0.0</v>
      </c>
      <c r="I16" s="16">
        <f t="shared" si="11"/>
        <v>0</v>
      </c>
      <c r="J16" s="16">
        <f t="shared" si="3"/>
        <v>0</v>
      </c>
      <c r="K16" s="44">
        <v>0.0</v>
      </c>
    </row>
    <row r="17">
      <c r="A17" s="18">
        <v>16.0</v>
      </c>
      <c r="B17" s="50" t="s">
        <v>636</v>
      </c>
      <c r="C17" s="42">
        <v>1.0</v>
      </c>
      <c r="D17" s="41">
        <f>IFERROR(__xludf.DUMMYFUNCTION("IF(B17="""","""",COUNTA(SPLIT(B17,"" "")))"),389.0)</f>
        <v>389</v>
      </c>
      <c r="E17" s="50" t="s">
        <v>637</v>
      </c>
      <c r="F17" s="42">
        <v>1.0</v>
      </c>
      <c r="G17" s="16">
        <f>IFERROR(__xludf.DUMMYFUNCTION("IF(E17="""","""",COUNTA(SPLIT(E17,"" "")))"),376.0)</f>
        <v>376</v>
      </c>
      <c r="H17" s="16">
        <f t="shared" ref="H17:H30" si="13">compararRespostas(B17, E17)</f>
        <v>0.3128812343</v>
      </c>
      <c r="I17" s="16">
        <f t="shared" si="11"/>
        <v>-13</v>
      </c>
      <c r="J17" s="16">
        <f t="shared" si="3"/>
        <v>13</v>
      </c>
      <c r="K17" s="16">
        <f t="shared" ref="K17:K30" si="14">RANK(J17, J$2:J$30, 1)</f>
        <v>9</v>
      </c>
    </row>
    <row r="18">
      <c r="A18" s="18">
        <v>17.0</v>
      </c>
      <c r="B18" s="50" t="s">
        <v>638</v>
      </c>
      <c r="C18" s="42">
        <v>1.0</v>
      </c>
      <c r="D18" s="41">
        <f>IFERROR(__xludf.DUMMYFUNCTION("IF(B18="""","""",COUNTA(SPLIT(B18,"" "")))"),348.0)</f>
        <v>348</v>
      </c>
      <c r="E18" s="50" t="s">
        <v>639</v>
      </c>
      <c r="F18" s="42">
        <v>1.0</v>
      </c>
      <c r="G18" s="16">
        <f>IFERROR(__xludf.DUMMYFUNCTION("IF(E18="""","""",COUNTA(SPLIT(E18,"" "")))"),406.0)</f>
        <v>406</v>
      </c>
      <c r="H18" s="16">
        <f t="shared" si="13"/>
        <v>0.4718079302</v>
      </c>
      <c r="I18" s="16">
        <f t="shared" si="11"/>
        <v>58</v>
      </c>
      <c r="J18" s="16">
        <f t="shared" si="3"/>
        <v>58</v>
      </c>
      <c r="K18" s="16">
        <f t="shared" si="14"/>
        <v>20</v>
      </c>
    </row>
    <row r="19">
      <c r="A19" s="18">
        <v>18.0</v>
      </c>
      <c r="B19" s="50" t="s">
        <v>640</v>
      </c>
      <c r="C19" s="42">
        <v>1.0</v>
      </c>
      <c r="D19" s="41">
        <f>IFERROR(__xludf.DUMMYFUNCTION("IF(B19="""","""",COUNTA(SPLIT(B19,"" "")))"),360.0)</f>
        <v>360</v>
      </c>
      <c r="E19" s="50" t="s">
        <v>641</v>
      </c>
      <c r="F19" s="42">
        <v>1.0</v>
      </c>
      <c r="G19" s="16">
        <f>IFERROR(__xludf.DUMMYFUNCTION("IF(E19="""","""",COUNTA(SPLIT(E19,"" "")))"),349.0)</f>
        <v>349</v>
      </c>
      <c r="H19" s="16">
        <f t="shared" si="13"/>
        <v>0.3786024477</v>
      </c>
      <c r="I19" s="16">
        <f t="shared" si="11"/>
        <v>-11</v>
      </c>
      <c r="J19" s="16">
        <f t="shared" si="3"/>
        <v>11</v>
      </c>
      <c r="K19" s="16">
        <f t="shared" si="14"/>
        <v>7</v>
      </c>
    </row>
    <row r="20">
      <c r="A20" s="18">
        <v>19.0</v>
      </c>
      <c r="B20" s="50" t="s">
        <v>642</v>
      </c>
      <c r="C20" s="42">
        <v>1.0</v>
      </c>
      <c r="D20" s="41">
        <f>IFERROR(__xludf.DUMMYFUNCTION("IF(B20="""","""",COUNTA(SPLIT(B20,"" "")))"),344.0)</f>
        <v>344</v>
      </c>
      <c r="E20" s="50" t="s">
        <v>643</v>
      </c>
      <c r="F20" s="42">
        <v>1.0</v>
      </c>
      <c r="G20" s="16">
        <f>IFERROR(__xludf.DUMMYFUNCTION("IF(E20="""","""",COUNTA(SPLIT(E20,"" "")))"),301.0)</f>
        <v>301</v>
      </c>
      <c r="H20" s="16">
        <f t="shared" si="13"/>
        <v>0.4733360893</v>
      </c>
      <c r="I20" s="16">
        <f t="shared" si="11"/>
        <v>-43</v>
      </c>
      <c r="J20" s="16">
        <f t="shared" si="3"/>
        <v>43</v>
      </c>
      <c r="K20" s="16">
        <f t="shared" si="14"/>
        <v>16</v>
      </c>
    </row>
    <row r="21">
      <c r="A21" s="18">
        <v>20.0</v>
      </c>
      <c r="B21" s="50" t="s">
        <v>644</v>
      </c>
      <c r="C21" s="42">
        <v>1.0</v>
      </c>
      <c r="D21" s="41">
        <f>IFERROR(__xludf.DUMMYFUNCTION("IF(B21="""","""",COUNTA(SPLIT(B21,"" "")))"),265.0)</f>
        <v>265</v>
      </c>
      <c r="E21" s="50" t="s">
        <v>645</v>
      </c>
      <c r="F21" s="42">
        <v>1.0</v>
      </c>
      <c r="G21" s="16">
        <f>IFERROR(__xludf.DUMMYFUNCTION("IF(E21="""","""",COUNTA(SPLIT(E21,"" "")))"),313.0)</f>
        <v>313</v>
      </c>
      <c r="H21" s="16">
        <f t="shared" si="13"/>
        <v>0.2920240137</v>
      </c>
      <c r="I21" s="16">
        <f t="shared" si="11"/>
        <v>48</v>
      </c>
      <c r="J21" s="16">
        <f t="shared" si="3"/>
        <v>48</v>
      </c>
      <c r="K21" s="16">
        <f t="shared" si="14"/>
        <v>18</v>
      </c>
    </row>
    <row r="22">
      <c r="A22" s="18">
        <v>21.0</v>
      </c>
      <c r="B22" s="50" t="s">
        <v>646</v>
      </c>
      <c r="C22" s="42">
        <v>1.0</v>
      </c>
      <c r="D22" s="41">
        <f>IFERROR(__xludf.DUMMYFUNCTION("IF(B22="""","""",COUNTA(SPLIT(B22,"" "")))"),314.0)</f>
        <v>314</v>
      </c>
      <c r="E22" s="50" t="s">
        <v>647</v>
      </c>
      <c r="F22" s="42">
        <v>1.0</v>
      </c>
      <c r="G22" s="16">
        <f>IFERROR(__xludf.DUMMYFUNCTION("IF(E22="""","""",COUNTA(SPLIT(E22,"" "")))"),229.0)</f>
        <v>229</v>
      </c>
      <c r="H22" s="16">
        <f t="shared" si="13"/>
        <v>0.3713751169</v>
      </c>
      <c r="I22" s="16">
        <f t="shared" si="11"/>
        <v>-85</v>
      </c>
      <c r="J22" s="16">
        <f t="shared" si="3"/>
        <v>85</v>
      </c>
      <c r="K22" s="16">
        <f t="shared" si="14"/>
        <v>25</v>
      </c>
    </row>
    <row r="23">
      <c r="A23" s="18">
        <v>22.0</v>
      </c>
      <c r="B23" s="50" t="s">
        <v>648</v>
      </c>
      <c r="C23" s="42">
        <v>1.0</v>
      </c>
      <c r="D23" s="41">
        <f>IFERROR(__xludf.DUMMYFUNCTION("IF(B23="""","""",COUNTA(SPLIT(B23,"" "")))"),445.0)</f>
        <v>445</v>
      </c>
      <c r="E23" s="50" t="s">
        <v>649</v>
      </c>
      <c r="F23" s="42">
        <v>1.0</v>
      </c>
      <c r="G23" s="16">
        <f>IFERROR(__xludf.DUMMYFUNCTION("IF(E23="""","""",COUNTA(SPLIT(E23,"" "")))"),378.0)</f>
        <v>378</v>
      </c>
      <c r="H23" s="16">
        <f t="shared" si="13"/>
        <v>0.3674171357</v>
      </c>
      <c r="I23" s="16">
        <f t="shared" si="11"/>
        <v>-67</v>
      </c>
      <c r="J23" s="16">
        <f t="shared" si="3"/>
        <v>67</v>
      </c>
      <c r="K23" s="16">
        <f t="shared" si="14"/>
        <v>23</v>
      </c>
    </row>
    <row r="24">
      <c r="A24" s="18">
        <v>23.0</v>
      </c>
      <c r="B24" s="50" t="s">
        <v>650</v>
      </c>
      <c r="C24" s="42">
        <v>1.0</v>
      </c>
      <c r="D24" s="41">
        <f>IFERROR(__xludf.DUMMYFUNCTION("IF(B24="""","""",COUNTA(SPLIT(B24,"" "")))"),370.0)</f>
        <v>370</v>
      </c>
      <c r="E24" s="50" t="s">
        <v>651</v>
      </c>
      <c r="F24" s="42">
        <v>1.0</v>
      </c>
      <c r="G24" s="16">
        <f>IFERROR(__xludf.DUMMYFUNCTION("IF(E24="""","""",COUNTA(SPLIT(E24,"" "")))"),351.0)</f>
        <v>351</v>
      </c>
      <c r="H24" s="16">
        <f t="shared" si="13"/>
        <v>0.3547140649</v>
      </c>
      <c r="I24" s="16">
        <f t="shared" si="11"/>
        <v>-19</v>
      </c>
      <c r="J24" s="16">
        <f t="shared" si="3"/>
        <v>19</v>
      </c>
      <c r="K24" s="16">
        <f t="shared" si="14"/>
        <v>11</v>
      </c>
    </row>
    <row r="25">
      <c r="A25" s="18">
        <v>24.0</v>
      </c>
      <c r="B25" s="50" t="s">
        <v>652</v>
      </c>
      <c r="C25" s="42">
        <v>1.0</v>
      </c>
      <c r="D25" s="41">
        <f>IFERROR(__xludf.DUMMYFUNCTION("IF(B25="""","""",COUNTA(SPLIT(B25,"" "")))"),384.0)</f>
        <v>384</v>
      </c>
      <c r="E25" s="50" t="s">
        <v>653</v>
      </c>
      <c r="F25" s="42">
        <v>1.0</v>
      </c>
      <c r="G25" s="16">
        <f>IFERROR(__xludf.DUMMYFUNCTION("IF(E25="""","""",COUNTA(SPLIT(E25,"" "")))"),373.0)</f>
        <v>373</v>
      </c>
      <c r="H25" s="16">
        <f t="shared" si="13"/>
        <v>0.3767947225</v>
      </c>
      <c r="I25" s="16">
        <f t="shared" si="11"/>
        <v>-11</v>
      </c>
      <c r="J25" s="16">
        <f t="shared" si="3"/>
        <v>11</v>
      </c>
      <c r="K25" s="16">
        <f t="shared" si="14"/>
        <v>7</v>
      </c>
    </row>
    <row r="26">
      <c r="A26" s="18">
        <v>25.0</v>
      </c>
      <c r="B26" s="50" t="s">
        <v>654</v>
      </c>
      <c r="C26" s="42">
        <v>1.0</v>
      </c>
      <c r="D26" s="41">
        <f>IFERROR(__xludf.DUMMYFUNCTION("IF(B26="""","""",COUNTA(SPLIT(B26,"" "")))"),344.0)</f>
        <v>344</v>
      </c>
      <c r="E26" s="50" t="s">
        <v>655</v>
      </c>
      <c r="F26" s="42">
        <v>1.0</v>
      </c>
      <c r="G26" s="16">
        <f>IFERROR(__xludf.DUMMYFUNCTION("IF(E26="""","""",COUNTA(SPLIT(E26,"" "")))"),413.0)</f>
        <v>413</v>
      </c>
      <c r="H26" s="16">
        <f t="shared" si="13"/>
        <v>0.5489859058</v>
      </c>
      <c r="I26" s="16">
        <f t="shared" si="11"/>
        <v>69</v>
      </c>
      <c r="J26" s="16">
        <f t="shared" si="3"/>
        <v>69</v>
      </c>
      <c r="K26" s="16">
        <f t="shared" si="14"/>
        <v>24</v>
      </c>
    </row>
    <row r="27">
      <c r="A27" s="18">
        <v>26.0</v>
      </c>
      <c r="B27" s="50" t="s">
        <v>656</v>
      </c>
      <c r="C27" s="42">
        <v>1.0</v>
      </c>
      <c r="D27" s="41">
        <f>IFERROR(__xludf.DUMMYFUNCTION("IF(B27="""","""",COUNTA(SPLIT(B27,"" "")))"),200.0)</f>
        <v>200</v>
      </c>
      <c r="E27" s="50" t="s">
        <v>657</v>
      </c>
      <c r="F27" s="42">
        <v>1.0</v>
      </c>
      <c r="G27" s="16">
        <f>IFERROR(__xludf.DUMMYFUNCTION("IF(E27="""","""",COUNTA(SPLIT(E27,"" "")))"),264.0)</f>
        <v>264</v>
      </c>
      <c r="H27" s="16">
        <f t="shared" si="13"/>
        <v>0.3052341598</v>
      </c>
      <c r="I27" s="16">
        <f t="shared" si="11"/>
        <v>64</v>
      </c>
      <c r="J27" s="16">
        <f t="shared" si="3"/>
        <v>64</v>
      </c>
      <c r="K27" s="16">
        <f t="shared" si="14"/>
        <v>22</v>
      </c>
    </row>
    <row r="28">
      <c r="A28" s="18">
        <v>27.0</v>
      </c>
      <c r="B28" s="50" t="s">
        <v>658</v>
      </c>
      <c r="C28" s="42">
        <v>1.0</v>
      </c>
      <c r="D28" s="41">
        <f>IFERROR(__xludf.DUMMYFUNCTION("IF(B28="""","""",COUNTA(SPLIT(B28,"" "")))"),160.0)</f>
        <v>160</v>
      </c>
      <c r="E28" s="50" t="s">
        <v>659</v>
      </c>
      <c r="F28" s="42">
        <v>1.0</v>
      </c>
      <c r="G28" s="16">
        <f>IFERROR(__xludf.DUMMYFUNCTION("IF(E28="""","""",COUNTA(SPLIT(E28,"" "")))"),69.0)</f>
        <v>69</v>
      </c>
      <c r="H28" s="16">
        <f t="shared" si="13"/>
        <v>0.3601462523</v>
      </c>
      <c r="I28" s="16">
        <f t="shared" si="11"/>
        <v>-91</v>
      </c>
      <c r="J28" s="16">
        <f t="shared" si="3"/>
        <v>91</v>
      </c>
      <c r="K28" s="16">
        <f t="shared" si="14"/>
        <v>26</v>
      </c>
    </row>
    <row r="29">
      <c r="A29" s="18">
        <v>28.0</v>
      </c>
      <c r="B29" s="50" t="s">
        <v>660</v>
      </c>
      <c r="C29" s="42">
        <v>1.0</v>
      </c>
      <c r="D29" s="41">
        <f>IFERROR(__xludf.DUMMYFUNCTION("IF(B29="""","""",COUNTA(SPLIT(B29,"" "")))"),163.0)</f>
        <v>163</v>
      </c>
      <c r="E29" s="50" t="s">
        <v>661</v>
      </c>
      <c r="F29" s="42">
        <v>1.0</v>
      </c>
      <c r="G29" s="16">
        <f>IFERROR(__xludf.DUMMYFUNCTION("IF(E29="""","""",COUNTA(SPLIT(E29,"" "")))"),118.0)</f>
        <v>118</v>
      </c>
      <c r="H29" s="16">
        <f t="shared" si="13"/>
        <v>0.5921985816</v>
      </c>
      <c r="I29" s="16">
        <f t="shared" si="11"/>
        <v>-45</v>
      </c>
      <c r="J29" s="16">
        <f t="shared" si="3"/>
        <v>45</v>
      </c>
      <c r="K29" s="16">
        <f t="shared" si="14"/>
        <v>17</v>
      </c>
    </row>
    <row r="30">
      <c r="A30" s="18">
        <v>29.0</v>
      </c>
      <c r="B30" s="50" t="s">
        <v>662</v>
      </c>
      <c r="C30" s="42">
        <v>1.0</v>
      </c>
      <c r="D30" s="41">
        <f>IFERROR(__xludf.DUMMYFUNCTION("IF(B30="""","""",COUNTA(SPLIT(B30,"" "")))"),187.0)</f>
        <v>187</v>
      </c>
      <c r="E30" s="50" t="s">
        <v>663</v>
      </c>
      <c r="F30" s="42">
        <v>1.0</v>
      </c>
      <c r="G30" s="16">
        <f>IFERROR(__xludf.DUMMYFUNCTION("IF(E30="""","""",COUNTA(SPLIT(E30,"" "")))"),172.0)</f>
        <v>172</v>
      </c>
      <c r="H30" s="16">
        <f t="shared" si="13"/>
        <v>0.2803278689</v>
      </c>
      <c r="I30" s="16">
        <f t="shared" si="11"/>
        <v>-15</v>
      </c>
      <c r="J30" s="16">
        <f t="shared" si="3"/>
        <v>15</v>
      </c>
      <c r="K30" s="16">
        <f t="shared" si="14"/>
        <v>10</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9.461623004</v>
      </c>
      <c r="C35" s="46"/>
      <c r="D35" s="49"/>
      <c r="E35" s="45"/>
      <c r="F35" s="48"/>
      <c r="G35" s="19"/>
      <c r="H35" s="19"/>
      <c r="I35" s="19"/>
      <c r="J35" s="19"/>
      <c r="K35" s="19"/>
    </row>
    <row r="36">
      <c r="A36" s="7"/>
      <c r="B36" s="7">
        <v>9.461623004</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424</v>
      </c>
      <c r="C38" s="46"/>
      <c r="D38" s="49"/>
      <c r="E38" s="45"/>
      <c r="F38" s="48"/>
      <c r="G38" s="19"/>
      <c r="H38" s="19"/>
      <c r="I38" s="19"/>
      <c r="J38" s="19"/>
      <c r="K38" s="19"/>
    </row>
    <row r="39">
      <c r="A39" s="7" t="s">
        <v>287</v>
      </c>
      <c r="B39" s="7" t="s">
        <v>746</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64">
        <v>1.0</v>
      </c>
      <c r="D2" s="41">
        <f>IFERROR(__xludf.DUMMYFUNCTION("IF(B2="""","""",COUNTA(SPLIT(B2,"" "")))"),214.0)</f>
        <v>214</v>
      </c>
      <c r="E2" s="50" t="s">
        <v>607</v>
      </c>
      <c r="F2" s="64">
        <v>1.0</v>
      </c>
      <c r="G2" s="16">
        <f>IFERROR(__xludf.DUMMYFUNCTION("IF(E2="""","""",COUNTA(SPLIT(E2,"" "")))"),175.0)</f>
        <v>175</v>
      </c>
      <c r="H2" s="16">
        <f t="shared" ref="H2:H10" si="1">compararRespostas(B2, E2)</f>
        <v>0.4119850187</v>
      </c>
      <c r="I2" s="16">
        <f t="shared" ref="I2:I10" si="2">(G2-D2)</f>
        <v>-39</v>
      </c>
      <c r="J2" s="16">
        <f t="shared" ref="J2:J30" si="3">abs(I2)</f>
        <v>39</v>
      </c>
      <c r="K2" s="16">
        <f t="shared" ref="K2:K10" si="4">RANK(J2, J$2:J$30, 1)</f>
        <v>12</v>
      </c>
    </row>
    <row r="3">
      <c r="B3" s="50" t="s">
        <v>608</v>
      </c>
      <c r="C3" s="64">
        <v>1.0</v>
      </c>
      <c r="D3" s="41">
        <f>IFERROR(__xludf.DUMMYFUNCTION("IF(B3="""","""",COUNTA(SPLIT(B3,"" "")))"),219.0)</f>
        <v>219</v>
      </c>
      <c r="E3" s="50" t="s">
        <v>609</v>
      </c>
      <c r="F3" s="64">
        <v>1.0</v>
      </c>
      <c r="G3" s="16">
        <f>IFERROR(__xludf.DUMMYFUNCTION("IF(E3="""","""",COUNTA(SPLIT(E3,"" "")))"),341.0)</f>
        <v>341</v>
      </c>
      <c r="H3" s="16">
        <f t="shared" si="1"/>
        <v>0.3825275657</v>
      </c>
      <c r="I3" s="16">
        <f t="shared" si="2"/>
        <v>122</v>
      </c>
      <c r="J3" s="16">
        <f t="shared" si="3"/>
        <v>122</v>
      </c>
      <c r="K3" s="16">
        <f t="shared" si="4"/>
        <v>29</v>
      </c>
    </row>
    <row r="4">
      <c r="A4" s="18">
        <v>3.0</v>
      </c>
      <c r="B4" s="50" t="s">
        <v>610</v>
      </c>
      <c r="C4" s="65">
        <v>1.0</v>
      </c>
      <c r="D4" s="41">
        <f>IFERROR(__xludf.DUMMYFUNCTION("IF(B4="""","""",COUNTA(SPLIT(B4,"" "")))"),504.0)</f>
        <v>504</v>
      </c>
      <c r="E4" s="50" t="s">
        <v>611</v>
      </c>
      <c r="F4" s="65">
        <v>1.0</v>
      </c>
      <c r="G4" s="16">
        <f>IFERROR(__xludf.DUMMYFUNCTION("IF(E4="""","""",COUNTA(SPLIT(E4,"" "")))"),401.0)</f>
        <v>401</v>
      </c>
      <c r="H4" s="16">
        <f t="shared" si="1"/>
        <v>0.3726201269</v>
      </c>
      <c r="I4" s="16">
        <f t="shared" si="2"/>
        <v>-103</v>
      </c>
      <c r="J4" s="16">
        <f t="shared" si="3"/>
        <v>103</v>
      </c>
      <c r="K4" s="16">
        <f t="shared" si="4"/>
        <v>27</v>
      </c>
    </row>
    <row r="5">
      <c r="A5" s="18">
        <v>4.0</v>
      </c>
      <c r="B5" s="50" t="s">
        <v>612</v>
      </c>
      <c r="C5" s="65">
        <v>1.0</v>
      </c>
      <c r="D5" s="41">
        <f>IFERROR(__xludf.DUMMYFUNCTION("IF(B5="""","""",COUNTA(SPLIT(B5,"" "")))"),285.0)</f>
        <v>285</v>
      </c>
      <c r="E5" s="50" t="s">
        <v>613</v>
      </c>
      <c r="F5" s="65">
        <v>1.0</v>
      </c>
      <c r="G5" s="16">
        <f>IFERROR(__xludf.DUMMYFUNCTION("IF(E5="""","""",COUNTA(SPLIT(E5,"" "")))"),276.0)</f>
        <v>276</v>
      </c>
      <c r="H5" s="16">
        <f t="shared" si="1"/>
        <v>0.308815576</v>
      </c>
      <c r="I5" s="16">
        <f t="shared" si="2"/>
        <v>-9</v>
      </c>
      <c r="J5" s="16">
        <f t="shared" si="3"/>
        <v>9</v>
      </c>
      <c r="K5" s="16">
        <f t="shared" si="4"/>
        <v>3</v>
      </c>
    </row>
    <row r="6">
      <c r="A6" s="18">
        <v>5.0</v>
      </c>
      <c r="B6" s="50" t="s">
        <v>614</v>
      </c>
      <c r="C6" s="65">
        <v>1.0</v>
      </c>
      <c r="D6" s="41">
        <f>IFERROR(__xludf.DUMMYFUNCTION("IF(B6="""","""",COUNTA(SPLIT(B6,"" "")))"),181.0)</f>
        <v>181</v>
      </c>
      <c r="E6" s="50" t="s">
        <v>615</v>
      </c>
      <c r="F6" s="65">
        <v>1.0</v>
      </c>
      <c r="G6" s="16">
        <f>IFERROR(__xludf.DUMMYFUNCTION("IF(E6="""","""",COUNTA(SPLIT(E6,"" "")))"),184.0)</f>
        <v>184</v>
      </c>
      <c r="H6" s="16">
        <f t="shared" si="1"/>
        <v>0.3698510079</v>
      </c>
      <c r="I6" s="16">
        <f t="shared" si="2"/>
        <v>3</v>
      </c>
      <c r="J6" s="16">
        <f t="shared" si="3"/>
        <v>3</v>
      </c>
      <c r="K6" s="16">
        <f t="shared" si="4"/>
        <v>2</v>
      </c>
    </row>
    <row r="7">
      <c r="A7" s="18">
        <v>6.0</v>
      </c>
      <c r="B7" s="50" t="s">
        <v>616</v>
      </c>
      <c r="C7" s="65">
        <v>1.0</v>
      </c>
      <c r="D7" s="41">
        <f>IFERROR(__xludf.DUMMYFUNCTION("IF(B7="""","""",COUNTA(SPLIT(B7,"" "")))"),127.0)</f>
        <v>127</v>
      </c>
      <c r="E7" s="50" t="s">
        <v>617</v>
      </c>
      <c r="F7" s="65">
        <v>1.0</v>
      </c>
      <c r="G7" s="16">
        <f>IFERROR(__xludf.DUMMYFUNCTION("IF(E7="""","""",COUNTA(SPLIT(E7,"" "")))"),183.0)</f>
        <v>183</v>
      </c>
      <c r="H7" s="16">
        <f t="shared" si="1"/>
        <v>0.4905660377</v>
      </c>
      <c r="I7" s="16">
        <f t="shared" si="2"/>
        <v>56</v>
      </c>
      <c r="J7" s="16">
        <f t="shared" si="3"/>
        <v>56</v>
      </c>
      <c r="K7" s="16">
        <f t="shared" si="4"/>
        <v>17</v>
      </c>
    </row>
    <row r="8">
      <c r="A8" s="18">
        <v>7.0</v>
      </c>
      <c r="B8" s="50" t="s">
        <v>618</v>
      </c>
      <c r="C8" s="65">
        <v>1.0</v>
      </c>
      <c r="D8" s="41">
        <f>IFERROR(__xludf.DUMMYFUNCTION("IF(B8="""","""",COUNTA(SPLIT(B8,"" "")))"),216.0)</f>
        <v>216</v>
      </c>
      <c r="E8" s="50" t="s">
        <v>619</v>
      </c>
      <c r="F8" s="65">
        <v>1.0</v>
      </c>
      <c r="G8" s="16">
        <f>IFERROR(__xludf.DUMMYFUNCTION("IF(E8="""","""",COUNTA(SPLIT(E8,"" "")))"),238.0)</f>
        <v>238</v>
      </c>
      <c r="H8" s="16">
        <f t="shared" si="1"/>
        <v>0.2485136742</v>
      </c>
      <c r="I8" s="16">
        <f t="shared" si="2"/>
        <v>22</v>
      </c>
      <c r="J8" s="16">
        <f t="shared" si="3"/>
        <v>22</v>
      </c>
      <c r="K8" s="16">
        <f t="shared" si="4"/>
        <v>9</v>
      </c>
    </row>
    <row r="9">
      <c r="A9" s="18">
        <v>8.0</v>
      </c>
      <c r="B9" s="50" t="s">
        <v>620</v>
      </c>
      <c r="C9" s="65">
        <v>1.0</v>
      </c>
      <c r="D9" s="41">
        <f>IFERROR(__xludf.DUMMYFUNCTION("IF(B9="""","""",COUNTA(SPLIT(B9,"" "")))"),319.0)</f>
        <v>319</v>
      </c>
      <c r="E9" s="50" t="s">
        <v>621</v>
      </c>
      <c r="F9" s="65">
        <v>1.0</v>
      </c>
      <c r="G9" s="16">
        <f>IFERROR(__xludf.DUMMYFUNCTION("IF(E9="""","""",COUNTA(SPLIT(E9,"" "")))"),289.0)</f>
        <v>289</v>
      </c>
      <c r="H9" s="16">
        <f t="shared" si="1"/>
        <v>0.3261552266</v>
      </c>
      <c r="I9" s="16">
        <f t="shared" si="2"/>
        <v>-30</v>
      </c>
      <c r="J9" s="16">
        <f t="shared" si="3"/>
        <v>30</v>
      </c>
      <c r="K9" s="16">
        <f t="shared" si="4"/>
        <v>11</v>
      </c>
    </row>
    <row r="10">
      <c r="A10" s="18">
        <v>9.0</v>
      </c>
      <c r="B10" s="50" t="s">
        <v>622</v>
      </c>
      <c r="C10" s="65">
        <v>1.0</v>
      </c>
      <c r="D10" s="41">
        <f>IFERROR(__xludf.DUMMYFUNCTION("IF(B10="""","""",COUNTA(SPLIT(B10,"" "")))"),212.0)</f>
        <v>212</v>
      </c>
      <c r="E10" s="50" t="s">
        <v>623</v>
      </c>
      <c r="F10" s="65">
        <v>1.0</v>
      </c>
      <c r="G10" s="16">
        <f>IFERROR(__xludf.DUMMYFUNCTION("IF(E10="""","""",COUNTA(SPLIT(E10,"" "")))"),257.0)</f>
        <v>257</v>
      </c>
      <c r="H10" s="16">
        <f t="shared" si="1"/>
        <v>0.3670015865</v>
      </c>
      <c r="I10" s="16">
        <f t="shared" si="2"/>
        <v>45</v>
      </c>
      <c r="J10" s="16">
        <f t="shared" si="3"/>
        <v>45</v>
      </c>
      <c r="K10" s="16">
        <f t="shared" si="4"/>
        <v>14</v>
      </c>
    </row>
    <row r="11">
      <c r="A11" s="18">
        <v>10.0</v>
      </c>
      <c r="B11" s="50" t="s">
        <v>624</v>
      </c>
      <c r="C11" s="65">
        <v>0.0</v>
      </c>
      <c r="D11" s="43">
        <v>0.0</v>
      </c>
      <c r="E11" s="50" t="s">
        <v>625</v>
      </c>
      <c r="F11" s="65">
        <v>0.0</v>
      </c>
      <c r="G11" s="44">
        <v>0.0</v>
      </c>
      <c r="H11" s="44">
        <v>0.0</v>
      </c>
      <c r="I11" s="44">
        <v>0.0</v>
      </c>
      <c r="J11" s="16">
        <f t="shared" si="3"/>
        <v>0</v>
      </c>
      <c r="K11" s="44">
        <v>0.0</v>
      </c>
    </row>
    <row r="12">
      <c r="A12" s="18">
        <v>11.0</v>
      </c>
      <c r="B12" s="50" t="s">
        <v>626</v>
      </c>
      <c r="C12" s="65">
        <v>1.0</v>
      </c>
      <c r="D12" s="41">
        <f>IFERROR(__xludf.DUMMYFUNCTION("IF(B12="""","""",COUNTA(SPLIT(B12,"" "")))"),177.0)</f>
        <v>177</v>
      </c>
      <c r="E12" s="50" t="s">
        <v>627</v>
      </c>
      <c r="F12" s="65">
        <v>1.0</v>
      </c>
      <c r="G12" s="16">
        <f>IFERROR(__xludf.DUMMYFUNCTION("IF(E12="""","""",COUNTA(SPLIT(E12,"" "")))"),273.0)</f>
        <v>273</v>
      </c>
      <c r="H12" s="16">
        <f t="shared" ref="H12:H30" si="5">compararRespostas(B12, E12)</f>
        <v>0.3970414201</v>
      </c>
      <c r="I12" s="16">
        <f t="shared" ref="I12:I30" si="6">(G12-D12)</f>
        <v>96</v>
      </c>
      <c r="J12" s="16">
        <f t="shared" si="3"/>
        <v>96</v>
      </c>
      <c r="K12" s="16">
        <f t="shared" ref="K12:K30" si="7">RANK(J12, J$2:J$30, 1)</f>
        <v>26</v>
      </c>
    </row>
    <row r="13">
      <c r="A13" s="18">
        <v>12.0</v>
      </c>
      <c r="B13" s="50" t="s">
        <v>628</v>
      </c>
      <c r="C13" s="65">
        <v>1.0</v>
      </c>
      <c r="D13" s="41">
        <f>IFERROR(__xludf.DUMMYFUNCTION("IF(B13="""","""",COUNTA(SPLIT(B13,"" "")))"),278.0)</f>
        <v>278</v>
      </c>
      <c r="E13" s="50" t="s">
        <v>629</v>
      </c>
      <c r="F13" s="65">
        <v>1.0</v>
      </c>
      <c r="G13" s="16">
        <f>IFERROR(__xludf.DUMMYFUNCTION("IF(E13="""","""",COUNTA(SPLIT(E13,"" "")))"),256.0)</f>
        <v>256</v>
      </c>
      <c r="H13" s="16">
        <f t="shared" si="5"/>
        <v>0.3422995781</v>
      </c>
      <c r="I13" s="16">
        <f t="shared" si="6"/>
        <v>-22</v>
      </c>
      <c r="J13" s="16">
        <f t="shared" si="3"/>
        <v>22</v>
      </c>
      <c r="K13" s="16">
        <f t="shared" si="7"/>
        <v>9</v>
      </c>
    </row>
    <row r="14">
      <c r="A14" s="18">
        <v>13.0</v>
      </c>
      <c r="B14" s="50" t="s">
        <v>630</v>
      </c>
      <c r="C14" s="65">
        <v>1.0</v>
      </c>
      <c r="D14" s="41">
        <f>IFERROR(__xludf.DUMMYFUNCTION("IF(B14="""","""",COUNTA(SPLIT(B14,"" "")))"),120.0)</f>
        <v>120</v>
      </c>
      <c r="E14" s="50" t="s">
        <v>631</v>
      </c>
      <c r="F14" s="68" t="s">
        <v>747</v>
      </c>
      <c r="G14" s="16">
        <f>IFERROR(__xludf.DUMMYFUNCTION("IF(E14="""","""",COUNTA(SPLIT(E14,"" "")))"),60.0)</f>
        <v>60</v>
      </c>
      <c r="H14" s="16">
        <f t="shared" si="5"/>
        <v>0.3108614232</v>
      </c>
      <c r="I14" s="16">
        <f t="shared" si="6"/>
        <v>-60</v>
      </c>
      <c r="J14" s="16">
        <f t="shared" si="3"/>
        <v>60</v>
      </c>
      <c r="K14" s="16">
        <f t="shared" si="7"/>
        <v>19</v>
      </c>
    </row>
    <row r="15">
      <c r="A15" s="18" t="s">
        <v>748</v>
      </c>
      <c r="B15" s="50" t="s">
        <v>632</v>
      </c>
      <c r="C15" s="65">
        <v>1.0</v>
      </c>
      <c r="D15" s="41">
        <f>IFERROR(__xludf.DUMMYFUNCTION("IF(B15="""","""",COUNTA(SPLIT(B15,"" "")))"),490.0)</f>
        <v>490</v>
      </c>
      <c r="E15" s="56" t="s">
        <v>749</v>
      </c>
      <c r="F15" s="65">
        <v>1.0</v>
      </c>
      <c r="G15" s="16">
        <f>IFERROR(__xludf.DUMMYFUNCTION("IF(E15="""","""",COUNTA(SPLIT(E15,"" "")))"),382.0)</f>
        <v>382</v>
      </c>
      <c r="H15" s="16">
        <f t="shared" si="5"/>
        <v>0.387374462</v>
      </c>
      <c r="I15" s="16">
        <f t="shared" si="6"/>
        <v>-108</v>
      </c>
      <c r="J15" s="16">
        <f t="shared" si="3"/>
        <v>108</v>
      </c>
      <c r="K15" s="16">
        <f t="shared" si="7"/>
        <v>28</v>
      </c>
    </row>
    <row r="16">
      <c r="A16" s="18">
        <v>15.0</v>
      </c>
      <c r="B16" s="50" t="s">
        <v>634</v>
      </c>
      <c r="C16" s="65">
        <v>1.0</v>
      </c>
      <c r="D16" s="41">
        <f>IFERROR(__xludf.DUMMYFUNCTION("IF(B16="""","""",COUNTA(SPLIT(B16,"" "")))"),80.0)</f>
        <v>80</v>
      </c>
      <c r="E16" s="50" t="s">
        <v>635</v>
      </c>
      <c r="F16" s="65">
        <v>1.0</v>
      </c>
      <c r="G16" s="16">
        <f>IFERROR(__xludf.DUMMYFUNCTION("IF(E16="""","""",COUNTA(SPLIT(E16,"" "")))"),142.0)</f>
        <v>142</v>
      </c>
      <c r="H16" s="16">
        <f t="shared" si="5"/>
        <v>0.4249737671</v>
      </c>
      <c r="I16" s="16">
        <f t="shared" si="6"/>
        <v>62</v>
      </c>
      <c r="J16" s="16">
        <f t="shared" si="3"/>
        <v>62</v>
      </c>
      <c r="K16" s="16">
        <f t="shared" si="7"/>
        <v>20</v>
      </c>
    </row>
    <row r="17">
      <c r="A17" s="18">
        <v>16.0</v>
      </c>
      <c r="B17" s="50" t="s">
        <v>636</v>
      </c>
      <c r="C17" s="65">
        <v>1.0</v>
      </c>
      <c r="D17" s="41">
        <f>IFERROR(__xludf.DUMMYFUNCTION("IF(B17="""","""",COUNTA(SPLIT(B17,"" "")))"),389.0)</f>
        <v>389</v>
      </c>
      <c r="E17" s="50" t="s">
        <v>637</v>
      </c>
      <c r="F17" s="65">
        <v>1.0</v>
      </c>
      <c r="G17" s="16">
        <f>IFERROR(__xludf.DUMMYFUNCTION("IF(E17="""","""",COUNTA(SPLIT(E17,"" "")))"),376.0)</f>
        <v>376</v>
      </c>
      <c r="H17" s="16">
        <f t="shared" si="5"/>
        <v>0.3128812343</v>
      </c>
      <c r="I17" s="16">
        <f t="shared" si="6"/>
        <v>-13</v>
      </c>
      <c r="J17" s="16">
        <f t="shared" si="3"/>
        <v>13</v>
      </c>
      <c r="K17" s="16">
        <f t="shared" si="7"/>
        <v>6</v>
      </c>
    </row>
    <row r="18">
      <c r="A18" s="18">
        <v>17.0</v>
      </c>
      <c r="B18" s="50" t="s">
        <v>638</v>
      </c>
      <c r="C18" s="68" t="s">
        <v>750</v>
      </c>
      <c r="D18" s="41">
        <f>IFERROR(__xludf.DUMMYFUNCTION("IF(B18="""","""",COUNTA(SPLIT(B18,"" "")))"),348.0)</f>
        <v>348</v>
      </c>
      <c r="E18" s="50" t="s">
        <v>639</v>
      </c>
      <c r="F18" s="69" t="s">
        <v>750</v>
      </c>
      <c r="G18" s="16">
        <f>IFERROR(__xludf.DUMMYFUNCTION("IF(E18="""","""",COUNTA(SPLIT(E18,"" "")))"),406.0)</f>
        <v>406</v>
      </c>
      <c r="H18" s="16">
        <f t="shared" si="5"/>
        <v>0.4718079302</v>
      </c>
      <c r="I18" s="16">
        <f t="shared" si="6"/>
        <v>58</v>
      </c>
      <c r="J18" s="16">
        <f t="shared" si="3"/>
        <v>58</v>
      </c>
      <c r="K18" s="16">
        <f t="shared" si="7"/>
        <v>18</v>
      </c>
    </row>
    <row r="19">
      <c r="A19" s="18">
        <v>18.0</v>
      </c>
      <c r="B19" s="50" t="s">
        <v>640</v>
      </c>
      <c r="C19" s="65">
        <v>1.0</v>
      </c>
      <c r="D19" s="41">
        <f>IFERROR(__xludf.DUMMYFUNCTION("IF(B19="""","""",COUNTA(SPLIT(B19,"" "")))"),360.0)</f>
        <v>360</v>
      </c>
      <c r="E19" s="50" t="s">
        <v>641</v>
      </c>
      <c r="F19" s="65">
        <v>1.0</v>
      </c>
      <c r="G19" s="16">
        <f>IFERROR(__xludf.DUMMYFUNCTION("IF(E19="""","""",COUNTA(SPLIT(E19,"" "")))"),349.0)</f>
        <v>349</v>
      </c>
      <c r="H19" s="16">
        <f t="shared" si="5"/>
        <v>0.3786024477</v>
      </c>
      <c r="I19" s="16">
        <f t="shared" si="6"/>
        <v>-11</v>
      </c>
      <c r="J19" s="16">
        <f t="shared" si="3"/>
        <v>11</v>
      </c>
      <c r="K19" s="16">
        <f t="shared" si="7"/>
        <v>4</v>
      </c>
    </row>
    <row r="20">
      <c r="A20" s="18">
        <v>19.0</v>
      </c>
      <c r="B20" s="50" t="s">
        <v>642</v>
      </c>
      <c r="C20" s="65">
        <v>1.0</v>
      </c>
      <c r="D20" s="41">
        <f>IFERROR(__xludf.DUMMYFUNCTION("IF(B20="""","""",COUNTA(SPLIT(B20,"" "")))"),344.0)</f>
        <v>344</v>
      </c>
      <c r="E20" s="50" t="s">
        <v>643</v>
      </c>
      <c r="F20" s="65">
        <v>1.0</v>
      </c>
      <c r="G20" s="16">
        <f>IFERROR(__xludf.DUMMYFUNCTION("IF(E20="""","""",COUNTA(SPLIT(E20,"" "")))"),301.0)</f>
        <v>301</v>
      </c>
      <c r="H20" s="16">
        <f t="shared" si="5"/>
        <v>0.4733360893</v>
      </c>
      <c r="I20" s="16">
        <f t="shared" si="6"/>
        <v>-43</v>
      </c>
      <c r="J20" s="16">
        <f t="shared" si="3"/>
        <v>43</v>
      </c>
      <c r="K20" s="16">
        <f t="shared" si="7"/>
        <v>13</v>
      </c>
    </row>
    <row r="21">
      <c r="A21" s="18">
        <v>20.0</v>
      </c>
      <c r="B21" s="50" t="s">
        <v>644</v>
      </c>
      <c r="C21" s="65">
        <v>1.0</v>
      </c>
      <c r="D21" s="41">
        <f>IFERROR(__xludf.DUMMYFUNCTION("IF(B21="""","""",COUNTA(SPLIT(B21,"" "")))"),265.0)</f>
        <v>265</v>
      </c>
      <c r="E21" s="50" t="s">
        <v>645</v>
      </c>
      <c r="F21" s="65">
        <v>1.0</v>
      </c>
      <c r="G21" s="16">
        <f>IFERROR(__xludf.DUMMYFUNCTION("IF(E21="""","""",COUNTA(SPLIT(E21,"" "")))"),313.0)</f>
        <v>313</v>
      </c>
      <c r="H21" s="16">
        <f t="shared" si="5"/>
        <v>0.2920240137</v>
      </c>
      <c r="I21" s="16">
        <f t="shared" si="6"/>
        <v>48</v>
      </c>
      <c r="J21" s="16">
        <f t="shared" si="3"/>
        <v>48</v>
      </c>
      <c r="K21" s="16">
        <f t="shared" si="7"/>
        <v>16</v>
      </c>
    </row>
    <row r="22">
      <c r="A22" s="18">
        <v>21.0</v>
      </c>
      <c r="B22" s="50" t="s">
        <v>646</v>
      </c>
      <c r="C22" s="65">
        <v>1.0</v>
      </c>
      <c r="D22" s="41">
        <f>IFERROR(__xludf.DUMMYFUNCTION("IF(B22="""","""",COUNTA(SPLIT(B22,"" "")))"),314.0)</f>
        <v>314</v>
      </c>
      <c r="E22" s="50" t="s">
        <v>647</v>
      </c>
      <c r="F22" s="65">
        <v>1.0</v>
      </c>
      <c r="G22" s="16">
        <f>IFERROR(__xludf.DUMMYFUNCTION("IF(E22="""","""",COUNTA(SPLIT(E22,"" "")))"),229.0)</f>
        <v>229</v>
      </c>
      <c r="H22" s="16">
        <f t="shared" si="5"/>
        <v>0.3713751169</v>
      </c>
      <c r="I22" s="16">
        <f t="shared" si="6"/>
        <v>-85</v>
      </c>
      <c r="J22" s="16">
        <f t="shared" si="3"/>
        <v>85</v>
      </c>
      <c r="K22" s="16">
        <f t="shared" si="7"/>
        <v>24</v>
      </c>
    </row>
    <row r="23">
      <c r="A23" s="18">
        <v>22.0</v>
      </c>
      <c r="B23" s="50" t="s">
        <v>648</v>
      </c>
      <c r="C23" s="65">
        <v>1.0</v>
      </c>
      <c r="D23" s="41">
        <f>IFERROR(__xludf.DUMMYFUNCTION("IF(B23="""","""",COUNTA(SPLIT(B23,"" "")))"),445.0)</f>
        <v>445</v>
      </c>
      <c r="E23" s="50" t="s">
        <v>649</v>
      </c>
      <c r="F23" s="65">
        <v>1.0</v>
      </c>
      <c r="G23" s="16">
        <f>IFERROR(__xludf.DUMMYFUNCTION("IF(E23="""","""",COUNTA(SPLIT(E23,"" "")))"),378.0)</f>
        <v>378</v>
      </c>
      <c r="H23" s="16">
        <f t="shared" si="5"/>
        <v>0.3674171357</v>
      </c>
      <c r="I23" s="16">
        <f t="shared" si="6"/>
        <v>-67</v>
      </c>
      <c r="J23" s="16">
        <f t="shared" si="3"/>
        <v>67</v>
      </c>
      <c r="K23" s="16">
        <f t="shared" si="7"/>
        <v>22</v>
      </c>
    </row>
    <row r="24">
      <c r="A24" s="18">
        <v>23.0</v>
      </c>
      <c r="B24" s="50" t="s">
        <v>650</v>
      </c>
      <c r="C24" s="65">
        <v>1.0</v>
      </c>
      <c r="D24" s="41">
        <f>IFERROR(__xludf.DUMMYFUNCTION("IF(B24="""","""",COUNTA(SPLIT(B24,"" "")))"),370.0)</f>
        <v>370</v>
      </c>
      <c r="E24" s="50" t="s">
        <v>651</v>
      </c>
      <c r="F24" s="65">
        <v>1.0</v>
      </c>
      <c r="G24" s="16">
        <f>IFERROR(__xludf.DUMMYFUNCTION("IF(E24="""","""",COUNTA(SPLIT(E24,"" "")))"),351.0)</f>
        <v>351</v>
      </c>
      <c r="H24" s="16">
        <f t="shared" si="5"/>
        <v>0.3547140649</v>
      </c>
      <c r="I24" s="16">
        <f t="shared" si="6"/>
        <v>-19</v>
      </c>
      <c r="J24" s="16">
        <f t="shared" si="3"/>
        <v>19</v>
      </c>
      <c r="K24" s="16">
        <f t="shared" si="7"/>
        <v>8</v>
      </c>
    </row>
    <row r="25">
      <c r="A25" s="18">
        <v>24.0</v>
      </c>
      <c r="B25" s="50" t="s">
        <v>652</v>
      </c>
      <c r="C25" s="65">
        <v>1.0</v>
      </c>
      <c r="D25" s="41">
        <f>IFERROR(__xludf.DUMMYFUNCTION("IF(B25="""","""",COUNTA(SPLIT(B25,"" "")))"),384.0)</f>
        <v>384</v>
      </c>
      <c r="E25" s="50" t="s">
        <v>653</v>
      </c>
      <c r="F25" s="65">
        <v>1.0</v>
      </c>
      <c r="G25" s="16">
        <f>IFERROR(__xludf.DUMMYFUNCTION("IF(E25="""","""",COUNTA(SPLIT(E25,"" "")))"),373.0)</f>
        <v>373</v>
      </c>
      <c r="H25" s="16">
        <f t="shared" si="5"/>
        <v>0.3767947225</v>
      </c>
      <c r="I25" s="16">
        <f t="shared" si="6"/>
        <v>-11</v>
      </c>
      <c r="J25" s="16">
        <f t="shared" si="3"/>
        <v>11</v>
      </c>
      <c r="K25" s="16">
        <f t="shared" si="7"/>
        <v>4</v>
      </c>
    </row>
    <row r="26">
      <c r="A26" s="18">
        <v>25.0</v>
      </c>
      <c r="B26" s="50" t="s">
        <v>654</v>
      </c>
      <c r="C26" s="65">
        <v>1.0</v>
      </c>
      <c r="D26" s="41">
        <f>IFERROR(__xludf.DUMMYFUNCTION("IF(B26="""","""",COUNTA(SPLIT(B26,"" "")))"),344.0)</f>
        <v>344</v>
      </c>
      <c r="E26" s="50" t="s">
        <v>655</v>
      </c>
      <c r="F26" s="65">
        <v>1.0</v>
      </c>
      <c r="G26" s="16">
        <f>IFERROR(__xludf.DUMMYFUNCTION("IF(E26="""","""",COUNTA(SPLIT(E26,"" "")))"),413.0)</f>
        <v>413</v>
      </c>
      <c r="H26" s="16">
        <f t="shared" si="5"/>
        <v>0.5489859058</v>
      </c>
      <c r="I26" s="16">
        <f t="shared" si="6"/>
        <v>69</v>
      </c>
      <c r="J26" s="16">
        <f t="shared" si="3"/>
        <v>69</v>
      </c>
      <c r="K26" s="16">
        <f t="shared" si="7"/>
        <v>23</v>
      </c>
    </row>
    <row r="27">
      <c r="A27" s="18">
        <v>26.0</v>
      </c>
      <c r="B27" s="50" t="s">
        <v>656</v>
      </c>
      <c r="C27" s="65">
        <v>1.0</v>
      </c>
      <c r="D27" s="41">
        <f>IFERROR(__xludf.DUMMYFUNCTION("IF(B27="""","""",COUNTA(SPLIT(B27,"" "")))"),200.0)</f>
        <v>200</v>
      </c>
      <c r="E27" s="50" t="s">
        <v>657</v>
      </c>
      <c r="F27" s="65">
        <v>1.0</v>
      </c>
      <c r="G27" s="16">
        <f>IFERROR(__xludf.DUMMYFUNCTION("IF(E27="""","""",COUNTA(SPLIT(E27,"" "")))"),264.0)</f>
        <v>264</v>
      </c>
      <c r="H27" s="16">
        <f t="shared" si="5"/>
        <v>0.3052341598</v>
      </c>
      <c r="I27" s="16">
        <f t="shared" si="6"/>
        <v>64</v>
      </c>
      <c r="J27" s="16">
        <f t="shared" si="3"/>
        <v>64</v>
      </c>
      <c r="K27" s="16">
        <f t="shared" si="7"/>
        <v>21</v>
      </c>
    </row>
    <row r="28">
      <c r="A28" s="18">
        <v>27.0</v>
      </c>
      <c r="B28" s="50" t="s">
        <v>658</v>
      </c>
      <c r="C28" s="65">
        <v>1.0</v>
      </c>
      <c r="D28" s="41">
        <f>IFERROR(__xludf.DUMMYFUNCTION("IF(B28="""","""",COUNTA(SPLIT(B28,"" "")))"),160.0)</f>
        <v>160</v>
      </c>
      <c r="E28" s="50" t="s">
        <v>659</v>
      </c>
      <c r="F28" s="65">
        <v>1.0</v>
      </c>
      <c r="G28" s="16">
        <f>IFERROR(__xludf.DUMMYFUNCTION("IF(E28="""","""",COUNTA(SPLIT(E28,"" "")))"),69.0)</f>
        <v>69</v>
      </c>
      <c r="H28" s="16">
        <f t="shared" si="5"/>
        <v>0.3601462523</v>
      </c>
      <c r="I28" s="16">
        <f t="shared" si="6"/>
        <v>-91</v>
      </c>
      <c r="J28" s="16">
        <f t="shared" si="3"/>
        <v>91</v>
      </c>
      <c r="K28" s="16">
        <f t="shared" si="7"/>
        <v>25</v>
      </c>
    </row>
    <row r="29">
      <c r="A29" s="18">
        <v>28.0</v>
      </c>
      <c r="B29" s="50" t="s">
        <v>660</v>
      </c>
      <c r="C29" s="65">
        <v>1.0</v>
      </c>
      <c r="D29" s="41">
        <f>IFERROR(__xludf.DUMMYFUNCTION("IF(B29="""","""",COUNTA(SPLIT(B29,"" "")))"),163.0)</f>
        <v>163</v>
      </c>
      <c r="E29" s="50" t="s">
        <v>661</v>
      </c>
      <c r="F29" s="65">
        <v>1.0</v>
      </c>
      <c r="G29" s="16">
        <f>IFERROR(__xludf.DUMMYFUNCTION("IF(E29="""","""",COUNTA(SPLIT(E29,"" "")))"),118.0)</f>
        <v>118</v>
      </c>
      <c r="H29" s="16">
        <f t="shared" si="5"/>
        <v>0.5921985816</v>
      </c>
      <c r="I29" s="16">
        <f t="shared" si="6"/>
        <v>-45</v>
      </c>
      <c r="J29" s="16">
        <f t="shared" si="3"/>
        <v>45</v>
      </c>
      <c r="K29" s="16">
        <f t="shared" si="7"/>
        <v>14</v>
      </c>
    </row>
    <row r="30">
      <c r="A30" s="18">
        <v>29.0</v>
      </c>
      <c r="B30" s="50" t="s">
        <v>662</v>
      </c>
      <c r="C30" s="65">
        <v>1.0</v>
      </c>
      <c r="D30" s="41">
        <f>IFERROR(__xludf.DUMMYFUNCTION("IF(B30="""","""",COUNTA(SPLIT(B30,"" "")))"),187.0)</f>
        <v>187</v>
      </c>
      <c r="E30" s="50" t="s">
        <v>663</v>
      </c>
      <c r="F30" s="65">
        <v>1.0</v>
      </c>
      <c r="G30" s="16">
        <f>IFERROR(__xludf.DUMMYFUNCTION("IF(E30="""","""",COUNTA(SPLIT(E30,"" "")))"),172.0)</f>
        <v>172</v>
      </c>
      <c r="H30" s="16">
        <f t="shared" si="5"/>
        <v>0.2803278689</v>
      </c>
      <c r="I30" s="16">
        <f t="shared" si="6"/>
        <v>-15</v>
      </c>
      <c r="J30" s="16">
        <f t="shared" si="3"/>
        <v>15</v>
      </c>
      <c r="K30" s="16">
        <f t="shared" si="7"/>
        <v>7</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10.62643199</v>
      </c>
      <c r="C35" s="46"/>
      <c r="D35" s="49"/>
      <c r="E35" s="45"/>
      <c r="F35" s="48"/>
      <c r="G35" s="19"/>
      <c r="H35" s="19"/>
      <c r="I35" s="19"/>
      <c r="J35" s="19"/>
      <c r="K35" s="19"/>
    </row>
    <row r="36">
      <c r="A36" s="7"/>
      <c r="B36" s="7">
        <v>10.62643199</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431</v>
      </c>
      <c r="C38" s="46"/>
      <c r="D38" s="49"/>
      <c r="E38" s="45"/>
      <c r="F38" s="48"/>
      <c r="G38" s="19"/>
      <c r="H38" s="19"/>
      <c r="I38" s="19"/>
      <c r="J38" s="19"/>
      <c r="K38" s="19"/>
    </row>
    <row r="39">
      <c r="A39" s="7" t="s">
        <v>287</v>
      </c>
      <c r="B39" s="7" t="s">
        <v>743</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57">
        <v>1.0</v>
      </c>
      <c r="D2" s="41">
        <f>IFERROR(__xludf.DUMMYFUNCTION("IF(B2="""","""",COUNTA(SPLIT(B2,"" "")))"),214.0)</f>
        <v>214</v>
      </c>
      <c r="E2" s="50" t="s">
        <v>607</v>
      </c>
      <c r="F2" s="57">
        <v>1.0</v>
      </c>
      <c r="G2" s="16">
        <f>IFERROR(__xludf.DUMMYFUNCTION("IF(E2="""","""",COUNTA(SPLIT(E2,"" "")))"),175.0)</f>
        <v>175</v>
      </c>
      <c r="H2" s="16">
        <f t="shared" ref="H2:H6" si="1">compararRespostas(B2, E2)</f>
        <v>0.4119850187</v>
      </c>
      <c r="I2" s="16">
        <f t="shared" ref="I2:I24" si="2">(G2-D2)</f>
        <v>-39</v>
      </c>
      <c r="J2" s="16">
        <f t="shared" ref="J2:J24" si="3">abs(I2)</f>
        <v>39</v>
      </c>
      <c r="K2" s="16">
        <f t="shared" ref="K2:K6" si="4">RANK(J2, J$2:J$30, 1)</f>
        <v>13</v>
      </c>
    </row>
    <row r="3">
      <c r="A3" s="18">
        <v>2.0</v>
      </c>
      <c r="B3" s="50" t="s">
        <v>608</v>
      </c>
      <c r="C3" s="57">
        <v>1.0</v>
      </c>
      <c r="D3" s="41">
        <f>IFERROR(__xludf.DUMMYFUNCTION("IF(B3="""","""",COUNTA(SPLIT(B3,"" "")))"),219.0)</f>
        <v>219</v>
      </c>
      <c r="E3" s="50" t="s">
        <v>609</v>
      </c>
      <c r="F3" s="57">
        <v>1.0</v>
      </c>
      <c r="G3" s="16">
        <f>IFERROR(__xludf.DUMMYFUNCTION("IF(E3="""","""",COUNTA(SPLIT(E3,"" "")))"),341.0)</f>
        <v>341</v>
      </c>
      <c r="H3" s="16">
        <f t="shared" si="1"/>
        <v>0.3825275657</v>
      </c>
      <c r="I3" s="16">
        <f t="shared" si="2"/>
        <v>122</v>
      </c>
      <c r="J3" s="16">
        <f t="shared" si="3"/>
        <v>122</v>
      </c>
      <c r="K3" s="16">
        <f t="shared" si="4"/>
        <v>29</v>
      </c>
    </row>
    <row r="4">
      <c r="A4" s="18">
        <v>3.0</v>
      </c>
      <c r="B4" s="50" t="s">
        <v>610</v>
      </c>
      <c r="C4" s="58">
        <v>1.0</v>
      </c>
      <c r="D4" s="41">
        <f>IFERROR(__xludf.DUMMYFUNCTION("IF(B4="""","""",COUNTA(SPLIT(B4,"" "")))"),504.0)</f>
        <v>504</v>
      </c>
      <c r="E4" s="50" t="s">
        <v>611</v>
      </c>
      <c r="F4" s="58">
        <v>1.0</v>
      </c>
      <c r="G4" s="16">
        <f>IFERROR(__xludf.DUMMYFUNCTION("IF(E4="""","""",COUNTA(SPLIT(E4,"" "")))"),401.0)</f>
        <v>401</v>
      </c>
      <c r="H4" s="16">
        <f t="shared" si="1"/>
        <v>0.3726201269</v>
      </c>
      <c r="I4" s="16">
        <f t="shared" si="2"/>
        <v>-103</v>
      </c>
      <c r="J4" s="16">
        <f t="shared" si="3"/>
        <v>103</v>
      </c>
      <c r="K4" s="16">
        <f t="shared" si="4"/>
        <v>27</v>
      </c>
    </row>
    <row r="5">
      <c r="A5" s="18">
        <v>4.0</v>
      </c>
      <c r="B5" s="50" t="s">
        <v>612</v>
      </c>
      <c r="C5" s="58">
        <v>1.0</v>
      </c>
      <c r="D5" s="41">
        <f>IFERROR(__xludf.DUMMYFUNCTION("IF(B5="""","""",COUNTA(SPLIT(B5,"" "")))"),285.0)</f>
        <v>285</v>
      </c>
      <c r="E5" s="50" t="s">
        <v>613</v>
      </c>
      <c r="F5" s="58">
        <v>1.0</v>
      </c>
      <c r="G5" s="16">
        <f>IFERROR(__xludf.DUMMYFUNCTION("IF(E5="""","""",COUNTA(SPLIT(E5,"" "")))"),276.0)</f>
        <v>276</v>
      </c>
      <c r="H5" s="16">
        <f t="shared" si="1"/>
        <v>0.308815576</v>
      </c>
      <c r="I5" s="16">
        <f t="shared" si="2"/>
        <v>-9</v>
      </c>
      <c r="J5" s="16">
        <f t="shared" si="3"/>
        <v>9</v>
      </c>
      <c r="K5" s="16">
        <f t="shared" si="4"/>
        <v>5</v>
      </c>
    </row>
    <row r="6">
      <c r="A6" s="18">
        <v>5.0</v>
      </c>
      <c r="B6" s="50" t="s">
        <v>614</v>
      </c>
      <c r="C6" s="58">
        <v>1.0</v>
      </c>
      <c r="D6" s="41">
        <f>IFERROR(__xludf.DUMMYFUNCTION("IF(B6="""","""",COUNTA(SPLIT(B6,"" "")))"),181.0)</f>
        <v>181</v>
      </c>
      <c r="E6" s="50" t="s">
        <v>615</v>
      </c>
      <c r="F6" s="58">
        <v>1.0</v>
      </c>
      <c r="G6" s="16">
        <f>IFERROR(__xludf.DUMMYFUNCTION("IF(E6="""","""",COUNTA(SPLIT(E6,"" "")))"),184.0)</f>
        <v>184</v>
      </c>
      <c r="H6" s="16">
        <f t="shared" si="1"/>
        <v>0.3698510079</v>
      </c>
      <c r="I6" s="16">
        <f t="shared" si="2"/>
        <v>3</v>
      </c>
      <c r="J6" s="16">
        <f t="shared" si="3"/>
        <v>3</v>
      </c>
      <c r="K6" s="16">
        <f t="shared" si="4"/>
        <v>4</v>
      </c>
    </row>
    <row r="7">
      <c r="A7" s="18">
        <v>6.0</v>
      </c>
      <c r="B7" s="50" t="s">
        <v>616</v>
      </c>
      <c r="C7" s="58">
        <v>1.0</v>
      </c>
      <c r="D7" s="43">
        <v>0.0</v>
      </c>
      <c r="E7" s="50" t="s">
        <v>617</v>
      </c>
      <c r="F7" s="58">
        <v>0.0</v>
      </c>
      <c r="G7" s="44">
        <v>0.0</v>
      </c>
      <c r="H7" s="44">
        <v>0.0</v>
      </c>
      <c r="I7" s="16">
        <f t="shared" si="2"/>
        <v>0</v>
      </c>
      <c r="J7" s="16">
        <f t="shared" si="3"/>
        <v>0</v>
      </c>
      <c r="K7" s="44">
        <v>0.0</v>
      </c>
    </row>
    <row r="8">
      <c r="A8" s="18">
        <v>7.0</v>
      </c>
      <c r="B8" s="50" t="s">
        <v>618</v>
      </c>
      <c r="C8" s="58">
        <v>1.0</v>
      </c>
      <c r="D8" s="41">
        <f>IFERROR(__xludf.DUMMYFUNCTION("IF(B8="""","""",COUNTA(SPLIT(B8,"" "")))"),216.0)</f>
        <v>216</v>
      </c>
      <c r="E8" s="50" t="s">
        <v>619</v>
      </c>
      <c r="F8" s="58">
        <v>1.0</v>
      </c>
      <c r="G8" s="16">
        <f>IFERROR(__xludf.DUMMYFUNCTION("IF(E8="""","""",COUNTA(SPLIT(E8,"" "")))"),238.0)</f>
        <v>238</v>
      </c>
      <c r="H8" s="16">
        <f t="shared" ref="H8:H10" si="5">compararRespostas(B8, E8)</f>
        <v>0.2485136742</v>
      </c>
      <c r="I8" s="16">
        <f t="shared" si="2"/>
        <v>22</v>
      </c>
      <c r="J8" s="16">
        <f t="shared" si="3"/>
        <v>22</v>
      </c>
      <c r="K8" s="16">
        <f t="shared" ref="K8:K10" si="6">RANK(J8, J$2:J$30, 1)</f>
        <v>10</v>
      </c>
    </row>
    <row r="9">
      <c r="A9" s="18">
        <v>8.0</v>
      </c>
      <c r="B9" s="50" t="s">
        <v>620</v>
      </c>
      <c r="C9" s="58">
        <v>1.0</v>
      </c>
      <c r="D9" s="41">
        <f>IFERROR(__xludf.DUMMYFUNCTION("IF(B9="""","""",COUNTA(SPLIT(B9,"" "")))"),319.0)</f>
        <v>319</v>
      </c>
      <c r="E9" s="50" t="s">
        <v>621</v>
      </c>
      <c r="F9" s="58">
        <v>1.0</v>
      </c>
      <c r="G9" s="16">
        <f>IFERROR(__xludf.DUMMYFUNCTION("IF(E9="""","""",COUNTA(SPLIT(E9,"" "")))"),289.0)</f>
        <v>289</v>
      </c>
      <c r="H9" s="16">
        <f t="shared" si="5"/>
        <v>0.3261552266</v>
      </c>
      <c r="I9" s="16">
        <f t="shared" si="2"/>
        <v>-30</v>
      </c>
      <c r="J9" s="16">
        <f t="shared" si="3"/>
        <v>30</v>
      </c>
      <c r="K9" s="16">
        <f t="shared" si="6"/>
        <v>12</v>
      </c>
    </row>
    <row r="10">
      <c r="A10" s="18">
        <v>9.0</v>
      </c>
      <c r="B10" s="50" t="s">
        <v>622</v>
      </c>
      <c r="C10" s="58">
        <v>1.0</v>
      </c>
      <c r="D10" s="41">
        <f>IFERROR(__xludf.DUMMYFUNCTION("IF(B10="""","""",COUNTA(SPLIT(B10,"" "")))"),212.0)</f>
        <v>212</v>
      </c>
      <c r="E10" s="50" t="s">
        <v>623</v>
      </c>
      <c r="F10" s="58">
        <v>1.0</v>
      </c>
      <c r="G10" s="16">
        <f>IFERROR(__xludf.DUMMYFUNCTION("IF(E10="""","""",COUNTA(SPLIT(E10,"" "")))"),257.0)</f>
        <v>257</v>
      </c>
      <c r="H10" s="16">
        <f t="shared" si="5"/>
        <v>0.3670015865</v>
      </c>
      <c r="I10" s="16">
        <f t="shared" si="2"/>
        <v>45</v>
      </c>
      <c r="J10" s="16">
        <f t="shared" si="3"/>
        <v>45</v>
      </c>
      <c r="K10" s="16">
        <f t="shared" si="6"/>
        <v>15</v>
      </c>
    </row>
    <row r="11">
      <c r="A11" s="18">
        <v>10.0</v>
      </c>
      <c r="B11" s="50" t="s">
        <v>624</v>
      </c>
      <c r="C11" s="58">
        <v>0.0</v>
      </c>
      <c r="D11" s="43">
        <v>0.0</v>
      </c>
      <c r="E11" s="50" t="s">
        <v>625</v>
      </c>
      <c r="F11" s="58">
        <v>0.0</v>
      </c>
      <c r="G11" s="44">
        <v>0.0</v>
      </c>
      <c r="H11" s="44">
        <v>0.0</v>
      </c>
      <c r="I11" s="16">
        <f t="shared" si="2"/>
        <v>0</v>
      </c>
      <c r="J11" s="16">
        <f t="shared" si="3"/>
        <v>0</v>
      </c>
      <c r="K11" s="44">
        <v>0.0</v>
      </c>
    </row>
    <row r="12">
      <c r="A12" s="18">
        <v>11.0</v>
      </c>
      <c r="B12" s="50" t="s">
        <v>626</v>
      </c>
      <c r="C12" s="58">
        <v>1.0</v>
      </c>
      <c r="D12" s="41">
        <f>IFERROR(__xludf.DUMMYFUNCTION("IF(B12="""","""",COUNTA(SPLIT(B12,"" "")))"),177.0)</f>
        <v>177</v>
      </c>
      <c r="E12" s="50" t="s">
        <v>627</v>
      </c>
      <c r="F12" s="58">
        <v>1.0</v>
      </c>
      <c r="G12" s="16">
        <f>IFERROR(__xludf.DUMMYFUNCTION("IF(E12="""","""",COUNTA(SPLIT(E12,"" "")))"),273.0)</f>
        <v>273</v>
      </c>
      <c r="H12" s="16">
        <f t="shared" ref="H12:H24" si="7">compararRespostas(B12, E12)</f>
        <v>0.3970414201</v>
      </c>
      <c r="I12" s="16">
        <f t="shared" si="2"/>
        <v>96</v>
      </c>
      <c r="J12" s="16">
        <f t="shared" si="3"/>
        <v>96</v>
      </c>
      <c r="K12" s="16">
        <f t="shared" ref="K12:K24" si="8">RANK(J12, J$2:J$30, 1)</f>
        <v>26</v>
      </c>
    </row>
    <row r="13">
      <c r="A13" s="18">
        <v>12.0</v>
      </c>
      <c r="B13" s="50" t="s">
        <v>628</v>
      </c>
      <c r="C13" s="58">
        <v>1.0</v>
      </c>
      <c r="D13" s="41">
        <f>IFERROR(__xludf.DUMMYFUNCTION("IF(B13="""","""",COUNTA(SPLIT(B13,"" "")))"),278.0)</f>
        <v>278</v>
      </c>
      <c r="E13" s="50" t="s">
        <v>629</v>
      </c>
      <c r="F13" s="58">
        <v>1.0</v>
      </c>
      <c r="G13" s="16">
        <f>IFERROR(__xludf.DUMMYFUNCTION("IF(E13="""","""",COUNTA(SPLIT(E13,"" "")))"),256.0)</f>
        <v>256</v>
      </c>
      <c r="H13" s="16">
        <f t="shared" si="7"/>
        <v>0.3422995781</v>
      </c>
      <c r="I13" s="16">
        <f t="shared" si="2"/>
        <v>-22</v>
      </c>
      <c r="J13" s="16">
        <f t="shared" si="3"/>
        <v>22</v>
      </c>
      <c r="K13" s="16">
        <f t="shared" si="8"/>
        <v>10</v>
      </c>
    </row>
    <row r="14">
      <c r="A14" s="18">
        <v>13.0</v>
      </c>
      <c r="B14" s="50" t="s">
        <v>630</v>
      </c>
      <c r="C14" s="58">
        <v>1.0</v>
      </c>
      <c r="D14" s="41">
        <f>IFERROR(__xludf.DUMMYFUNCTION("IF(B14="""","""",COUNTA(SPLIT(B14,"" "")))"),120.0)</f>
        <v>120</v>
      </c>
      <c r="E14" s="50" t="s">
        <v>631</v>
      </c>
      <c r="F14" s="58">
        <v>1.0</v>
      </c>
      <c r="G14" s="16">
        <f>IFERROR(__xludf.DUMMYFUNCTION("IF(E14="""","""",COUNTA(SPLIT(E14,"" "")))"),60.0)</f>
        <v>60</v>
      </c>
      <c r="H14" s="16">
        <f t="shared" si="7"/>
        <v>0.3108614232</v>
      </c>
      <c r="I14" s="16">
        <f t="shared" si="2"/>
        <v>-60</v>
      </c>
      <c r="J14" s="16">
        <f t="shared" si="3"/>
        <v>60</v>
      </c>
      <c r="K14" s="16">
        <f t="shared" si="8"/>
        <v>19</v>
      </c>
    </row>
    <row r="15">
      <c r="A15" s="18">
        <v>14.0</v>
      </c>
      <c r="B15" s="50" t="s">
        <v>632</v>
      </c>
      <c r="C15" s="58">
        <v>1.0</v>
      </c>
      <c r="D15" s="41">
        <f>IFERROR(__xludf.DUMMYFUNCTION("IF(B15="""","""",COUNTA(SPLIT(B15,"" "")))"),490.0)</f>
        <v>490</v>
      </c>
      <c r="E15" s="56" t="s">
        <v>751</v>
      </c>
      <c r="F15" s="58">
        <v>1.0</v>
      </c>
      <c r="G15" s="16">
        <f>IFERROR(__xludf.DUMMYFUNCTION("IF(E15="""","""",COUNTA(SPLIT(E15,"" "")))"),382.0)</f>
        <v>382</v>
      </c>
      <c r="H15" s="16">
        <f t="shared" si="7"/>
        <v>0.387374462</v>
      </c>
      <c r="I15" s="16">
        <f t="shared" si="2"/>
        <v>-108</v>
      </c>
      <c r="J15" s="16">
        <f t="shared" si="3"/>
        <v>108</v>
      </c>
      <c r="K15" s="16">
        <f t="shared" si="8"/>
        <v>28</v>
      </c>
    </row>
    <row r="16">
      <c r="A16" s="18">
        <v>15.0</v>
      </c>
      <c r="B16" s="50" t="s">
        <v>634</v>
      </c>
      <c r="C16" s="58">
        <v>1.0</v>
      </c>
      <c r="D16" s="41">
        <f>IFERROR(__xludf.DUMMYFUNCTION("IF(B16="""","""",COUNTA(SPLIT(B16,"" "")))"),80.0)</f>
        <v>80</v>
      </c>
      <c r="E16" s="50" t="s">
        <v>635</v>
      </c>
      <c r="F16" s="58">
        <v>1.0</v>
      </c>
      <c r="G16" s="16">
        <f>IFERROR(__xludf.DUMMYFUNCTION("IF(E16="""","""",COUNTA(SPLIT(E16,"" "")))"),142.0)</f>
        <v>142</v>
      </c>
      <c r="H16" s="16">
        <f t="shared" si="7"/>
        <v>0.4249737671</v>
      </c>
      <c r="I16" s="16">
        <f t="shared" si="2"/>
        <v>62</v>
      </c>
      <c r="J16" s="16">
        <f t="shared" si="3"/>
        <v>62</v>
      </c>
      <c r="K16" s="16">
        <f t="shared" si="8"/>
        <v>20</v>
      </c>
    </row>
    <row r="17">
      <c r="A17" s="18">
        <v>16.0</v>
      </c>
      <c r="B17" s="50" t="s">
        <v>636</v>
      </c>
      <c r="C17" s="58">
        <v>1.0</v>
      </c>
      <c r="D17" s="41">
        <f>IFERROR(__xludf.DUMMYFUNCTION("IF(B17="""","""",COUNTA(SPLIT(B17,"" "")))"),389.0)</f>
        <v>389</v>
      </c>
      <c r="E17" s="50" t="s">
        <v>637</v>
      </c>
      <c r="F17" s="58">
        <v>1.0</v>
      </c>
      <c r="G17" s="16">
        <f>IFERROR(__xludf.DUMMYFUNCTION("IF(E17="""","""",COUNTA(SPLIT(E17,"" "")))"),376.0)</f>
        <v>376</v>
      </c>
      <c r="H17" s="16">
        <f t="shared" si="7"/>
        <v>0.3128812343</v>
      </c>
      <c r="I17" s="16">
        <f t="shared" si="2"/>
        <v>-13</v>
      </c>
      <c r="J17" s="16">
        <f t="shared" si="3"/>
        <v>13</v>
      </c>
      <c r="K17" s="16">
        <f t="shared" si="8"/>
        <v>7</v>
      </c>
    </row>
    <row r="18">
      <c r="A18" s="18">
        <v>17.0</v>
      </c>
      <c r="B18" s="50" t="s">
        <v>638</v>
      </c>
      <c r="C18" s="58">
        <v>1.0</v>
      </c>
      <c r="D18" s="41">
        <f>IFERROR(__xludf.DUMMYFUNCTION("IF(B18="""","""",COUNTA(SPLIT(B18,"" "")))"),348.0)</f>
        <v>348</v>
      </c>
      <c r="E18" s="50" t="s">
        <v>639</v>
      </c>
      <c r="F18" s="58">
        <v>1.0</v>
      </c>
      <c r="G18" s="16">
        <f>IFERROR(__xludf.DUMMYFUNCTION("IF(E18="""","""",COUNTA(SPLIT(E18,"" "")))"),406.0)</f>
        <v>406</v>
      </c>
      <c r="H18" s="16">
        <f t="shared" si="7"/>
        <v>0.4718079302</v>
      </c>
      <c r="I18" s="16">
        <f t="shared" si="2"/>
        <v>58</v>
      </c>
      <c r="J18" s="16">
        <f t="shared" si="3"/>
        <v>58</v>
      </c>
      <c r="K18" s="16">
        <f t="shared" si="8"/>
        <v>18</v>
      </c>
    </row>
    <row r="19">
      <c r="A19" s="18">
        <v>18.0</v>
      </c>
      <c r="B19" s="50" t="s">
        <v>640</v>
      </c>
      <c r="C19" s="58">
        <v>1.0</v>
      </c>
      <c r="D19" s="41">
        <f>IFERROR(__xludf.DUMMYFUNCTION("IF(B19="""","""",COUNTA(SPLIT(B19,"" "")))"),360.0)</f>
        <v>360</v>
      </c>
      <c r="E19" s="50" t="s">
        <v>641</v>
      </c>
      <c r="F19" s="58">
        <v>1.0</v>
      </c>
      <c r="G19" s="16">
        <f>IFERROR(__xludf.DUMMYFUNCTION("IF(E19="""","""",COUNTA(SPLIT(E19,"" "")))"),349.0)</f>
        <v>349</v>
      </c>
      <c r="H19" s="16">
        <f t="shared" si="7"/>
        <v>0.3786024477</v>
      </c>
      <c r="I19" s="16">
        <f t="shared" si="2"/>
        <v>-11</v>
      </c>
      <c r="J19" s="16">
        <f t="shared" si="3"/>
        <v>11</v>
      </c>
      <c r="K19" s="16">
        <f t="shared" si="8"/>
        <v>6</v>
      </c>
    </row>
    <row r="20">
      <c r="A20" s="18">
        <v>19.0</v>
      </c>
      <c r="B20" s="50" t="s">
        <v>642</v>
      </c>
      <c r="C20" s="58">
        <v>1.0</v>
      </c>
      <c r="D20" s="41">
        <f>IFERROR(__xludf.DUMMYFUNCTION("IF(B20="""","""",COUNTA(SPLIT(B20,"" "")))"),344.0)</f>
        <v>344</v>
      </c>
      <c r="E20" s="50" t="s">
        <v>643</v>
      </c>
      <c r="F20" s="58">
        <v>1.0</v>
      </c>
      <c r="G20" s="16">
        <f>IFERROR(__xludf.DUMMYFUNCTION("IF(E20="""","""",COUNTA(SPLIT(E20,"" "")))"),301.0)</f>
        <v>301</v>
      </c>
      <c r="H20" s="16">
        <f t="shared" si="7"/>
        <v>0.4733360893</v>
      </c>
      <c r="I20" s="16">
        <f t="shared" si="2"/>
        <v>-43</v>
      </c>
      <c r="J20" s="16">
        <f t="shared" si="3"/>
        <v>43</v>
      </c>
      <c r="K20" s="16">
        <f t="shared" si="8"/>
        <v>14</v>
      </c>
    </row>
    <row r="21">
      <c r="A21" s="18">
        <v>20.0</v>
      </c>
      <c r="B21" s="50" t="s">
        <v>644</v>
      </c>
      <c r="C21" s="58">
        <v>1.0</v>
      </c>
      <c r="D21" s="41">
        <f>IFERROR(__xludf.DUMMYFUNCTION("IF(B21="""","""",COUNTA(SPLIT(B21,"" "")))"),265.0)</f>
        <v>265</v>
      </c>
      <c r="E21" s="50" t="s">
        <v>645</v>
      </c>
      <c r="F21" s="58">
        <v>1.0</v>
      </c>
      <c r="G21" s="16">
        <f>IFERROR(__xludf.DUMMYFUNCTION("IF(E21="""","""",COUNTA(SPLIT(E21,"" "")))"),313.0)</f>
        <v>313</v>
      </c>
      <c r="H21" s="16">
        <f t="shared" si="7"/>
        <v>0.2920240137</v>
      </c>
      <c r="I21" s="16">
        <f t="shared" si="2"/>
        <v>48</v>
      </c>
      <c r="J21" s="16">
        <f t="shared" si="3"/>
        <v>48</v>
      </c>
      <c r="K21" s="16">
        <f t="shared" si="8"/>
        <v>17</v>
      </c>
    </row>
    <row r="22">
      <c r="A22" s="18">
        <v>21.0</v>
      </c>
      <c r="B22" s="50" t="s">
        <v>646</v>
      </c>
      <c r="C22" s="58">
        <v>1.0</v>
      </c>
      <c r="D22" s="41">
        <f>IFERROR(__xludf.DUMMYFUNCTION("IF(B22="""","""",COUNTA(SPLIT(B22,"" "")))"),314.0)</f>
        <v>314</v>
      </c>
      <c r="E22" s="50" t="s">
        <v>647</v>
      </c>
      <c r="F22" s="58">
        <v>1.0</v>
      </c>
      <c r="G22" s="16">
        <f>IFERROR(__xludf.DUMMYFUNCTION("IF(E22="""","""",COUNTA(SPLIT(E22,"" "")))"),229.0)</f>
        <v>229</v>
      </c>
      <c r="H22" s="16">
        <f t="shared" si="7"/>
        <v>0.3713751169</v>
      </c>
      <c r="I22" s="16">
        <f t="shared" si="2"/>
        <v>-85</v>
      </c>
      <c r="J22" s="16">
        <f t="shared" si="3"/>
        <v>85</v>
      </c>
      <c r="K22" s="16">
        <f t="shared" si="8"/>
        <v>24</v>
      </c>
    </row>
    <row r="23">
      <c r="A23" s="18">
        <v>22.0</v>
      </c>
      <c r="B23" s="50" t="s">
        <v>648</v>
      </c>
      <c r="C23" s="58">
        <v>1.0</v>
      </c>
      <c r="D23" s="41">
        <f>IFERROR(__xludf.DUMMYFUNCTION("IF(B23="""","""",COUNTA(SPLIT(B23,"" "")))"),445.0)</f>
        <v>445</v>
      </c>
      <c r="E23" s="50" t="s">
        <v>649</v>
      </c>
      <c r="F23" s="58">
        <v>1.0</v>
      </c>
      <c r="G23" s="16">
        <f>IFERROR(__xludf.DUMMYFUNCTION("IF(E23="""","""",COUNTA(SPLIT(E23,"" "")))"),378.0)</f>
        <v>378</v>
      </c>
      <c r="H23" s="16">
        <f t="shared" si="7"/>
        <v>0.3674171357</v>
      </c>
      <c r="I23" s="16">
        <f t="shared" si="2"/>
        <v>-67</v>
      </c>
      <c r="J23" s="16">
        <f t="shared" si="3"/>
        <v>67</v>
      </c>
      <c r="K23" s="16">
        <f t="shared" si="8"/>
        <v>22</v>
      </c>
    </row>
    <row r="24">
      <c r="A24" s="18">
        <v>23.0</v>
      </c>
      <c r="B24" s="50" t="s">
        <v>650</v>
      </c>
      <c r="C24" s="58">
        <v>1.0</v>
      </c>
      <c r="D24" s="41">
        <f>IFERROR(__xludf.DUMMYFUNCTION("IF(B24="""","""",COUNTA(SPLIT(B24,"" "")))"),370.0)</f>
        <v>370</v>
      </c>
      <c r="E24" s="50" t="s">
        <v>651</v>
      </c>
      <c r="F24" s="58">
        <v>1.0</v>
      </c>
      <c r="G24" s="16">
        <f>IFERROR(__xludf.DUMMYFUNCTION("IF(E24="""","""",COUNTA(SPLIT(E24,"" "")))"),351.0)</f>
        <v>351</v>
      </c>
      <c r="H24" s="16">
        <f t="shared" si="7"/>
        <v>0.3547140649</v>
      </c>
      <c r="I24" s="16">
        <f t="shared" si="2"/>
        <v>-19</v>
      </c>
      <c r="J24" s="16">
        <f t="shared" si="3"/>
        <v>19</v>
      </c>
      <c r="K24" s="16">
        <f t="shared" si="8"/>
        <v>9</v>
      </c>
    </row>
    <row r="25">
      <c r="A25" s="18">
        <v>24.0</v>
      </c>
      <c r="B25" s="50" t="s">
        <v>652</v>
      </c>
      <c r="C25" s="58">
        <v>0.0</v>
      </c>
      <c r="D25" s="43">
        <v>0.0</v>
      </c>
      <c r="E25" s="50" t="s">
        <v>653</v>
      </c>
      <c r="F25" s="58">
        <v>1.0</v>
      </c>
      <c r="G25" s="44">
        <v>0.0</v>
      </c>
      <c r="H25" s="44">
        <v>0.0</v>
      </c>
      <c r="I25" s="44">
        <v>0.0</v>
      </c>
      <c r="J25" s="44">
        <v>0.0</v>
      </c>
      <c r="K25" s="44">
        <v>0.0</v>
      </c>
    </row>
    <row r="26">
      <c r="A26" s="18">
        <v>25.0</v>
      </c>
      <c r="B26" s="50" t="s">
        <v>654</v>
      </c>
      <c r="C26" s="58">
        <v>1.0</v>
      </c>
      <c r="D26" s="41">
        <f>IFERROR(__xludf.DUMMYFUNCTION("IF(B26="""","""",COUNTA(SPLIT(B26,"" "")))"),344.0)</f>
        <v>344</v>
      </c>
      <c r="E26" s="50" t="s">
        <v>655</v>
      </c>
      <c r="F26" s="58">
        <v>1.0</v>
      </c>
      <c r="G26" s="16">
        <f>IFERROR(__xludf.DUMMYFUNCTION("IF(E26="""","""",COUNTA(SPLIT(E26,"" "")))"),413.0)</f>
        <v>413</v>
      </c>
      <c r="H26" s="16">
        <f t="shared" ref="H26:H30" si="9">compararRespostas(B26, E26)</f>
        <v>0.5489859058</v>
      </c>
      <c r="I26" s="16">
        <f t="shared" ref="I26:I30" si="10">(G26-D26)</f>
        <v>69</v>
      </c>
      <c r="J26" s="16">
        <f t="shared" ref="J26:J30" si="11">abs(I26)</f>
        <v>69</v>
      </c>
      <c r="K26" s="16">
        <f t="shared" ref="K26:K30" si="12">RANK(J26, J$2:J$30, 1)</f>
        <v>23</v>
      </c>
    </row>
    <row r="27">
      <c r="A27" s="18">
        <v>26.0</v>
      </c>
      <c r="B27" s="50" t="s">
        <v>656</v>
      </c>
      <c r="C27" s="58">
        <v>1.0</v>
      </c>
      <c r="D27" s="41">
        <f>IFERROR(__xludf.DUMMYFUNCTION("IF(B27="""","""",COUNTA(SPLIT(B27,"" "")))"),200.0)</f>
        <v>200</v>
      </c>
      <c r="E27" s="50" t="s">
        <v>657</v>
      </c>
      <c r="F27" s="58">
        <v>1.0</v>
      </c>
      <c r="G27" s="16">
        <f>IFERROR(__xludf.DUMMYFUNCTION("IF(E27="""","""",COUNTA(SPLIT(E27,"" "")))"),264.0)</f>
        <v>264</v>
      </c>
      <c r="H27" s="16">
        <f t="shared" si="9"/>
        <v>0.3052341598</v>
      </c>
      <c r="I27" s="16">
        <f t="shared" si="10"/>
        <v>64</v>
      </c>
      <c r="J27" s="16">
        <f t="shared" si="11"/>
        <v>64</v>
      </c>
      <c r="K27" s="16">
        <f t="shared" si="12"/>
        <v>21</v>
      </c>
    </row>
    <row r="28">
      <c r="A28" s="18">
        <v>27.0</v>
      </c>
      <c r="B28" s="50" t="s">
        <v>658</v>
      </c>
      <c r="C28" s="58">
        <v>1.0</v>
      </c>
      <c r="D28" s="41">
        <f>IFERROR(__xludf.DUMMYFUNCTION("IF(B28="""","""",COUNTA(SPLIT(B28,"" "")))"),160.0)</f>
        <v>160</v>
      </c>
      <c r="E28" s="50" t="s">
        <v>659</v>
      </c>
      <c r="F28" s="58">
        <v>1.0</v>
      </c>
      <c r="G28" s="16">
        <f>IFERROR(__xludf.DUMMYFUNCTION("IF(E28="""","""",COUNTA(SPLIT(E28,"" "")))"),69.0)</f>
        <v>69</v>
      </c>
      <c r="H28" s="16">
        <f t="shared" si="9"/>
        <v>0.3601462523</v>
      </c>
      <c r="I28" s="16">
        <f t="shared" si="10"/>
        <v>-91</v>
      </c>
      <c r="J28" s="16">
        <f t="shared" si="11"/>
        <v>91</v>
      </c>
      <c r="K28" s="16">
        <f t="shared" si="12"/>
        <v>25</v>
      </c>
    </row>
    <row r="29">
      <c r="A29" s="18">
        <v>28.0</v>
      </c>
      <c r="B29" s="50" t="s">
        <v>660</v>
      </c>
      <c r="C29" s="58">
        <v>1.0</v>
      </c>
      <c r="D29" s="41">
        <f>IFERROR(__xludf.DUMMYFUNCTION("IF(B29="""","""",COUNTA(SPLIT(B29,"" "")))"),163.0)</f>
        <v>163</v>
      </c>
      <c r="E29" s="50" t="s">
        <v>661</v>
      </c>
      <c r="F29" s="58">
        <v>1.0</v>
      </c>
      <c r="G29" s="16">
        <f>IFERROR(__xludf.DUMMYFUNCTION("IF(E29="""","""",COUNTA(SPLIT(E29,"" "")))"),118.0)</f>
        <v>118</v>
      </c>
      <c r="H29" s="16">
        <f t="shared" si="9"/>
        <v>0.5921985816</v>
      </c>
      <c r="I29" s="16">
        <f t="shared" si="10"/>
        <v>-45</v>
      </c>
      <c r="J29" s="16">
        <f t="shared" si="11"/>
        <v>45</v>
      </c>
      <c r="K29" s="16">
        <f t="shared" si="12"/>
        <v>15</v>
      </c>
    </row>
    <row r="30">
      <c r="A30" s="18">
        <v>29.0</v>
      </c>
      <c r="B30" s="50" t="s">
        <v>662</v>
      </c>
      <c r="C30" s="58">
        <v>1.0</v>
      </c>
      <c r="D30" s="41">
        <f>IFERROR(__xludf.DUMMYFUNCTION("IF(B30="""","""",COUNTA(SPLIT(B30,"" "")))"),187.0)</f>
        <v>187</v>
      </c>
      <c r="E30" s="50" t="s">
        <v>663</v>
      </c>
      <c r="F30" s="58">
        <v>1.0</v>
      </c>
      <c r="G30" s="16">
        <f>IFERROR(__xludf.DUMMYFUNCTION("IF(E30="""","""",COUNTA(SPLIT(E30,"" "")))"),172.0)</f>
        <v>172</v>
      </c>
      <c r="H30" s="16">
        <f t="shared" si="9"/>
        <v>0.2803278689</v>
      </c>
      <c r="I30" s="16">
        <f t="shared" si="10"/>
        <v>-15</v>
      </c>
      <c r="J30" s="16">
        <f t="shared" si="11"/>
        <v>15</v>
      </c>
      <c r="K30" s="16">
        <f t="shared" si="12"/>
        <v>8</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9.759071234</v>
      </c>
      <c r="C35" s="46"/>
      <c r="D35" s="49"/>
      <c r="E35" s="45"/>
      <c r="F35" s="48"/>
      <c r="G35" s="19"/>
      <c r="H35" s="19"/>
      <c r="I35" s="19"/>
      <c r="J35" s="19"/>
      <c r="K35" s="19"/>
    </row>
    <row r="36">
      <c r="A36" s="7"/>
      <c r="B36" s="7">
        <v>9.759071234</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427</v>
      </c>
      <c r="C38" s="46"/>
      <c r="D38" s="49"/>
      <c r="E38" s="45"/>
      <c r="F38" s="48"/>
      <c r="G38" s="19"/>
      <c r="H38" s="19"/>
      <c r="I38" s="19"/>
      <c r="J38" s="19"/>
      <c r="K38" s="19"/>
    </row>
    <row r="39">
      <c r="A39" s="7" t="s">
        <v>287</v>
      </c>
      <c r="B39" s="7" t="s">
        <v>752</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57">
        <v>1.0</v>
      </c>
      <c r="D2" s="41">
        <f>IFERROR(__xludf.DUMMYFUNCTION("IF(B2="""","""",COUNTA(SPLIT(B2,"" "")))"),214.0)</f>
        <v>214</v>
      </c>
      <c r="E2" s="50" t="s">
        <v>607</v>
      </c>
      <c r="F2" s="57">
        <v>1.0</v>
      </c>
      <c r="G2" s="16">
        <f>IFERROR(__xludf.DUMMYFUNCTION("IF(E2="""","""",COUNTA(SPLIT(E2,"" "")))"),175.0)</f>
        <v>175</v>
      </c>
      <c r="H2" s="16">
        <f t="shared" ref="H2:H15" si="1">compararRespostas(B2, E2)</f>
        <v>0.4119850187</v>
      </c>
      <c r="I2" s="16">
        <f t="shared" ref="I2:I30" si="2">(G2-D2)</f>
        <v>-39</v>
      </c>
      <c r="J2" s="16">
        <f t="shared" ref="J2:J30" si="3">abs(I2)</f>
        <v>39</v>
      </c>
      <c r="K2" s="16">
        <f t="shared" ref="K2:K15" si="4">RANK(J2, J$2:J$30, 1)</f>
        <v>13</v>
      </c>
    </row>
    <row r="3">
      <c r="A3" s="18">
        <v>2.0</v>
      </c>
      <c r="B3" s="50" t="s">
        <v>608</v>
      </c>
      <c r="C3" s="57">
        <v>1.0</v>
      </c>
      <c r="D3" s="41">
        <f>IFERROR(__xludf.DUMMYFUNCTION("IF(B3="""","""",COUNTA(SPLIT(B3,"" "")))"),219.0)</f>
        <v>219</v>
      </c>
      <c r="E3" s="50" t="s">
        <v>609</v>
      </c>
      <c r="F3" s="57">
        <v>1.0</v>
      </c>
      <c r="G3" s="16">
        <f>IFERROR(__xludf.DUMMYFUNCTION("IF(E3="""","""",COUNTA(SPLIT(E3,"" "")))"),341.0)</f>
        <v>341</v>
      </c>
      <c r="H3" s="16">
        <f t="shared" si="1"/>
        <v>0.3825275657</v>
      </c>
      <c r="I3" s="16">
        <f t="shared" si="2"/>
        <v>122</v>
      </c>
      <c r="J3" s="16">
        <f t="shared" si="3"/>
        <v>122</v>
      </c>
      <c r="K3" s="16">
        <f t="shared" si="4"/>
        <v>29</v>
      </c>
    </row>
    <row r="4">
      <c r="A4" s="18">
        <v>3.0</v>
      </c>
      <c r="B4" s="50" t="s">
        <v>610</v>
      </c>
      <c r="C4" s="58">
        <v>1.0</v>
      </c>
      <c r="D4" s="41">
        <f>IFERROR(__xludf.DUMMYFUNCTION("IF(B4="""","""",COUNTA(SPLIT(B4,"" "")))"),504.0)</f>
        <v>504</v>
      </c>
      <c r="E4" s="50" t="s">
        <v>611</v>
      </c>
      <c r="F4" s="58">
        <v>1.0</v>
      </c>
      <c r="G4" s="16">
        <f>IFERROR(__xludf.DUMMYFUNCTION("IF(E4="""","""",COUNTA(SPLIT(E4,"" "")))"),401.0)</f>
        <v>401</v>
      </c>
      <c r="H4" s="16">
        <f t="shared" si="1"/>
        <v>0.3726201269</v>
      </c>
      <c r="I4" s="16">
        <f t="shared" si="2"/>
        <v>-103</v>
      </c>
      <c r="J4" s="16">
        <f t="shared" si="3"/>
        <v>103</v>
      </c>
      <c r="K4" s="16">
        <f t="shared" si="4"/>
        <v>27</v>
      </c>
    </row>
    <row r="5">
      <c r="A5" s="18">
        <v>4.0</v>
      </c>
      <c r="B5" s="50" t="s">
        <v>612</v>
      </c>
      <c r="C5" s="58">
        <v>1.0</v>
      </c>
      <c r="D5" s="41">
        <f>IFERROR(__xludf.DUMMYFUNCTION("IF(B5="""","""",COUNTA(SPLIT(B5,"" "")))"),285.0)</f>
        <v>285</v>
      </c>
      <c r="E5" s="50" t="s">
        <v>613</v>
      </c>
      <c r="F5" s="58">
        <v>1.0</v>
      </c>
      <c r="G5" s="16">
        <f>IFERROR(__xludf.DUMMYFUNCTION("IF(E5="""","""",COUNTA(SPLIT(E5,"" "")))"),276.0)</f>
        <v>276</v>
      </c>
      <c r="H5" s="16">
        <f t="shared" si="1"/>
        <v>0.308815576</v>
      </c>
      <c r="I5" s="16">
        <f t="shared" si="2"/>
        <v>-9</v>
      </c>
      <c r="J5" s="16">
        <f t="shared" si="3"/>
        <v>9</v>
      </c>
      <c r="K5" s="16">
        <f t="shared" si="4"/>
        <v>3</v>
      </c>
    </row>
    <row r="6">
      <c r="A6" s="18">
        <v>5.0</v>
      </c>
      <c r="B6" s="50" t="s">
        <v>614</v>
      </c>
      <c r="C6" s="58">
        <v>1.0</v>
      </c>
      <c r="D6" s="41">
        <f>IFERROR(__xludf.DUMMYFUNCTION("IF(B6="""","""",COUNTA(SPLIT(B6,"" "")))"),181.0)</f>
        <v>181</v>
      </c>
      <c r="E6" s="50" t="s">
        <v>615</v>
      </c>
      <c r="F6" s="58">
        <v>1.0</v>
      </c>
      <c r="G6" s="16">
        <f>IFERROR(__xludf.DUMMYFUNCTION("IF(E6="""","""",COUNTA(SPLIT(E6,"" "")))"),184.0)</f>
        <v>184</v>
      </c>
      <c r="H6" s="16">
        <f t="shared" si="1"/>
        <v>0.3698510079</v>
      </c>
      <c r="I6" s="16">
        <f t="shared" si="2"/>
        <v>3</v>
      </c>
      <c r="J6" s="16">
        <f t="shared" si="3"/>
        <v>3</v>
      </c>
      <c r="K6" s="16">
        <f t="shared" si="4"/>
        <v>2</v>
      </c>
    </row>
    <row r="7">
      <c r="A7" s="18">
        <v>6.0</v>
      </c>
      <c r="B7" s="50" t="s">
        <v>616</v>
      </c>
      <c r="C7" s="58">
        <v>1.0</v>
      </c>
      <c r="D7" s="41">
        <f>IFERROR(__xludf.DUMMYFUNCTION("IF(B7="""","""",COUNTA(SPLIT(B7,"" "")))"),127.0)</f>
        <v>127</v>
      </c>
      <c r="E7" s="50" t="s">
        <v>617</v>
      </c>
      <c r="F7" s="58">
        <v>1.0</v>
      </c>
      <c r="G7" s="16">
        <f>IFERROR(__xludf.DUMMYFUNCTION("IF(E7="""","""",COUNTA(SPLIT(E7,"" "")))"),183.0)</f>
        <v>183</v>
      </c>
      <c r="H7" s="16">
        <f t="shared" si="1"/>
        <v>0.4905660377</v>
      </c>
      <c r="I7" s="16">
        <f t="shared" si="2"/>
        <v>56</v>
      </c>
      <c r="J7" s="16">
        <f t="shared" si="3"/>
        <v>56</v>
      </c>
      <c r="K7" s="16">
        <f t="shared" si="4"/>
        <v>18</v>
      </c>
    </row>
    <row r="8">
      <c r="A8" s="18">
        <v>7.0</v>
      </c>
      <c r="B8" s="50" t="s">
        <v>618</v>
      </c>
      <c r="C8" s="58">
        <v>1.0</v>
      </c>
      <c r="D8" s="41">
        <f>IFERROR(__xludf.DUMMYFUNCTION("IF(B8="""","""",COUNTA(SPLIT(B8,"" "")))"),216.0)</f>
        <v>216</v>
      </c>
      <c r="E8" s="50" t="s">
        <v>619</v>
      </c>
      <c r="F8" s="58">
        <v>1.0</v>
      </c>
      <c r="G8" s="16">
        <f>IFERROR(__xludf.DUMMYFUNCTION("IF(E8="""","""",COUNTA(SPLIT(E8,"" "")))"),238.0)</f>
        <v>238</v>
      </c>
      <c r="H8" s="16">
        <f t="shared" si="1"/>
        <v>0.2485136742</v>
      </c>
      <c r="I8" s="16">
        <f t="shared" si="2"/>
        <v>22</v>
      </c>
      <c r="J8" s="16">
        <f t="shared" si="3"/>
        <v>22</v>
      </c>
      <c r="K8" s="16">
        <f t="shared" si="4"/>
        <v>9</v>
      </c>
    </row>
    <row r="9">
      <c r="A9" s="18">
        <v>8.0</v>
      </c>
      <c r="B9" s="50" t="s">
        <v>620</v>
      </c>
      <c r="C9" s="58">
        <v>1.0</v>
      </c>
      <c r="D9" s="41">
        <f>IFERROR(__xludf.DUMMYFUNCTION("IF(B9="""","""",COUNTA(SPLIT(B9,"" "")))"),319.0)</f>
        <v>319</v>
      </c>
      <c r="E9" s="50" t="s">
        <v>621</v>
      </c>
      <c r="F9" s="58">
        <v>1.0</v>
      </c>
      <c r="G9" s="16">
        <f>IFERROR(__xludf.DUMMYFUNCTION("IF(E9="""","""",COUNTA(SPLIT(E9,"" "")))"),289.0)</f>
        <v>289</v>
      </c>
      <c r="H9" s="16">
        <f t="shared" si="1"/>
        <v>0.3261552266</v>
      </c>
      <c r="I9" s="16">
        <f t="shared" si="2"/>
        <v>-30</v>
      </c>
      <c r="J9" s="16">
        <f t="shared" si="3"/>
        <v>30</v>
      </c>
      <c r="K9" s="16">
        <f t="shared" si="4"/>
        <v>11</v>
      </c>
    </row>
    <row r="10">
      <c r="A10" s="18">
        <v>9.0</v>
      </c>
      <c r="B10" s="50" t="s">
        <v>622</v>
      </c>
      <c r="C10" s="58">
        <v>1.0</v>
      </c>
      <c r="D10" s="41">
        <f>IFERROR(__xludf.DUMMYFUNCTION("IF(B10="""","""",COUNTA(SPLIT(B10,"" "")))"),212.0)</f>
        <v>212</v>
      </c>
      <c r="E10" s="50" t="s">
        <v>623</v>
      </c>
      <c r="F10" s="58">
        <v>1.0</v>
      </c>
      <c r="G10" s="16">
        <f>IFERROR(__xludf.DUMMYFUNCTION("IF(E10="""","""",COUNTA(SPLIT(E10,"" "")))"),257.0)</f>
        <v>257</v>
      </c>
      <c r="H10" s="16">
        <f t="shared" si="1"/>
        <v>0.3670015865</v>
      </c>
      <c r="I10" s="16">
        <f t="shared" si="2"/>
        <v>45</v>
      </c>
      <c r="J10" s="16">
        <f t="shared" si="3"/>
        <v>45</v>
      </c>
      <c r="K10" s="16">
        <f t="shared" si="4"/>
        <v>15</v>
      </c>
    </row>
    <row r="11">
      <c r="A11" s="18">
        <v>10.0</v>
      </c>
      <c r="B11" s="50" t="s">
        <v>624</v>
      </c>
      <c r="C11" s="58">
        <v>1.0</v>
      </c>
      <c r="D11" s="41">
        <f>IFERROR(__xludf.DUMMYFUNCTION("IF(B11="""","""",COUNTA(SPLIT(B11,"" "")))"),179.0)</f>
        <v>179</v>
      </c>
      <c r="E11" s="50" t="s">
        <v>625</v>
      </c>
      <c r="F11" s="58">
        <v>1.0</v>
      </c>
      <c r="G11" s="16">
        <f>IFERROR(__xludf.DUMMYFUNCTION("IF(E11="""","""",COUNTA(SPLIT(E11,"" "")))"),210.0)</f>
        <v>210</v>
      </c>
      <c r="H11" s="16">
        <f t="shared" si="1"/>
        <v>0.3420860686</v>
      </c>
      <c r="I11" s="16">
        <f t="shared" si="2"/>
        <v>31</v>
      </c>
      <c r="J11" s="16">
        <f t="shared" si="3"/>
        <v>31</v>
      </c>
      <c r="K11" s="16">
        <f t="shared" si="4"/>
        <v>12</v>
      </c>
    </row>
    <row r="12">
      <c r="A12" s="18">
        <v>11.0</v>
      </c>
      <c r="B12" s="50" t="s">
        <v>626</v>
      </c>
      <c r="C12" s="58">
        <v>1.0</v>
      </c>
      <c r="D12" s="41">
        <f>IFERROR(__xludf.DUMMYFUNCTION("IF(B12="""","""",COUNTA(SPLIT(B12,"" "")))"),177.0)</f>
        <v>177</v>
      </c>
      <c r="E12" s="50" t="s">
        <v>627</v>
      </c>
      <c r="F12" s="58">
        <v>1.0</v>
      </c>
      <c r="G12" s="16">
        <f>IFERROR(__xludf.DUMMYFUNCTION("IF(E12="""","""",COUNTA(SPLIT(E12,"" "")))"),273.0)</f>
        <v>273</v>
      </c>
      <c r="H12" s="16">
        <f t="shared" si="1"/>
        <v>0.3970414201</v>
      </c>
      <c r="I12" s="16">
        <f t="shared" si="2"/>
        <v>96</v>
      </c>
      <c r="J12" s="16">
        <f t="shared" si="3"/>
        <v>96</v>
      </c>
      <c r="K12" s="16">
        <f t="shared" si="4"/>
        <v>26</v>
      </c>
    </row>
    <row r="13">
      <c r="A13" s="18">
        <v>12.0</v>
      </c>
      <c r="B13" s="50" t="s">
        <v>628</v>
      </c>
      <c r="C13" s="58">
        <v>1.0</v>
      </c>
      <c r="D13" s="41">
        <f>IFERROR(__xludf.DUMMYFUNCTION("IF(B13="""","""",COUNTA(SPLIT(B13,"" "")))"),278.0)</f>
        <v>278</v>
      </c>
      <c r="E13" s="50" t="s">
        <v>629</v>
      </c>
      <c r="F13" s="58">
        <v>1.0</v>
      </c>
      <c r="G13" s="16">
        <f>IFERROR(__xludf.DUMMYFUNCTION("IF(E13="""","""",COUNTA(SPLIT(E13,"" "")))"),256.0)</f>
        <v>256</v>
      </c>
      <c r="H13" s="16">
        <f t="shared" si="1"/>
        <v>0.3422995781</v>
      </c>
      <c r="I13" s="16">
        <f t="shared" si="2"/>
        <v>-22</v>
      </c>
      <c r="J13" s="16">
        <f t="shared" si="3"/>
        <v>22</v>
      </c>
      <c r="K13" s="16">
        <f t="shared" si="4"/>
        <v>9</v>
      </c>
    </row>
    <row r="14">
      <c r="A14" s="18">
        <v>13.0</v>
      </c>
      <c r="B14" s="50" t="s">
        <v>630</v>
      </c>
      <c r="C14" s="58">
        <v>1.0</v>
      </c>
      <c r="D14" s="41">
        <f>IFERROR(__xludf.DUMMYFUNCTION("IF(B14="""","""",COUNTA(SPLIT(B14,"" "")))"),120.0)</f>
        <v>120</v>
      </c>
      <c r="E14" s="50" t="s">
        <v>631</v>
      </c>
      <c r="F14" s="58">
        <v>1.0</v>
      </c>
      <c r="G14" s="16">
        <f>IFERROR(__xludf.DUMMYFUNCTION("IF(E14="""","""",COUNTA(SPLIT(E14,"" "")))"),60.0)</f>
        <v>60</v>
      </c>
      <c r="H14" s="16">
        <f t="shared" si="1"/>
        <v>0.3108614232</v>
      </c>
      <c r="I14" s="16">
        <f t="shared" si="2"/>
        <v>-60</v>
      </c>
      <c r="J14" s="16">
        <f t="shared" si="3"/>
        <v>60</v>
      </c>
      <c r="K14" s="16">
        <f t="shared" si="4"/>
        <v>20</v>
      </c>
    </row>
    <row r="15">
      <c r="A15" s="18">
        <v>14.0</v>
      </c>
      <c r="B15" s="50" t="s">
        <v>632</v>
      </c>
      <c r="C15" s="58">
        <v>1.0</v>
      </c>
      <c r="D15" s="41">
        <f>IFERROR(__xludf.DUMMYFUNCTION("IF(B15="""","""",COUNTA(SPLIT(B15,"" "")))"),490.0)</f>
        <v>490</v>
      </c>
      <c r="E15" s="56" t="s">
        <v>753</v>
      </c>
      <c r="F15" s="58">
        <v>1.0</v>
      </c>
      <c r="G15" s="16">
        <f>IFERROR(__xludf.DUMMYFUNCTION("IF(E15="""","""",COUNTA(SPLIT(E15,"" "")))"),382.0)</f>
        <v>382</v>
      </c>
      <c r="H15" s="16">
        <f t="shared" si="1"/>
        <v>0.387374462</v>
      </c>
      <c r="I15" s="16">
        <f t="shared" si="2"/>
        <v>-108</v>
      </c>
      <c r="J15" s="16">
        <f t="shared" si="3"/>
        <v>108</v>
      </c>
      <c r="K15" s="16">
        <f t="shared" si="4"/>
        <v>28</v>
      </c>
    </row>
    <row r="16">
      <c r="A16" s="18">
        <v>15.0</v>
      </c>
      <c r="B16" s="50" t="s">
        <v>634</v>
      </c>
      <c r="C16" s="58">
        <v>0.0</v>
      </c>
      <c r="D16" s="43">
        <v>0.0</v>
      </c>
      <c r="E16" s="50" t="s">
        <v>635</v>
      </c>
      <c r="F16" s="58">
        <v>1.0</v>
      </c>
      <c r="G16" s="44">
        <v>0.0</v>
      </c>
      <c r="H16" s="44">
        <v>0.0</v>
      </c>
      <c r="I16" s="16">
        <f t="shared" si="2"/>
        <v>0</v>
      </c>
      <c r="J16" s="16">
        <f t="shared" si="3"/>
        <v>0</v>
      </c>
      <c r="K16" s="44">
        <v>0.0</v>
      </c>
    </row>
    <row r="17">
      <c r="A17" s="18">
        <v>16.0</v>
      </c>
      <c r="B17" s="50" t="s">
        <v>636</v>
      </c>
      <c r="C17" s="58">
        <v>1.0</v>
      </c>
      <c r="D17" s="41">
        <f>IFERROR(__xludf.DUMMYFUNCTION("IF(B17="""","""",COUNTA(SPLIT(B17,"" "")))"),389.0)</f>
        <v>389</v>
      </c>
      <c r="E17" s="50" t="s">
        <v>637</v>
      </c>
      <c r="F17" s="58">
        <v>1.0</v>
      </c>
      <c r="G17" s="16">
        <f>IFERROR(__xludf.DUMMYFUNCTION("IF(E17="""","""",COUNTA(SPLIT(E17,"" "")))"),376.0)</f>
        <v>376</v>
      </c>
      <c r="H17" s="16">
        <f t="shared" ref="H17:H30" si="5">compararRespostas(B17, E17)</f>
        <v>0.3128812343</v>
      </c>
      <c r="I17" s="16">
        <f t="shared" si="2"/>
        <v>-13</v>
      </c>
      <c r="J17" s="16">
        <f t="shared" si="3"/>
        <v>13</v>
      </c>
      <c r="K17" s="16">
        <f t="shared" ref="K17:K30" si="6">RANK(J17, J$2:J$30, 1)</f>
        <v>6</v>
      </c>
    </row>
    <row r="18">
      <c r="A18" s="18">
        <v>17.0</v>
      </c>
      <c r="B18" s="50" t="s">
        <v>638</v>
      </c>
      <c r="C18" s="58">
        <v>1.0</v>
      </c>
      <c r="D18" s="41">
        <f>IFERROR(__xludf.DUMMYFUNCTION("IF(B18="""","""",COUNTA(SPLIT(B18,"" "")))"),348.0)</f>
        <v>348</v>
      </c>
      <c r="E18" s="50" t="s">
        <v>639</v>
      </c>
      <c r="F18" s="58">
        <v>1.0</v>
      </c>
      <c r="G18" s="16">
        <f>IFERROR(__xludf.DUMMYFUNCTION("IF(E18="""","""",COUNTA(SPLIT(E18,"" "")))"),406.0)</f>
        <v>406</v>
      </c>
      <c r="H18" s="16">
        <f t="shared" si="5"/>
        <v>0.4718079302</v>
      </c>
      <c r="I18" s="16">
        <f t="shared" si="2"/>
        <v>58</v>
      </c>
      <c r="J18" s="16">
        <f t="shared" si="3"/>
        <v>58</v>
      </c>
      <c r="K18" s="16">
        <f t="shared" si="6"/>
        <v>19</v>
      </c>
    </row>
    <row r="19">
      <c r="A19" s="18">
        <v>18.0</v>
      </c>
      <c r="B19" s="50" t="s">
        <v>640</v>
      </c>
      <c r="C19" s="58">
        <v>1.0</v>
      </c>
      <c r="D19" s="41">
        <f>IFERROR(__xludf.DUMMYFUNCTION("IF(B19="""","""",COUNTA(SPLIT(B19,"" "")))"),360.0)</f>
        <v>360</v>
      </c>
      <c r="E19" s="50" t="s">
        <v>641</v>
      </c>
      <c r="F19" s="58">
        <v>1.0</v>
      </c>
      <c r="G19" s="16">
        <f>IFERROR(__xludf.DUMMYFUNCTION("IF(E19="""","""",COUNTA(SPLIT(E19,"" "")))"),349.0)</f>
        <v>349</v>
      </c>
      <c r="H19" s="16">
        <f t="shared" si="5"/>
        <v>0.3786024477</v>
      </c>
      <c r="I19" s="16">
        <f t="shared" si="2"/>
        <v>-11</v>
      </c>
      <c r="J19" s="16">
        <f t="shared" si="3"/>
        <v>11</v>
      </c>
      <c r="K19" s="16">
        <f t="shared" si="6"/>
        <v>4</v>
      </c>
    </row>
    <row r="20">
      <c r="A20" s="18">
        <v>19.0</v>
      </c>
      <c r="B20" s="50" t="s">
        <v>642</v>
      </c>
      <c r="C20" s="58">
        <v>1.0</v>
      </c>
      <c r="D20" s="41">
        <f>IFERROR(__xludf.DUMMYFUNCTION("IF(B20="""","""",COUNTA(SPLIT(B20,"" "")))"),344.0)</f>
        <v>344</v>
      </c>
      <c r="E20" s="50" t="s">
        <v>643</v>
      </c>
      <c r="F20" s="58">
        <v>1.0</v>
      </c>
      <c r="G20" s="16">
        <f>IFERROR(__xludf.DUMMYFUNCTION("IF(E20="""","""",COUNTA(SPLIT(E20,"" "")))"),301.0)</f>
        <v>301</v>
      </c>
      <c r="H20" s="16">
        <f t="shared" si="5"/>
        <v>0.4733360893</v>
      </c>
      <c r="I20" s="16">
        <f t="shared" si="2"/>
        <v>-43</v>
      </c>
      <c r="J20" s="16">
        <f t="shared" si="3"/>
        <v>43</v>
      </c>
      <c r="K20" s="16">
        <f t="shared" si="6"/>
        <v>14</v>
      </c>
    </row>
    <row r="21">
      <c r="A21" s="18">
        <v>20.0</v>
      </c>
      <c r="B21" s="50" t="s">
        <v>644</v>
      </c>
      <c r="C21" s="58">
        <v>1.0</v>
      </c>
      <c r="D21" s="41">
        <f>IFERROR(__xludf.DUMMYFUNCTION("IF(B21="""","""",COUNTA(SPLIT(B21,"" "")))"),265.0)</f>
        <v>265</v>
      </c>
      <c r="E21" s="50" t="s">
        <v>645</v>
      </c>
      <c r="F21" s="58">
        <v>1.0</v>
      </c>
      <c r="G21" s="16">
        <f>IFERROR(__xludf.DUMMYFUNCTION("IF(E21="""","""",COUNTA(SPLIT(E21,"" "")))"),313.0)</f>
        <v>313</v>
      </c>
      <c r="H21" s="16">
        <f t="shared" si="5"/>
        <v>0.2920240137</v>
      </c>
      <c r="I21" s="16">
        <f t="shared" si="2"/>
        <v>48</v>
      </c>
      <c r="J21" s="16">
        <f t="shared" si="3"/>
        <v>48</v>
      </c>
      <c r="K21" s="16">
        <f t="shared" si="6"/>
        <v>17</v>
      </c>
    </row>
    <row r="22">
      <c r="A22" s="18">
        <v>21.0</v>
      </c>
      <c r="B22" s="50" t="s">
        <v>646</v>
      </c>
      <c r="C22" s="58">
        <v>1.0</v>
      </c>
      <c r="D22" s="41">
        <f>IFERROR(__xludf.DUMMYFUNCTION("IF(B22="""","""",COUNTA(SPLIT(B22,"" "")))"),314.0)</f>
        <v>314</v>
      </c>
      <c r="E22" s="50" t="s">
        <v>647</v>
      </c>
      <c r="F22" s="58">
        <v>1.0</v>
      </c>
      <c r="G22" s="16">
        <f>IFERROR(__xludf.DUMMYFUNCTION("IF(E22="""","""",COUNTA(SPLIT(E22,"" "")))"),229.0)</f>
        <v>229</v>
      </c>
      <c r="H22" s="16">
        <f t="shared" si="5"/>
        <v>0.3713751169</v>
      </c>
      <c r="I22" s="16">
        <f t="shared" si="2"/>
        <v>-85</v>
      </c>
      <c r="J22" s="16">
        <f t="shared" si="3"/>
        <v>85</v>
      </c>
      <c r="K22" s="16">
        <f t="shared" si="6"/>
        <v>24</v>
      </c>
    </row>
    <row r="23">
      <c r="A23" s="18">
        <v>22.0</v>
      </c>
      <c r="B23" s="50" t="s">
        <v>648</v>
      </c>
      <c r="C23" s="58">
        <v>1.0</v>
      </c>
      <c r="D23" s="41">
        <f>IFERROR(__xludf.DUMMYFUNCTION("IF(B23="""","""",COUNTA(SPLIT(B23,"" "")))"),445.0)</f>
        <v>445</v>
      </c>
      <c r="E23" s="50" t="s">
        <v>649</v>
      </c>
      <c r="F23" s="58">
        <v>1.0</v>
      </c>
      <c r="G23" s="16">
        <f>IFERROR(__xludf.DUMMYFUNCTION("IF(E23="""","""",COUNTA(SPLIT(E23,"" "")))"),378.0)</f>
        <v>378</v>
      </c>
      <c r="H23" s="16">
        <f t="shared" si="5"/>
        <v>0.3674171357</v>
      </c>
      <c r="I23" s="16">
        <f t="shared" si="2"/>
        <v>-67</v>
      </c>
      <c r="J23" s="16">
        <f t="shared" si="3"/>
        <v>67</v>
      </c>
      <c r="K23" s="16">
        <f t="shared" si="6"/>
        <v>22</v>
      </c>
    </row>
    <row r="24">
      <c r="A24" s="18">
        <v>23.0</v>
      </c>
      <c r="B24" s="50" t="s">
        <v>650</v>
      </c>
      <c r="C24" s="58">
        <v>1.0</v>
      </c>
      <c r="D24" s="41">
        <f>IFERROR(__xludf.DUMMYFUNCTION("IF(B24="""","""",COUNTA(SPLIT(B24,"" "")))"),370.0)</f>
        <v>370</v>
      </c>
      <c r="E24" s="50" t="s">
        <v>651</v>
      </c>
      <c r="F24" s="58">
        <v>1.0</v>
      </c>
      <c r="G24" s="16">
        <f>IFERROR(__xludf.DUMMYFUNCTION("IF(E24="""","""",COUNTA(SPLIT(E24,"" "")))"),351.0)</f>
        <v>351</v>
      </c>
      <c r="H24" s="16">
        <f t="shared" si="5"/>
        <v>0.3547140649</v>
      </c>
      <c r="I24" s="16">
        <f t="shared" si="2"/>
        <v>-19</v>
      </c>
      <c r="J24" s="16">
        <f t="shared" si="3"/>
        <v>19</v>
      </c>
      <c r="K24" s="16">
        <f t="shared" si="6"/>
        <v>8</v>
      </c>
    </row>
    <row r="25">
      <c r="A25" s="18">
        <v>24.0</v>
      </c>
      <c r="B25" s="50" t="s">
        <v>652</v>
      </c>
      <c r="C25" s="58">
        <v>1.0</v>
      </c>
      <c r="D25" s="41">
        <f>IFERROR(__xludf.DUMMYFUNCTION("IF(B25="""","""",COUNTA(SPLIT(B25,"" "")))"),384.0)</f>
        <v>384</v>
      </c>
      <c r="E25" s="50" t="s">
        <v>653</v>
      </c>
      <c r="F25" s="58">
        <v>1.0</v>
      </c>
      <c r="G25" s="16">
        <f>IFERROR(__xludf.DUMMYFUNCTION("IF(E25="""","""",COUNTA(SPLIT(E25,"" "")))"),373.0)</f>
        <v>373</v>
      </c>
      <c r="H25" s="16">
        <f t="shared" si="5"/>
        <v>0.3767947225</v>
      </c>
      <c r="I25" s="16">
        <f t="shared" si="2"/>
        <v>-11</v>
      </c>
      <c r="J25" s="16">
        <f t="shared" si="3"/>
        <v>11</v>
      </c>
      <c r="K25" s="16">
        <f t="shared" si="6"/>
        <v>4</v>
      </c>
    </row>
    <row r="26">
      <c r="A26" s="18">
        <v>25.0</v>
      </c>
      <c r="B26" s="50" t="s">
        <v>654</v>
      </c>
      <c r="C26" s="58">
        <v>1.0</v>
      </c>
      <c r="D26" s="41">
        <f>IFERROR(__xludf.DUMMYFUNCTION("IF(B26="""","""",COUNTA(SPLIT(B26,"" "")))"),344.0)</f>
        <v>344</v>
      </c>
      <c r="E26" s="50" t="s">
        <v>655</v>
      </c>
      <c r="F26" s="58">
        <v>1.0</v>
      </c>
      <c r="G26" s="16">
        <f>IFERROR(__xludf.DUMMYFUNCTION("IF(E26="""","""",COUNTA(SPLIT(E26,"" "")))"),413.0)</f>
        <v>413</v>
      </c>
      <c r="H26" s="16">
        <f t="shared" si="5"/>
        <v>0.5489859058</v>
      </c>
      <c r="I26" s="16">
        <f t="shared" si="2"/>
        <v>69</v>
      </c>
      <c r="J26" s="16">
        <f t="shared" si="3"/>
        <v>69</v>
      </c>
      <c r="K26" s="16">
        <f t="shared" si="6"/>
        <v>23</v>
      </c>
    </row>
    <row r="27">
      <c r="A27" s="18">
        <v>26.0</v>
      </c>
      <c r="B27" s="50" t="s">
        <v>656</v>
      </c>
      <c r="C27" s="58">
        <v>1.0</v>
      </c>
      <c r="D27" s="41">
        <f>IFERROR(__xludf.DUMMYFUNCTION("IF(B27="""","""",COUNTA(SPLIT(B27,"" "")))"),200.0)</f>
        <v>200</v>
      </c>
      <c r="E27" s="50" t="s">
        <v>657</v>
      </c>
      <c r="F27" s="58">
        <v>1.0</v>
      </c>
      <c r="G27" s="16">
        <f>IFERROR(__xludf.DUMMYFUNCTION("IF(E27="""","""",COUNTA(SPLIT(E27,"" "")))"),264.0)</f>
        <v>264</v>
      </c>
      <c r="H27" s="16">
        <f t="shared" si="5"/>
        <v>0.3052341598</v>
      </c>
      <c r="I27" s="16">
        <f t="shared" si="2"/>
        <v>64</v>
      </c>
      <c r="J27" s="16">
        <f t="shared" si="3"/>
        <v>64</v>
      </c>
      <c r="K27" s="16">
        <f t="shared" si="6"/>
        <v>21</v>
      </c>
    </row>
    <row r="28">
      <c r="A28" s="18">
        <v>27.0</v>
      </c>
      <c r="B28" s="50" t="s">
        <v>658</v>
      </c>
      <c r="C28" s="58">
        <v>1.0</v>
      </c>
      <c r="D28" s="41">
        <f>IFERROR(__xludf.DUMMYFUNCTION("IF(B28="""","""",COUNTA(SPLIT(B28,"" "")))"),160.0)</f>
        <v>160</v>
      </c>
      <c r="E28" s="50" t="s">
        <v>659</v>
      </c>
      <c r="F28" s="58">
        <v>1.0</v>
      </c>
      <c r="G28" s="16">
        <f>IFERROR(__xludf.DUMMYFUNCTION("IF(E28="""","""",COUNTA(SPLIT(E28,"" "")))"),69.0)</f>
        <v>69</v>
      </c>
      <c r="H28" s="16">
        <f t="shared" si="5"/>
        <v>0.3601462523</v>
      </c>
      <c r="I28" s="16">
        <f t="shared" si="2"/>
        <v>-91</v>
      </c>
      <c r="J28" s="16">
        <f t="shared" si="3"/>
        <v>91</v>
      </c>
      <c r="K28" s="16">
        <f t="shared" si="6"/>
        <v>25</v>
      </c>
    </row>
    <row r="29">
      <c r="A29" s="18">
        <v>28.0</v>
      </c>
      <c r="B29" s="50" t="s">
        <v>660</v>
      </c>
      <c r="C29" s="58">
        <v>1.0</v>
      </c>
      <c r="D29" s="41">
        <f>IFERROR(__xludf.DUMMYFUNCTION("IF(B29="""","""",COUNTA(SPLIT(B29,"" "")))"),163.0)</f>
        <v>163</v>
      </c>
      <c r="E29" s="50" t="s">
        <v>661</v>
      </c>
      <c r="F29" s="58">
        <v>1.0</v>
      </c>
      <c r="G29" s="16">
        <f>IFERROR(__xludf.DUMMYFUNCTION("IF(E29="""","""",COUNTA(SPLIT(E29,"" "")))"),118.0)</f>
        <v>118</v>
      </c>
      <c r="H29" s="16">
        <f t="shared" si="5"/>
        <v>0.5921985816</v>
      </c>
      <c r="I29" s="16">
        <f t="shared" si="2"/>
        <v>-45</v>
      </c>
      <c r="J29" s="16">
        <f t="shared" si="3"/>
        <v>45</v>
      </c>
      <c r="K29" s="16">
        <f t="shared" si="6"/>
        <v>15</v>
      </c>
    </row>
    <row r="30">
      <c r="A30" s="18">
        <v>29.0</v>
      </c>
      <c r="B30" s="50" t="s">
        <v>662</v>
      </c>
      <c r="C30" s="58">
        <v>1.0</v>
      </c>
      <c r="D30" s="41">
        <f>IFERROR(__xludf.DUMMYFUNCTION("IF(B30="""","""",COUNTA(SPLIT(B30,"" "")))"),187.0)</f>
        <v>187</v>
      </c>
      <c r="E30" s="50" t="s">
        <v>663</v>
      </c>
      <c r="F30" s="58">
        <v>1.0</v>
      </c>
      <c r="G30" s="16">
        <f>IFERROR(__xludf.DUMMYFUNCTION("IF(E30="""","""",COUNTA(SPLIT(E30,"" "")))"),172.0)</f>
        <v>172</v>
      </c>
      <c r="H30" s="16">
        <f t="shared" si="5"/>
        <v>0.2803278689</v>
      </c>
      <c r="I30" s="16">
        <f t="shared" si="2"/>
        <v>-15</v>
      </c>
      <c r="J30" s="16">
        <f t="shared" si="3"/>
        <v>15</v>
      </c>
      <c r="K30" s="16">
        <f t="shared" si="6"/>
        <v>7</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10.5435443</v>
      </c>
      <c r="C35" s="46"/>
      <c r="D35" s="49"/>
      <c r="E35" s="45"/>
      <c r="F35" s="48"/>
      <c r="G35" s="19"/>
      <c r="H35" s="19"/>
      <c r="I35" s="19"/>
      <c r="J35" s="19"/>
      <c r="K35" s="19"/>
    </row>
    <row r="36">
      <c r="A36" s="7"/>
      <c r="B36" s="7">
        <v>10.5435443</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431</v>
      </c>
      <c r="C38" s="46"/>
      <c r="D38" s="49"/>
      <c r="E38" s="45"/>
      <c r="F38" s="48"/>
      <c r="G38" s="19"/>
      <c r="H38" s="19"/>
      <c r="I38" s="19"/>
      <c r="J38" s="19"/>
      <c r="K38" s="19"/>
    </row>
    <row r="39">
      <c r="A39" s="7" t="s">
        <v>287</v>
      </c>
      <c r="B39" s="7" t="s">
        <v>741</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57">
        <v>1.0</v>
      </c>
      <c r="D2" s="41">
        <f>IFERROR(__xludf.DUMMYFUNCTION("IF(B2="""","""",COUNTA(SPLIT(B2,"" "")))"),214.0)</f>
        <v>214</v>
      </c>
      <c r="E2" s="50" t="s">
        <v>607</v>
      </c>
      <c r="F2" s="57">
        <v>1.0</v>
      </c>
      <c r="G2" s="16">
        <f>IFERROR(__xludf.DUMMYFUNCTION("IF(E2="""","""",COUNTA(SPLIT(E2,"" "")))"),175.0)</f>
        <v>175</v>
      </c>
      <c r="H2" s="16">
        <f t="shared" ref="H2:H7" si="1">compararRespostas(B2, E2)</f>
        <v>0.4119850187</v>
      </c>
      <c r="I2" s="16">
        <f t="shared" ref="I2:I7" si="2">(G2-D2)</f>
        <v>-39</v>
      </c>
      <c r="J2" s="16">
        <f t="shared" ref="J2:J7" si="3">abs(I2)</f>
        <v>39</v>
      </c>
      <c r="K2" s="16">
        <f t="shared" ref="K2:K7" si="4">RANK(J2, J$2:J$30, 1)</f>
        <v>14</v>
      </c>
    </row>
    <row r="3">
      <c r="A3" s="18">
        <v>2.0</v>
      </c>
      <c r="B3" s="50" t="s">
        <v>608</v>
      </c>
      <c r="C3" s="57">
        <v>1.0</v>
      </c>
      <c r="D3" s="41">
        <f>IFERROR(__xludf.DUMMYFUNCTION("IF(B3="""","""",COUNTA(SPLIT(B3,"" "")))"),219.0)</f>
        <v>219</v>
      </c>
      <c r="E3" s="50" t="s">
        <v>609</v>
      </c>
      <c r="F3" s="57">
        <v>1.0</v>
      </c>
      <c r="G3" s="16">
        <f>IFERROR(__xludf.DUMMYFUNCTION("IF(E3="""","""",COUNTA(SPLIT(E3,"" "")))"),341.0)</f>
        <v>341</v>
      </c>
      <c r="H3" s="16">
        <f t="shared" si="1"/>
        <v>0.3825275657</v>
      </c>
      <c r="I3" s="16">
        <f t="shared" si="2"/>
        <v>122</v>
      </c>
      <c r="J3" s="16">
        <f t="shared" si="3"/>
        <v>122</v>
      </c>
      <c r="K3" s="16">
        <f t="shared" si="4"/>
        <v>29</v>
      </c>
    </row>
    <row r="4">
      <c r="A4" s="18">
        <v>3.0</v>
      </c>
      <c r="B4" s="50" t="s">
        <v>610</v>
      </c>
      <c r="C4" s="58">
        <v>1.0</v>
      </c>
      <c r="D4" s="41">
        <f>IFERROR(__xludf.DUMMYFUNCTION("IF(B4="""","""",COUNTA(SPLIT(B4,"" "")))"),504.0)</f>
        <v>504</v>
      </c>
      <c r="E4" s="50" t="s">
        <v>611</v>
      </c>
      <c r="F4" s="58">
        <v>1.0</v>
      </c>
      <c r="G4" s="16">
        <f>IFERROR(__xludf.DUMMYFUNCTION("IF(E4="""","""",COUNTA(SPLIT(E4,"" "")))"),401.0)</f>
        <v>401</v>
      </c>
      <c r="H4" s="16">
        <f t="shared" si="1"/>
        <v>0.3726201269</v>
      </c>
      <c r="I4" s="16">
        <f t="shared" si="2"/>
        <v>-103</v>
      </c>
      <c r="J4" s="16">
        <f t="shared" si="3"/>
        <v>103</v>
      </c>
      <c r="K4" s="16">
        <f t="shared" si="4"/>
        <v>27</v>
      </c>
    </row>
    <row r="5">
      <c r="A5" s="18">
        <v>4.0</v>
      </c>
      <c r="B5" s="50" t="s">
        <v>612</v>
      </c>
      <c r="C5" s="58">
        <v>1.0</v>
      </c>
      <c r="D5" s="41">
        <f>IFERROR(__xludf.DUMMYFUNCTION("IF(B5="""","""",COUNTA(SPLIT(B5,"" "")))"),285.0)</f>
        <v>285</v>
      </c>
      <c r="E5" s="50" t="s">
        <v>613</v>
      </c>
      <c r="F5" s="58">
        <v>1.0</v>
      </c>
      <c r="G5" s="16">
        <f>IFERROR(__xludf.DUMMYFUNCTION("IF(E5="""","""",COUNTA(SPLIT(E5,"" "")))"),276.0)</f>
        <v>276</v>
      </c>
      <c r="H5" s="16">
        <f t="shared" si="1"/>
        <v>0.308815576</v>
      </c>
      <c r="I5" s="16">
        <f t="shared" si="2"/>
        <v>-9</v>
      </c>
      <c r="J5" s="16">
        <f t="shared" si="3"/>
        <v>9</v>
      </c>
      <c r="K5" s="16">
        <f t="shared" si="4"/>
        <v>7</v>
      </c>
    </row>
    <row r="6">
      <c r="A6" s="18">
        <v>5.0</v>
      </c>
      <c r="B6" s="50" t="s">
        <v>614</v>
      </c>
      <c r="C6" s="58">
        <v>1.0</v>
      </c>
      <c r="D6" s="41">
        <f>IFERROR(__xludf.DUMMYFUNCTION("IF(B6="""","""",COUNTA(SPLIT(B6,"" "")))"),181.0)</f>
        <v>181</v>
      </c>
      <c r="E6" s="50" t="s">
        <v>615</v>
      </c>
      <c r="F6" s="58">
        <v>1.0</v>
      </c>
      <c r="G6" s="16">
        <f>IFERROR(__xludf.DUMMYFUNCTION("IF(E6="""","""",COUNTA(SPLIT(E6,"" "")))"),184.0)</f>
        <v>184</v>
      </c>
      <c r="H6" s="16">
        <f t="shared" si="1"/>
        <v>0.3698510079</v>
      </c>
      <c r="I6" s="16">
        <f t="shared" si="2"/>
        <v>3</v>
      </c>
      <c r="J6" s="16">
        <f t="shared" si="3"/>
        <v>3</v>
      </c>
      <c r="K6" s="16">
        <f t="shared" si="4"/>
        <v>6</v>
      </c>
    </row>
    <row r="7">
      <c r="A7" s="18">
        <v>6.0</v>
      </c>
      <c r="B7" s="50" t="s">
        <v>616</v>
      </c>
      <c r="C7" s="58">
        <v>1.0</v>
      </c>
      <c r="D7" s="41">
        <f>IFERROR(__xludf.DUMMYFUNCTION("IF(B7="""","""",COUNTA(SPLIT(B7,"" "")))"),127.0)</f>
        <v>127</v>
      </c>
      <c r="E7" s="50" t="s">
        <v>617</v>
      </c>
      <c r="F7" s="58">
        <v>1.0</v>
      </c>
      <c r="G7" s="16">
        <f>IFERROR(__xludf.DUMMYFUNCTION("IF(E7="""","""",COUNTA(SPLIT(E7,"" "")))"),183.0)</f>
        <v>183</v>
      </c>
      <c r="H7" s="16">
        <f t="shared" si="1"/>
        <v>0.4905660377</v>
      </c>
      <c r="I7" s="16">
        <f t="shared" si="2"/>
        <v>56</v>
      </c>
      <c r="J7" s="16">
        <f t="shared" si="3"/>
        <v>56</v>
      </c>
      <c r="K7" s="16">
        <f t="shared" si="4"/>
        <v>18</v>
      </c>
    </row>
    <row r="8">
      <c r="A8" s="18">
        <v>7.0</v>
      </c>
      <c r="B8" s="50" t="s">
        <v>618</v>
      </c>
      <c r="C8" s="58">
        <v>1.0</v>
      </c>
      <c r="D8" s="43">
        <v>0.0</v>
      </c>
      <c r="E8" s="50" t="s">
        <v>619</v>
      </c>
      <c r="F8" s="57" t="s">
        <v>754</v>
      </c>
      <c r="G8" s="44">
        <v>0.0</v>
      </c>
      <c r="H8" s="44">
        <v>0.0</v>
      </c>
      <c r="I8" s="44">
        <v>0.0</v>
      </c>
      <c r="J8" s="44">
        <v>0.0</v>
      </c>
      <c r="K8" s="44">
        <v>0.0</v>
      </c>
    </row>
    <row r="9">
      <c r="A9" s="18">
        <v>8.0</v>
      </c>
      <c r="B9" s="50" t="s">
        <v>620</v>
      </c>
      <c r="C9" s="58">
        <v>1.0</v>
      </c>
      <c r="D9" s="41">
        <f>IFERROR(__xludf.DUMMYFUNCTION("IF(B9="""","""",COUNTA(SPLIT(B9,"" "")))"),319.0)</f>
        <v>319</v>
      </c>
      <c r="E9" s="50" t="s">
        <v>621</v>
      </c>
      <c r="F9" s="58">
        <v>1.0</v>
      </c>
      <c r="G9" s="16">
        <f>IFERROR(__xludf.DUMMYFUNCTION("IF(E9="""","""",COUNTA(SPLIT(E9,"" "")))"),289.0)</f>
        <v>289</v>
      </c>
      <c r="H9" s="16">
        <f t="shared" ref="H9:H10" si="5">compararRespostas(B9, E9)</f>
        <v>0.3261552266</v>
      </c>
      <c r="I9" s="16">
        <f t="shared" ref="I9:I20" si="6">(G9-D9)</f>
        <v>-30</v>
      </c>
      <c r="J9" s="16">
        <f t="shared" ref="J9:J30" si="7">abs(I9)</f>
        <v>30</v>
      </c>
      <c r="K9" s="16">
        <f t="shared" ref="K9:K10" si="8">RANK(J9, J$2:J$30, 1)</f>
        <v>13</v>
      </c>
    </row>
    <row r="10">
      <c r="A10" s="18">
        <v>9.0</v>
      </c>
      <c r="B10" s="50" t="s">
        <v>622</v>
      </c>
      <c r="C10" s="58">
        <v>1.0</v>
      </c>
      <c r="D10" s="41">
        <f>IFERROR(__xludf.DUMMYFUNCTION("IF(B10="""","""",COUNTA(SPLIT(B10,"" "")))"),212.0)</f>
        <v>212</v>
      </c>
      <c r="E10" s="50" t="s">
        <v>623</v>
      </c>
      <c r="F10" s="58">
        <v>1.0</v>
      </c>
      <c r="G10" s="16">
        <f>IFERROR(__xludf.DUMMYFUNCTION("IF(E10="""","""",COUNTA(SPLIT(E10,"" "")))"),257.0)</f>
        <v>257</v>
      </c>
      <c r="H10" s="16">
        <f t="shared" si="5"/>
        <v>0.3670015865</v>
      </c>
      <c r="I10" s="16">
        <f t="shared" si="6"/>
        <v>45</v>
      </c>
      <c r="J10" s="16">
        <f t="shared" si="7"/>
        <v>45</v>
      </c>
      <c r="K10" s="16">
        <f t="shared" si="8"/>
        <v>16</v>
      </c>
    </row>
    <row r="11">
      <c r="A11" s="18">
        <v>10.0</v>
      </c>
      <c r="B11" s="50" t="s">
        <v>624</v>
      </c>
      <c r="C11" s="58">
        <v>0.0</v>
      </c>
      <c r="D11" s="43">
        <v>0.0</v>
      </c>
      <c r="E11" s="50" t="s">
        <v>625</v>
      </c>
      <c r="F11" s="58">
        <v>0.0</v>
      </c>
      <c r="G11" s="44">
        <v>0.0</v>
      </c>
      <c r="H11" s="44">
        <v>0.0</v>
      </c>
      <c r="I11" s="16">
        <f t="shared" si="6"/>
        <v>0</v>
      </c>
      <c r="J11" s="16">
        <f t="shared" si="7"/>
        <v>0</v>
      </c>
      <c r="K11" s="44">
        <v>0.0</v>
      </c>
    </row>
    <row r="12">
      <c r="A12" s="18">
        <v>11.0</v>
      </c>
      <c r="B12" s="50" t="s">
        <v>626</v>
      </c>
      <c r="C12" s="58">
        <v>1.0</v>
      </c>
      <c r="D12" s="41">
        <f>IFERROR(__xludf.DUMMYFUNCTION("IF(B12="""","""",COUNTA(SPLIT(B12,"" "")))"),177.0)</f>
        <v>177</v>
      </c>
      <c r="E12" s="50" t="s">
        <v>627</v>
      </c>
      <c r="F12" s="58">
        <v>1.0</v>
      </c>
      <c r="G12" s="16">
        <f>IFERROR(__xludf.DUMMYFUNCTION("IF(E12="""","""",COUNTA(SPLIT(E12,"" "")))"),273.0)</f>
        <v>273</v>
      </c>
      <c r="H12" s="16">
        <f t="shared" ref="H12:H13" si="9">compararRespostas(B12, E12)</f>
        <v>0.3970414201</v>
      </c>
      <c r="I12" s="16">
        <f t="shared" si="6"/>
        <v>96</v>
      </c>
      <c r="J12" s="16">
        <f t="shared" si="7"/>
        <v>96</v>
      </c>
      <c r="K12" s="16">
        <f t="shared" ref="K12:K13" si="10">RANK(J12, J$2:J$30, 1)</f>
        <v>26</v>
      </c>
    </row>
    <row r="13">
      <c r="A13" s="18">
        <v>12.0</v>
      </c>
      <c r="B13" s="50" t="s">
        <v>628</v>
      </c>
      <c r="C13" s="58">
        <v>1.0</v>
      </c>
      <c r="D13" s="41">
        <f>IFERROR(__xludf.DUMMYFUNCTION("IF(B13="""","""",COUNTA(SPLIT(B13,"" "")))"),278.0)</f>
        <v>278</v>
      </c>
      <c r="E13" s="50" t="s">
        <v>629</v>
      </c>
      <c r="F13" s="58">
        <v>1.0</v>
      </c>
      <c r="G13" s="16">
        <f>IFERROR(__xludf.DUMMYFUNCTION("IF(E13="""","""",COUNTA(SPLIT(E13,"" "")))"),256.0)</f>
        <v>256</v>
      </c>
      <c r="H13" s="16">
        <f t="shared" si="9"/>
        <v>0.3422995781</v>
      </c>
      <c r="I13" s="16">
        <f t="shared" si="6"/>
        <v>-22</v>
      </c>
      <c r="J13" s="16">
        <f t="shared" si="7"/>
        <v>22</v>
      </c>
      <c r="K13" s="16">
        <f t="shared" si="10"/>
        <v>12</v>
      </c>
    </row>
    <row r="14">
      <c r="A14" s="18">
        <v>13.0</v>
      </c>
      <c r="B14" s="50" t="s">
        <v>630</v>
      </c>
      <c r="C14" s="58">
        <v>1.0</v>
      </c>
      <c r="D14" s="43">
        <v>0.0</v>
      </c>
      <c r="E14" s="50" t="s">
        <v>631</v>
      </c>
      <c r="F14" s="58">
        <v>0.0</v>
      </c>
      <c r="G14" s="44">
        <v>0.0</v>
      </c>
      <c r="H14" s="44">
        <v>0.0</v>
      </c>
      <c r="I14" s="16">
        <f t="shared" si="6"/>
        <v>0</v>
      </c>
      <c r="J14" s="16">
        <f t="shared" si="7"/>
        <v>0</v>
      </c>
      <c r="K14" s="44">
        <v>0.0</v>
      </c>
    </row>
    <row r="15">
      <c r="A15" s="18">
        <v>14.0</v>
      </c>
      <c r="B15" s="50" t="s">
        <v>632</v>
      </c>
      <c r="C15" s="58">
        <v>1.0</v>
      </c>
      <c r="D15" s="41">
        <f>IFERROR(__xludf.DUMMYFUNCTION("IF(B15="""","""",COUNTA(SPLIT(B15,"" "")))"),490.0)</f>
        <v>490</v>
      </c>
      <c r="E15" s="56" t="s">
        <v>755</v>
      </c>
      <c r="F15" s="58">
        <v>1.0</v>
      </c>
      <c r="G15" s="16">
        <f>IFERROR(__xludf.DUMMYFUNCTION("IF(E15="""","""",COUNTA(SPLIT(E15,"" "")))"),382.0)</f>
        <v>382</v>
      </c>
      <c r="H15" s="16">
        <f t="shared" ref="H15:H20" si="11">compararRespostas(B15, E15)</f>
        <v>0.387374462</v>
      </c>
      <c r="I15" s="16">
        <f t="shared" si="6"/>
        <v>-108</v>
      </c>
      <c r="J15" s="16">
        <f t="shared" si="7"/>
        <v>108</v>
      </c>
      <c r="K15" s="16">
        <f t="shared" ref="K15:K20" si="12">RANK(J15, J$2:J$30, 1)</f>
        <v>28</v>
      </c>
    </row>
    <row r="16">
      <c r="A16" s="18">
        <v>15.0</v>
      </c>
      <c r="B16" s="50" t="s">
        <v>634</v>
      </c>
      <c r="C16" s="58">
        <v>1.0</v>
      </c>
      <c r="D16" s="41">
        <f>IFERROR(__xludf.DUMMYFUNCTION("IF(B16="""","""",COUNTA(SPLIT(B16,"" "")))"),80.0)</f>
        <v>80</v>
      </c>
      <c r="E16" s="50" t="s">
        <v>635</v>
      </c>
      <c r="F16" s="58">
        <v>1.0</v>
      </c>
      <c r="G16" s="16">
        <f>IFERROR(__xludf.DUMMYFUNCTION("IF(E16="""","""",COUNTA(SPLIT(E16,"" "")))"),142.0)</f>
        <v>142</v>
      </c>
      <c r="H16" s="16">
        <f t="shared" si="11"/>
        <v>0.4249737671</v>
      </c>
      <c r="I16" s="16">
        <f t="shared" si="6"/>
        <v>62</v>
      </c>
      <c r="J16" s="16">
        <f t="shared" si="7"/>
        <v>62</v>
      </c>
      <c r="K16" s="16">
        <f t="shared" si="12"/>
        <v>20</v>
      </c>
    </row>
    <row r="17">
      <c r="A17" s="18">
        <v>16.0</v>
      </c>
      <c r="B17" s="50" t="s">
        <v>636</v>
      </c>
      <c r="C17" s="58">
        <v>1.0</v>
      </c>
      <c r="D17" s="41">
        <f>IFERROR(__xludf.DUMMYFUNCTION("IF(B17="""","""",COUNTA(SPLIT(B17,"" "")))"),389.0)</f>
        <v>389</v>
      </c>
      <c r="E17" s="50" t="s">
        <v>637</v>
      </c>
      <c r="F17" s="58">
        <v>1.0</v>
      </c>
      <c r="G17" s="16">
        <f>IFERROR(__xludf.DUMMYFUNCTION("IF(E17="""","""",COUNTA(SPLIT(E17,"" "")))"),376.0)</f>
        <v>376</v>
      </c>
      <c r="H17" s="16">
        <f t="shared" si="11"/>
        <v>0.3128812343</v>
      </c>
      <c r="I17" s="16">
        <f t="shared" si="6"/>
        <v>-13</v>
      </c>
      <c r="J17" s="16">
        <f t="shared" si="7"/>
        <v>13</v>
      </c>
      <c r="K17" s="16">
        <f t="shared" si="12"/>
        <v>9</v>
      </c>
    </row>
    <row r="18">
      <c r="A18" s="18">
        <v>17.0</v>
      </c>
      <c r="B18" s="50" t="s">
        <v>638</v>
      </c>
      <c r="C18" s="58">
        <v>1.0</v>
      </c>
      <c r="D18" s="41">
        <f>IFERROR(__xludf.DUMMYFUNCTION("IF(B18="""","""",COUNTA(SPLIT(B18,"" "")))"),348.0)</f>
        <v>348</v>
      </c>
      <c r="E18" s="50" t="s">
        <v>639</v>
      </c>
      <c r="F18" s="58">
        <v>1.0</v>
      </c>
      <c r="G18" s="16">
        <f>IFERROR(__xludf.DUMMYFUNCTION("IF(E18="""","""",COUNTA(SPLIT(E18,"" "")))"),406.0)</f>
        <v>406</v>
      </c>
      <c r="H18" s="16">
        <f t="shared" si="11"/>
        <v>0.4718079302</v>
      </c>
      <c r="I18" s="16">
        <f t="shared" si="6"/>
        <v>58</v>
      </c>
      <c r="J18" s="16">
        <f t="shared" si="7"/>
        <v>58</v>
      </c>
      <c r="K18" s="16">
        <f t="shared" si="12"/>
        <v>19</v>
      </c>
    </row>
    <row r="19">
      <c r="A19" s="18">
        <v>18.0</v>
      </c>
      <c r="B19" s="50" t="s">
        <v>640</v>
      </c>
      <c r="C19" s="58">
        <v>1.0</v>
      </c>
      <c r="D19" s="41">
        <f>IFERROR(__xludf.DUMMYFUNCTION("IF(B19="""","""",COUNTA(SPLIT(B19,"" "")))"),360.0)</f>
        <v>360</v>
      </c>
      <c r="E19" s="50" t="s">
        <v>641</v>
      </c>
      <c r="F19" s="58">
        <v>1.0</v>
      </c>
      <c r="G19" s="16">
        <f>IFERROR(__xludf.DUMMYFUNCTION("IF(E19="""","""",COUNTA(SPLIT(E19,"" "")))"),349.0)</f>
        <v>349</v>
      </c>
      <c r="H19" s="16">
        <f t="shared" si="11"/>
        <v>0.3786024477</v>
      </c>
      <c r="I19" s="16">
        <f t="shared" si="6"/>
        <v>-11</v>
      </c>
      <c r="J19" s="16">
        <f t="shared" si="7"/>
        <v>11</v>
      </c>
      <c r="K19" s="16">
        <f t="shared" si="12"/>
        <v>8</v>
      </c>
    </row>
    <row r="20">
      <c r="A20" s="18">
        <v>19.0</v>
      </c>
      <c r="B20" s="50" t="s">
        <v>642</v>
      </c>
      <c r="C20" s="58">
        <v>1.0</v>
      </c>
      <c r="D20" s="41">
        <f>IFERROR(__xludf.DUMMYFUNCTION("IF(B20="""","""",COUNTA(SPLIT(B20,"" "")))"),344.0)</f>
        <v>344</v>
      </c>
      <c r="E20" s="50" t="s">
        <v>643</v>
      </c>
      <c r="F20" s="58">
        <v>1.0</v>
      </c>
      <c r="G20" s="16">
        <f>IFERROR(__xludf.DUMMYFUNCTION("IF(E20="""","""",COUNTA(SPLIT(E20,"" "")))"),301.0)</f>
        <v>301</v>
      </c>
      <c r="H20" s="16">
        <f t="shared" si="11"/>
        <v>0.4733360893</v>
      </c>
      <c r="I20" s="16">
        <f t="shared" si="6"/>
        <v>-43</v>
      </c>
      <c r="J20" s="16">
        <f t="shared" si="7"/>
        <v>43</v>
      </c>
      <c r="K20" s="16">
        <f t="shared" si="12"/>
        <v>15</v>
      </c>
    </row>
    <row r="21">
      <c r="A21" s="18">
        <v>20.0</v>
      </c>
      <c r="B21" s="50" t="s">
        <v>644</v>
      </c>
      <c r="C21" s="58">
        <v>0.0</v>
      </c>
      <c r="D21" s="43">
        <v>0.0</v>
      </c>
      <c r="E21" s="50" t="s">
        <v>645</v>
      </c>
      <c r="F21" s="58">
        <v>1.0</v>
      </c>
      <c r="G21" s="44">
        <v>0.0</v>
      </c>
      <c r="H21" s="44">
        <v>0.0</v>
      </c>
      <c r="I21" s="44">
        <v>0.0</v>
      </c>
      <c r="J21" s="16">
        <f t="shared" si="7"/>
        <v>0</v>
      </c>
      <c r="K21" s="44">
        <v>0.0</v>
      </c>
    </row>
    <row r="22">
      <c r="A22" s="18">
        <v>21.0</v>
      </c>
      <c r="B22" s="50" t="s">
        <v>646</v>
      </c>
      <c r="C22" s="58">
        <v>1.0</v>
      </c>
      <c r="D22" s="41">
        <f>IFERROR(__xludf.DUMMYFUNCTION("IF(B22="""","""",COUNTA(SPLIT(B22,"" "")))"),314.0)</f>
        <v>314</v>
      </c>
      <c r="E22" s="50" t="s">
        <v>647</v>
      </c>
      <c r="F22" s="58">
        <v>1.0</v>
      </c>
      <c r="G22" s="16">
        <f>IFERROR(__xludf.DUMMYFUNCTION("IF(E22="""","""",COUNTA(SPLIT(E22,"" "")))"),229.0)</f>
        <v>229</v>
      </c>
      <c r="H22" s="16">
        <f t="shared" ref="H22:H24" si="13">compararRespostas(B22, E22)</f>
        <v>0.3713751169</v>
      </c>
      <c r="I22" s="16">
        <f t="shared" ref="I22:I30" si="14">(G22-D22)</f>
        <v>-85</v>
      </c>
      <c r="J22" s="16">
        <f t="shared" si="7"/>
        <v>85</v>
      </c>
      <c r="K22" s="16">
        <f t="shared" ref="K22:K24" si="15">RANK(J22, J$2:J$30, 1)</f>
        <v>24</v>
      </c>
    </row>
    <row r="23">
      <c r="A23" s="18">
        <v>22.0</v>
      </c>
      <c r="B23" s="50" t="s">
        <v>648</v>
      </c>
      <c r="C23" s="58">
        <v>1.0</v>
      </c>
      <c r="D23" s="41">
        <f>IFERROR(__xludf.DUMMYFUNCTION("IF(B23="""","""",COUNTA(SPLIT(B23,"" "")))"),445.0)</f>
        <v>445</v>
      </c>
      <c r="E23" s="50" t="s">
        <v>649</v>
      </c>
      <c r="F23" s="58">
        <v>1.0</v>
      </c>
      <c r="G23" s="16">
        <f>IFERROR(__xludf.DUMMYFUNCTION("IF(E23="""","""",COUNTA(SPLIT(E23,"" "")))"),378.0)</f>
        <v>378</v>
      </c>
      <c r="H23" s="16">
        <f t="shared" si="13"/>
        <v>0.3674171357</v>
      </c>
      <c r="I23" s="16">
        <f t="shared" si="14"/>
        <v>-67</v>
      </c>
      <c r="J23" s="16">
        <f t="shared" si="7"/>
        <v>67</v>
      </c>
      <c r="K23" s="16">
        <f t="shared" si="15"/>
        <v>22</v>
      </c>
    </row>
    <row r="24">
      <c r="A24" s="18">
        <v>23.0</v>
      </c>
      <c r="B24" s="50" t="s">
        <v>650</v>
      </c>
      <c r="C24" s="58">
        <v>1.0</v>
      </c>
      <c r="D24" s="41">
        <f>IFERROR(__xludf.DUMMYFUNCTION("IF(B24="""","""",COUNTA(SPLIT(B24,"" "")))"),370.0)</f>
        <v>370</v>
      </c>
      <c r="E24" s="50" t="s">
        <v>651</v>
      </c>
      <c r="F24" s="58">
        <v>1.0</v>
      </c>
      <c r="G24" s="16">
        <f>IFERROR(__xludf.DUMMYFUNCTION("IF(E24="""","""",COUNTA(SPLIT(E24,"" "")))"),351.0)</f>
        <v>351</v>
      </c>
      <c r="H24" s="16">
        <f t="shared" si="13"/>
        <v>0.3547140649</v>
      </c>
      <c r="I24" s="16">
        <f t="shared" si="14"/>
        <v>-19</v>
      </c>
      <c r="J24" s="16">
        <f t="shared" si="7"/>
        <v>19</v>
      </c>
      <c r="K24" s="16">
        <f t="shared" si="15"/>
        <v>11</v>
      </c>
    </row>
    <row r="25">
      <c r="A25" s="18">
        <v>24.0</v>
      </c>
      <c r="B25" s="50" t="s">
        <v>652</v>
      </c>
      <c r="C25" s="69"/>
      <c r="D25" s="43">
        <v>0.0</v>
      </c>
      <c r="E25" s="50" t="s">
        <v>653</v>
      </c>
      <c r="F25" s="69"/>
      <c r="G25" s="44">
        <v>0.0</v>
      </c>
      <c r="H25" s="44">
        <v>0.0</v>
      </c>
      <c r="I25" s="16">
        <f t="shared" si="14"/>
        <v>0</v>
      </c>
      <c r="J25" s="16">
        <f t="shared" si="7"/>
        <v>0</v>
      </c>
      <c r="K25" s="44">
        <v>0.0</v>
      </c>
    </row>
    <row r="26">
      <c r="A26" s="18">
        <v>25.0</v>
      </c>
      <c r="B26" s="50" t="s">
        <v>654</v>
      </c>
      <c r="C26" s="58">
        <v>1.0</v>
      </c>
      <c r="D26" s="41">
        <f>IFERROR(__xludf.DUMMYFUNCTION("IF(B26="""","""",COUNTA(SPLIT(B26,"" "")))"),344.0)</f>
        <v>344</v>
      </c>
      <c r="E26" s="50" t="s">
        <v>655</v>
      </c>
      <c r="F26" s="58">
        <v>1.0</v>
      </c>
      <c r="G26" s="16">
        <f>IFERROR(__xludf.DUMMYFUNCTION("IF(E26="""","""",COUNTA(SPLIT(E26,"" "")))"),413.0)</f>
        <v>413</v>
      </c>
      <c r="H26" s="16">
        <f t="shared" ref="H26:H30" si="16">compararRespostas(B26, E26)</f>
        <v>0.5489859058</v>
      </c>
      <c r="I26" s="16">
        <f t="shared" si="14"/>
        <v>69</v>
      </c>
      <c r="J26" s="16">
        <f t="shared" si="7"/>
        <v>69</v>
      </c>
      <c r="K26" s="16">
        <f t="shared" ref="K26:K30" si="17">RANK(J26, J$2:J$30, 1)</f>
        <v>23</v>
      </c>
    </row>
    <row r="27">
      <c r="A27" s="18">
        <v>26.0</v>
      </c>
      <c r="B27" s="50" t="s">
        <v>656</v>
      </c>
      <c r="C27" s="58">
        <v>1.0</v>
      </c>
      <c r="D27" s="41">
        <f>IFERROR(__xludf.DUMMYFUNCTION("IF(B27="""","""",COUNTA(SPLIT(B27,"" "")))"),200.0)</f>
        <v>200</v>
      </c>
      <c r="E27" s="50" t="s">
        <v>657</v>
      </c>
      <c r="F27" s="58">
        <v>1.0</v>
      </c>
      <c r="G27" s="16">
        <f>IFERROR(__xludf.DUMMYFUNCTION("IF(E27="""","""",COUNTA(SPLIT(E27,"" "")))"),264.0)</f>
        <v>264</v>
      </c>
      <c r="H27" s="16">
        <f t="shared" si="16"/>
        <v>0.3052341598</v>
      </c>
      <c r="I27" s="16">
        <f t="shared" si="14"/>
        <v>64</v>
      </c>
      <c r="J27" s="16">
        <f t="shared" si="7"/>
        <v>64</v>
      </c>
      <c r="K27" s="16">
        <f t="shared" si="17"/>
        <v>21</v>
      </c>
    </row>
    <row r="28">
      <c r="A28" s="18">
        <v>27.0</v>
      </c>
      <c r="B28" s="50" t="s">
        <v>658</v>
      </c>
      <c r="C28" s="58">
        <v>1.0</v>
      </c>
      <c r="D28" s="41">
        <f>IFERROR(__xludf.DUMMYFUNCTION("IF(B28="""","""",COUNTA(SPLIT(B28,"" "")))"),160.0)</f>
        <v>160</v>
      </c>
      <c r="E28" s="50" t="s">
        <v>659</v>
      </c>
      <c r="F28" s="58">
        <v>1.0</v>
      </c>
      <c r="G28" s="16">
        <f>IFERROR(__xludf.DUMMYFUNCTION("IF(E28="""","""",COUNTA(SPLIT(E28,"" "")))"),69.0)</f>
        <v>69</v>
      </c>
      <c r="H28" s="16">
        <f t="shared" si="16"/>
        <v>0.3601462523</v>
      </c>
      <c r="I28" s="16">
        <f t="shared" si="14"/>
        <v>-91</v>
      </c>
      <c r="J28" s="16">
        <f t="shared" si="7"/>
        <v>91</v>
      </c>
      <c r="K28" s="16">
        <f t="shared" si="17"/>
        <v>25</v>
      </c>
    </row>
    <row r="29">
      <c r="A29" s="18">
        <v>28.0</v>
      </c>
      <c r="B29" s="50" t="s">
        <v>660</v>
      </c>
      <c r="C29" s="58">
        <v>1.0</v>
      </c>
      <c r="D29" s="41">
        <f>IFERROR(__xludf.DUMMYFUNCTION("IF(B29="""","""",COUNTA(SPLIT(B29,"" "")))"),163.0)</f>
        <v>163</v>
      </c>
      <c r="E29" s="50" t="s">
        <v>661</v>
      </c>
      <c r="F29" s="58">
        <v>1.0</v>
      </c>
      <c r="G29" s="16">
        <f>IFERROR(__xludf.DUMMYFUNCTION("IF(E29="""","""",COUNTA(SPLIT(E29,"" "")))"),118.0)</f>
        <v>118</v>
      </c>
      <c r="H29" s="16">
        <f t="shared" si="16"/>
        <v>0.5921985816</v>
      </c>
      <c r="I29" s="16">
        <f t="shared" si="14"/>
        <v>-45</v>
      </c>
      <c r="J29" s="16">
        <f t="shared" si="7"/>
        <v>45</v>
      </c>
      <c r="K29" s="16">
        <f t="shared" si="17"/>
        <v>16</v>
      </c>
    </row>
    <row r="30">
      <c r="A30" s="18">
        <v>29.0</v>
      </c>
      <c r="B30" s="50" t="s">
        <v>662</v>
      </c>
      <c r="C30" s="58">
        <v>1.0</v>
      </c>
      <c r="D30" s="41">
        <f>IFERROR(__xludf.DUMMYFUNCTION("IF(B30="""","""",COUNTA(SPLIT(B30,"" "")))"),187.0)</f>
        <v>187</v>
      </c>
      <c r="E30" s="50" t="s">
        <v>663</v>
      </c>
      <c r="F30" s="58">
        <v>1.0</v>
      </c>
      <c r="G30" s="16">
        <f>IFERROR(__xludf.DUMMYFUNCTION("IF(E30="""","""",COUNTA(SPLIT(E30,"" "")))"),172.0)</f>
        <v>172</v>
      </c>
      <c r="H30" s="16">
        <f t="shared" si="16"/>
        <v>0.2803278689</v>
      </c>
      <c r="I30" s="16">
        <f t="shared" si="14"/>
        <v>-15</v>
      </c>
      <c r="J30" s="16">
        <f t="shared" si="7"/>
        <v>15</v>
      </c>
      <c r="K30" s="16">
        <f t="shared" si="17"/>
        <v>10</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9.398238161</v>
      </c>
      <c r="C35" s="46"/>
      <c r="D35" s="49"/>
      <c r="E35" s="45"/>
      <c r="F35" s="48"/>
      <c r="G35" s="19"/>
      <c r="H35" s="19"/>
      <c r="I35" s="19"/>
      <c r="J35" s="19"/>
      <c r="K35" s="19"/>
    </row>
    <row r="36">
      <c r="A36" s="7"/>
      <c r="B36" s="7">
        <v>9.398238161</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419</v>
      </c>
      <c r="C38" s="46"/>
      <c r="D38" s="49"/>
      <c r="E38" s="45"/>
      <c r="F38" s="48"/>
      <c r="G38" s="19"/>
      <c r="H38" s="19"/>
      <c r="I38" s="19"/>
      <c r="J38" s="19"/>
      <c r="K38" s="19"/>
    </row>
    <row r="39">
      <c r="A39" s="7" t="s">
        <v>287</v>
      </c>
      <c r="B39" s="7" t="s">
        <v>756</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0.63"/>
    <col customWidth="1" min="10" max="10" width="22.0"/>
    <col customWidth="1" min="11" max="11" width="20.13"/>
    <col customWidth="1" min="12" max="13" width="24.0"/>
    <col customWidth="1" min="20" max="20" width="22.0"/>
    <col customWidth="1" min="21" max="21" width="20.13"/>
    <col customWidth="1" min="22" max="23" width="22.13"/>
    <col customWidth="1" min="30" max="30" width="22.0"/>
    <col customWidth="1" min="31" max="31" width="20.13"/>
    <col customWidth="1" min="32" max="33" width="22.13"/>
    <col customWidth="1" min="40" max="40" width="22.0"/>
    <col customWidth="1" min="41" max="41" width="20.13"/>
    <col customWidth="1" min="42" max="43" width="22.13"/>
  </cols>
  <sheetData>
    <row r="1">
      <c r="A1" s="1" t="s">
        <v>0</v>
      </c>
      <c r="B1" s="1" t="s">
        <v>1</v>
      </c>
      <c r="C1" s="1" t="s">
        <v>296</v>
      </c>
      <c r="D1" s="2" t="s">
        <v>3</v>
      </c>
      <c r="E1" s="3" t="s">
        <v>297</v>
      </c>
      <c r="F1" s="1" t="s">
        <v>298</v>
      </c>
      <c r="G1" s="3" t="s">
        <v>3</v>
      </c>
      <c r="H1" s="3" t="s">
        <v>299</v>
      </c>
      <c r="I1" s="3" t="s">
        <v>300</v>
      </c>
      <c r="J1" s="3" t="s">
        <v>7</v>
      </c>
      <c r="K1" s="3" t="s">
        <v>8</v>
      </c>
      <c r="L1" s="3" t="s">
        <v>9</v>
      </c>
      <c r="M1" s="3" t="s">
        <v>10</v>
      </c>
      <c r="N1" s="1" t="s">
        <v>11</v>
      </c>
      <c r="O1" s="4" t="s">
        <v>3</v>
      </c>
      <c r="P1" s="3" t="s">
        <v>301</v>
      </c>
      <c r="Q1" s="1" t="s">
        <v>13</v>
      </c>
      <c r="R1" s="4" t="s">
        <v>3</v>
      </c>
      <c r="S1" s="3" t="s">
        <v>302</v>
      </c>
      <c r="T1" s="3" t="s">
        <v>303</v>
      </c>
      <c r="U1" s="3" t="s">
        <v>304</v>
      </c>
      <c r="V1" s="3" t="s">
        <v>305</v>
      </c>
      <c r="W1" s="3" t="s">
        <v>306</v>
      </c>
      <c r="X1" s="1" t="s">
        <v>16</v>
      </c>
      <c r="Y1" s="4" t="s">
        <v>3</v>
      </c>
      <c r="Z1" s="3" t="s">
        <v>307</v>
      </c>
      <c r="AA1" s="1" t="s">
        <v>17</v>
      </c>
      <c r="AB1" s="4" t="s">
        <v>3</v>
      </c>
      <c r="AC1" s="3" t="s">
        <v>308</v>
      </c>
      <c r="AD1" s="3" t="s">
        <v>309</v>
      </c>
      <c r="AE1" s="3" t="s">
        <v>310</v>
      </c>
      <c r="AF1" s="3" t="s">
        <v>311</v>
      </c>
      <c r="AG1" s="3" t="s">
        <v>312</v>
      </c>
      <c r="AH1" s="1" t="s">
        <v>18</v>
      </c>
      <c r="AI1" s="4" t="s">
        <v>3</v>
      </c>
      <c r="AJ1" s="3" t="s">
        <v>313</v>
      </c>
      <c r="AK1" s="1" t="s">
        <v>19</v>
      </c>
      <c r="AL1" s="4" t="s">
        <v>3</v>
      </c>
      <c r="AM1" s="3" t="s">
        <v>314</v>
      </c>
      <c r="AN1" s="3" t="s">
        <v>315</v>
      </c>
      <c r="AO1" s="3" t="s">
        <v>316</v>
      </c>
      <c r="AP1" s="3" t="s">
        <v>317</v>
      </c>
      <c r="AQ1" s="3" t="s">
        <v>318</v>
      </c>
      <c r="AR1" s="4" t="s">
        <v>319</v>
      </c>
      <c r="AS1" s="6"/>
      <c r="AT1" s="6"/>
      <c r="AU1" s="6"/>
      <c r="AV1" s="6"/>
      <c r="AW1" s="6"/>
      <c r="AX1" s="6"/>
      <c r="AY1" s="6"/>
      <c r="AZ1" s="6"/>
    </row>
    <row r="2" ht="54.75" customHeight="1">
      <c r="A2" s="30">
        <v>1.0</v>
      </c>
      <c r="B2" s="30" t="s">
        <v>320</v>
      </c>
      <c r="C2" s="30" t="s">
        <v>321</v>
      </c>
      <c r="D2" s="26"/>
      <c r="E2" s="26">
        <f>IFERROR(__xludf.DUMMYFUNCTION("IF(C2="""","""",COUNTA(SPLIT(C2,"" "")))"),152.0)</f>
        <v>152</v>
      </c>
      <c r="F2" s="30" t="s">
        <v>322</v>
      </c>
      <c r="G2" s="26"/>
      <c r="H2" s="26">
        <f>IFERROR(__xludf.DUMMYFUNCTION("IF(F2="""","""",COUNTA(SPLIT(F2,"" "")))"),151.0)</f>
        <v>151</v>
      </c>
      <c r="I2" s="26">
        <f t="shared" ref="I2:I18" si="1">compararRespostas(C2, F2)</f>
        <v>0.3730729702</v>
      </c>
      <c r="J2" s="9">
        <f t="shared" ref="J2:J30" si="2">(E2+H2)/2</f>
        <v>151.5</v>
      </c>
      <c r="K2" s="9">
        <f t="shared" ref="K2:K30" si="3">(H2-E2)</f>
        <v>-1</v>
      </c>
      <c r="L2" s="9">
        <f t="shared" ref="L2:L30" si="4">RANK(K2, K$2:K$30, 1)</f>
        <v>9</v>
      </c>
      <c r="M2" s="9">
        <f t="shared" ref="M2:M30" si="5">IF(K2 &gt; 0, L2, -L2)</f>
        <v>-9</v>
      </c>
      <c r="N2" s="30" t="s">
        <v>323</v>
      </c>
      <c r="O2" s="26"/>
      <c r="P2" s="26">
        <f>IFERROR(__xludf.DUMMYFUNCTION("IF(N2="""","""",COUNTA(SPLIT(N2,"" "")))"),87.0)</f>
        <v>87</v>
      </c>
      <c r="Q2" s="30" t="s">
        <v>324</v>
      </c>
      <c r="R2" s="26"/>
      <c r="S2" s="26">
        <f>IFERROR(__xludf.DUMMYFUNCTION("IF(Q2="""","""",COUNTA(SPLIT(Q2,"" "")))"),79.0)</f>
        <v>79</v>
      </c>
      <c r="T2" s="9">
        <f t="shared" ref="T2:T30" si="6">(L2+O2)/2</f>
        <v>4.5</v>
      </c>
      <c r="U2" s="9">
        <f t="shared" ref="U2:U30" si="7">(O2-L2)</f>
        <v>-9</v>
      </c>
      <c r="V2" s="9">
        <f t="shared" ref="V2:V30" si="8">RANK(U2, U$2:U$30, 1)</f>
        <v>21</v>
      </c>
      <c r="W2" s="9">
        <f t="shared" ref="W2:W30" si="9">IF(U2 &gt; 0, V2, -V2)</f>
        <v>-21</v>
      </c>
      <c r="X2" s="30" t="s">
        <v>325</v>
      </c>
      <c r="Y2" s="26"/>
      <c r="Z2" s="26">
        <f>IFERROR(__xludf.DUMMYFUNCTION("IF(X2="""","""",COUNTA(SPLIT(X2,"" "")))"),227.0)</f>
        <v>227</v>
      </c>
      <c r="AA2" s="30" t="s">
        <v>326</v>
      </c>
      <c r="AB2" s="26"/>
      <c r="AC2" s="26">
        <f>IFERROR(__xludf.DUMMYFUNCTION("IF(AA2="""","""",COUNTA(SPLIT(AA2,"" "")))"),197.0)</f>
        <v>197</v>
      </c>
      <c r="AD2" s="9">
        <f t="shared" ref="AD2:AD30" si="10">(V2+Y2)/2</f>
        <v>10.5</v>
      </c>
      <c r="AE2" s="9">
        <f t="shared" ref="AE2:AE30" si="11">(Y2-V2)</f>
        <v>-21</v>
      </c>
      <c r="AF2" s="9">
        <f t="shared" ref="AF2:AF30" si="12">RANK(AE2, AE$2:AE$30, 1)</f>
        <v>9</v>
      </c>
      <c r="AG2" s="9">
        <f t="shared" ref="AG2:AG30" si="13">IF(AE2 &gt; 0, AF2, -AF2)</f>
        <v>-9</v>
      </c>
      <c r="AH2" s="30" t="s">
        <v>327</v>
      </c>
      <c r="AI2" s="26"/>
      <c r="AJ2" s="26">
        <f>IFERROR(__xludf.DUMMYFUNCTION("IF(AH2="""","""",COUNTA(SPLIT(AH2,"" "")))"),78.0)</f>
        <v>78</v>
      </c>
      <c r="AK2" s="30" t="s">
        <v>328</v>
      </c>
      <c r="AL2" s="26"/>
      <c r="AM2" s="26">
        <f>IFERROR(__xludf.DUMMYFUNCTION("IF(AK2="""","""",COUNTA(SPLIT(AK2,"" "")))"),82.0)</f>
        <v>82</v>
      </c>
      <c r="AN2" s="9">
        <f t="shared" ref="AN2:AN30" si="14">(AF2+AI2)/2</f>
        <v>4.5</v>
      </c>
      <c r="AO2" s="9">
        <f t="shared" ref="AO2:AO30" si="15">(AI2-AF2)</f>
        <v>-9</v>
      </c>
      <c r="AP2" s="9">
        <f t="shared" ref="AP2:AP30" si="16">RANK(AO2, AO$2:AO$30, 1)</f>
        <v>21</v>
      </c>
      <c r="AQ2" s="9">
        <f t="shared" ref="AQ2:AQ30" si="17">IF(AO2 &gt; 0, AP2, -AP2)</f>
        <v>-21</v>
      </c>
      <c r="AR2" s="30" t="s">
        <v>329</v>
      </c>
      <c r="AS2" s="26"/>
      <c r="AT2" s="26"/>
      <c r="AU2" s="26"/>
      <c r="AV2" s="26"/>
      <c r="AW2" s="26"/>
      <c r="AX2" s="26"/>
      <c r="AY2" s="26"/>
      <c r="AZ2" s="26"/>
    </row>
    <row r="3" ht="41.25" customHeight="1">
      <c r="A3" s="30">
        <v>2.0</v>
      </c>
      <c r="B3" s="30" t="s">
        <v>330</v>
      </c>
      <c r="C3" s="30" t="s">
        <v>331</v>
      </c>
      <c r="D3" s="26"/>
      <c r="E3" s="26">
        <f>IFERROR(__xludf.DUMMYFUNCTION("IF(C3="""","""",COUNTA(SPLIT(C3,"" "")))"),118.0)</f>
        <v>118</v>
      </c>
      <c r="F3" s="30" t="s">
        <v>332</v>
      </c>
      <c r="G3" s="26"/>
      <c r="H3" s="26">
        <f>IFERROR(__xludf.DUMMYFUNCTION("IF(F3="""","""",COUNTA(SPLIT(F3,"" "")))"),159.0)</f>
        <v>159</v>
      </c>
      <c r="I3" s="26">
        <f t="shared" si="1"/>
        <v>0.4112967383</v>
      </c>
      <c r="J3" s="9">
        <f t="shared" si="2"/>
        <v>138.5</v>
      </c>
      <c r="K3" s="9">
        <f t="shared" si="3"/>
        <v>41</v>
      </c>
      <c r="L3" s="9">
        <f t="shared" si="4"/>
        <v>27</v>
      </c>
      <c r="M3" s="9">
        <f t="shared" si="5"/>
        <v>27</v>
      </c>
      <c r="N3" s="30" t="s">
        <v>333</v>
      </c>
      <c r="O3" s="26"/>
      <c r="P3" s="26">
        <f>IFERROR(__xludf.DUMMYFUNCTION("IF(N3="""","""",COUNTA(SPLIT(N3,"" "")))"),59.0)</f>
        <v>59</v>
      </c>
      <c r="Q3" s="30" t="s">
        <v>334</v>
      </c>
      <c r="R3" s="26"/>
      <c r="S3" s="26">
        <f>IFERROR(__xludf.DUMMYFUNCTION("IF(Q3="""","""",COUNTA(SPLIT(Q3,"" "")))"),84.0)</f>
        <v>84</v>
      </c>
      <c r="T3" s="9">
        <f t="shared" si="6"/>
        <v>13.5</v>
      </c>
      <c r="U3" s="9">
        <f t="shared" si="7"/>
        <v>-27</v>
      </c>
      <c r="V3" s="9">
        <f t="shared" si="8"/>
        <v>3</v>
      </c>
      <c r="W3" s="9">
        <f t="shared" si="9"/>
        <v>-3</v>
      </c>
      <c r="X3" s="30" t="s">
        <v>335</v>
      </c>
      <c r="Y3" s="26"/>
      <c r="Z3" s="26">
        <f>IFERROR(__xludf.DUMMYFUNCTION("IF(X3="""","""",COUNTA(SPLIT(X3,"" "")))"),268.0)</f>
        <v>268</v>
      </c>
      <c r="AA3" s="30" t="s">
        <v>336</v>
      </c>
      <c r="AB3" s="26"/>
      <c r="AC3" s="26">
        <f>IFERROR(__xludf.DUMMYFUNCTION("IF(AA3="""","""",COUNTA(SPLIT(AA3,"" "")))"),145.0)</f>
        <v>145</v>
      </c>
      <c r="AD3" s="9">
        <f t="shared" si="10"/>
        <v>1.5</v>
      </c>
      <c r="AE3" s="9">
        <f t="shared" si="11"/>
        <v>-3</v>
      </c>
      <c r="AF3" s="9">
        <f t="shared" si="12"/>
        <v>27</v>
      </c>
      <c r="AG3" s="9">
        <f t="shared" si="13"/>
        <v>-27</v>
      </c>
      <c r="AH3" s="30" t="s">
        <v>337</v>
      </c>
      <c r="AI3" s="26"/>
      <c r="AJ3" s="26">
        <f>IFERROR(__xludf.DUMMYFUNCTION("IF(AH3="""","""",COUNTA(SPLIT(AH3,"" "")))"),123.0)</f>
        <v>123</v>
      </c>
      <c r="AK3" s="30" t="s">
        <v>338</v>
      </c>
      <c r="AL3" s="26"/>
      <c r="AM3" s="26">
        <f>IFERROR(__xludf.DUMMYFUNCTION("IF(AK3="""","""",COUNTA(SPLIT(AK3,"" "")))"),142.0)</f>
        <v>142</v>
      </c>
      <c r="AN3" s="9">
        <f t="shared" si="14"/>
        <v>13.5</v>
      </c>
      <c r="AO3" s="9">
        <f t="shared" si="15"/>
        <v>-27</v>
      </c>
      <c r="AP3" s="9">
        <f t="shared" si="16"/>
        <v>3</v>
      </c>
      <c r="AQ3" s="9">
        <f t="shared" si="17"/>
        <v>-3</v>
      </c>
      <c r="AR3" s="30" t="s">
        <v>339</v>
      </c>
      <c r="AS3" s="26"/>
      <c r="AT3" s="26"/>
      <c r="AU3" s="26"/>
      <c r="AV3" s="26"/>
      <c r="AW3" s="26"/>
      <c r="AX3" s="26"/>
      <c r="AY3" s="26"/>
      <c r="AZ3" s="26"/>
    </row>
    <row r="4" ht="32.25" customHeight="1">
      <c r="A4" s="30">
        <v>3.0</v>
      </c>
      <c r="B4" s="30" t="s">
        <v>340</v>
      </c>
      <c r="C4" s="30" t="s">
        <v>341</v>
      </c>
      <c r="D4" s="26"/>
      <c r="E4" s="26">
        <f>IFERROR(__xludf.DUMMYFUNCTION("IF(C4="""","""",COUNTA(SPLIT(C4,"" "")))"),173.0)</f>
        <v>173</v>
      </c>
      <c r="F4" s="30" t="s">
        <v>342</v>
      </c>
      <c r="G4" s="26"/>
      <c r="H4" s="26">
        <f>IFERROR(__xludf.DUMMYFUNCTION("IF(F4="""","""",COUNTA(SPLIT(F4,"" "")))"),124.0)</f>
        <v>124</v>
      </c>
      <c r="I4" s="26">
        <f t="shared" si="1"/>
        <v>0.3725656224</v>
      </c>
      <c r="J4" s="9">
        <f t="shared" si="2"/>
        <v>148.5</v>
      </c>
      <c r="K4" s="9">
        <f t="shared" si="3"/>
        <v>-49</v>
      </c>
      <c r="L4" s="9">
        <f t="shared" si="4"/>
        <v>3</v>
      </c>
      <c r="M4" s="9">
        <f t="shared" si="5"/>
        <v>-3</v>
      </c>
      <c r="N4" s="30" t="s">
        <v>343</v>
      </c>
      <c r="O4" s="26"/>
      <c r="P4" s="26">
        <f>IFERROR(__xludf.DUMMYFUNCTION("IF(N4="""","""",COUNTA(SPLIT(N4,"" "")))"),113.0)</f>
        <v>113</v>
      </c>
      <c r="Q4" s="30" t="s">
        <v>344</v>
      </c>
      <c r="R4" s="26"/>
      <c r="S4" s="26">
        <f>IFERROR(__xludf.DUMMYFUNCTION("IF(Q4="""","""",COUNTA(SPLIT(Q4,"" "")))"),87.0)</f>
        <v>87</v>
      </c>
      <c r="T4" s="9">
        <f t="shared" si="6"/>
        <v>1.5</v>
      </c>
      <c r="U4" s="9">
        <f t="shared" si="7"/>
        <v>-3</v>
      </c>
      <c r="V4" s="9">
        <f t="shared" si="8"/>
        <v>27</v>
      </c>
      <c r="W4" s="9">
        <f t="shared" si="9"/>
        <v>-27</v>
      </c>
      <c r="X4" s="30" t="s">
        <v>345</v>
      </c>
      <c r="Y4" s="26"/>
      <c r="Z4" s="26">
        <f>IFERROR(__xludf.DUMMYFUNCTION("IF(X4="""","""",COUNTA(SPLIT(X4,"" "")))"),272.0)</f>
        <v>272</v>
      </c>
      <c r="AA4" s="30" t="s">
        <v>346</v>
      </c>
      <c r="AB4" s="26"/>
      <c r="AC4" s="26">
        <f>IFERROR(__xludf.DUMMYFUNCTION("IF(AA4="""","""",COUNTA(SPLIT(AA4,"" "")))"),227.0)</f>
        <v>227</v>
      </c>
      <c r="AD4" s="9">
        <f t="shared" si="10"/>
        <v>13.5</v>
      </c>
      <c r="AE4" s="9">
        <f t="shared" si="11"/>
        <v>-27</v>
      </c>
      <c r="AF4" s="9">
        <f t="shared" si="12"/>
        <v>3</v>
      </c>
      <c r="AG4" s="9">
        <f t="shared" si="13"/>
        <v>-3</v>
      </c>
      <c r="AH4" s="30" t="s">
        <v>347</v>
      </c>
      <c r="AI4" s="26"/>
      <c r="AJ4" s="26">
        <f>IFERROR(__xludf.DUMMYFUNCTION("IF(AH4="""","""",COUNTA(SPLIT(AH4,"" "")))"),91.0)</f>
        <v>91</v>
      </c>
      <c r="AK4" s="30" t="s">
        <v>348</v>
      </c>
      <c r="AL4" s="26"/>
      <c r="AM4" s="26">
        <f>IFERROR(__xludf.DUMMYFUNCTION("IF(AK4="""","""",COUNTA(SPLIT(AK4,"" "")))"),124.0)</f>
        <v>124</v>
      </c>
      <c r="AN4" s="9">
        <f t="shared" si="14"/>
        <v>1.5</v>
      </c>
      <c r="AO4" s="9">
        <f t="shared" si="15"/>
        <v>-3</v>
      </c>
      <c r="AP4" s="9">
        <f t="shared" si="16"/>
        <v>27</v>
      </c>
      <c r="AQ4" s="9">
        <f t="shared" si="17"/>
        <v>-27</v>
      </c>
      <c r="AR4" s="30" t="s">
        <v>349</v>
      </c>
      <c r="AS4" s="26"/>
      <c r="AT4" s="26"/>
      <c r="AU4" s="26"/>
      <c r="AV4" s="26"/>
      <c r="AW4" s="26"/>
      <c r="AX4" s="26"/>
      <c r="AY4" s="26"/>
      <c r="AZ4" s="26"/>
    </row>
    <row r="5" ht="32.25" customHeight="1">
      <c r="A5" s="30">
        <v>4.0</v>
      </c>
      <c r="B5" s="30" t="s">
        <v>350</v>
      </c>
      <c r="C5" s="30" t="s">
        <v>351</v>
      </c>
      <c r="D5" s="26"/>
      <c r="E5" s="26">
        <f>IFERROR(__xludf.DUMMYFUNCTION("IF(C5="""","""",COUNTA(SPLIT(C5,"" "")))"),100.0)</f>
        <v>100</v>
      </c>
      <c r="F5" s="30" t="s">
        <v>352</v>
      </c>
      <c r="G5" s="26"/>
      <c r="H5" s="26">
        <f>IFERROR(__xludf.DUMMYFUNCTION("IF(F5="""","""",COUNTA(SPLIT(F5,"" "")))"),106.0)</f>
        <v>106</v>
      </c>
      <c r="I5" s="26">
        <f t="shared" si="1"/>
        <v>0.6154929577</v>
      </c>
      <c r="J5" s="9">
        <f t="shared" si="2"/>
        <v>103</v>
      </c>
      <c r="K5" s="9">
        <f t="shared" si="3"/>
        <v>6</v>
      </c>
      <c r="L5" s="9">
        <f t="shared" si="4"/>
        <v>22</v>
      </c>
      <c r="M5" s="9">
        <f t="shared" si="5"/>
        <v>22</v>
      </c>
      <c r="N5" s="30" t="s">
        <v>353</v>
      </c>
      <c r="O5" s="26"/>
      <c r="P5" s="26">
        <f>IFERROR(__xludf.DUMMYFUNCTION("IF(N5="""","""",COUNTA(SPLIT(N5,"" "")))"),50.0)</f>
        <v>50</v>
      </c>
      <c r="Q5" s="30" t="s">
        <v>354</v>
      </c>
      <c r="R5" s="26"/>
      <c r="S5" s="26">
        <f>IFERROR(__xludf.DUMMYFUNCTION("IF(Q5="""","""",COUNTA(SPLIT(Q5,"" "")))"),55.0)</f>
        <v>55</v>
      </c>
      <c r="T5" s="9">
        <f t="shared" si="6"/>
        <v>11</v>
      </c>
      <c r="U5" s="9">
        <f t="shared" si="7"/>
        <v>-22</v>
      </c>
      <c r="V5" s="9">
        <f t="shared" si="8"/>
        <v>8</v>
      </c>
      <c r="W5" s="9">
        <f t="shared" si="9"/>
        <v>-8</v>
      </c>
      <c r="X5" s="30" t="s">
        <v>355</v>
      </c>
      <c r="Y5" s="26"/>
      <c r="Z5" s="26">
        <f>IFERROR(__xludf.DUMMYFUNCTION("IF(X5="""","""",COUNTA(SPLIT(X5,"" "")))"),272.0)</f>
        <v>272</v>
      </c>
      <c r="AA5" s="30" t="s">
        <v>356</v>
      </c>
      <c r="AB5" s="26"/>
      <c r="AC5" s="26">
        <f>IFERROR(__xludf.DUMMYFUNCTION("IF(AA5="""","""",COUNTA(SPLIT(AA5,"" "")))"),220.0)</f>
        <v>220</v>
      </c>
      <c r="AD5" s="9">
        <f t="shared" si="10"/>
        <v>4</v>
      </c>
      <c r="AE5" s="9">
        <f t="shared" si="11"/>
        <v>-8</v>
      </c>
      <c r="AF5" s="9">
        <f t="shared" si="12"/>
        <v>22</v>
      </c>
      <c r="AG5" s="9">
        <f t="shared" si="13"/>
        <v>-22</v>
      </c>
      <c r="AH5" s="30" t="s">
        <v>357</v>
      </c>
      <c r="AI5" s="26"/>
      <c r="AJ5" s="26">
        <f>IFERROR(__xludf.DUMMYFUNCTION("IF(AH5="""","""",COUNTA(SPLIT(AH5,"" "")))"),52.0)</f>
        <v>52</v>
      </c>
      <c r="AK5" s="30" t="s">
        <v>358</v>
      </c>
      <c r="AL5" s="26"/>
      <c r="AM5" s="26">
        <f>IFERROR(__xludf.DUMMYFUNCTION("IF(AK5="""","""",COUNTA(SPLIT(AK5,"" "")))"),66.0)</f>
        <v>66</v>
      </c>
      <c r="AN5" s="9">
        <f t="shared" si="14"/>
        <v>11</v>
      </c>
      <c r="AO5" s="9">
        <f t="shared" si="15"/>
        <v>-22</v>
      </c>
      <c r="AP5" s="9">
        <f t="shared" si="16"/>
        <v>8</v>
      </c>
      <c r="AQ5" s="9">
        <f t="shared" si="17"/>
        <v>-8</v>
      </c>
      <c r="AR5" s="30" t="s">
        <v>359</v>
      </c>
      <c r="AS5" s="26"/>
      <c r="AT5" s="26"/>
      <c r="AU5" s="26"/>
      <c r="AV5" s="26"/>
      <c r="AW5" s="26"/>
      <c r="AX5" s="26"/>
      <c r="AY5" s="26"/>
      <c r="AZ5" s="26"/>
    </row>
    <row r="6" ht="32.25" customHeight="1">
      <c r="A6" s="30">
        <v>5.0</v>
      </c>
      <c r="B6" s="30" t="s">
        <v>360</v>
      </c>
      <c r="C6" s="30" t="s">
        <v>361</v>
      </c>
      <c r="D6" s="26"/>
      <c r="E6" s="26">
        <f>IFERROR(__xludf.DUMMYFUNCTION("IF(C6="""","""",COUNTA(SPLIT(C6,"" "")))"),92.0)</f>
        <v>92</v>
      </c>
      <c r="F6" s="30" t="s">
        <v>362</v>
      </c>
      <c r="G6" s="26"/>
      <c r="H6" s="26">
        <f>IFERROR(__xludf.DUMMYFUNCTION("IF(F6="""","""",COUNTA(SPLIT(F6,"" "")))"),167.0)</f>
        <v>167</v>
      </c>
      <c r="I6" s="26">
        <f t="shared" si="1"/>
        <v>0.3467543139</v>
      </c>
      <c r="J6" s="9">
        <f t="shared" si="2"/>
        <v>129.5</v>
      </c>
      <c r="K6" s="9">
        <f t="shared" si="3"/>
        <v>75</v>
      </c>
      <c r="L6" s="9">
        <f t="shared" si="4"/>
        <v>29</v>
      </c>
      <c r="M6" s="9">
        <f t="shared" si="5"/>
        <v>29</v>
      </c>
      <c r="N6" s="30" t="s">
        <v>363</v>
      </c>
      <c r="O6" s="26"/>
      <c r="P6" s="26">
        <f>IFERROR(__xludf.DUMMYFUNCTION("IF(N6="""","""",COUNTA(SPLIT(N6,"" "")))"),62.0)</f>
        <v>62</v>
      </c>
      <c r="Q6" s="30" t="s">
        <v>364</v>
      </c>
      <c r="R6" s="26"/>
      <c r="S6" s="26">
        <f>IFERROR(__xludf.DUMMYFUNCTION("IF(Q6="""","""",COUNTA(SPLIT(Q6,"" "")))"),80.0)</f>
        <v>80</v>
      </c>
      <c r="T6" s="9">
        <f t="shared" si="6"/>
        <v>14.5</v>
      </c>
      <c r="U6" s="9">
        <f t="shared" si="7"/>
        <v>-29</v>
      </c>
      <c r="V6" s="9">
        <f t="shared" si="8"/>
        <v>1</v>
      </c>
      <c r="W6" s="9">
        <f t="shared" si="9"/>
        <v>-1</v>
      </c>
      <c r="X6" s="30" t="s">
        <v>365</v>
      </c>
      <c r="Y6" s="26"/>
      <c r="Z6" s="26">
        <f>IFERROR(__xludf.DUMMYFUNCTION("IF(X6="""","""",COUNTA(SPLIT(X6,"" "")))"),319.0)</f>
        <v>319</v>
      </c>
      <c r="AA6" s="30" t="s">
        <v>366</v>
      </c>
      <c r="AB6" s="26"/>
      <c r="AC6" s="26">
        <f>IFERROR(__xludf.DUMMYFUNCTION("IF(AA6="""","""",COUNTA(SPLIT(AA6,"" "")))"),358.0)</f>
        <v>358</v>
      </c>
      <c r="AD6" s="9">
        <f t="shared" si="10"/>
        <v>0.5</v>
      </c>
      <c r="AE6" s="9">
        <f t="shared" si="11"/>
        <v>-1</v>
      </c>
      <c r="AF6" s="9">
        <f t="shared" si="12"/>
        <v>29</v>
      </c>
      <c r="AG6" s="9">
        <f t="shared" si="13"/>
        <v>-29</v>
      </c>
      <c r="AH6" s="30" t="s">
        <v>367</v>
      </c>
      <c r="AI6" s="26"/>
      <c r="AJ6" s="26">
        <f>IFERROR(__xludf.DUMMYFUNCTION("IF(AH6="""","""",COUNTA(SPLIT(AH6,"" "")))"),99.0)</f>
        <v>99</v>
      </c>
      <c r="AK6" s="30" t="s">
        <v>368</v>
      </c>
      <c r="AL6" s="26"/>
      <c r="AM6" s="26">
        <f>IFERROR(__xludf.DUMMYFUNCTION("IF(AK6="""","""",COUNTA(SPLIT(AK6,"" "")))"),91.0)</f>
        <v>91</v>
      </c>
      <c r="AN6" s="9">
        <f t="shared" si="14"/>
        <v>14.5</v>
      </c>
      <c r="AO6" s="9">
        <f t="shared" si="15"/>
        <v>-29</v>
      </c>
      <c r="AP6" s="9">
        <f t="shared" si="16"/>
        <v>1</v>
      </c>
      <c r="AQ6" s="9">
        <f t="shared" si="17"/>
        <v>-1</v>
      </c>
      <c r="AR6" s="30" t="s">
        <v>369</v>
      </c>
      <c r="AS6" s="26"/>
      <c r="AT6" s="26"/>
      <c r="AU6" s="26"/>
      <c r="AV6" s="26"/>
      <c r="AW6" s="26"/>
      <c r="AX6" s="26"/>
      <c r="AY6" s="26"/>
      <c r="AZ6" s="26"/>
    </row>
    <row r="7" ht="32.25" customHeight="1">
      <c r="A7" s="30">
        <v>6.0</v>
      </c>
      <c r="B7" s="30" t="s">
        <v>370</v>
      </c>
      <c r="C7" s="30" t="s">
        <v>371</v>
      </c>
      <c r="D7" s="26"/>
      <c r="E7" s="26">
        <f>IFERROR(__xludf.DUMMYFUNCTION("IF(C7="""","""",COUNTA(SPLIT(C7,"" "")))"),94.0)</f>
        <v>94</v>
      </c>
      <c r="F7" s="30" t="s">
        <v>372</v>
      </c>
      <c r="G7" s="26"/>
      <c r="H7" s="26">
        <f>IFERROR(__xludf.DUMMYFUNCTION("IF(F7="""","""",COUNTA(SPLIT(F7,"" "")))"),104.0)</f>
        <v>104</v>
      </c>
      <c r="I7" s="26">
        <f t="shared" si="1"/>
        <v>0.4725925926</v>
      </c>
      <c r="J7" s="9">
        <f t="shared" si="2"/>
        <v>99</v>
      </c>
      <c r="K7" s="9">
        <f t="shared" si="3"/>
        <v>10</v>
      </c>
      <c r="L7" s="9">
        <f t="shared" si="4"/>
        <v>25</v>
      </c>
      <c r="M7" s="9">
        <f t="shared" si="5"/>
        <v>25</v>
      </c>
      <c r="N7" s="30" t="s">
        <v>373</v>
      </c>
      <c r="O7" s="26"/>
      <c r="P7" s="26">
        <f>IFERROR(__xludf.DUMMYFUNCTION("IF(N7="""","""",COUNTA(SPLIT(N7,"" "")))"),122.0)</f>
        <v>122</v>
      </c>
      <c r="Q7" s="30" t="s">
        <v>374</v>
      </c>
      <c r="R7" s="26"/>
      <c r="S7" s="26">
        <f>IFERROR(__xludf.DUMMYFUNCTION("IF(Q7="""","""",COUNTA(SPLIT(Q7,"" "")))"),112.0)</f>
        <v>112</v>
      </c>
      <c r="T7" s="9">
        <f t="shared" si="6"/>
        <v>12.5</v>
      </c>
      <c r="U7" s="9">
        <f t="shared" si="7"/>
        <v>-25</v>
      </c>
      <c r="V7" s="9">
        <f t="shared" si="8"/>
        <v>5</v>
      </c>
      <c r="W7" s="9">
        <f t="shared" si="9"/>
        <v>-5</v>
      </c>
      <c r="X7" s="30" t="s">
        <v>375</v>
      </c>
      <c r="Y7" s="26"/>
      <c r="Z7" s="26">
        <f>IFERROR(__xludf.DUMMYFUNCTION("IF(X7="""","""",COUNTA(SPLIT(X7,"" "")))"),226.0)</f>
        <v>226</v>
      </c>
      <c r="AA7" s="30" t="s">
        <v>370</v>
      </c>
      <c r="AB7" s="26"/>
      <c r="AC7" s="26">
        <f>IFERROR(__xludf.DUMMYFUNCTION("IF(AA7="""","""",COUNTA(SPLIT(AA7,"" "")))"),11.0)</f>
        <v>11</v>
      </c>
      <c r="AD7" s="9">
        <f t="shared" si="10"/>
        <v>2.5</v>
      </c>
      <c r="AE7" s="9">
        <f t="shared" si="11"/>
        <v>-5</v>
      </c>
      <c r="AF7" s="9">
        <f t="shared" si="12"/>
        <v>25</v>
      </c>
      <c r="AG7" s="9">
        <f t="shared" si="13"/>
        <v>-25</v>
      </c>
      <c r="AH7" s="30" t="s">
        <v>376</v>
      </c>
      <c r="AI7" s="26"/>
      <c r="AJ7" s="26">
        <f>IFERROR(__xludf.DUMMYFUNCTION("IF(AH7="""","""",COUNTA(SPLIT(AH7,"" "")))"),81.0)</f>
        <v>81</v>
      </c>
      <c r="AK7" s="30" t="s">
        <v>377</v>
      </c>
      <c r="AL7" s="26"/>
      <c r="AM7" s="26">
        <f>IFERROR(__xludf.DUMMYFUNCTION("IF(AK7="""","""",COUNTA(SPLIT(AK7,"" "")))"),75.0)</f>
        <v>75</v>
      </c>
      <c r="AN7" s="9">
        <f t="shared" si="14"/>
        <v>12.5</v>
      </c>
      <c r="AO7" s="9">
        <f t="shared" si="15"/>
        <v>-25</v>
      </c>
      <c r="AP7" s="9">
        <f t="shared" si="16"/>
        <v>5</v>
      </c>
      <c r="AQ7" s="9">
        <f t="shared" si="17"/>
        <v>-5</v>
      </c>
      <c r="AR7" s="30" t="s">
        <v>378</v>
      </c>
      <c r="AS7" s="26"/>
      <c r="AT7" s="26"/>
      <c r="AU7" s="26"/>
      <c r="AV7" s="26"/>
      <c r="AW7" s="26"/>
      <c r="AX7" s="26"/>
      <c r="AY7" s="26"/>
      <c r="AZ7" s="26"/>
    </row>
    <row r="8" ht="32.25" customHeight="1">
      <c r="A8" s="30">
        <v>7.0</v>
      </c>
      <c r="B8" s="30" t="s">
        <v>379</v>
      </c>
      <c r="C8" s="30" t="s">
        <v>380</v>
      </c>
      <c r="D8" s="26"/>
      <c r="E8" s="26">
        <f>IFERROR(__xludf.DUMMYFUNCTION("IF(C8="""","""",COUNTA(SPLIT(C8,"" "")))"),272.0)</f>
        <v>272</v>
      </c>
      <c r="F8" s="30" t="s">
        <v>381</v>
      </c>
      <c r="G8" s="26"/>
      <c r="H8" s="26">
        <f>IFERROR(__xludf.DUMMYFUNCTION("IF(F8="""","""",COUNTA(SPLIT(F8,"" "")))"),203.0)</f>
        <v>203</v>
      </c>
      <c r="I8" s="26">
        <f t="shared" si="1"/>
        <v>0.3362318841</v>
      </c>
      <c r="J8" s="9">
        <f t="shared" si="2"/>
        <v>237.5</v>
      </c>
      <c r="K8" s="9">
        <f t="shared" si="3"/>
        <v>-69</v>
      </c>
      <c r="L8" s="9">
        <f t="shared" si="4"/>
        <v>2</v>
      </c>
      <c r="M8" s="9">
        <f t="shared" si="5"/>
        <v>-2</v>
      </c>
      <c r="N8" s="30" t="s">
        <v>382</v>
      </c>
      <c r="O8" s="26"/>
      <c r="P8" s="26">
        <f>IFERROR(__xludf.DUMMYFUNCTION("IF(N8="""","""",COUNTA(SPLIT(N8,"" "")))"),211.0)</f>
        <v>211</v>
      </c>
      <c r="Q8" s="30" t="s">
        <v>383</v>
      </c>
      <c r="R8" s="26"/>
      <c r="S8" s="26">
        <f>IFERROR(__xludf.DUMMYFUNCTION("IF(Q8="""","""",COUNTA(SPLIT(Q8,"" "")))"),252.0)</f>
        <v>252</v>
      </c>
      <c r="T8" s="9">
        <f t="shared" si="6"/>
        <v>1</v>
      </c>
      <c r="U8" s="9">
        <f t="shared" si="7"/>
        <v>-2</v>
      </c>
      <c r="V8" s="9">
        <f t="shared" si="8"/>
        <v>28</v>
      </c>
      <c r="W8" s="9">
        <f t="shared" si="9"/>
        <v>-28</v>
      </c>
      <c r="X8" s="30" t="s">
        <v>384</v>
      </c>
      <c r="Y8" s="26"/>
      <c r="Z8" s="26">
        <f>IFERROR(__xludf.DUMMYFUNCTION("IF(X8="""","""",COUNTA(SPLIT(X8,"" "")))"),299.0)</f>
        <v>299</v>
      </c>
      <c r="AA8" s="30" t="s">
        <v>385</v>
      </c>
      <c r="AB8" s="26"/>
      <c r="AC8" s="26">
        <f>IFERROR(__xludf.DUMMYFUNCTION("IF(AA8="""","""",COUNTA(SPLIT(AA8,"" "")))"),279.0)</f>
        <v>279</v>
      </c>
      <c r="AD8" s="9">
        <f t="shared" si="10"/>
        <v>14</v>
      </c>
      <c r="AE8" s="9">
        <f t="shared" si="11"/>
        <v>-28</v>
      </c>
      <c r="AF8" s="9">
        <f t="shared" si="12"/>
        <v>2</v>
      </c>
      <c r="AG8" s="9">
        <f t="shared" si="13"/>
        <v>-2</v>
      </c>
      <c r="AH8" s="30" t="s">
        <v>386</v>
      </c>
      <c r="AI8" s="26"/>
      <c r="AJ8" s="26">
        <f>IFERROR(__xludf.DUMMYFUNCTION("IF(AH8="""","""",COUNTA(SPLIT(AH8,"" "")))"),209.0)</f>
        <v>209</v>
      </c>
      <c r="AK8" s="30" t="s">
        <v>387</v>
      </c>
      <c r="AL8" s="26"/>
      <c r="AM8" s="26">
        <f>IFERROR(__xludf.DUMMYFUNCTION("IF(AK8="""","""",COUNTA(SPLIT(AK8,"" "")))"),170.0)</f>
        <v>170</v>
      </c>
      <c r="AN8" s="9">
        <f t="shared" si="14"/>
        <v>1</v>
      </c>
      <c r="AO8" s="9">
        <f t="shared" si="15"/>
        <v>-2</v>
      </c>
      <c r="AP8" s="9">
        <f t="shared" si="16"/>
        <v>28</v>
      </c>
      <c r="AQ8" s="9">
        <f t="shared" si="17"/>
        <v>-28</v>
      </c>
      <c r="AR8" s="30" t="s">
        <v>388</v>
      </c>
      <c r="AS8" s="26"/>
      <c r="AT8" s="26"/>
      <c r="AU8" s="26"/>
      <c r="AV8" s="26"/>
      <c r="AW8" s="26"/>
      <c r="AX8" s="26"/>
      <c r="AY8" s="26"/>
      <c r="AZ8" s="26"/>
    </row>
    <row r="9" ht="32.25" customHeight="1">
      <c r="A9" s="30">
        <v>8.0</v>
      </c>
      <c r="B9" s="30" t="s">
        <v>389</v>
      </c>
      <c r="C9" s="30" t="s">
        <v>390</v>
      </c>
      <c r="D9" s="26"/>
      <c r="E9" s="26">
        <f>IFERROR(__xludf.DUMMYFUNCTION("IF(C9="""","""",COUNTA(SPLIT(C9,"" "")))"),200.0)</f>
        <v>200</v>
      </c>
      <c r="F9" s="30" t="s">
        <v>391</v>
      </c>
      <c r="G9" s="26"/>
      <c r="H9" s="26">
        <f>IFERROR(__xludf.DUMMYFUNCTION("IF(F9="""","""",COUNTA(SPLIT(F9,"" "")))"),173.0)</f>
        <v>173</v>
      </c>
      <c r="I9" s="26">
        <f t="shared" si="1"/>
        <v>0.3953318745</v>
      </c>
      <c r="J9" s="9">
        <f t="shared" si="2"/>
        <v>186.5</v>
      </c>
      <c r="K9" s="9">
        <f t="shared" si="3"/>
        <v>-27</v>
      </c>
      <c r="L9" s="9">
        <f t="shared" si="4"/>
        <v>6</v>
      </c>
      <c r="M9" s="9">
        <f t="shared" si="5"/>
        <v>-6</v>
      </c>
      <c r="N9" s="30" t="s">
        <v>392</v>
      </c>
      <c r="O9" s="26"/>
      <c r="P9" s="26">
        <f>IFERROR(__xludf.DUMMYFUNCTION("IF(N9="""","""",COUNTA(SPLIT(N9,"" "")))"),85.0)</f>
        <v>85</v>
      </c>
      <c r="Q9" s="30" t="s">
        <v>393</v>
      </c>
      <c r="R9" s="26"/>
      <c r="S9" s="26">
        <f>IFERROR(__xludf.DUMMYFUNCTION("IF(Q9="""","""",COUNTA(SPLIT(Q9,"" "")))"),76.0)</f>
        <v>76</v>
      </c>
      <c r="T9" s="9">
        <f t="shared" si="6"/>
        <v>3</v>
      </c>
      <c r="U9" s="9">
        <f t="shared" si="7"/>
        <v>-6</v>
      </c>
      <c r="V9" s="9">
        <f t="shared" si="8"/>
        <v>24</v>
      </c>
      <c r="W9" s="9">
        <f t="shared" si="9"/>
        <v>-24</v>
      </c>
      <c r="X9" s="30" t="s">
        <v>394</v>
      </c>
      <c r="Y9" s="26"/>
      <c r="Z9" s="26">
        <f>IFERROR(__xludf.DUMMYFUNCTION("IF(X9="""","""",COUNTA(SPLIT(X9,"" "")))"),332.0)</f>
        <v>332</v>
      </c>
      <c r="AA9" s="30" t="s">
        <v>395</v>
      </c>
      <c r="AB9" s="26"/>
      <c r="AC9" s="26">
        <f>IFERROR(__xludf.DUMMYFUNCTION("IF(AA9="""","""",COUNTA(SPLIT(AA9,"" "")))"),258.0)</f>
        <v>258</v>
      </c>
      <c r="AD9" s="9">
        <f t="shared" si="10"/>
        <v>12</v>
      </c>
      <c r="AE9" s="9">
        <f t="shared" si="11"/>
        <v>-24</v>
      </c>
      <c r="AF9" s="9">
        <f t="shared" si="12"/>
        <v>6</v>
      </c>
      <c r="AG9" s="9">
        <f t="shared" si="13"/>
        <v>-6</v>
      </c>
      <c r="AH9" s="30" t="s">
        <v>396</v>
      </c>
      <c r="AI9" s="26"/>
      <c r="AJ9" s="26">
        <f>IFERROR(__xludf.DUMMYFUNCTION("IF(AH9="""","""",COUNTA(SPLIT(AH9,"" "")))"),210.0)</f>
        <v>210</v>
      </c>
      <c r="AK9" s="30" t="s">
        <v>397</v>
      </c>
      <c r="AL9" s="26"/>
      <c r="AM9" s="26">
        <f>IFERROR(__xludf.DUMMYFUNCTION("IF(AK9="""","""",COUNTA(SPLIT(AK9,"" "")))"),174.0)</f>
        <v>174</v>
      </c>
      <c r="AN9" s="9">
        <f t="shared" si="14"/>
        <v>3</v>
      </c>
      <c r="AO9" s="9">
        <f t="shared" si="15"/>
        <v>-6</v>
      </c>
      <c r="AP9" s="9">
        <f t="shared" si="16"/>
        <v>24</v>
      </c>
      <c r="AQ9" s="9">
        <f t="shared" si="17"/>
        <v>-24</v>
      </c>
      <c r="AR9" s="30" t="s">
        <v>398</v>
      </c>
      <c r="AS9" s="26"/>
      <c r="AT9" s="26"/>
      <c r="AU9" s="26"/>
      <c r="AV9" s="26"/>
      <c r="AW9" s="26"/>
      <c r="AX9" s="26"/>
      <c r="AY9" s="26"/>
      <c r="AZ9" s="26"/>
    </row>
    <row r="10" ht="32.25" customHeight="1">
      <c r="A10" s="30">
        <v>9.0</v>
      </c>
      <c r="B10" s="30" t="s">
        <v>399</v>
      </c>
      <c r="C10" s="30" t="s">
        <v>400</v>
      </c>
      <c r="D10" s="26"/>
      <c r="E10" s="26">
        <f>IFERROR(__xludf.DUMMYFUNCTION("IF(C10="""","""",COUNTA(SPLIT(C10,"" "")))"),235.0)</f>
        <v>235</v>
      </c>
      <c r="F10" s="30" t="s">
        <v>401</v>
      </c>
      <c r="G10" s="26"/>
      <c r="H10" s="26">
        <f>IFERROR(__xludf.DUMMYFUNCTION("IF(F10="""","""",COUNTA(SPLIT(F10,"" "")))"),205.0)</f>
        <v>205</v>
      </c>
      <c r="I10" s="26">
        <f t="shared" si="1"/>
        <v>0.3894230769</v>
      </c>
      <c r="J10" s="9">
        <f t="shared" si="2"/>
        <v>220</v>
      </c>
      <c r="K10" s="9">
        <f t="shared" si="3"/>
        <v>-30</v>
      </c>
      <c r="L10" s="9">
        <f t="shared" si="4"/>
        <v>5</v>
      </c>
      <c r="M10" s="9">
        <f t="shared" si="5"/>
        <v>-5</v>
      </c>
      <c r="N10" s="30" t="s">
        <v>402</v>
      </c>
      <c r="O10" s="26"/>
      <c r="P10" s="26">
        <f>IFERROR(__xludf.DUMMYFUNCTION("IF(N10="""","""",COUNTA(SPLIT(N10,"" "")))"),167.0)</f>
        <v>167</v>
      </c>
      <c r="Q10" s="30" t="s">
        <v>403</v>
      </c>
      <c r="R10" s="26"/>
      <c r="S10" s="26">
        <f>IFERROR(__xludf.DUMMYFUNCTION("IF(Q10="""","""",COUNTA(SPLIT(Q10,"" "")))"),201.0)</f>
        <v>201</v>
      </c>
      <c r="T10" s="9">
        <f t="shared" si="6"/>
        <v>2.5</v>
      </c>
      <c r="U10" s="9">
        <f t="shared" si="7"/>
        <v>-5</v>
      </c>
      <c r="V10" s="9">
        <f t="shared" si="8"/>
        <v>25</v>
      </c>
      <c r="W10" s="9">
        <f t="shared" si="9"/>
        <v>-25</v>
      </c>
      <c r="X10" s="30" t="s">
        <v>404</v>
      </c>
      <c r="Y10" s="26"/>
      <c r="Z10" s="26">
        <f>IFERROR(__xludf.DUMMYFUNCTION("IF(X10="""","""",COUNTA(SPLIT(X10,"" "")))"),422.0)</f>
        <v>422</v>
      </c>
      <c r="AA10" s="30" t="s">
        <v>405</v>
      </c>
      <c r="AB10" s="26"/>
      <c r="AC10" s="26">
        <f>IFERROR(__xludf.DUMMYFUNCTION("IF(AA10="""","""",COUNTA(SPLIT(AA10,"" "")))"),310.0)</f>
        <v>310</v>
      </c>
      <c r="AD10" s="9">
        <f t="shared" si="10"/>
        <v>12.5</v>
      </c>
      <c r="AE10" s="9">
        <f t="shared" si="11"/>
        <v>-25</v>
      </c>
      <c r="AF10" s="9">
        <f t="shared" si="12"/>
        <v>5</v>
      </c>
      <c r="AG10" s="9">
        <f t="shared" si="13"/>
        <v>-5</v>
      </c>
      <c r="AH10" s="30" t="s">
        <v>406</v>
      </c>
      <c r="AI10" s="26"/>
      <c r="AJ10" s="26">
        <f>IFERROR(__xludf.DUMMYFUNCTION("IF(AH10="""","""",COUNTA(SPLIT(AH10,"" "")))"),203.0)</f>
        <v>203</v>
      </c>
      <c r="AK10" s="30" t="s">
        <v>407</v>
      </c>
      <c r="AL10" s="26"/>
      <c r="AM10" s="26">
        <f>IFERROR(__xludf.DUMMYFUNCTION("IF(AK10="""","""",COUNTA(SPLIT(AK10,"" "")))"),222.0)</f>
        <v>222</v>
      </c>
      <c r="AN10" s="9">
        <f t="shared" si="14"/>
        <v>2.5</v>
      </c>
      <c r="AO10" s="9">
        <f t="shared" si="15"/>
        <v>-5</v>
      </c>
      <c r="AP10" s="9">
        <f t="shared" si="16"/>
        <v>25</v>
      </c>
      <c r="AQ10" s="9">
        <f t="shared" si="17"/>
        <v>-25</v>
      </c>
      <c r="AR10" s="30" t="s">
        <v>408</v>
      </c>
      <c r="AS10" s="26"/>
      <c r="AT10" s="26"/>
      <c r="AU10" s="26"/>
      <c r="AV10" s="26"/>
      <c r="AW10" s="26"/>
      <c r="AX10" s="26"/>
      <c r="AY10" s="26"/>
      <c r="AZ10" s="26"/>
    </row>
    <row r="11" ht="32.25" customHeight="1">
      <c r="A11" s="30">
        <v>10.0</v>
      </c>
      <c r="B11" s="30" t="s">
        <v>409</v>
      </c>
      <c r="C11" s="30" t="s">
        <v>410</v>
      </c>
      <c r="D11" s="26"/>
      <c r="E11" s="26">
        <f>IFERROR(__xludf.DUMMYFUNCTION("IF(C11="""","""",COUNTA(SPLIT(C11,"" "")))"),111.0)</f>
        <v>111</v>
      </c>
      <c r="F11" s="30" t="s">
        <v>411</v>
      </c>
      <c r="G11" s="26"/>
      <c r="H11" s="26">
        <f>IFERROR(__xludf.DUMMYFUNCTION("IF(F11="""","""",COUNTA(SPLIT(F11,"" "")))"),65.0)</f>
        <v>65</v>
      </c>
      <c r="I11" s="26">
        <f t="shared" si="1"/>
        <v>0.4129834254</v>
      </c>
      <c r="J11" s="9">
        <f t="shared" si="2"/>
        <v>88</v>
      </c>
      <c r="K11" s="9">
        <f t="shared" si="3"/>
        <v>-46</v>
      </c>
      <c r="L11" s="9">
        <f t="shared" si="4"/>
        <v>4</v>
      </c>
      <c r="M11" s="9">
        <f t="shared" si="5"/>
        <v>-4</v>
      </c>
      <c r="N11" s="30" t="s">
        <v>412</v>
      </c>
      <c r="O11" s="26"/>
      <c r="P11" s="26">
        <f>IFERROR(__xludf.DUMMYFUNCTION("IF(N11="""","""",COUNTA(SPLIT(N11,"" "")))"),81.0)</f>
        <v>81</v>
      </c>
      <c r="Q11" s="30" t="s">
        <v>413</v>
      </c>
      <c r="R11" s="26"/>
      <c r="S11" s="26">
        <f>IFERROR(__xludf.DUMMYFUNCTION("IF(Q11="""","""",COUNTA(SPLIT(Q11,"" "")))"),79.0)</f>
        <v>79</v>
      </c>
      <c r="T11" s="9">
        <f t="shared" si="6"/>
        <v>2</v>
      </c>
      <c r="U11" s="9">
        <f t="shared" si="7"/>
        <v>-4</v>
      </c>
      <c r="V11" s="9">
        <f t="shared" si="8"/>
        <v>26</v>
      </c>
      <c r="W11" s="9">
        <f t="shared" si="9"/>
        <v>-26</v>
      </c>
      <c r="X11" s="30" t="s">
        <v>414</v>
      </c>
      <c r="Y11" s="26"/>
      <c r="Z11" s="26">
        <f>IFERROR(__xludf.DUMMYFUNCTION("IF(X11="""","""",COUNTA(SPLIT(X11,"" "")))"),224.0)</f>
        <v>224</v>
      </c>
      <c r="AA11" s="30" t="s">
        <v>415</v>
      </c>
      <c r="AB11" s="26"/>
      <c r="AC11" s="26">
        <f>IFERROR(__xludf.DUMMYFUNCTION("IF(AA11="""","""",COUNTA(SPLIT(AA11,"" "")))"),203.0)</f>
        <v>203</v>
      </c>
      <c r="AD11" s="9">
        <f t="shared" si="10"/>
        <v>13</v>
      </c>
      <c r="AE11" s="9">
        <f t="shared" si="11"/>
        <v>-26</v>
      </c>
      <c r="AF11" s="9">
        <f t="shared" si="12"/>
        <v>4</v>
      </c>
      <c r="AG11" s="9">
        <f t="shared" si="13"/>
        <v>-4</v>
      </c>
      <c r="AH11" s="30" t="s">
        <v>416</v>
      </c>
      <c r="AI11" s="26"/>
      <c r="AJ11" s="26">
        <f>IFERROR(__xludf.DUMMYFUNCTION("IF(AH11="""","""",COUNTA(SPLIT(AH11,"" "")))"),94.0)</f>
        <v>94</v>
      </c>
      <c r="AK11" s="30" t="s">
        <v>417</v>
      </c>
      <c r="AL11" s="26"/>
      <c r="AM11" s="26">
        <f>IFERROR(__xludf.DUMMYFUNCTION("IF(AK11="""","""",COUNTA(SPLIT(AK11,"" "")))"),80.0)</f>
        <v>80</v>
      </c>
      <c r="AN11" s="9">
        <f t="shared" si="14"/>
        <v>2</v>
      </c>
      <c r="AO11" s="9">
        <f t="shared" si="15"/>
        <v>-4</v>
      </c>
      <c r="AP11" s="9">
        <f t="shared" si="16"/>
        <v>26</v>
      </c>
      <c r="AQ11" s="9">
        <f t="shared" si="17"/>
        <v>-26</v>
      </c>
      <c r="AR11" s="30" t="s">
        <v>418</v>
      </c>
      <c r="AS11" s="26"/>
      <c r="AT11" s="26"/>
      <c r="AU11" s="26"/>
      <c r="AV11" s="26"/>
      <c r="AW11" s="26"/>
      <c r="AX11" s="26"/>
      <c r="AY11" s="26"/>
      <c r="AZ11" s="26"/>
    </row>
    <row r="12" ht="32.25" customHeight="1">
      <c r="A12" s="30">
        <v>11.0</v>
      </c>
      <c r="B12" s="30" t="s">
        <v>419</v>
      </c>
      <c r="C12" s="30" t="s">
        <v>420</v>
      </c>
      <c r="D12" s="26"/>
      <c r="E12" s="26">
        <f>IFERROR(__xludf.DUMMYFUNCTION("IF(C12="""","""",COUNTA(SPLIT(C12,"" "")))"),201.0)</f>
        <v>201</v>
      </c>
      <c r="F12" s="30" t="s">
        <v>421</v>
      </c>
      <c r="G12" s="26"/>
      <c r="H12" s="26">
        <f>IFERROR(__xludf.DUMMYFUNCTION("IF(F12="""","""",COUNTA(SPLIT(F12,"" "")))"),179.0)</f>
        <v>179</v>
      </c>
      <c r="I12" s="26">
        <f t="shared" si="1"/>
        <v>0.3896477354</v>
      </c>
      <c r="J12" s="9">
        <f t="shared" si="2"/>
        <v>190</v>
      </c>
      <c r="K12" s="9">
        <f t="shared" si="3"/>
        <v>-22</v>
      </c>
      <c r="L12" s="9">
        <f t="shared" si="4"/>
        <v>7</v>
      </c>
      <c r="M12" s="9">
        <f t="shared" si="5"/>
        <v>-7</v>
      </c>
      <c r="N12" s="30" t="s">
        <v>422</v>
      </c>
      <c r="O12" s="26"/>
      <c r="P12" s="26">
        <f>IFERROR(__xludf.DUMMYFUNCTION("IF(N12="""","""",COUNTA(SPLIT(N12,"" "")))"),187.0)</f>
        <v>187</v>
      </c>
      <c r="Q12" s="30" t="s">
        <v>423</v>
      </c>
      <c r="R12" s="26"/>
      <c r="S12" s="26">
        <f>IFERROR(__xludf.DUMMYFUNCTION("IF(Q12="""","""",COUNTA(SPLIT(Q12,"" "")))"),121.0)</f>
        <v>121</v>
      </c>
      <c r="T12" s="9">
        <f t="shared" si="6"/>
        <v>3.5</v>
      </c>
      <c r="U12" s="9">
        <f t="shared" si="7"/>
        <v>-7</v>
      </c>
      <c r="V12" s="9">
        <f t="shared" si="8"/>
        <v>23</v>
      </c>
      <c r="W12" s="9">
        <f t="shared" si="9"/>
        <v>-23</v>
      </c>
      <c r="X12" s="30" t="s">
        <v>424</v>
      </c>
      <c r="Y12" s="26"/>
      <c r="Z12" s="26">
        <f>IFERROR(__xludf.DUMMYFUNCTION("IF(X12="""","""",COUNTA(SPLIT(X12,"" "")))"),257.0)</f>
        <v>257</v>
      </c>
      <c r="AA12" s="30" t="s">
        <v>425</v>
      </c>
      <c r="AB12" s="26"/>
      <c r="AC12" s="26">
        <f>IFERROR(__xludf.DUMMYFUNCTION("IF(AA12="""","""",COUNTA(SPLIT(AA12,"" "")))"),226.0)</f>
        <v>226</v>
      </c>
      <c r="AD12" s="9">
        <f t="shared" si="10"/>
        <v>11.5</v>
      </c>
      <c r="AE12" s="9">
        <f t="shared" si="11"/>
        <v>-23</v>
      </c>
      <c r="AF12" s="9">
        <f t="shared" si="12"/>
        <v>7</v>
      </c>
      <c r="AG12" s="9">
        <f t="shared" si="13"/>
        <v>-7</v>
      </c>
      <c r="AH12" s="30" t="s">
        <v>426</v>
      </c>
      <c r="AI12" s="26"/>
      <c r="AJ12" s="26">
        <f>IFERROR(__xludf.DUMMYFUNCTION("IF(AH12="""","""",COUNTA(SPLIT(AH12,"" "")))"),164.0)</f>
        <v>164</v>
      </c>
      <c r="AK12" s="30" t="s">
        <v>427</v>
      </c>
      <c r="AL12" s="26"/>
      <c r="AM12" s="26">
        <f>IFERROR(__xludf.DUMMYFUNCTION("IF(AK12="""","""",COUNTA(SPLIT(AK12,"" "")))"),138.0)</f>
        <v>138</v>
      </c>
      <c r="AN12" s="9">
        <f t="shared" si="14"/>
        <v>3.5</v>
      </c>
      <c r="AO12" s="9">
        <f t="shared" si="15"/>
        <v>-7</v>
      </c>
      <c r="AP12" s="9">
        <f t="shared" si="16"/>
        <v>23</v>
      </c>
      <c r="AQ12" s="9">
        <f t="shared" si="17"/>
        <v>-23</v>
      </c>
      <c r="AR12" s="30" t="s">
        <v>428</v>
      </c>
      <c r="AS12" s="26"/>
      <c r="AT12" s="26"/>
      <c r="AU12" s="26"/>
      <c r="AV12" s="26"/>
      <c r="AW12" s="26"/>
      <c r="AX12" s="26"/>
      <c r="AY12" s="26"/>
      <c r="AZ12" s="26"/>
    </row>
    <row r="13" ht="32.25" customHeight="1">
      <c r="A13" s="30">
        <v>12.0</v>
      </c>
      <c r="B13" s="30" t="s">
        <v>429</v>
      </c>
      <c r="C13" s="30" t="s">
        <v>430</v>
      </c>
      <c r="D13" s="26"/>
      <c r="E13" s="26">
        <f>IFERROR(__xludf.DUMMYFUNCTION("IF(C13="""","""",COUNTA(SPLIT(C13,"" "")))"),218.0)</f>
        <v>218</v>
      </c>
      <c r="F13" s="30" t="s">
        <v>431</v>
      </c>
      <c r="G13" s="26"/>
      <c r="H13" s="26">
        <f>IFERROR(__xludf.DUMMYFUNCTION("IF(F13="""","""",COUNTA(SPLIT(F13,"" "")))"),120.0)</f>
        <v>120</v>
      </c>
      <c r="I13" s="26">
        <f t="shared" si="1"/>
        <v>0.3198380567</v>
      </c>
      <c r="J13" s="9">
        <f t="shared" si="2"/>
        <v>169</v>
      </c>
      <c r="K13" s="9">
        <f t="shared" si="3"/>
        <v>-98</v>
      </c>
      <c r="L13" s="9">
        <f t="shared" si="4"/>
        <v>1</v>
      </c>
      <c r="M13" s="9">
        <f t="shared" si="5"/>
        <v>-1</v>
      </c>
      <c r="N13" s="30" t="s">
        <v>432</v>
      </c>
      <c r="O13" s="26"/>
      <c r="P13" s="26">
        <f>IFERROR(__xludf.DUMMYFUNCTION("IF(N13="""","""",COUNTA(SPLIT(N13,"" "")))"),115.0)</f>
        <v>115</v>
      </c>
      <c r="Q13" s="30" t="s">
        <v>433</v>
      </c>
      <c r="R13" s="26"/>
      <c r="S13" s="26">
        <f>IFERROR(__xludf.DUMMYFUNCTION("IF(Q13="""","""",COUNTA(SPLIT(Q13,"" "")))"),140.0)</f>
        <v>140</v>
      </c>
      <c r="T13" s="9">
        <f t="shared" si="6"/>
        <v>0.5</v>
      </c>
      <c r="U13" s="9">
        <f t="shared" si="7"/>
        <v>-1</v>
      </c>
      <c r="V13" s="9">
        <f t="shared" si="8"/>
        <v>29</v>
      </c>
      <c r="W13" s="9">
        <f t="shared" si="9"/>
        <v>-29</v>
      </c>
      <c r="X13" s="30" t="s">
        <v>434</v>
      </c>
      <c r="Y13" s="26"/>
      <c r="Z13" s="26">
        <f>IFERROR(__xludf.DUMMYFUNCTION("IF(X13="""","""",COUNTA(SPLIT(X13,"" "")))"),244.0)</f>
        <v>244</v>
      </c>
      <c r="AA13" s="30" t="s">
        <v>435</v>
      </c>
      <c r="AB13" s="26"/>
      <c r="AC13" s="26">
        <f>IFERROR(__xludf.DUMMYFUNCTION("IF(AA13="""","""",COUNTA(SPLIT(AA13,"" "")))"),299.0)</f>
        <v>299</v>
      </c>
      <c r="AD13" s="9">
        <f t="shared" si="10"/>
        <v>14.5</v>
      </c>
      <c r="AE13" s="9">
        <f t="shared" si="11"/>
        <v>-29</v>
      </c>
      <c r="AF13" s="9">
        <f t="shared" si="12"/>
        <v>1</v>
      </c>
      <c r="AG13" s="9">
        <f t="shared" si="13"/>
        <v>-1</v>
      </c>
      <c r="AH13" s="30" t="s">
        <v>436</v>
      </c>
      <c r="AI13" s="26"/>
      <c r="AJ13" s="26">
        <f>IFERROR(__xludf.DUMMYFUNCTION("IF(AH13="""","""",COUNTA(SPLIT(AH13,"" "")))"),116.0)</f>
        <v>116</v>
      </c>
      <c r="AK13" s="30" t="s">
        <v>437</v>
      </c>
      <c r="AL13" s="26"/>
      <c r="AM13" s="26">
        <f>IFERROR(__xludf.DUMMYFUNCTION("IF(AK13="""","""",COUNTA(SPLIT(AK13,"" "")))"),137.0)</f>
        <v>137</v>
      </c>
      <c r="AN13" s="9">
        <f t="shared" si="14"/>
        <v>0.5</v>
      </c>
      <c r="AO13" s="9">
        <f t="shared" si="15"/>
        <v>-1</v>
      </c>
      <c r="AP13" s="9">
        <f t="shared" si="16"/>
        <v>29</v>
      </c>
      <c r="AQ13" s="9">
        <f t="shared" si="17"/>
        <v>-29</v>
      </c>
      <c r="AR13" s="30" t="s">
        <v>438</v>
      </c>
      <c r="AS13" s="26"/>
      <c r="AT13" s="26"/>
      <c r="AU13" s="26"/>
      <c r="AV13" s="26"/>
      <c r="AW13" s="26"/>
      <c r="AX13" s="26"/>
      <c r="AY13" s="26"/>
      <c r="AZ13" s="26"/>
    </row>
    <row r="14" ht="32.25" customHeight="1">
      <c r="A14" s="30">
        <v>13.0</v>
      </c>
      <c r="B14" s="30" t="s">
        <v>439</v>
      </c>
      <c r="C14" s="30" t="s">
        <v>440</v>
      </c>
      <c r="D14" s="26"/>
      <c r="E14" s="26">
        <f>IFERROR(__xludf.DUMMYFUNCTION("IF(C14="""","""",COUNTA(SPLIT(C14,"" "")))"),179.0)</f>
        <v>179</v>
      </c>
      <c r="F14" s="30" t="s">
        <v>441</v>
      </c>
      <c r="G14" s="26"/>
      <c r="H14" s="26">
        <f>IFERROR(__xludf.DUMMYFUNCTION("IF(F14="""","""",COUNTA(SPLIT(F14,"" "")))"),188.0)</f>
        <v>188</v>
      </c>
      <c r="I14" s="26">
        <f t="shared" si="1"/>
        <v>0.5031948882</v>
      </c>
      <c r="J14" s="9">
        <f t="shared" si="2"/>
        <v>183.5</v>
      </c>
      <c r="K14" s="9">
        <f t="shared" si="3"/>
        <v>9</v>
      </c>
      <c r="L14" s="9">
        <f t="shared" si="4"/>
        <v>24</v>
      </c>
      <c r="M14" s="9">
        <f t="shared" si="5"/>
        <v>24</v>
      </c>
      <c r="N14" s="30" t="s">
        <v>442</v>
      </c>
      <c r="O14" s="26"/>
      <c r="P14" s="26">
        <f>IFERROR(__xludf.DUMMYFUNCTION("IF(N14="""","""",COUNTA(SPLIT(N14,"" "")))"),165.0)</f>
        <v>165</v>
      </c>
      <c r="Q14" s="30" t="s">
        <v>443</v>
      </c>
      <c r="R14" s="26"/>
      <c r="S14" s="26">
        <f>IFERROR(__xludf.DUMMYFUNCTION("IF(Q14="""","""",COUNTA(SPLIT(Q14,"" "")))"),88.0)</f>
        <v>88</v>
      </c>
      <c r="T14" s="9">
        <f t="shared" si="6"/>
        <v>12</v>
      </c>
      <c r="U14" s="9">
        <f t="shared" si="7"/>
        <v>-24</v>
      </c>
      <c r="V14" s="9">
        <f t="shared" si="8"/>
        <v>6</v>
      </c>
      <c r="W14" s="9">
        <f t="shared" si="9"/>
        <v>-6</v>
      </c>
      <c r="X14" s="30" t="s">
        <v>444</v>
      </c>
      <c r="Y14" s="26"/>
      <c r="Z14" s="26">
        <f>IFERROR(__xludf.DUMMYFUNCTION("IF(X14="""","""",COUNTA(SPLIT(X14,"" "")))"),210.0)</f>
        <v>210</v>
      </c>
      <c r="AA14" s="30" t="s">
        <v>445</v>
      </c>
      <c r="AB14" s="26"/>
      <c r="AC14" s="26">
        <f>IFERROR(__xludf.DUMMYFUNCTION("IF(AA14="""","""",COUNTA(SPLIT(AA14,"" "")))"),358.0)</f>
        <v>358</v>
      </c>
      <c r="AD14" s="9">
        <f t="shared" si="10"/>
        <v>3</v>
      </c>
      <c r="AE14" s="9">
        <f t="shared" si="11"/>
        <v>-6</v>
      </c>
      <c r="AF14" s="9">
        <f t="shared" si="12"/>
        <v>24</v>
      </c>
      <c r="AG14" s="9">
        <f t="shared" si="13"/>
        <v>-24</v>
      </c>
      <c r="AH14" s="30" t="s">
        <v>446</v>
      </c>
      <c r="AI14" s="26"/>
      <c r="AJ14" s="26">
        <f>IFERROR(__xludf.DUMMYFUNCTION("IF(AH14="""","""",COUNTA(SPLIT(AH14,"" "")))"),158.0)</f>
        <v>158</v>
      </c>
      <c r="AK14" s="30" t="s">
        <v>447</v>
      </c>
      <c r="AL14" s="26"/>
      <c r="AM14" s="26">
        <f>IFERROR(__xludf.DUMMYFUNCTION("IF(AK14="""","""",COUNTA(SPLIT(AK14,"" "")))"),92.0)</f>
        <v>92</v>
      </c>
      <c r="AN14" s="9">
        <f t="shared" si="14"/>
        <v>12</v>
      </c>
      <c r="AO14" s="9">
        <f t="shared" si="15"/>
        <v>-24</v>
      </c>
      <c r="AP14" s="9">
        <f t="shared" si="16"/>
        <v>6</v>
      </c>
      <c r="AQ14" s="9">
        <f t="shared" si="17"/>
        <v>-6</v>
      </c>
      <c r="AR14" s="30" t="s">
        <v>448</v>
      </c>
      <c r="AS14" s="26"/>
      <c r="AT14" s="26"/>
      <c r="AU14" s="26"/>
      <c r="AV14" s="26"/>
      <c r="AW14" s="26"/>
      <c r="AX14" s="26"/>
      <c r="AY14" s="26"/>
      <c r="AZ14" s="26"/>
    </row>
    <row r="15" ht="32.25" customHeight="1">
      <c r="A15" s="30">
        <v>14.0</v>
      </c>
      <c r="B15" s="30" t="s">
        <v>449</v>
      </c>
      <c r="C15" s="30" t="s">
        <v>450</v>
      </c>
      <c r="D15" s="26"/>
      <c r="E15" s="26">
        <f>IFERROR(__xludf.DUMMYFUNCTION("IF(C15="""","""",COUNTA(SPLIT(C15,"" "")))"),156.0)</f>
        <v>156</v>
      </c>
      <c r="F15" s="30" t="s">
        <v>451</v>
      </c>
      <c r="G15" s="26"/>
      <c r="H15" s="26">
        <f>IFERROR(__xludf.DUMMYFUNCTION("IF(F15="""","""",COUNTA(SPLIT(F15,"" "")))"),136.0)</f>
        <v>136</v>
      </c>
      <c r="I15" s="26">
        <f t="shared" si="1"/>
        <v>0.4688346883</v>
      </c>
      <c r="J15" s="9">
        <f t="shared" si="2"/>
        <v>146</v>
      </c>
      <c r="K15" s="9">
        <f t="shared" si="3"/>
        <v>-20</v>
      </c>
      <c r="L15" s="9">
        <f t="shared" si="4"/>
        <v>8</v>
      </c>
      <c r="M15" s="9">
        <f t="shared" si="5"/>
        <v>-8</v>
      </c>
      <c r="N15" s="30" t="s">
        <v>452</v>
      </c>
      <c r="O15" s="26"/>
      <c r="P15" s="26">
        <f>IFERROR(__xludf.DUMMYFUNCTION("IF(N15="""","""",COUNTA(SPLIT(N15,"" "")))"),120.0)</f>
        <v>120</v>
      </c>
      <c r="Q15" s="30" t="s">
        <v>453</v>
      </c>
      <c r="R15" s="26"/>
      <c r="S15" s="26">
        <f>IFERROR(__xludf.DUMMYFUNCTION("IF(Q15="""","""",COUNTA(SPLIT(Q15,"" "")))"),149.0)</f>
        <v>149</v>
      </c>
      <c r="T15" s="9">
        <f t="shared" si="6"/>
        <v>4</v>
      </c>
      <c r="U15" s="9">
        <f t="shared" si="7"/>
        <v>-8</v>
      </c>
      <c r="V15" s="9">
        <f t="shared" si="8"/>
        <v>22</v>
      </c>
      <c r="W15" s="9">
        <f t="shared" si="9"/>
        <v>-22</v>
      </c>
      <c r="X15" s="30" t="s">
        <v>454</v>
      </c>
      <c r="Y15" s="26"/>
      <c r="Z15" s="26">
        <f>IFERROR(__xludf.DUMMYFUNCTION("IF(X15="""","""",COUNTA(SPLIT(X15,"" "")))"),278.0)</f>
        <v>278</v>
      </c>
      <c r="AA15" s="30" t="s">
        <v>455</v>
      </c>
      <c r="AB15" s="26"/>
      <c r="AC15" s="26">
        <f>IFERROR(__xludf.DUMMYFUNCTION("IF(AA15="""","""",COUNTA(SPLIT(AA15,"" "")))"),235.0)</f>
        <v>235</v>
      </c>
      <c r="AD15" s="9">
        <f t="shared" si="10"/>
        <v>11</v>
      </c>
      <c r="AE15" s="9">
        <f t="shared" si="11"/>
        <v>-22</v>
      </c>
      <c r="AF15" s="9">
        <f t="shared" si="12"/>
        <v>8</v>
      </c>
      <c r="AG15" s="9">
        <f t="shared" si="13"/>
        <v>-8</v>
      </c>
      <c r="AH15" s="30" t="s">
        <v>456</v>
      </c>
      <c r="AI15" s="26"/>
      <c r="AJ15" s="26">
        <f>IFERROR(__xludf.DUMMYFUNCTION("IF(AH15="""","""",COUNTA(SPLIT(AH15,"" "")))"),122.0)</f>
        <v>122</v>
      </c>
      <c r="AK15" s="30" t="s">
        <v>457</v>
      </c>
      <c r="AL15" s="26"/>
      <c r="AM15" s="26">
        <f>IFERROR(__xludf.DUMMYFUNCTION("IF(AK15="""","""",COUNTA(SPLIT(AK15,"" "")))"),143.0)</f>
        <v>143</v>
      </c>
      <c r="AN15" s="9">
        <f t="shared" si="14"/>
        <v>4</v>
      </c>
      <c r="AO15" s="9">
        <f t="shared" si="15"/>
        <v>-8</v>
      </c>
      <c r="AP15" s="9">
        <f t="shared" si="16"/>
        <v>22</v>
      </c>
      <c r="AQ15" s="9">
        <f t="shared" si="17"/>
        <v>-22</v>
      </c>
      <c r="AR15" s="30" t="s">
        <v>458</v>
      </c>
      <c r="AS15" s="26"/>
      <c r="AT15" s="26"/>
      <c r="AU15" s="26"/>
      <c r="AV15" s="26"/>
      <c r="AW15" s="26"/>
      <c r="AX15" s="26"/>
      <c r="AY15" s="26"/>
      <c r="AZ15" s="26"/>
    </row>
    <row r="16" ht="32.25" customHeight="1">
      <c r="A16" s="30">
        <v>15.0</v>
      </c>
      <c r="B16" s="30" t="s">
        <v>459</v>
      </c>
      <c r="C16" s="30" t="s">
        <v>460</v>
      </c>
      <c r="D16" s="26"/>
      <c r="E16" s="26">
        <f>IFERROR(__xludf.DUMMYFUNCTION("IF(C16="""","""",COUNTA(SPLIT(C16,"" "")))"),133.0)</f>
        <v>133</v>
      </c>
      <c r="F16" s="30" t="s">
        <v>461</v>
      </c>
      <c r="G16" s="26"/>
      <c r="H16" s="26">
        <f>IFERROR(__xludf.DUMMYFUNCTION("IF(F16="""","""",COUNTA(SPLIT(F16,"" "")))"),181.0)</f>
        <v>181</v>
      </c>
      <c r="I16" s="26">
        <f t="shared" si="1"/>
        <v>0.3731343284</v>
      </c>
      <c r="J16" s="9">
        <f t="shared" si="2"/>
        <v>157</v>
      </c>
      <c r="K16" s="9">
        <f t="shared" si="3"/>
        <v>48</v>
      </c>
      <c r="L16" s="9">
        <f t="shared" si="4"/>
        <v>28</v>
      </c>
      <c r="M16" s="9">
        <f t="shared" si="5"/>
        <v>28</v>
      </c>
      <c r="N16" s="30" t="s">
        <v>462</v>
      </c>
      <c r="O16" s="26"/>
      <c r="P16" s="26">
        <f>IFERROR(__xludf.DUMMYFUNCTION("IF(N16="""","""",COUNTA(SPLIT(N16,"" "")))"),72.0)</f>
        <v>72</v>
      </c>
      <c r="Q16" s="30" t="s">
        <v>463</v>
      </c>
      <c r="R16" s="26"/>
      <c r="S16" s="26">
        <f>IFERROR(__xludf.DUMMYFUNCTION("IF(Q16="""","""",COUNTA(SPLIT(Q16,"" "")))"),106.0)</f>
        <v>106</v>
      </c>
      <c r="T16" s="9">
        <f t="shared" si="6"/>
        <v>14</v>
      </c>
      <c r="U16" s="9">
        <f t="shared" si="7"/>
        <v>-28</v>
      </c>
      <c r="V16" s="9">
        <f t="shared" si="8"/>
        <v>2</v>
      </c>
      <c r="W16" s="9">
        <f t="shared" si="9"/>
        <v>-2</v>
      </c>
      <c r="X16" s="30" t="s">
        <v>464</v>
      </c>
      <c r="Y16" s="26"/>
      <c r="Z16" s="26">
        <f>IFERROR(__xludf.DUMMYFUNCTION("IF(X16="""","""",COUNTA(SPLIT(X16,"" "")))"),249.0)</f>
        <v>249</v>
      </c>
      <c r="AA16" s="30" t="s">
        <v>465</v>
      </c>
      <c r="AB16" s="26"/>
      <c r="AC16" s="26">
        <f>IFERROR(__xludf.DUMMYFUNCTION("IF(AA16="""","""",COUNTA(SPLIT(AA16,"" "")))"),235.0)</f>
        <v>235</v>
      </c>
      <c r="AD16" s="9">
        <f t="shared" si="10"/>
        <v>1</v>
      </c>
      <c r="AE16" s="9">
        <f t="shared" si="11"/>
        <v>-2</v>
      </c>
      <c r="AF16" s="9">
        <f t="shared" si="12"/>
        <v>28</v>
      </c>
      <c r="AG16" s="9">
        <f t="shared" si="13"/>
        <v>-28</v>
      </c>
      <c r="AH16" s="30" t="s">
        <v>466</v>
      </c>
      <c r="AI16" s="26"/>
      <c r="AJ16" s="26">
        <f>IFERROR(__xludf.DUMMYFUNCTION("IF(AH16="""","""",COUNTA(SPLIT(AH16,"" "")))"),90.0)</f>
        <v>90</v>
      </c>
      <c r="AK16" s="30" t="s">
        <v>467</v>
      </c>
      <c r="AL16" s="26"/>
      <c r="AM16" s="26">
        <f>IFERROR(__xludf.DUMMYFUNCTION("IF(AK16="""","""",COUNTA(SPLIT(AK16,"" "")))"),145.0)</f>
        <v>145</v>
      </c>
      <c r="AN16" s="9">
        <f t="shared" si="14"/>
        <v>14</v>
      </c>
      <c r="AO16" s="9">
        <f t="shared" si="15"/>
        <v>-28</v>
      </c>
      <c r="AP16" s="9">
        <f t="shared" si="16"/>
        <v>2</v>
      </c>
      <c r="AQ16" s="9">
        <f t="shared" si="17"/>
        <v>-2</v>
      </c>
      <c r="AR16" s="30" t="s">
        <v>468</v>
      </c>
      <c r="AS16" s="26"/>
      <c r="AT16" s="26"/>
      <c r="AU16" s="26"/>
      <c r="AV16" s="26"/>
      <c r="AW16" s="26"/>
      <c r="AX16" s="26"/>
      <c r="AY16" s="26"/>
      <c r="AZ16" s="26"/>
    </row>
    <row r="17" ht="32.25" customHeight="1">
      <c r="A17" s="30">
        <v>16.0</v>
      </c>
      <c r="B17" s="30" t="s">
        <v>469</v>
      </c>
      <c r="C17" s="30" t="s">
        <v>470</v>
      </c>
      <c r="D17" s="26"/>
      <c r="E17" s="26">
        <f>IFERROR(__xludf.DUMMYFUNCTION("IF(C17="""","""",COUNTA(SPLIT(C17,"" "")))"),255.0)</f>
        <v>255</v>
      </c>
      <c r="F17" s="30" t="s">
        <v>471</v>
      </c>
      <c r="G17" s="26"/>
      <c r="H17" s="26">
        <f>IFERROR(__xludf.DUMMYFUNCTION("IF(F17="""","""",COUNTA(SPLIT(F17,"" "")))"),262.0)</f>
        <v>262</v>
      </c>
      <c r="I17" s="26">
        <f t="shared" si="1"/>
        <v>0.352879028</v>
      </c>
      <c r="J17" s="9">
        <f t="shared" si="2"/>
        <v>258.5</v>
      </c>
      <c r="K17" s="9">
        <f t="shared" si="3"/>
        <v>7</v>
      </c>
      <c r="L17" s="9">
        <f t="shared" si="4"/>
        <v>23</v>
      </c>
      <c r="M17" s="9">
        <f t="shared" si="5"/>
        <v>23</v>
      </c>
      <c r="N17" s="30" t="s">
        <v>472</v>
      </c>
      <c r="O17" s="26"/>
      <c r="P17" s="26">
        <f>IFERROR(__xludf.DUMMYFUNCTION("IF(N17="""","""",COUNTA(SPLIT(N17,"" "")))"),219.0)</f>
        <v>219</v>
      </c>
      <c r="Q17" s="30" t="s">
        <v>473</v>
      </c>
      <c r="R17" s="26"/>
      <c r="S17" s="26">
        <f>IFERROR(__xludf.DUMMYFUNCTION("IF(Q17="""","""",COUNTA(SPLIT(Q17,"" "")))"),255.0)</f>
        <v>255</v>
      </c>
      <c r="T17" s="9">
        <f t="shared" si="6"/>
        <v>11.5</v>
      </c>
      <c r="U17" s="9">
        <f t="shared" si="7"/>
        <v>-23</v>
      </c>
      <c r="V17" s="9">
        <f t="shared" si="8"/>
        <v>7</v>
      </c>
      <c r="W17" s="9">
        <f t="shared" si="9"/>
        <v>-7</v>
      </c>
      <c r="X17" s="30" t="s">
        <v>474</v>
      </c>
      <c r="Y17" s="26"/>
      <c r="Z17" s="26">
        <f>IFERROR(__xludf.DUMMYFUNCTION("IF(X17="""","""",COUNTA(SPLIT(X17,"" "")))"),335.0)</f>
        <v>335</v>
      </c>
      <c r="AA17" s="30" t="s">
        <v>475</v>
      </c>
      <c r="AB17" s="26"/>
      <c r="AC17" s="26">
        <f>IFERROR(__xludf.DUMMYFUNCTION("IF(AA17="""","""",COUNTA(SPLIT(AA17,"" "")))"),400.0)</f>
        <v>400</v>
      </c>
      <c r="AD17" s="9">
        <f t="shared" si="10"/>
        <v>3.5</v>
      </c>
      <c r="AE17" s="9">
        <f t="shared" si="11"/>
        <v>-7</v>
      </c>
      <c r="AF17" s="9">
        <f t="shared" si="12"/>
        <v>23</v>
      </c>
      <c r="AG17" s="9">
        <f t="shared" si="13"/>
        <v>-23</v>
      </c>
      <c r="AH17" s="30" t="s">
        <v>476</v>
      </c>
      <c r="AI17" s="26"/>
      <c r="AJ17" s="26">
        <f>IFERROR(__xludf.DUMMYFUNCTION("IF(AH17="""","""",COUNTA(SPLIT(AH17,"" "")))"),255.0)</f>
        <v>255</v>
      </c>
      <c r="AK17" s="30" t="s">
        <v>477</v>
      </c>
      <c r="AL17" s="26"/>
      <c r="AM17" s="26">
        <f>IFERROR(__xludf.DUMMYFUNCTION("IF(AK17="""","""",COUNTA(SPLIT(AK17,"" "")))"),270.0)</f>
        <v>270</v>
      </c>
      <c r="AN17" s="9">
        <f t="shared" si="14"/>
        <v>11.5</v>
      </c>
      <c r="AO17" s="9">
        <f t="shared" si="15"/>
        <v>-23</v>
      </c>
      <c r="AP17" s="9">
        <f t="shared" si="16"/>
        <v>7</v>
      </c>
      <c r="AQ17" s="9">
        <f t="shared" si="17"/>
        <v>-7</v>
      </c>
      <c r="AR17" s="30" t="s">
        <v>478</v>
      </c>
      <c r="AS17" s="26"/>
      <c r="AT17" s="26"/>
      <c r="AU17" s="26"/>
      <c r="AV17" s="26"/>
      <c r="AW17" s="26"/>
      <c r="AX17" s="26"/>
      <c r="AY17" s="26"/>
      <c r="AZ17" s="26"/>
    </row>
    <row r="18" ht="32.25" customHeight="1">
      <c r="A18" s="30">
        <v>17.0</v>
      </c>
      <c r="B18" s="30" t="s">
        <v>479</v>
      </c>
      <c r="C18" s="30" t="s">
        <v>480</v>
      </c>
      <c r="D18" s="26"/>
      <c r="E18" s="26">
        <f>IFERROR(__xludf.DUMMYFUNCTION("IF(C18="""","""",COUNTA(SPLIT(C18,"" "")))"),190.0)</f>
        <v>190</v>
      </c>
      <c r="F18" s="30" t="s">
        <v>481</v>
      </c>
      <c r="G18" s="26"/>
      <c r="H18" s="26">
        <f>IFERROR(__xludf.DUMMYFUNCTION("IF(F18="""","""",COUNTA(SPLIT(F18,"" "")))"),214.0)</f>
        <v>214</v>
      </c>
      <c r="I18" s="26">
        <f t="shared" si="1"/>
        <v>0.5098841172</v>
      </c>
      <c r="J18" s="9">
        <f t="shared" si="2"/>
        <v>202</v>
      </c>
      <c r="K18" s="9">
        <f t="shared" si="3"/>
        <v>24</v>
      </c>
      <c r="L18" s="9">
        <f t="shared" si="4"/>
        <v>26</v>
      </c>
      <c r="M18" s="9">
        <f t="shared" si="5"/>
        <v>26</v>
      </c>
      <c r="N18" s="30" t="s">
        <v>482</v>
      </c>
      <c r="O18" s="26"/>
      <c r="P18" s="26">
        <f>IFERROR(__xludf.DUMMYFUNCTION("IF(N18="""","""",COUNTA(SPLIT(N18,"" "")))"),146.0)</f>
        <v>146</v>
      </c>
      <c r="Q18" s="30" t="s">
        <v>483</v>
      </c>
      <c r="R18" s="26"/>
      <c r="S18" s="26">
        <f>IFERROR(__xludf.DUMMYFUNCTION("IF(Q18="""","""",COUNTA(SPLIT(Q18,"" "")))"),173.0)</f>
        <v>173</v>
      </c>
      <c r="T18" s="9">
        <f t="shared" si="6"/>
        <v>13</v>
      </c>
      <c r="U18" s="9">
        <f t="shared" si="7"/>
        <v>-26</v>
      </c>
      <c r="V18" s="9">
        <f t="shared" si="8"/>
        <v>4</v>
      </c>
      <c r="W18" s="9">
        <f t="shared" si="9"/>
        <v>-4</v>
      </c>
      <c r="X18" s="30" t="s">
        <v>484</v>
      </c>
      <c r="Y18" s="26"/>
      <c r="Z18" s="26">
        <f>IFERROR(__xludf.DUMMYFUNCTION("IF(X18="""","""",COUNTA(SPLIT(X18,"" "")))"),177.0)</f>
        <v>177</v>
      </c>
      <c r="AA18" s="30" t="s">
        <v>485</v>
      </c>
      <c r="AB18" s="26"/>
      <c r="AC18" s="26">
        <f>IFERROR(__xludf.DUMMYFUNCTION("IF(AA18="""","""",COUNTA(SPLIT(AA18,"" "")))"),199.0)</f>
        <v>199</v>
      </c>
      <c r="AD18" s="9">
        <f t="shared" si="10"/>
        <v>2</v>
      </c>
      <c r="AE18" s="9">
        <f t="shared" si="11"/>
        <v>-4</v>
      </c>
      <c r="AF18" s="9">
        <f t="shared" si="12"/>
        <v>26</v>
      </c>
      <c r="AG18" s="9">
        <f t="shared" si="13"/>
        <v>-26</v>
      </c>
      <c r="AH18" s="30" t="s">
        <v>486</v>
      </c>
      <c r="AI18" s="26"/>
      <c r="AJ18" s="26">
        <f>IFERROR(__xludf.DUMMYFUNCTION("IF(AH18="""","""",COUNTA(SPLIT(AH18,"" "")))"),141.0)</f>
        <v>141</v>
      </c>
      <c r="AK18" s="30" t="s">
        <v>487</v>
      </c>
      <c r="AL18" s="26"/>
      <c r="AM18" s="26">
        <f>IFERROR(__xludf.DUMMYFUNCTION("IF(AK18="""","""",COUNTA(SPLIT(AK18,"" "")))"),121.0)</f>
        <v>121</v>
      </c>
      <c r="AN18" s="9">
        <f t="shared" si="14"/>
        <v>13</v>
      </c>
      <c r="AO18" s="9">
        <f t="shared" si="15"/>
        <v>-26</v>
      </c>
      <c r="AP18" s="9">
        <f t="shared" si="16"/>
        <v>4</v>
      </c>
      <c r="AQ18" s="9">
        <f t="shared" si="17"/>
        <v>-4</v>
      </c>
      <c r="AR18" s="30" t="s">
        <v>488</v>
      </c>
      <c r="AS18" s="26"/>
      <c r="AT18" s="26"/>
      <c r="AU18" s="26"/>
      <c r="AV18" s="26"/>
      <c r="AW18" s="26"/>
      <c r="AX18" s="26"/>
      <c r="AY18" s="26"/>
      <c r="AZ18" s="26"/>
    </row>
    <row r="19" ht="32.25" customHeight="1">
      <c r="A19" s="26"/>
      <c r="B19" s="26"/>
      <c r="C19" s="26"/>
      <c r="D19" s="26"/>
      <c r="E19" s="26"/>
      <c r="F19" s="26"/>
      <c r="G19" s="26"/>
      <c r="H19" s="26"/>
      <c r="I19" s="26"/>
      <c r="J19" s="9">
        <f t="shared" si="2"/>
        <v>0</v>
      </c>
      <c r="K19" s="9">
        <f t="shared" si="3"/>
        <v>0</v>
      </c>
      <c r="L19" s="9">
        <f t="shared" si="4"/>
        <v>10</v>
      </c>
      <c r="M19" s="9">
        <f t="shared" si="5"/>
        <v>-10</v>
      </c>
      <c r="N19" s="26"/>
      <c r="O19" s="26"/>
      <c r="P19" s="26"/>
      <c r="Q19" s="26"/>
      <c r="R19" s="26"/>
      <c r="S19" s="26"/>
      <c r="T19" s="9">
        <f t="shared" si="6"/>
        <v>5</v>
      </c>
      <c r="U19" s="9">
        <f t="shared" si="7"/>
        <v>-10</v>
      </c>
      <c r="V19" s="9">
        <f t="shared" si="8"/>
        <v>9</v>
      </c>
      <c r="W19" s="9">
        <f t="shared" si="9"/>
        <v>-9</v>
      </c>
      <c r="X19" s="26"/>
      <c r="Y19" s="26"/>
      <c r="Z19" s="26"/>
      <c r="AA19" s="26"/>
      <c r="AB19" s="26"/>
      <c r="AC19" s="26"/>
      <c r="AD19" s="9">
        <f t="shared" si="10"/>
        <v>4.5</v>
      </c>
      <c r="AE19" s="9">
        <f t="shared" si="11"/>
        <v>-9</v>
      </c>
      <c r="AF19" s="9">
        <f t="shared" si="12"/>
        <v>10</v>
      </c>
      <c r="AG19" s="9">
        <f t="shared" si="13"/>
        <v>-10</v>
      </c>
      <c r="AH19" s="26"/>
      <c r="AI19" s="26"/>
      <c r="AJ19" s="26"/>
      <c r="AK19" s="26"/>
      <c r="AL19" s="26"/>
      <c r="AM19" s="26"/>
      <c r="AN19" s="9">
        <f t="shared" si="14"/>
        <v>5</v>
      </c>
      <c r="AO19" s="9">
        <f t="shared" si="15"/>
        <v>-10</v>
      </c>
      <c r="AP19" s="9">
        <f t="shared" si="16"/>
        <v>9</v>
      </c>
      <c r="AQ19" s="9">
        <f t="shared" si="17"/>
        <v>-9</v>
      </c>
      <c r="AR19" s="26"/>
      <c r="AS19" s="26"/>
      <c r="AT19" s="26"/>
      <c r="AU19" s="26"/>
      <c r="AV19" s="26"/>
      <c r="AW19" s="26"/>
      <c r="AX19" s="26"/>
      <c r="AY19" s="26"/>
      <c r="AZ19" s="26"/>
    </row>
    <row r="20" ht="32.25" customHeight="1">
      <c r="A20" s="26"/>
      <c r="B20" s="26"/>
      <c r="C20" s="26"/>
      <c r="D20" s="26"/>
      <c r="E20" s="26"/>
      <c r="F20" s="26"/>
      <c r="G20" s="26"/>
      <c r="H20" s="26"/>
      <c r="I20" s="26"/>
      <c r="J20" s="9">
        <f t="shared" si="2"/>
        <v>0</v>
      </c>
      <c r="K20" s="9">
        <f t="shared" si="3"/>
        <v>0</v>
      </c>
      <c r="L20" s="9">
        <f t="shared" si="4"/>
        <v>10</v>
      </c>
      <c r="M20" s="9">
        <f t="shared" si="5"/>
        <v>-10</v>
      </c>
      <c r="N20" s="26"/>
      <c r="O20" s="26"/>
      <c r="P20" s="26"/>
      <c r="Q20" s="26"/>
      <c r="R20" s="26"/>
      <c r="S20" s="26"/>
      <c r="T20" s="9">
        <f t="shared" si="6"/>
        <v>5</v>
      </c>
      <c r="U20" s="9">
        <f t="shared" si="7"/>
        <v>-10</v>
      </c>
      <c r="V20" s="9">
        <f t="shared" si="8"/>
        <v>9</v>
      </c>
      <c r="W20" s="9">
        <f t="shared" si="9"/>
        <v>-9</v>
      </c>
      <c r="X20" s="26"/>
      <c r="Y20" s="26"/>
      <c r="Z20" s="26"/>
      <c r="AA20" s="26"/>
      <c r="AB20" s="26"/>
      <c r="AC20" s="26"/>
      <c r="AD20" s="9">
        <f t="shared" si="10"/>
        <v>4.5</v>
      </c>
      <c r="AE20" s="9">
        <f t="shared" si="11"/>
        <v>-9</v>
      </c>
      <c r="AF20" s="9">
        <f t="shared" si="12"/>
        <v>10</v>
      </c>
      <c r="AG20" s="9">
        <f t="shared" si="13"/>
        <v>-10</v>
      </c>
      <c r="AH20" s="26"/>
      <c r="AI20" s="26"/>
      <c r="AJ20" s="26"/>
      <c r="AK20" s="26"/>
      <c r="AL20" s="26"/>
      <c r="AM20" s="26"/>
      <c r="AN20" s="9">
        <f t="shared" si="14"/>
        <v>5</v>
      </c>
      <c r="AO20" s="9">
        <f t="shared" si="15"/>
        <v>-10</v>
      </c>
      <c r="AP20" s="9">
        <f t="shared" si="16"/>
        <v>9</v>
      </c>
      <c r="AQ20" s="9">
        <f t="shared" si="17"/>
        <v>-9</v>
      </c>
      <c r="AR20" s="26"/>
      <c r="AS20" s="26"/>
      <c r="AT20" s="26"/>
      <c r="AU20" s="26"/>
      <c r="AV20" s="26"/>
      <c r="AW20" s="26"/>
      <c r="AX20" s="26"/>
      <c r="AY20" s="26"/>
      <c r="AZ20" s="26"/>
    </row>
    <row r="21" ht="32.25" customHeight="1">
      <c r="A21" s="26"/>
      <c r="B21" s="26"/>
      <c r="C21" s="26"/>
      <c r="D21" s="26"/>
      <c r="E21" s="26"/>
      <c r="F21" s="26"/>
      <c r="G21" s="26"/>
      <c r="H21" s="26"/>
      <c r="I21" s="26"/>
      <c r="J21" s="9">
        <f t="shared" si="2"/>
        <v>0</v>
      </c>
      <c r="K21" s="9">
        <f t="shared" si="3"/>
        <v>0</v>
      </c>
      <c r="L21" s="9">
        <f t="shared" si="4"/>
        <v>10</v>
      </c>
      <c r="M21" s="9">
        <f t="shared" si="5"/>
        <v>-10</v>
      </c>
      <c r="N21" s="26"/>
      <c r="O21" s="26"/>
      <c r="P21" s="26"/>
      <c r="Q21" s="26"/>
      <c r="R21" s="26"/>
      <c r="S21" s="26"/>
      <c r="T21" s="9">
        <f t="shared" si="6"/>
        <v>5</v>
      </c>
      <c r="U21" s="9">
        <f t="shared" si="7"/>
        <v>-10</v>
      </c>
      <c r="V21" s="9">
        <f t="shared" si="8"/>
        <v>9</v>
      </c>
      <c r="W21" s="9">
        <f t="shared" si="9"/>
        <v>-9</v>
      </c>
      <c r="X21" s="26"/>
      <c r="Y21" s="26"/>
      <c r="Z21" s="26"/>
      <c r="AA21" s="26"/>
      <c r="AB21" s="26"/>
      <c r="AC21" s="26"/>
      <c r="AD21" s="9">
        <f t="shared" si="10"/>
        <v>4.5</v>
      </c>
      <c r="AE21" s="9">
        <f t="shared" si="11"/>
        <v>-9</v>
      </c>
      <c r="AF21" s="9">
        <f t="shared" si="12"/>
        <v>10</v>
      </c>
      <c r="AG21" s="9">
        <f t="shared" si="13"/>
        <v>-10</v>
      </c>
      <c r="AH21" s="26"/>
      <c r="AI21" s="26"/>
      <c r="AJ21" s="26"/>
      <c r="AK21" s="26"/>
      <c r="AL21" s="26"/>
      <c r="AM21" s="26"/>
      <c r="AN21" s="9">
        <f t="shared" si="14"/>
        <v>5</v>
      </c>
      <c r="AO21" s="9">
        <f t="shared" si="15"/>
        <v>-10</v>
      </c>
      <c r="AP21" s="9">
        <f t="shared" si="16"/>
        <v>9</v>
      </c>
      <c r="AQ21" s="9">
        <f t="shared" si="17"/>
        <v>-9</v>
      </c>
      <c r="AR21" s="26"/>
      <c r="AS21" s="26"/>
      <c r="AT21" s="26"/>
      <c r="AU21" s="26"/>
      <c r="AV21" s="26"/>
      <c r="AW21" s="26"/>
      <c r="AX21" s="26"/>
      <c r="AY21" s="26"/>
      <c r="AZ21" s="26"/>
    </row>
    <row r="22" ht="32.25" customHeight="1">
      <c r="A22" s="26"/>
      <c r="B22" s="26"/>
      <c r="C22" s="26"/>
      <c r="D22" s="26"/>
      <c r="E22" s="26"/>
      <c r="F22" s="26"/>
      <c r="G22" s="26"/>
      <c r="H22" s="26"/>
      <c r="I22" s="26"/>
      <c r="J22" s="9">
        <f t="shared" si="2"/>
        <v>0</v>
      </c>
      <c r="K22" s="9">
        <f t="shared" si="3"/>
        <v>0</v>
      </c>
      <c r="L22" s="9">
        <f t="shared" si="4"/>
        <v>10</v>
      </c>
      <c r="M22" s="9">
        <f t="shared" si="5"/>
        <v>-10</v>
      </c>
      <c r="N22" s="26"/>
      <c r="O22" s="26"/>
      <c r="P22" s="26"/>
      <c r="Q22" s="26"/>
      <c r="R22" s="26"/>
      <c r="S22" s="26"/>
      <c r="T22" s="9">
        <f t="shared" si="6"/>
        <v>5</v>
      </c>
      <c r="U22" s="9">
        <f t="shared" si="7"/>
        <v>-10</v>
      </c>
      <c r="V22" s="9">
        <f t="shared" si="8"/>
        <v>9</v>
      </c>
      <c r="W22" s="9">
        <f t="shared" si="9"/>
        <v>-9</v>
      </c>
      <c r="X22" s="26"/>
      <c r="Y22" s="26"/>
      <c r="Z22" s="26"/>
      <c r="AA22" s="26"/>
      <c r="AB22" s="26"/>
      <c r="AC22" s="26"/>
      <c r="AD22" s="9">
        <f t="shared" si="10"/>
        <v>4.5</v>
      </c>
      <c r="AE22" s="9">
        <f t="shared" si="11"/>
        <v>-9</v>
      </c>
      <c r="AF22" s="9">
        <f t="shared" si="12"/>
        <v>10</v>
      </c>
      <c r="AG22" s="9">
        <f t="shared" si="13"/>
        <v>-10</v>
      </c>
      <c r="AH22" s="26"/>
      <c r="AI22" s="26"/>
      <c r="AJ22" s="26"/>
      <c r="AK22" s="26"/>
      <c r="AL22" s="26"/>
      <c r="AM22" s="26"/>
      <c r="AN22" s="9">
        <f t="shared" si="14"/>
        <v>5</v>
      </c>
      <c r="AO22" s="9">
        <f t="shared" si="15"/>
        <v>-10</v>
      </c>
      <c r="AP22" s="9">
        <f t="shared" si="16"/>
        <v>9</v>
      </c>
      <c r="AQ22" s="9">
        <f t="shared" si="17"/>
        <v>-9</v>
      </c>
      <c r="AR22" s="26"/>
      <c r="AS22" s="26"/>
      <c r="AT22" s="26"/>
      <c r="AU22" s="26"/>
      <c r="AV22" s="26"/>
      <c r="AW22" s="26"/>
      <c r="AX22" s="26"/>
      <c r="AY22" s="26"/>
      <c r="AZ22" s="26"/>
    </row>
    <row r="23" ht="32.25" customHeight="1">
      <c r="A23" s="26"/>
      <c r="B23" s="26"/>
      <c r="C23" s="26"/>
      <c r="D23" s="26"/>
      <c r="E23" s="26"/>
      <c r="F23" s="26"/>
      <c r="G23" s="26"/>
      <c r="H23" s="26"/>
      <c r="I23" s="26"/>
      <c r="J23" s="9">
        <f t="shared" si="2"/>
        <v>0</v>
      </c>
      <c r="K23" s="9">
        <f t="shared" si="3"/>
        <v>0</v>
      </c>
      <c r="L23" s="9">
        <f t="shared" si="4"/>
        <v>10</v>
      </c>
      <c r="M23" s="9">
        <f t="shared" si="5"/>
        <v>-10</v>
      </c>
      <c r="N23" s="26"/>
      <c r="O23" s="26"/>
      <c r="P23" s="26"/>
      <c r="Q23" s="26"/>
      <c r="R23" s="26"/>
      <c r="S23" s="26"/>
      <c r="T23" s="9">
        <f t="shared" si="6"/>
        <v>5</v>
      </c>
      <c r="U23" s="9">
        <f t="shared" si="7"/>
        <v>-10</v>
      </c>
      <c r="V23" s="9">
        <f t="shared" si="8"/>
        <v>9</v>
      </c>
      <c r="W23" s="9">
        <f t="shared" si="9"/>
        <v>-9</v>
      </c>
      <c r="X23" s="26"/>
      <c r="Y23" s="26"/>
      <c r="Z23" s="26"/>
      <c r="AA23" s="26"/>
      <c r="AB23" s="26"/>
      <c r="AC23" s="26"/>
      <c r="AD23" s="9">
        <f t="shared" si="10"/>
        <v>4.5</v>
      </c>
      <c r="AE23" s="9">
        <f t="shared" si="11"/>
        <v>-9</v>
      </c>
      <c r="AF23" s="9">
        <f t="shared" si="12"/>
        <v>10</v>
      </c>
      <c r="AG23" s="9">
        <f t="shared" si="13"/>
        <v>-10</v>
      </c>
      <c r="AH23" s="26"/>
      <c r="AI23" s="26"/>
      <c r="AJ23" s="26"/>
      <c r="AK23" s="26"/>
      <c r="AL23" s="26"/>
      <c r="AM23" s="26"/>
      <c r="AN23" s="9">
        <f t="shared" si="14"/>
        <v>5</v>
      </c>
      <c r="AO23" s="9">
        <f t="shared" si="15"/>
        <v>-10</v>
      </c>
      <c r="AP23" s="9">
        <f t="shared" si="16"/>
        <v>9</v>
      </c>
      <c r="AQ23" s="9">
        <f t="shared" si="17"/>
        <v>-9</v>
      </c>
      <c r="AR23" s="26"/>
      <c r="AS23" s="26"/>
      <c r="AT23" s="26"/>
      <c r="AU23" s="26"/>
      <c r="AV23" s="26"/>
      <c r="AW23" s="26"/>
      <c r="AX23" s="26"/>
      <c r="AY23" s="26"/>
      <c r="AZ23" s="26"/>
    </row>
    <row r="24" ht="32.25" customHeight="1">
      <c r="A24" s="26"/>
      <c r="B24" s="26"/>
      <c r="C24" s="26"/>
      <c r="D24" s="26"/>
      <c r="E24" s="26"/>
      <c r="F24" s="26"/>
      <c r="G24" s="26"/>
      <c r="H24" s="26"/>
      <c r="I24" s="26"/>
      <c r="J24" s="9">
        <f t="shared" si="2"/>
        <v>0</v>
      </c>
      <c r="K24" s="9">
        <f t="shared" si="3"/>
        <v>0</v>
      </c>
      <c r="L24" s="9">
        <f t="shared" si="4"/>
        <v>10</v>
      </c>
      <c r="M24" s="9">
        <f t="shared" si="5"/>
        <v>-10</v>
      </c>
      <c r="N24" s="26"/>
      <c r="O24" s="26"/>
      <c r="P24" s="26"/>
      <c r="Q24" s="26"/>
      <c r="R24" s="26"/>
      <c r="S24" s="26"/>
      <c r="T24" s="9">
        <f t="shared" si="6"/>
        <v>5</v>
      </c>
      <c r="U24" s="9">
        <f t="shared" si="7"/>
        <v>-10</v>
      </c>
      <c r="V24" s="9">
        <f t="shared" si="8"/>
        <v>9</v>
      </c>
      <c r="W24" s="9">
        <f t="shared" si="9"/>
        <v>-9</v>
      </c>
      <c r="X24" s="26"/>
      <c r="Y24" s="26"/>
      <c r="Z24" s="26"/>
      <c r="AA24" s="26"/>
      <c r="AB24" s="26"/>
      <c r="AC24" s="26"/>
      <c r="AD24" s="9">
        <f t="shared" si="10"/>
        <v>4.5</v>
      </c>
      <c r="AE24" s="9">
        <f t="shared" si="11"/>
        <v>-9</v>
      </c>
      <c r="AF24" s="9">
        <f t="shared" si="12"/>
        <v>10</v>
      </c>
      <c r="AG24" s="9">
        <f t="shared" si="13"/>
        <v>-10</v>
      </c>
      <c r="AH24" s="26"/>
      <c r="AI24" s="26"/>
      <c r="AJ24" s="26"/>
      <c r="AK24" s="26"/>
      <c r="AL24" s="26"/>
      <c r="AM24" s="26"/>
      <c r="AN24" s="9">
        <f t="shared" si="14"/>
        <v>5</v>
      </c>
      <c r="AO24" s="9">
        <f t="shared" si="15"/>
        <v>-10</v>
      </c>
      <c r="AP24" s="9">
        <f t="shared" si="16"/>
        <v>9</v>
      </c>
      <c r="AQ24" s="9">
        <f t="shared" si="17"/>
        <v>-9</v>
      </c>
      <c r="AR24" s="26"/>
      <c r="AS24" s="26"/>
      <c r="AT24" s="26"/>
      <c r="AU24" s="26"/>
      <c r="AV24" s="26"/>
      <c r="AW24" s="26"/>
      <c r="AX24" s="26"/>
      <c r="AY24" s="26"/>
      <c r="AZ24" s="26"/>
    </row>
    <row r="25" ht="32.25" customHeight="1">
      <c r="A25" s="26"/>
      <c r="B25" s="26"/>
      <c r="C25" s="26"/>
      <c r="D25" s="26"/>
      <c r="E25" s="26"/>
      <c r="F25" s="26"/>
      <c r="G25" s="26"/>
      <c r="H25" s="26"/>
      <c r="I25" s="26"/>
      <c r="J25" s="9">
        <f t="shared" si="2"/>
        <v>0</v>
      </c>
      <c r="K25" s="9">
        <f t="shared" si="3"/>
        <v>0</v>
      </c>
      <c r="L25" s="9">
        <f t="shared" si="4"/>
        <v>10</v>
      </c>
      <c r="M25" s="9">
        <f t="shared" si="5"/>
        <v>-10</v>
      </c>
      <c r="N25" s="26"/>
      <c r="O25" s="26"/>
      <c r="P25" s="26"/>
      <c r="Q25" s="26"/>
      <c r="R25" s="26"/>
      <c r="S25" s="26"/>
      <c r="T25" s="9">
        <f t="shared" si="6"/>
        <v>5</v>
      </c>
      <c r="U25" s="9">
        <f t="shared" si="7"/>
        <v>-10</v>
      </c>
      <c r="V25" s="9">
        <f t="shared" si="8"/>
        <v>9</v>
      </c>
      <c r="W25" s="9">
        <f t="shared" si="9"/>
        <v>-9</v>
      </c>
      <c r="X25" s="26"/>
      <c r="Y25" s="26"/>
      <c r="Z25" s="26"/>
      <c r="AA25" s="26"/>
      <c r="AB25" s="26"/>
      <c r="AC25" s="26"/>
      <c r="AD25" s="9">
        <f t="shared" si="10"/>
        <v>4.5</v>
      </c>
      <c r="AE25" s="9">
        <f t="shared" si="11"/>
        <v>-9</v>
      </c>
      <c r="AF25" s="9">
        <f t="shared" si="12"/>
        <v>10</v>
      </c>
      <c r="AG25" s="9">
        <f t="shared" si="13"/>
        <v>-10</v>
      </c>
      <c r="AH25" s="26"/>
      <c r="AI25" s="26"/>
      <c r="AJ25" s="26"/>
      <c r="AK25" s="26"/>
      <c r="AL25" s="26"/>
      <c r="AM25" s="26"/>
      <c r="AN25" s="9">
        <f t="shared" si="14"/>
        <v>5</v>
      </c>
      <c r="AO25" s="9">
        <f t="shared" si="15"/>
        <v>-10</v>
      </c>
      <c r="AP25" s="9">
        <f t="shared" si="16"/>
        <v>9</v>
      </c>
      <c r="AQ25" s="9">
        <f t="shared" si="17"/>
        <v>-9</v>
      </c>
      <c r="AR25" s="26"/>
      <c r="AS25" s="26"/>
      <c r="AT25" s="26"/>
      <c r="AU25" s="26"/>
      <c r="AV25" s="26"/>
      <c r="AW25" s="26"/>
      <c r="AX25" s="26"/>
      <c r="AY25" s="26"/>
      <c r="AZ25" s="26"/>
    </row>
    <row r="26" ht="32.25" customHeight="1">
      <c r="A26" s="26"/>
      <c r="B26" s="26"/>
      <c r="C26" s="26"/>
      <c r="D26" s="26"/>
      <c r="E26" s="26"/>
      <c r="F26" s="26"/>
      <c r="G26" s="26"/>
      <c r="H26" s="26"/>
      <c r="I26" s="26"/>
      <c r="J26" s="9">
        <f t="shared" si="2"/>
        <v>0</v>
      </c>
      <c r="K26" s="9">
        <f t="shared" si="3"/>
        <v>0</v>
      </c>
      <c r="L26" s="9">
        <f t="shared" si="4"/>
        <v>10</v>
      </c>
      <c r="M26" s="9">
        <f t="shared" si="5"/>
        <v>-10</v>
      </c>
      <c r="N26" s="26"/>
      <c r="O26" s="26"/>
      <c r="P26" s="26"/>
      <c r="Q26" s="26"/>
      <c r="R26" s="26"/>
      <c r="S26" s="26"/>
      <c r="T26" s="9">
        <f t="shared" si="6"/>
        <v>5</v>
      </c>
      <c r="U26" s="9">
        <f t="shared" si="7"/>
        <v>-10</v>
      </c>
      <c r="V26" s="9">
        <f t="shared" si="8"/>
        <v>9</v>
      </c>
      <c r="W26" s="9">
        <f t="shared" si="9"/>
        <v>-9</v>
      </c>
      <c r="X26" s="26"/>
      <c r="Y26" s="26"/>
      <c r="Z26" s="26"/>
      <c r="AA26" s="26"/>
      <c r="AB26" s="26"/>
      <c r="AC26" s="26"/>
      <c r="AD26" s="9">
        <f t="shared" si="10"/>
        <v>4.5</v>
      </c>
      <c r="AE26" s="9">
        <f t="shared" si="11"/>
        <v>-9</v>
      </c>
      <c r="AF26" s="9">
        <f t="shared" si="12"/>
        <v>10</v>
      </c>
      <c r="AG26" s="9">
        <f t="shared" si="13"/>
        <v>-10</v>
      </c>
      <c r="AH26" s="26"/>
      <c r="AI26" s="26"/>
      <c r="AJ26" s="26"/>
      <c r="AK26" s="26"/>
      <c r="AL26" s="26"/>
      <c r="AM26" s="26"/>
      <c r="AN26" s="9">
        <f t="shared" si="14"/>
        <v>5</v>
      </c>
      <c r="AO26" s="9">
        <f t="shared" si="15"/>
        <v>-10</v>
      </c>
      <c r="AP26" s="9">
        <f t="shared" si="16"/>
        <v>9</v>
      </c>
      <c r="AQ26" s="9">
        <f t="shared" si="17"/>
        <v>-9</v>
      </c>
      <c r="AR26" s="26"/>
      <c r="AS26" s="26"/>
      <c r="AT26" s="26"/>
      <c r="AU26" s="26"/>
      <c r="AV26" s="26"/>
      <c r="AW26" s="26"/>
      <c r="AX26" s="26"/>
      <c r="AY26" s="26"/>
      <c r="AZ26" s="26"/>
    </row>
    <row r="27" ht="32.25" customHeight="1">
      <c r="A27" s="26"/>
      <c r="B27" s="26"/>
      <c r="C27" s="26"/>
      <c r="D27" s="26"/>
      <c r="E27" s="26"/>
      <c r="F27" s="26"/>
      <c r="G27" s="26"/>
      <c r="H27" s="26"/>
      <c r="I27" s="26"/>
      <c r="J27" s="9">
        <f t="shared" si="2"/>
        <v>0</v>
      </c>
      <c r="K27" s="9">
        <f t="shared" si="3"/>
        <v>0</v>
      </c>
      <c r="L27" s="9">
        <f t="shared" si="4"/>
        <v>10</v>
      </c>
      <c r="M27" s="9">
        <f t="shared" si="5"/>
        <v>-10</v>
      </c>
      <c r="N27" s="26"/>
      <c r="O27" s="26"/>
      <c r="P27" s="26"/>
      <c r="Q27" s="26"/>
      <c r="R27" s="26"/>
      <c r="S27" s="26"/>
      <c r="T27" s="9">
        <f t="shared" si="6"/>
        <v>5</v>
      </c>
      <c r="U27" s="9">
        <f t="shared" si="7"/>
        <v>-10</v>
      </c>
      <c r="V27" s="9">
        <f t="shared" si="8"/>
        <v>9</v>
      </c>
      <c r="W27" s="9">
        <f t="shared" si="9"/>
        <v>-9</v>
      </c>
      <c r="X27" s="26"/>
      <c r="Y27" s="26"/>
      <c r="Z27" s="26"/>
      <c r="AA27" s="26"/>
      <c r="AB27" s="26"/>
      <c r="AC27" s="26"/>
      <c r="AD27" s="9">
        <f t="shared" si="10"/>
        <v>4.5</v>
      </c>
      <c r="AE27" s="9">
        <f t="shared" si="11"/>
        <v>-9</v>
      </c>
      <c r="AF27" s="9">
        <f t="shared" si="12"/>
        <v>10</v>
      </c>
      <c r="AG27" s="9">
        <f t="shared" si="13"/>
        <v>-10</v>
      </c>
      <c r="AH27" s="26"/>
      <c r="AI27" s="26"/>
      <c r="AJ27" s="26"/>
      <c r="AK27" s="26"/>
      <c r="AL27" s="26"/>
      <c r="AM27" s="26"/>
      <c r="AN27" s="9">
        <f t="shared" si="14"/>
        <v>5</v>
      </c>
      <c r="AO27" s="9">
        <f t="shared" si="15"/>
        <v>-10</v>
      </c>
      <c r="AP27" s="9">
        <f t="shared" si="16"/>
        <v>9</v>
      </c>
      <c r="AQ27" s="9">
        <f t="shared" si="17"/>
        <v>-9</v>
      </c>
      <c r="AR27" s="26"/>
      <c r="AS27" s="26"/>
      <c r="AT27" s="26"/>
      <c r="AU27" s="26"/>
      <c r="AV27" s="26"/>
      <c r="AW27" s="26"/>
      <c r="AX27" s="26"/>
      <c r="AY27" s="26"/>
      <c r="AZ27" s="26"/>
    </row>
    <row r="28" ht="32.25" customHeight="1">
      <c r="A28" s="26"/>
      <c r="B28" s="26"/>
      <c r="C28" s="26"/>
      <c r="D28" s="26"/>
      <c r="E28" s="26"/>
      <c r="F28" s="26"/>
      <c r="G28" s="26"/>
      <c r="H28" s="26"/>
      <c r="I28" s="26"/>
      <c r="J28" s="9">
        <f t="shared" si="2"/>
        <v>0</v>
      </c>
      <c r="K28" s="9">
        <f t="shared" si="3"/>
        <v>0</v>
      </c>
      <c r="L28" s="9">
        <f t="shared" si="4"/>
        <v>10</v>
      </c>
      <c r="M28" s="9">
        <f t="shared" si="5"/>
        <v>-10</v>
      </c>
      <c r="N28" s="26"/>
      <c r="O28" s="26"/>
      <c r="P28" s="26"/>
      <c r="Q28" s="26"/>
      <c r="R28" s="26"/>
      <c r="S28" s="26"/>
      <c r="T28" s="9">
        <f t="shared" si="6"/>
        <v>5</v>
      </c>
      <c r="U28" s="9">
        <f t="shared" si="7"/>
        <v>-10</v>
      </c>
      <c r="V28" s="9">
        <f t="shared" si="8"/>
        <v>9</v>
      </c>
      <c r="W28" s="9">
        <f t="shared" si="9"/>
        <v>-9</v>
      </c>
      <c r="X28" s="26"/>
      <c r="Y28" s="26"/>
      <c r="Z28" s="26"/>
      <c r="AA28" s="26"/>
      <c r="AB28" s="26"/>
      <c r="AC28" s="26"/>
      <c r="AD28" s="9">
        <f t="shared" si="10"/>
        <v>4.5</v>
      </c>
      <c r="AE28" s="9">
        <f t="shared" si="11"/>
        <v>-9</v>
      </c>
      <c r="AF28" s="9">
        <f t="shared" si="12"/>
        <v>10</v>
      </c>
      <c r="AG28" s="9">
        <f t="shared" si="13"/>
        <v>-10</v>
      </c>
      <c r="AH28" s="26"/>
      <c r="AI28" s="26"/>
      <c r="AJ28" s="26"/>
      <c r="AK28" s="26"/>
      <c r="AL28" s="26"/>
      <c r="AM28" s="26"/>
      <c r="AN28" s="9">
        <f t="shared" si="14"/>
        <v>5</v>
      </c>
      <c r="AO28" s="9">
        <f t="shared" si="15"/>
        <v>-10</v>
      </c>
      <c r="AP28" s="9">
        <f t="shared" si="16"/>
        <v>9</v>
      </c>
      <c r="AQ28" s="9">
        <f t="shared" si="17"/>
        <v>-9</v>
      </c>
      <c r="AR28" s="26"/>
      <c r="AS28" s="26"/>
      <c r="AT28" s="26"/>
      <c r="AU28" s="26"/>
      <c r="AV28" s="26"/>
      <c r="AW28" s="26"/>
      <c r="AX28" s="26"/>
      <c r="AY28" s="26"/>
      <c r="AZ28" s="26"/>
    </row>
    <row r="29" ht="32.25" customHeight="1">
      <c r="A29" s="26"/>
      <c r="B29" s="26"/>
      <c r="C29" s="26"/>
      <c r="D29" s="26"/>
      <c r="E29" s="26"/>
      <c r="F29" s="26"/>
      <c r="G29" s="26"/>
      <c r="H29" s="26"/>
      <c r="I29" s="26"/>
      <c r="J29" s="9">
        <f t="shared" si="2"/>
        <v>0</v>
      </c>
      <c r="K29" s="9">
        <f t="shared" si="3"/>
        <v>0</v>
      </c>
      <c r="L29" s="9">
        <f t="shared" si="4"/>
        <v>10</v>
      </c>
      <c r="M29" s="9">
        <f t="shared" si="5"/>
        <v>-10</v>
      </c>
      <c r="N29" s="26"/>
      <c r="O29" s="26"/>
      <c r="P29" s="26"/>
      <c r="Q29" s="26"/>
      <c r="R29" s="26"/>
      <c r="S29" s="26"/>
      <c r="T29" s="9">
        <f t="shared" si="6"/>
        <v>5</v>
      </c>
      <c r="U29" s="9">
        <f t="shared" si="7"/>
        <v>-10</v>
      </c>
      <c r="V29" s="9">
        <f t="shared" si="8"/>
        <v>9</v>
      </c>
      <c r="W29" s="9">
        <f t="shared" si="9"/>
        <v>-9</v>
      </c>
      <c r="X29" s="26"/>
      <c r="Y29" s="26"/>
      <c r="Z29" s="26"/>
      <c r="AA29" s="26"/>
      <c r="AB29" s="26"/>
      <c r="AC29" s="26"/>
      <c r="AD29" s="9">
        <f t="shared" si="10"/>
        <v>4.5</v>
      </c>
      <c r="AE29" s="9">
        <f t="shared" si="11"/>
        <v>-9</v>
      </c>
      <c r="AF29" s="9">
        <f t="shared" si="12"/>
        <v>10</v>
      </c>
      <c r="AG29" s="9">
        <f t="shared" si="13"/>
        <v>-10</v>
      </c>
      <c r="AH29" s="26"/>
      <c r="AI29" s="26"/>
      <c r="AJ29" s="26"/>
      <c r="AK29" s="26"/>
      <c r="AL29" s="26"/>
      <c r="AM29" s="26"/>
      <c r="AN29" s="9">
        <f t="shared" si="14"/>
        <v>5</v>
      </c>
      <c r="AO29" s="9">
        <f t="shared" si="15"/>
        <v>-10</v>
      </c>
      <c r="AP29" s="9">
        <f t="shared" si="16"/>
        <v>9</v>
      </c>
      <c r="AQ29" s="9">
        <f t="shared" si="17"/>
        <v>-9</v>
      </c>
      <c r="AR29" s="26"/>
      <c r="AS29" s="26"/>
      <c r="AT29" s="26"/>
      <c r="AU29" s="26"/>
      <c r="AV29" s="26"/>
      <c r="AW29" s="26"/>
      <c r="AX29" s="26"/>
      <c r="AY29" s="26"/>
      <c r="AZ29" s="26"/>
    </row>
    <row r="30" ht="32.25" customHeight="1">
      <c r="A30" s="26"/>
      <c r="B30" s="26"/>
      <c r="C30" s="26"/>
      <c r="D30" s="26"/>
      <c r="E30" s="26"/>
      <c r="F30" s="26"/>
      <c r="G30" s="26"/>
      <c r="H30" s="26"/>
      <c r="I30" s="26"/>
      <c r="J30" s="9">
        <f t="shared" si="2"/>
        <v>0</v>
      </c>
      <c r="K30" s="9">
        <f t="shared" si="3"/>
        <v>0</v>
      </c>
      <c r="L30" s="9">
        <f t="shared" si="4"/>
        <v>10</v>
      </c>
      <c r="M30" s="9">
        <f t="shared" si="5"/>
        <v>-10</v>
      </c>
      <c r="N30" s="26"/>
      <c r="O30" s="26"/>
      <c r="P30" s="26"/>
      <c r="Q30" s="26"/>
      <c r="R30" s="26"/>
      <c r="S30" s="26"/>
      <c r="T30" s="9">
        <f t="shared" si="6"/>
        <v>5</v>
      </c>
      <c r="U30" s="9">
        <f t="shared" si="7"/>
        <v>-10</v>
      </c>
      <c r="V30" s="9">
        <f t="shared" si="8"/>
        <v>9</v>
      </c>
      <c r="W30" s="9">
        <f t="shared" si="9"/>
        <v>-9</v>
      </c>
      <c r="X30" s="26"/>
      <c r="Y30" s="26"/>
      <c r="Z30" s="26"/>
      <c r="AA30" s="26"/>
      <c r="AB30" s="26"/>
      <c r="AC30" s="26"/>
      <c r="AD30" s="9">
        <f t="shared" si="10"/>
        <v>4.5</v>
      </c>
      <c r="AE30" s="9">
        <f t="shared" si="11"/>
        <v>-9</v>
      </c>
      <c r="AF30" s="9">
        <f t="shared" si="12"/>
        <v>10</v>
      </c>
      <c r="AG30" s="9">
        <f t="shared" si="13"/>
        <v>-10</v>
      </c>
      <c r="AH30" s="26"/>
      <c r="AI30" s="26"/>
      <c r="AJ30" s="26"/>
      <c r="AK30" s="26"/>
      <c r="AL30" s="26"/>
      <c r="AM30" s="26"/>
      <c r="AN30" s="9">
        <f t="shared" si="14"/>
        <v>5</v>
      </c>
      <c r="AO30" s="9">
        <f t="shared" si="15"/>
        <v>-10</v>
      </c>
      <c r="AP30" s="9">
        <f t="shared" si="16"/>
        <v>9</v>
      </c>
      <c r="AQ30" s="9">
        <f t="shared" si="17"/>
        <v>-9</v>
      </c>
      <c r="AR30" s="26"/>
      <c r="AS30" s="26"/>
      <c r="AT30" s="26"/>
      <c r="AU30" s="26"/>
      <c r="AV30" s="26"/>
      <c r="AW30" s="26"/>
      <c r="AX30" s="26"/>
      <c r="AY30" s="26"/>
      <c r="AZ30" s="26"/>
    </row>
    <row r="31" ht="32.25" customHeight="1">
      <c r="A31" s="26"/>
      <c r="B31" s="26"/>
      <c r="C31" s="26"/>
      <c r="D31" s="26"/>
      <c r="E31" s="26"/>
      <c r="F31" s="26"/>
      <c r="G31" s="26"/>
      <c r="H31" s="26"/>
      <c r="I31" s="26"/>
      <c r="J31" s="14"/>
      <c r="K31" s="14"/>
      <c r="L31" s="14"/>
      <c r="M31" s="14"/>
      <c r="N31" s="26"/>
      <c r="O31" s="26"/>
      <c r="P31" s="26"/>
      <c r="Q31" s="26"/>
      <c r="R31" s="26"/>
      <c r="S31" s="26"/>
      <c r="T31" s="14"/>
      <c r="U31" s="14"/>
      <c r="V31" s="14"/>
      <c r="W31" s="14"/>
      <c r="X31" s="26"/>
      <c r="Y31" s="26"/>
      <c r="Z31" s="26"/>
      <c r="AA31" s="26"/>
      <c r="AB31" s="26"/>
      <c r="AC31" s="26"/>
      <c r="AD31" s="14"/>
      <c r="AE31" s="14"/>
      <c r="AF31" s="14"/>
      <c r="AG31" s="14"/>
      <c r="AH31" s="26"/>
      <c r="AI31" s="26"/>
      <c r="AJ31" s="26"/>
      <c r="AK31" s="26"/>
      <c r="AL31" s="26"/>
      <c r="AM31" s="26"/>
      <c r="AN31" s="14"/>
      <c r="AO31" s="14"/>
      <c r="AP31" s="14"/>
      <c r="AQ31" s="14"/>
      <c r="AR31" s="26"/>
      <c r="AS31" s="26"/>
      <c r="AT31" s="26"/>
      <c r="AU31" s="26"/>
      <c r="AV31" s="26"/>
      <c r="AW31" s="26"/>
      <c r="AX31" s="26"/>
      <c r="AY31" s="26"/>
      <c r="AZ31" s="26"/>
    </row>
    <row r="32" ht="32.25" customHeight="1">
      <c r="A32" s="26"/>
      <c r="B32" s="26"/>
      <c r="C32" s="26"/>
      <c r="D32" s="26"/>
      <c r="E32" s="26"/>
      <c r="F32" s="26"/>
      <c r="G32" s="26"/>
      <c r="H32" s="26"/>
      <c r="I32" s="26"/>
      <c r="J32" s="14"/>
      <c r="K32" s="14"/>
      <c r="L32" s="14"/>
      <c r="M32" s="14"/>
      <c r="N32" s="26"/>
      <c r="O32" s="26"/>
      <c r="P32" s="26"/>
      <c r="Q32" s="26"/>
      <c r="R32" s="26"/>
      <c r="S32" s="26"/>
      <c r="T32" s="14"/>
      <c r="U32" s="14"/>
      <c r="V32" s="14"/>
      <c r="W32" s="14"/>
      <c r="X32" s="26"/>
      <c r="Y32" s="26"/>
      <c r="Z32" s="26"/>
      <c r="AA32" s="26"/>
      <c r="AB32" s="26"/>
      <c r="AC32" s="26"/>
      <c r="AD32" s="14"/>
      <c r="AE32" s="14"/>
      <c r="AF32" s="14"/>
      <c r="AG32" s="14"/>
      <c r="AH32" s="26"/>
      <c r="AI32" s="26"/>
      <c r="AJ32" s="26"/>
      <c r="AK32" s="26"/>
      <c r="AL32" s="26"/>
      <c r="AM32" s="26"/>
      <c r="AN32" s="14"/>
      <c r="AO32" s="14"/>
      <c r="AP32" s="14"/>
      <c r="AQ32" s="14"/>
      <c r="AR32" s="26"/>
      <c r="AS32" s="26"/>
      <c r="AT32" s="26"/>
      <c r="AU32" s="26"/>
      <c r="AV32" s="26"/>
      <c r="AW32" s="26"/>
      <c r="AX32" s="26"/>
      <c r="AY32" s="26"/>
      <c r="AZ32" s="26"/>
    </row>
    <row r="33" ht="32.25" customHeight="1">
      <c r="A33" s="26"/>
      <c r="B33" s="26"/>
      <c r="C33" s="26"/>
      <c r="D33" s="26"/>
      <c r="E33" s="26"/>
      <c r="F33" s="26"/>
      <c r="G33" s="26"/>
      <c r="H33" s="26"/>
      <c r="I33" s="26"/>
      <c r="J33" s="14"/>
      <c r="K33" s="14"/>
      <c r="L33" s="14"/>
      <c r="M33" s="14"/>
      <c r="N33" s="26"/>
      <c r="O33" s="26"/>
      <c r="P33" s="26"/>
      <c r="Q33" s="26"/>
      <c r="R33" s="26"/>
      <c r="S33" s="26"/>
      <c r="T33" s="14"/>
      <c r="U33" s="14"/>
      <c r="V33" s="14"/>
      <c r="W33" s="14"/>
      <c r="X33" s="26"/>
      <c r="Y33" s="26"/>
      <c r="Z33" s="26"/>
      <c r="AA33" s="26"/>
      <c r="AB33" s="26"/>
      <c r="AC33" s="26"/>
      <c r="AD33" s="14"/>
      <c r="AE33" s="14"/>
      <c r="AF33" s="14"/>
      <c r="AG33" s="14"/>
      <c r="AH33" s="26"/>
      <c r="AI33" s="26"/>
      <c r="AJ33" s="26"/>
      <c r="AK33" s="26"/>
      <c r="AL33" s="26"/>
      <c r="AM33" s="26"/>
      <c r="AN33" s="14"/>
      <c r="AO33" s="14"/>
      <c r="AP33" s="14"/>
      <c r="AQ33" s="14"/>
      <c r="AR33" s="26"/>
      <c r="AS33" s="26"/>
      <c r="AT33" s="26"/>
      <c r="AU33" s="26"/>
      <c r="AV33" s="26"/>
      <c r="AW33" s="26"/>
      <c r="AX33" s="26"/>
      <c r="AY33" s="26"/>
      <c r="AZ33" s="26"/>
    </row>
    <row r="34" ht="32.25" customHeight="1">
      <c r="A34" s="26"/>
      <c r="B34" s="26"/>
      <c r="C34" s="26"/>
      <c r="D34" s="26"/>
      <c r="E34" s="26"/>
      <c r="F34" s="26"/>
      <c r="G34" s="26"/>
      <c r="H34" s="26"/>
      <c r="I34" s="26"/>
      <c r="J34" s="14"/>
      <c r="K34" s="14"/>
      <c r="L34" s="14"/>
      <c r="M34" s="14"/>
      <c r="N34" s="26"/>
      <c r="O34" s="26"/>
      <c r="P34" s="26"/>
      <c r="Q34" s="26"/>
      <c r="R34" s="26"/>
      <c r="S34" s="26"/>
      <c r="T34" s="14"/>
      <c r="U34" s="14"/>
      <c r="V34" s="14"/>
      <c r="W34" s="14"/>
      <c r="X34" s="26"/>
      <c r="Y34" s="26"/>
      <c r="Z34" s="26"/>
      <c r="AA34" s="26"/>
      <c r="AB34" s="26"/>
      <c r="AC34" s="26"/>
      <c r="AD34" s="14"/>
      <c r="AE34" s="14"/>
      <c r="AF34" s="14"/>
      <c r="AG34" s="14"/>
      <c r="AH34" s="26"/>
      <c r="AI34" s="26"/>
      <c r="AJ34" s="26"/>
      <c r="AK34" s="26"/>
      <c r="AL34" s="26"/>
      <c r="AM34" s="26"/>
      <c r="AN34" s="14"/>
      <c r="AO34" s="14"/>
      <c r="AP34" s="14"/>
      <c r="AQ34" s="14"/>
      <c r="AR34" s="26"/>
      <c r="AS34" s="26"/>
      <c r="AT34" s="26"/>
      <c r="AU34" s="26"/>
      <c r="AV34" s="26"/>
      <c r="AW34" s="26"/>
      <c r="AX34" s="26"/>
      <c r="AY34" s="26"/>
      <c r="AZ34" s="26"/>
    </row>
    <row r="35" ht="32.25" customHeight="1">
      <c r="A35" s="26"/>
      <c r="B35" s="26"/>
      <c r="C35" s="26"/>
      <c r="D35" s="26"/>
      <c r="E35" s="26"/>
      <c r="F35" s="26"/>
      <c r="G35" s="26"/>
      <c r="H35" s="26"/>
      <c r="I35" s="26"/>
      <c r="J35" s="14"/>
      <c r="K35" s="14"/>
      <c r="L35" s="14"/>
      <c r="M35" s="14"/>
      <c r="N35" s="26"/>
      <c r="O35" s="26"/>
      <c r="P35" s="26"/>
      <c r="Q35" s="26"/>
      <c r="R35" s="26"/>
      <c r="S35" s="26"/>
      <c r="T35" s="14"/>
      <c r="U35" s="14"/>
      <c r="V35" s="14"/>
      <c r="W35" s="14"/>
      <c r="X35" s="26"/>
      <c r="Y35" s="26"/>
      <c r="Z35" s="26"/>
      <c r="AA35" s="26"/>
      <c r="AB35" s="26"/>
      <c r="AC35" s="26"/>
      <c r="AD35" s="14"/>
      <c r="AE35" s="14"/>
      <c r="AF35" s="14"/>
      <c r="AG35" s="14"/>
      <c r="AH35" s="26"/>
      <c r="AI35" s="26"/>
      <c r="AJ35" s="26"/>
      <c r="AK35" s="26"/>
      <c r="AL35" s="26"/>
      <c r="AM35" s="26"/>
      <c r="AN35" s="14"/>
      <c r="AO35" s="14"/>
      <c r="AP35" s="14"/>
      <c r="AQ35" s="14"/>
      <c r="AR35" s="26"/>
      <c r="AS35" s="26"/>
      <c r="AT35" s="26"/>
      <c r="AU35" s="26"/>
      <c r="AV35" s="26"/>
      <c r="AW35" s="26"/>
      <c r="AX35" s="26"/>
      <c r="AY35" s="26"/>
      <c r="AZ35" s="26"/>
    </row>
    <row r="36" ht="32.25" customHeight="1">
      <c r="A36" s="26"/>
      <c r="B36" s="26"/>
      <c r="C36" s="26"/>
      <c r="D36" s="26"/>
      <c r="E36" s="26"/>
      <c r="F36" s="26"/>
      <c r="G36" s="26"/>
      <c r="H36" s="26"/>
      <c r="I36" s="26"/>
      <c r="J36" s="14"/>
      <c r="K36" s="14"/>
      <c r="L36" s="14"/>
      <c r="M36" s="14"/>
      <c r="N36" s="26"/>
      <c r="O36" s="26"/>
      <c r="P36" s="26"/>
      <c r="Q36" s="26"/>
      <c r="R36" s="26"/>
      <c r="S36" s="26"/>
      <c r="T36" s="14"/>
      <c r="U36" s="14"/>
      <c r="V36" s="14"/>
      <c r="W36" s="14"/>
      <c r="X36" s="26"/>
      <c r="Y36" s="26"/>
      <c r="Z36" s="26"/>
      <c r="AA36" s="26"/>
      <c r="AB36" s="26"/>
      <c r="AC36" s="26"/>
      <c r="AD36" s="14"/>
      <c r="AE36" s="14"/>
      <c r="AF36" s="14"/>
      <c r="AG36" s="14"/>
      <c r="AH36" s="26"/>
      <c r="AI36" s="26"/>
      <c r="AJ36" s="26"/>
      <c r="AK36" s="26"/>
      <c r="AL36" s="26"/>
      <c r="AM36" s="26"/>
      <c r="AN36" s="14"/>
      <c r="AO36" s="14"/>
      <c r="AP36" s="14"/>
      <c r="AQ36" s="14"/>
      <c r="AR36" s="26"/>
      <c r="AS36" s="26"/>
      <c r="AT36" s="26"/>
      <c r="AU36" s="26"/>
      <c r="AV36" s="26"/>
      <c r="AW36" s="26"/>
      <c r="AX36" s="26"/>
      <c r="AY36" s="26"/>
      <c r="AZ36" s="26"/>
    </row>
    <row r="37" ht="32.25" customHeight="1">
      <c r="A37" s="26"/>
      <c r="B37" s="26"/>
      <c r="C37" s="26"/>
      <c r="D37" s="26"/>
      <c r="E37" s="26"/>
      <c r="F37" s="26"/>
      <c r="G37" s="26"/>
      <c r="H37" s="26"/>
      <c r="I37" s="26"/>
      <c r="J37" s="14"/>
      <c r="K37" s="14"/>
      <c r="L37" s="14"/>
      <c r="M37" s="14"/>
      <c r="N37" s="26"/>
      <c r="O37" s="26"/>
      <c r="P37" s="26"/>
      <c r="Q37" s="26"/>
      <c r="R37" s="26"/>
      <c r="S37" s="26"/>
      <c r="T37" s="14"/>
      <c r="U37" s="14"/>
      <c r="V37" s="14"/>
      <c r="W37" s="14"/>
      <c r="X37" s="26"/>
      <c r="Y37" s="26"/>
      <c r="Z37" s="26"/>
      <c r="AA37" s="26"/>
      <c r="AB37" s="26"/>
      <c r="AC37" s="26"/>
      <c r="AD37" s="14"/>
      <c r="AE37" s="14"/>
      <c r="AF37" s="14"/>
      <c r="AG37" s="14"/>
      <c r="AH37" s="26"/>
      <c r="AI37" s="26"/>
      <c r="AJ37" s="26"/>
      <c r="AK37" s="26"/>
      <c r="AL37" s="26"/>
      <c r="AM37" s="26"/>
      <c r="AN37" s="14"/>
      <c r="AO37" s="14"/>
      <c r="AP37" s="14"/>
      <c r="AQ37" s="14"/>
      <c r="AR37" s="26"/>
      <c r="AS37" s="26"/>
      <c r="AT37" s="26"/>
      <c r="AU37" s="26"/>
      <c r="AV37" s="26"/>
      <c r="AW37" s="26"/>
      <c r="AX37" s="26"/>
      <c r="AY37" s="26"/>
      <c r="AZ37" s="26"/>
    </row>
    <row r="38" ht="32.25" customHeight="1">
      <c r="A38" s="26"/>
      <c r="B38" s="26"/>
      <c r="C38" s="26"/>
      <c r="D38" s="26"/>
      <c r="E38" s="26"/>
      <c r="F38" s="26"/>
      <c r="G38" s="26"/>
      <c r="H38" s="26"/>
      <c r="I38" s="26"/>
      <c r="J38" s="14"/>
      <c r="K38" s="14"/>
      <c r="L38" s="14"/>
      <c r="M38" s="14"/>
      <c r="N38" s="26"/>
      <c r="O38" s="26"/>
      <c r="P38" s="26"/>
      <c r="Q38" s="26"/>
      <c r="R38" s="26"/>
      <c r="S38" s="26"/>
      <c r="T38" s="14"/>
      <c r="U38" s="14"/>
      <c r="V38" s="14"/>
      <c r="W38" s="14"/>
      <c r="X38" s="26"/>
      <c r="Y38" s="26"/>
      <c r="Z38" s="26"/>
      <c r="AA38" s="26"/>
      <c r="AB38" s="26"/>
      <c r="AC38" s="26"/>
      <c r="AD38" s="14"/>
      <c r="AE38" s="14"/>
      <c r="AF38" s="14"/>
      <c r="AG38" s="14"/>
      <c r="AH38" s="26"/>
      <c r="AI38" s="26"/>
      <c r="AJ38" s="26"/>
      <c r="AK38" s="26"/>
      <c r="AL38" s="26"/>
      <c r="AM38" s="26"/>
      <c r="AN38" s="14"/>
      <c r="AO38" s="14"/>
      <c r="AP38" s="14"/>
      <c r="AQ38" s="14"/>
      <c r="AR38" s="26"/>
      <c r="AS38" s="26"/>
      <c r="AT38" s="26"/>
      <c r="AU38" s="26"/>
      <c r="AV38" s="26"/>
      <c r="AW38" s="26"/>
      <c r="AX38" s="26"/>
      <c r="AY38" s="26"/>
      <c r="AZ38" s="26"/>
    </row>
    <row r="39" ht="32.25" customHeight="1">
      <c r="A39" s="26"/>
      <c r="B39" s="26"/>
      <c r="C39" s="26"/>
      <c r="D39" s="26"/>
      <c r="E39" s="26"/>
      <c r="F39" s="26"/>
      <c r="G39" s="26"/>
      <c r="H39" s="26"/>
      <c r="I39" s="26"/>
      <c r="J39" s="14"/>
      <c r="K39" s="14"/>
      <c r="L39" s="14"/>
      <c r="M39" s="14"/>
      <c r="N39" s="26"/>
      <c r="O39" s="26"/>
      <c r="P39" s="26"/>
      <c r="Q39" s="26"/>
      <c r="R39" s="26"/>
      <c r="S39" s="26"/>
      <c r="T39" s="14"/>
      <c r="U39" s="14"/>
      <c r="V39" s="14"/>
      <c r="W39" s="14"/>
      <c r="X39" s="26"/>
      <c r="Y39" s="26"/>
      <c r="Z39" s="26"/>
      <c r="AA39" s="26"/>
      <c r="AB39" s="26"/>
      <c r="AC39" s="26"/>
      <c r="AD39" s="14"/>
      <c r="AE39" s="14"/>
      <c r="AF39" s="14"/>
      <c r="AG39" s="14"/>
      <c r="AH39" s="26"/>
      <c r="AI39" s="26"/>
      <c r="AJ39" s="26"/>
      <c r="AK39" s="26"/>
      <c r="AL39" s="26"/>
      <c r="AM39" s="26"/>
      <c r="AN39" s="14"/>
      <c r="AO39" s="14"/>
      <c r="AP39" s="14"/>
      <c r="AQ39" s="14"/>
      <c r="AR39" s="26"/>
      <c r="AS39" s="26"/>
      <c r="AT39" s="26"/>
      <c r="AU39" s="26"/>
      <c r="AV39" s="26"/>
      <c r="AW39" s="26"/>
      <c r="AX39" s="26"/>
      <c r="AY39" s="26"/>
      <c r="AZ39" s="26"/>
    </row>
    <row r="40" ht="32.25" customHeight="1">
      <c r="A40" s="26"/>
      <c r="B40" s="26"/>
      <c r="C40" s="26"/>
      <c r="D40" s="26"/>
      <c r="E40" s="26"/>
      <c r="F40" s="26"/>
      <c r="G40" s="26"/>
      <c r="H40" s="26"/>
      <c r="I40" s="26"/>
      <c r="J40" s="14"/>
      <c r="K40" s="14"/>
      <c r="L40" s="14"/>
      <c r="M40" s="14"/>
      <c r="N40" s="26"/>
      <c r="O40" s="26"/>
      <c r="P40" s="26"/>
      <c r="Q40" s="26"/>
      <c r="R40" s="26"/>
      <c r="S40" s="26"/>
      <c r="T40" s="14"/>
      <c r="U40" s="14"/>
      <c r="V40" s="14"/>
      <c r="W40" s="14"/>
      <c r="X40" s="26"/>
      <c r="Y40" s="26"/>
      <c r="Z40" s="26"/>
      <c r="AA40" s="26"/>
      <c r="AB40" s="26"/>
      <c r="AC40" s="26"/>
      <c r="AD40" s="14"/>
      <c r="AE40" s="14"/>
      <c r="AF40" s="14"/>
      <c r="AG40" s="14"/>
      <c r="AH40" s="26"/>
      <c r="AI40" s="26"/>
      <c r="AJ40" s="26"/>
      <c r="AK40" s="26"/>
      <c r="AL40" s="26"/>
      <c r="AM40" s="26"/>
      <c r="AN40" s="14"/>
      <c r="AO40" s="14"/>
      <c r="AP40" s="14"/>
      <c r="AQ40" s="14"/>
      <c r="AR40" s="26"/>
      <c r="AS40" s="26"/>
      <c r="AT40" s="26"/>
      <c r="AU40" s="26"/>
      <c r="AV40" s="26"/>
      <c r="AW40" s="26"/>
      <c r="AX40" s="26"/>
      <c r="AY40" s="26"/>
      <c r="AZ40" s="26"/>
    </row>
    <row r="41" ht="32.25" customHeight="1">
      <c r="A41" s="26"/>
      <c r="B41" s="26"/>
      <c r="C41" s="26"/>
      <c r="D41" s="26"/>
      <c r="E41" s="26"/>
      <c r="F41" s="26"/>
      <c r="G41" s="26"/>
      <c r="H41" s="26"/>
      <c r="I41" s="26"/>
      <c r="J41" s="14"/>
      <c r="K41" s="14"/>
      <c r="L41" s="14"/>
      <c r="M41" s="14"/>
      <c r="N41" s="26"/>
      <c r="O41" s="26"/>
      <c r="P41" s="26"/>
      <c r="Q41" s="26"/>
      <c r="R41" s="26"/>
      <c r="S41" s="26"/>
      <c r="T41" s="14"/>
      <c r="U41" s="14"/>
      <c r="V41" s="14"/>
      <c r="W41" s="14"/>
      <c r="X41" s="26"/>
      <c r="Y41" s="26"/>
      <c r="Z41" s="26"/>
      <c r="AA41" s="26"/>
      <c r="AB41" s="26"/>
      <c r="AC41" s="26"/>
      <c r="AD41" s="14"/>
      <c r="AE41" s="14"/>
      <c r="AF41" s="14"/>
      <c r="AG41" s="14"/>
      <c r="AH41" s="26"/>
      <c r="AI41" s="26"/>
      <c r="AJ41" s="26"/>
      <c r="AK41" s="26"/>
      <c r="AL41" s="26"/>
      <c r="AM41" s="26"/>
      <c r="AN41" s="14"/>
      <c r="AO41" s="14"/>
      <c r="AP41" s="14"/>
      <c r="AQ41" s="14"/>
      <c r="AR41" s="26"/>
      <c r="AS41" s="26"/>
      <c r="AT41" s="26"/>
      <c r="AU41" s="26"/>
      <c r="AV41" s="26"/>
      <c r="AW41" s="26"/>
      <c r="AX41" s="26"/>
      <c r="AY41" s="26"/>
      <c r="AZ41" s="26"/>
    </row>
    <row r="42" ht="32.25" customHeight="1">
      <c r="A42" s="26"/>
      <c r="B42" s="26"/>
      <c r="C42" s="26"/>
      <c r="D42" s="26"/>
      <c r="E42" s="26"/>
      <c r="F42" s="26"/>
      <c r="G42" s="26"/>
      <c r="H42" s="26"/>
      <c r="I42" s="26"/>
      <c r="J42" s="14"/>
      <c r="K42" s="14"/>
      <c r="L42" s="14"/>
      <c r="M42" s="14"/>
      <c r="N42" s="26"/>
      <c r="O42" s="26"/>
      <c r="P42" s="26"/>
      <c r="Q42" s="26"/>
      <c r="R42" s="26"/>
      <c r="S42" s="26"/>
      <c r="T42" s="14"/>
      <c r="U42" s="14"/>
      <c r="V42" s="14"/>
      <c r="W42" s="14"/>
      <c r="X42" s="26"/>
      <c r="Y42" s="26"/>
      <c r="Z42" s="26"/>
      <c r="AA42" s="26"/>
      <c r="AB42" s="26"/>
      <c r="AC42" s="26"/>
      <c r="AD42" s="14"/>
      <c r="AE42" s="14"/>
      <c r="AF42" s="14"/>
      <c r="AG42" s="14"/>
      <c r="AH42" s="26"/>
      <c r="AI42" s="26"/>
      <c r="AJ42" s="26"/>
      <c r="AK42" s="26"/>
      <c r="AL42" s="26"/>
      <c r="AM42" s="26"/>
      <c r="AN42" s="14"/>
      <c r="AO42" s="14"/>
      <c r="AP42" s="14"/>
      <c r="AQ42" s="14"/>
      <c r="AR42" s="26"/>
      <c r="AS42" s="26"/>
      <c r="AT42" s="26"/>
      <c r="AU42" s="26"/>
      <c r="AV42" s="26"/>
      <c r="AW42" s="26"/>
      <c r="AX42" s="26"/>
      <c r="AY42" s="26"/>
      <c r="AZ42" s="26"/>
    </row>
    <row r="43" ht="32.25" customHeight="1">
      <c r="A43" s="26"/>
      <c r="B43" s="26"/>
      <c r="C43" s="26"/>
      <c r="D43" s="26"/>
      <c r="E43" s="26"/>
      <c r="F43" s="26"/>
      <c r="G43" s="26"/>
      <c r="H43" s="26"/>
      <c r="I43" s="26"/>
      <c r="J43" s="14"/>
      <c r="K43" s="14"/>
      <c r="L43" s="14"/>
      <c r="M43" s="14"/>
      <c r="N43" s="26"/>
      <c r="O43" s="26"/>
      <c r="P43" s="26"/>
      <c r="Q43" s="26"/>
      <c r="R43" s="26"/>
      <c r="S43" s="26"/>
      <c r="T43" s="14"/>
      <c r="U43" s="14"/>
      <c r="V43" s="14"/>
      <c r="W43" s="14"/>
      <c r="X43" s="26"/>
      <c r="Y43" s="26"/>
      <c r="Z43" s="26"/>
      <c r="AA43" s="26"/>
      <c r="AB43" s="26"/>
      <c r="AC43" s="26"/>
      <c r="AD43" s="14"/>
      <c r="AE43" s="14"/>
      <c r="AF43" s="14"/>
      <c r="AG43" s="14"/>
      <c r="AH43" s="26"/>
      <c r="AI43" s="26"/>
      <c r="AJ43" s="26"/>
      <c r="AK43" s="26"/>
      <c r="AL43" s="26"/>
      <c r="AM43" s="26"/>
      <c r="AN43" s="14"/>
      <c r="AO43" s="14"/>
      <c r="AP43" s="14"/>
      <c r="AQ43" s="14"/>
      <c r="AR43" s="26"/>
      <c r="AS43" s="26"/>
      <c r="AT43" s="26"/>
      <c r="AU43" s="26"/>
      <c r="AV43" s="26"/>
      <c r="AW43" s="26"/>
      <c r="AX43" s="26"/>
      <c r="AY43" s="26"/>
      <c r="AZ43" s="26"/>
    </row>
    <row r="44" ht="32.25" customHeight="1">
      <c r="A44" s="26"/>
      <c r="B44" s="26"/>
      <c r="C44" s="26"/>
      <c r="D44" s="26"/>
      <c r="E44" s="26"/>
      <c r="F44" s="26"/>
      <c r="G44" s="26"/>
      <c r="H44" s="26"/>
      <c r="I44" s="26"/>
      <c r="J44" s="14"/>
      <c r="K44" s="14"/>
      <c r="L44" s="14"/>
      <c r="M44" s="14"/>
      <c r="N44" s="26"/>
      <c r="O44" s="26"/>
      <c r="P44" s="26"/>
      <c r="Q44" s="26"/>
      <c r="R44" s="26"/>
      <c r="S44" s="26"/>
      <c r="T44" s="14"/>
      <c r="U44" s="14"/>
      <c r="V44" s="14"/>
      <c r="W44" s="14"/>
      <c r="X44" s="26"/>
      <c r="Y44" s="26"/>
      <c r="Z44" s="26"/>
      <c r="AA44" s="26"/>
      <c r="AB44" s="26"/>
      <c r="AC44" s="26"/>
      <c r="AD44" s="14"/>
      <c r="AE44" s="14"/>
      <c r="AF44" s="14"/>
      <c r="AG44" s="14"/>
      <c r="AH44" s="26"/>
      <c r="AI44" s="26"/>
      <c r="AJ44" s="26"/>
      <c r="AK44" s="26"/>
      <c r="AL44" s="26"/>
      <c r="AM44" s="26"/>
      <c r="AN44" s="14"/>
      <c r="AO44" s="14"/>
      <c r="AP44" s="14"/>
      <c r="AQ44" s="14"/>
      <c r="AR44" s="26"/>
      <c r="AS44" s="26"/>
      <c r="AT44" s="26"/>
      <c r="AU44" s="26"/>
      <c r="AV44" s="26"/>
      <c r="AW44" s="26"/>
      <c r="AX44" s="26"/>
      <c r="AY44" s="26"/>
      <c r="AZ44" s="26"/>
    </row>
    <row r="45" ht="32.25" customHeight="1">
      <c r="A45" s="26"/>
      <c r="B45" s="26"/>
      <c r="C45" s="26"/>
      <c r="D45" s="26"/>
      <c r="E45" s="26"/>
      <c r="F45" s="26"/>
      <c r="G45" s="26"/>
      <c r="H45" s="26"/>
      <c r="I45" s="26"/>
      <c r="J45" s="14"/>
      <c r="K45" s="14"/>
      <c r="L45" s="14"/>
      <c r="M45" s="14"/>
      <c r="N45" s="26"/>
      <c r="O45" s="26"/>
      <c r="P45" s="26"/>
      <c r="Q45" s="26"/>
      <c r="R45" s="26"/>
      <c r="S45" s="26"/>
      <c r="T45" s="14"/>
      <c r="U45" s="14"/>
      <c r="V45" s="14"/>
      <c r="W45" s="14"/>
      <c r="X45" s="26"/>
      <c r="Y45" s="26"/>
      <c r="Z45" s="26"/>
      <c r="AA45" s="26"/>
      <c r="AB45" s="26"/>
      <c r="AC45" s="26"/>
      <c r="AD45" s="14"/>
      <c r="AE45" s="14"/>
      <c r="AF45" s="14"/>
      <c r="AG45" s="14"/>
      <c r="AH45" s="26"/>
      <c r="AI45" s="26"/>
      <c r="AJ45" s="26"/>
      <c r="AK45" s="26"/>
      <c r="AL45" s="26"/>
      <c r="AM45" s="26"/>
      <c r="AN45" s="14"/>
      <c r="AO45" s="14"/>
      <c r="AP45" s="14"/>
      <c r="AQ45" s="14"/>
      <c r="AR45" s="26"/>
      <c r="AS45" s="26"/>
      <c r="AT45" s="26"/>
      <c r="AU45" s="26"/>
      <c r="AV45" s="26"/>
      <c r="AW45" s="26"/>
      <c r="AX45" s="26"/>
      <c r="AY45" s="26"/>
      <c r="AZ45" s="26"/>
    </row>
    <row r="46" ht="32.25" customHeight="1">
      <c r="A46" s="26"/>
      <c r="B46" s="26"/>
      <c r="C46" s="26"/>
      <c r="D46" s="26"/>
      <c r="E46" s="26"/>
      <c r="F46" s="26"/>
      <c r="G46" s="26"/>
      <c r="H46" s="26"/>
      <c r="I46" s="26"/>
      <c r="J46" s="14"/>
      <c r="K46" s="14"/>
      <c r="L46" s="14"/>
      <c r="M46" s="14"/>
      <c r="N46" s="26"/>
      <c r="O46" s="26"/>
      <c r="P46" s="26"/>
      <c r="Q46" s="26"/>
      <c r="R46" s="26"/>
      <c r="S46" s="26"/>
      <c r="T46" s="14"/>
      <c r="U46" s="14"/>
      <c r="V46" s="14"/>
      <c r="W46" s="14"/>
      <c r="X46" s="26"/>
      <c r="Y46" s="26"/>
      <c r="Z46" s="26"/>
      <c r="AA46" s="26"/>
      <c r="AB46" s="26"/>
      <c r="AC46" s="26"/>
      <c r="AD46" s="14"/>
      <c r="AE46" s="14"/>
      <c r="AF46" s="14"/>
      <c r="AG46" s="14"/>
      <c r="AH46" s="26"/>
      <c r="AI46" s="26"/>
      <c r="AJ46" s="26"/>
      <c r="AK46" s="26"/>
      <c r="AL46" s="26"/>
      <c r="AM46" s="26"/>
      <c r="AN46" s="14"/>
      <c r="AO46" s="14"/>
      <c r="AP46" s="14"/>
      <c r="AQ46" s="14"/>
      <c r="AR46" s="26"/>
      <c r="AS46" s="26"/>
      <c r="AT46" s="26"/>
      <c r="AU46" s="26"/>
      <c r="AV46" s="26"/>
      <c r="AW46" s="26"/>
      <c r="AX46" s="26"/>
      <c r="AY46" s="26"/>
      <c r="AZ46" s="26"/>
    </row>
    <row r="47" ht="32.25" customHeight="1">
      <c r="A47" s="26"/>
      <c r="B47" s="26"/>
      <c r="C47" s="26"/>
      <c r="D47" s="26"/>
      <c r="E47" s="26"/>
      <c r="F47" s="26"/>
      <c r="G47" s="26"/>
      <c r="H47" s="26"/>
      <c r="I47" s="26"/>
      <c r="J47" s="14"/>
      <c r="K47" s="14"/>
      <c r="L47" s="14"/>
      <c r="M47" s="14"/>
      <c r="N47" s="26"/>
      <c r="O47" s="26"/>
      <c r="P47" s="26"/>
      <c r="Q47" s="26"/>
      <c r="R47" s="26"/>
      <c r="S47" s="26"/>
      <c r="T47" s="14"/>
      <c r="U47" s="14"/>
      <c r="V47" s="14"/>
      <c r="W47" s="14"/>
      <c r="X47" s="26"/>
      <c r="Y47" s="26"/>
      <c r="Z47" s="26"/>
      <c r="AA47" s="26"/>
      <c r="AB47" s="26"/>
      <c r="AC47" s="26"/>
      <c r="AD47" s="14"/>
      <c r="AE47" s="14"/>
      <c r="AF47" s="14"/>
      <c r="AG47" s="14"/>
      <c r="AH47" s="26"/>
      <c r="AI47" s="26"/>
      <c r="AJ47" s="26"/>
      <c r="AK47" s="26"/>
      <c r="AL47" s="26"/>
      <c r="AM47" s="26"/>
      <c r="AN47" s="14"/>
      <c r="AO47" s="14"/>
      <c r="AP47" s="14"/>
      <c r="AQ47" s="14"/>
      <c r="AR47" s="26"/>
      <c r="AS47" s="26"/>
      <c r="AT47" s="26"/>
      <c r="AU47" s="26"/>
      <c r="AV47" s="26"/>
      <c r="AW47" s="26"/>
      <c r="AX47" s="26"/>
      <c r="AY47" s="26"/>
      <c r="AZ47" s="26"/>
    </row>
    <row r="48" ht="32.25" customHeight="1">
      <c r="A48" s="26"/>
      <c r="B48" s="26"/>
      <c r="C48" s="26"/>
      <c r="D48" s="26"/>
      <c r="E48" s="26"/>
      <c r="F48" s="26"/>
      <c r="G48" s="26"/>
      <c r="H48" s="26"/>
      <c r="I48" s="26"/>
      <c r="J48" s="14"/>
      <c r="K48" s="14"/>
      <c r="L48" s="14"/>
      <c r="M48" s="14"/>
      <c r="N48" s="26"/>
      <c r="O48" s="26"/>
      <c r="P48" s="26"/>
      <c r="Q48" s="26"/>
      <c r="R48" s="26"/>
      <c r="S48" s="26"/>
      <c r="T48" s="14"/>
      <c r="U48" s="14"/>
      <c r="V48" s="14"/>
      <c r="W48" s="14"/>
      <c r="X48" s="26"/>
      <c r="Y48" s="26"/>
      <c r="Z48" s="26"/>
      <c r="AA48" s="26"/>
      <c r="AB48" s="26"/>
      <c r="AC48" s="26"/>
      <c r="AD48" s="14"/>
      <c r="AE48" s="14"/>
      <c r="AF48" s="14"/>
      <c r="AG48" s="14"/>
      <c r="AH48" s="26"/>
      <c r="AI48" s="26"/>
      <c r="AJ48" s="26"/>
      <c r="AK48" s="26"/>
      <c r="AL48" s="26"/>
      <c r="AM48" s="26"/>
      <c r="AN48" s="14"/>
      <c r="AO48" s="14"/>
      <c r="AP48" s="14"/>
      <c r="AQ48" s="14"/>
      <c r="AR48" s="26"/>
      <c r="AS48" s="26"/>
      <c r="AT48" s="26"/>
      <c r="AU48" s="26"/>
      <c r="AV48" s="26"/>
      <c r="AW48" s="26"/>
      <c r="AX48" s="26"/>
      <c r="AY48" s="26"/>
      <c r="AZ48" s="26"/>
    </row>
    <row r="49" ht="32.25" customHeight="1">
      <c r="A49" s="26"/>
      <c r="B49" s="26"/>
      <c r="C49" s="26"/>
      <c r="D49" s="26"/>
      <c r="E49" s="26"/>
      <c r="F49" s="26"/>
      <c r="G49" s="26"/>
      <c r="H49" s="26"/>
      <c r="I49" s="26"/>
      <c r="J49" s="14"/>
      <c r="K49" s="14"/>
      <c r="L49" s="14"/>
      <c r="M49" s="14"/>
      <c r="N49" s="26"/>
      <c r="O49" s="26"/>
      <c r="P49" s="26"/>
      <c r="Q49" s="26"/>
      <c r="R49" s="26"/>
      <c r="S49" s="26"/>
      <c r="T49" s="14"/>
      <c r="U49" s="14"/>
      <c r="V49" s="14"/>
      <c r="W49" s="14"/>
      <c r="X49" s="26"/>
      <c r="Y49" s="26"/>
      <c r="Z49" s="26"/>
      <c r="AA49" s="26"/>
      <c r="AB49" s="26"/>
      <c r="AC49" s="26"/>
      <c r="AD49" s="14"/>
      <c r="AE49" s="14"/>
      <c r="AF49" s="14"/>
      <c r="AG49" s="14"/>
      <c r="AH49" s="26"/>
      <c r="AI49" s="26"/>
      <c r="AJ49" s="26"/>
      <c r="AK49" s="26"/>
      <c r="AL49" s="26"/>
      <c r="AM49" s="26"/>
      <c r="AN49" s="14"/>
      <c r="AO49" s="14"/>
      <c r="AP49" s="14"/>
      <c r="AQ49" s="14"/>
      <c r="AR49" s="26"/>
      <c r="AS49" s="26"/>
      <c r="AT49" s="26"/>
      <c r="AU49" s="26"/>
      <c r="AV49" s="26"/>
      <c r="AW49" s="26"/>
      <c r="AX49" s="26"/>
      <c r="AY49" s="26"/>
      <c r="AZ49" s="26"/>
    </row>
    <row r="50" ht="32.25" customHeight="1">
      <c r="A50" s="26"/>
      <c r="B50" s="26"/>
      <c r="C50" s="26"/>
      <c r="D50" s="26"/>
      <c r="E50" s="26"/>
      <c r="F50" s="26"/>
      <c r="G50" s="26"/>
      <c r="H50" s="26"/>
      <c r="I50" s="26"/>
      <c r="J50" s="14"/>
      <c r="K50" s="14"/>
      <c r="L50" s="14"/>
      <c r="M50" s="14"/>
      <c r="N50" s="26"/>
      <c r="O50" s="26"/>
      <c r="P50" s="26"/>
      <c r="Q50" s="26"/>
      <c r="R50" s="26"/>
      <c r="S50" s="26"/>
      <c r="T50" s="14"/>
      <c r="U50" s="14"/>
      <c r="V50" s="14"/>
      <c r="W50" s="14"/>
      <c r="X50" s="26"/>
      <c r="Y50" s="26"/>
      <c r="Z50" s="26"/>
      <c r="AA50" s="26"/>
      <c r="AB50" s="26"/>
      <c r="AC50" s="26"/>
      <c r="AD50" s="14"/>
      <c r="AE50" s="14"/>
      <c r="AF50" s="14"/>
      <c r="AG50" s="14"/>
      <c r="AH50" s="26"/>
      <c r="AI50" s="26"/>
      <c r="AJ50" s="26"/>
      <c r="AK50" s="26"/>
      <c r="AL50" s="26"/>
      <c r="AM50" s="26"/>
      <c r="AN50" s="14"/>
      <c r="AO50" s="14"/>
      <c r="AP50" s="14"/>
      <c r="AQ50" s="14"/>
      <c r="AR50" s="26"/>
      <c r="AS50" s="26"/>
      <c r="AT50" s="26"/>
      <c r="AU50" s="26"/>
      <c r="AV50" s="26"/>
      <c r="AW50" s="26"/>
      <c r="AX50" s="26"/>
      <c r="AY50" s="26"/>
      <c r="AZ50" s="26"/>
    </row>
    <row r="51">
      <c r="J51" s="14"/>
      <c r="K51" s="14"/>
      <c r="L51" s="14"/>
      <c r="M51" s="14"/>
      <c r="T51" s="14"/>
      <c r="U51" s="14"/>
      <c r="V51" s="14"/>
      <c r="W51" s="14"/>
      <c r="AD51" s="14"/>
      <c r="AE51" s="14"/>
      <c r="AF51" s="14"/>
      <c r="AG51" s="14"/>
      <c r="AN51" s="14"/>
      <c r="AO51" s="14"/>
      <c r="AP51" s="14"/>
      <c r="AQ51" s="14"/>
    </row>
    <row r="52">
      <c r="J52" s="14"/>
      <c r="K52" s="14"/>
      <c r="L52" s="14"/>
      <c r="M52" s="14"/>
      <c r="T52" s="14"/>
      <c r="U52" s="14"/>
      <c r="V52" s="14"/>
      <c r="W52" s="14"/>
      <c r="AD52" s="14"/>
      <c r="AE52" s="14"/>
      <c r="AF52" s="14"/>
      <c r="AG52" s="14"/>
      <c r="AN52" s="14"/>
      <c r="AO52" s="14"/>
      <c r="AP52" s="14"/>
      <c r="AQ52" s="14"/>
    </row>
    <row r="53">
      <c r="J53" s="14"/>
      <c r="K53" s="14"/>
      <c r="L53" s="14"/>
      <c r="M53" s="14"/>
      <c r="T53" s="14"/>
      <c r="U53" s="14"/>
      <c r="V53" s="14"/>
      <c r="W53" s="14"/>
      <c r="AD53" s="14"/>
      <c r="AE53" s="14"/>
      <c r="AF53" s="14"/>
      <c r="AG53" s="14"/>
      <c r="AN53" s="14"/>
      <c r="AO53" s="14"/>
      <c r="AP53" s="14"/>
      <c r="AQ53" s="14"/>
    </row>
    <row r="54">
      <c r="J54" s="14"/>
      <c r="K54" s="14"/>
      <c r="L54" s="14"/>
      <c r="M54" s="14"/>
      <c r="T54" s="14"/>
      <c r="U54" s="14"/>
      <c r="V54" s="14"/>
      <c r="W54" s="14"/>
      <c r="AD54" s="14"/>
      <c r="AE54" s="14"/>
      <c r="AF54" s="14"/>
      <c r="AG54" s="14"/>
      <c r="AN54" s="14"/>
      <c r="AO54" s="14"/>
      <c r="AP54" s="14"/>
      <c r="AQ54" s="14"/>
    </row>
    <row r="55">
      <c r="J55" s="14"/>
      <c r="K55" s="14"/>
      <c r="L55" s="14"/>
      <c r="M55" s="14"/>
      <c r="T55" s="14"/>
      <c r="U55" s="14"/>
      <c r="V55" s="14"/>
      <c r="W55" s="14"/>
      <c r="AD55" s="14"/>
      <c r="AE55" s="14"/>
      <c r="AF55" s="14"/>
      <c r="AG55" s="14"/>
      <c r="AN55" s="14"/>
      <c r="AO55" s="14"/>
      <c r="AP55" s="14"/>
      <c r="AQ55" s="14"/>
    </row>
    <row r="56">
      <c r="J56" s="14"/>
      <c r="K56" s="14"/>
      <c r="L56" s="14"/>
      <c r="M56" s="14"/>
      <c r="T56" s="14"/>
      <c r="U56" s="14"/>
      <c r="V56" s="14"/>
      <c r="W56" s="14"/>
      <c r="AD56" s="14"/>
      <c r="AE56" s="14"/>
      <c r="AF56" s="14"/>
      <c r="AG56" s="14"/>
      <c r="AN56" s="14"/>
      <c r="AO56" s="14"/>
      <c r="AP56" s="14"/>
      <c r="AQ56" s="14"/>
    </row>
    <row r="57">
      <c r="J57" s="14"/>
      <c r="K57" s="14"/>
      <c r="L57" s="14"/>
      <c r="M57" s="14"/>
      <c r="T57" s="14"/>
      <c r="U57" s="14"/>
      <c r="V57" s="14"/>
      <c r="W57" s="14"/>
      <c r="AD57" s="14"/>
      <c r="AE57" s="14"/>
      <c r="AF57" s="14"/>
      <c r="AG57" s="14"/>
      <c r="AN57" s="14"/>
      <c r="AO57" s="14"/>
      <c r="AP57" s="14"/>
      <c r="AQ57" s="14"/>
    </row>
    <row r="58">
      <c r="J58" s="14"/>
      <c r="K58" s="14"/>
      <c r="L58" s="14"/>
      <c r="M58" s="14"/>
      <c r="T58" s="14"/>
      <c r="U58" s="14"/>
      <c r="V58" s="14"/>
      <c r="W58" s="14"/>
      <c r="AD58" s="14"/>
      <c r="AE58" s="14"/>
      <c r="AF58" s="14"/>
      <c r="AG58" s="14"/>
      <c r="AN58" s="14"/>
      <c r="AO58" s="14"/>
      <c r="AP58" s="14"/>
      <c r="AQ58" s="14"/>
    </row>
    <row r="59">
      <c r="J59" s="14"/>
      <c r="K59" s="14"/>
      <c r="L59" s="14"/>
      <c r="M59" s="14"/>
      <c r="T59" s="14"/>
      <c r="U59" s="14"/>
      <c r="V59" s="14"/>
      <c r="W59" s="14"/>
      <c r="AD59" s="14"/>
      <c r="AE59" s="14"/>
      <c r="AF59" s="14"/>
      <c r="AG59" s="14"/>
      <c r="AN59" s="14"/>
      <c r="AO59" s="14"/>
      <c r="AP59" s="14"/>
      <c r="AQ59" s="14"/>
    </row>
    <row r="60">
      <c r="J60" s="14"/>
      <c r="K60" s="14"/>
      <c r="L60" s="14"/>
      <c r="M60" s="14"/>
      <c r="T60" s="14"/>
      <c r="U60" s="14"/>
      <c r="V60" s="14"/>
      <c r="W60" s="14"/>
      <c r="AD60" s="14"/>
      <c r="AE60" s="14"/>
      <c r="AF60" s="14"/>
      <c r="AG60" s="14"/>
      <c r="AN60" s="14"/>
      <c r="AO60" s="14"/>
      <c r="AP60" s="14"/>
      <c r="AQ60" s="14"/>
    </row>
    <row r="61">
      <c r="J61" s="14"/>
      <c r="K61" s="14"/>
      <c r="L61" s="14"/>
      <c r="M61" s="14"/>
      <c r="T61" s="14"/>
      <c r="U61" s="14"/>
      <c r="V61" s="14"/>
      <c r="W61" s="14"/>
      <c r="AD61" s="14"/>
      <c r="AE61" s="14"/>
      <c r="AF61" s="14"/>
      <c r="AG61" s="14"/>
      <c r="AN61" s="14"/>
      <c r="AO61" s="14"/>
      <c r="AP61" s="14"/>
      <c r="AQ61" s="14"/>
    </row>
    <row r="62">
      <c r="J62" s="22"/>
      <c r="K62" s="22"/>
      <c r="L62" s="22"/>
      <c r="M62" s="22"/>
      <c r="T62" s="22"/>
      <c r="U62" s="22"/>
      <c r="V62" s="22"/>
      <c r="W62" s="22"/>
      <c r="AD62" s="22"/>
      <c r="AE62" s="22"/>
      <c r="AF62" s="22"/>
      <c r="AG62" s="22"/>
      <c r="AN62" s="22"/>
      <c r="AO62" s="22"/>
      <c r="AP62" s="22"/>
      <c r="AQ62" s="22"/>
    </row>
    <row r="63">
      <c r="J63" s="22"/>
      <c r="K63" s="22"/>
      <c r="L63" s="22"/>
      <c r="M63" s="22"/>
      <c r="T63" s="22"/>
      <c r="U63" s="22"/>
      <c r="V63" s="22"/>
      <c r="W63" s="22"/>
      <c r="AD63" s="22"/>
      <c r="AE63" s="22"/>
      <c r="AF63" s="22"/>
      <c r="AG63" s="22"/>
      <c r="AN63" s="22"/>
      <c r="AO63" s="22"/>
      <c r="AP63" s="22"/>
      <c r="AQ63" s="22"/>
    </row>
    <row r="64">
      <c r="J64" s="22"/>
      <c r="K64" s="22"/>
      <c r="L64" s="22"/>
      <c r="M64" s="22"/>
      <c r="T64" s="22"/>
      <c r="U64" s="22"/>
      <c r="V64" s="22"/>
      <c r="W64" s="22"/>
      <c r="AD64" s="22"/>
      <c r="AE64" s="22"/>
      <c r="AF64" s="22"/>
      <c r="AG64" s="22"/>
      <c r="AN64" s="22"/>
      <c r="AO64" s="22"/>
      <c r="AP64" s="22"/>
      <c r="AQ64" s="22"/>
    </row>
    <row r="65">
      <c r="J65" s="22"/>
      <c r="K65" s="22"/>
      <c r="L65" s="22"/>
      <c r="M65" s="22"/>
      <c r="T65" s="22"/>
      <c r="U65" s="22"/>
      <c r="V65" s="22"/>
      <c r="W65" s="22"/>
      <c r="AD65" s="22"/>
      <c r="AE65" s="22"/>
      <c r="AF65" s="22"/>
      <c r="AG65" s="22"/>
      <c r="AN65" s="22"/>
      <c r="AO65" s="22"/>
      <c r="AP65" s="22"/>
      <c r="AQ65" s="22"/>
    </row>
    <row r="66">
      <c r="J66" s="22"/>
      <c r="K66" s="22"/>
      <c r="L66" s="22"/>
      <c r="M66" s="22"/>
      <c r="T66" s="22"/>
      <c r="U66" s="22"/>
      <c r="V66" s="22"/>
      <c r="W66" s="22"/>
      <c r="AD66" s="22"/>
      <c r="AE66" s="22"/>
      <c r="AF66" s="22"/>
      <c r="AG66" s="22"/>
      <c r="AN66" s="22"/>
      <c r="AO66" s="22"/>
      <c r="AP66" s="22"/>
      <c r="AQ66" s="22"/>
    </row>
    <row r="67">
      <c r="J67" s="22"/>
      <c r="K67" s="22"/>
      <c r="L67" s="22"/>
      <c r="M67" s="22"/>
      <c r="T67" s="22"/>
      <c r="U67" s="22"/>
      <c r="V67" s="22"/>
      <c r="W67" s="22"/>
      <c r="AD67" s="22"/>
      <c r="AE67" s="22"/>
      <c r="AF67" s="22"/>
      <c r="AG67" s="22"/>
      <c r="AN67" s="22"/>
      <c r="AO67" s="22"/>
      <c r="AP67" s="22"/>
      <c r="AQ67" s="22"/>
    </row>
    <row r="68">
      <c r="J68" s="22"/>
      <c r="K68" s="22"/>
      <c r="L68" s="22"/>
      <c r="M68" s="22"/>
      <c r="T68" s="22"/>
      <c r="U68" s="22"/>
      <c r="V68" s="22"/>
      <c r="W68" s="22"/>
      <c r="AD68" s="22"/>
      <c r="AE68" s="22"/>
      <c r="AF68" s="22"/>
      <c r="AG68" s="22"/>
      <c r="AN68" s="22"/>
      <c r="AO68" s="22"/>
      <c r="AP68" s="22"/>
      <c r="AQ68" s="22"/>
    </row>
    <row r="69">
      <c r="J69" s="22"/>
      <c r="K69" s="22"/>
      <c r="L69" s="22"/>
      <c r="M69" s="22"/>
      <c r="T69" s="22"/>
      <c r="U69" s="22"/>
      <c r="V69" s="22"/>
      <c r="W69" s="22"/>
      <c r="AD69" s="22"/>
      <c r="AE69" s="22"/>
      <c r="AF69" s="22"/>
      <c r="AG69" s="22"/>
      <c r="AN69" s="22"/>
      <c r="AO69" s="22"/>
      <c r="AP69" s="22"/>
      <c r="AQ69" s="22"/>
    </row>
    <row r="70">
      <c r="J70" s="22"/>
      <c r="K70" s="22"/>
      <c r="L70" s="22"/>
      <c r="M70" s="22"/>
      <c r="T70" s="22"/>
      <c r="U70" s="22"/>
      <c r="V70" s="22"/>
      <c r="W70" s="22"/>
      <c r="AD70" s="22"/>
      <c r="AE70" s="22"/>
      <c r="AF70" s="22"/>
      <c r="AG70" s="22"/>
      <c r="AN70" s="22"/>
      <c r="AO70" s="22"/>
      <c r="AP70" s="22"/>
      <c r="AQ70" s="22"/>
    </row>
    <row r="71">
      <c r="J71" s="22"/>
      <c r="K71" s="22"/>
      <c r="L71" s="22"/>
      <c r="M71" s="22"/>
      <c r="T71" s="22"/>
      <c r="U71" s="22"/>
      <c r="V71" s="22"/>
      <c r="W71" s="22"/>
      <c r="AD71" s="22"/>
      <c r="AE71" s="22"/>
      <c r="AF71" s="22"/>
      <c r="AG71" s="22"/>
      <c r="AN71" s="22"/>
      <c r="AO71" s="22"/>
      <c r="AP71" s="22"/>
      <c r="AQ71" s="22"/>
    </row>
    <row r="72">
      <c r="J72" s="22"/>
      <c r="K72" s="22"/>
      <c r="L72" s="22"/>
      <c r="M72" s="22"/>
      <c r="T72" s="22"/>
      <c r="U72" s="22"/>
      <c r="V72" s="22"/>
      <c r="W72" s="22"/>
      <c r="AD72" s="22"/>
      <c r="AE72" s="22"/>
      <c r="AF72" s="22"/>
      <c r="AG72" s="22"/>
      <c r="AN72" s="22"/>
      <c r="AO72" s="22"/>
      <c r="AP72" s="22"/>
      <c r="AQ72" s="22"/>
    </row>
    <row r="73">
      <c r="J73" s="22"/>
      <c r="K73" s="22"/>
      <c r="L73" s="22"/>
      <c r="M73" s="22"/>
      <c r="T73" s="22"/>
      <c r="U73" s="22"/>
      <c r="V73" s="22"/>
      <c r="W73" s="22"/>
      <c r="AD73" s="22"/>
      <c r="AE73" s="22"/>
      <c r="AF73" s="22"/>
      <c r="AG73" s="22"/>
      <c r="AN73" s="22"/>
      <c r="AO73" s="22"/>
      <c r="AP73" s="22"/>
      <c r="AQ73" s="22"/>
    </row>
    <row r="74">
      <c r="J74" s="22"/>
      <c r="K74" s="22"/>
      <c r="L74" s="22"/>
      <c r="M74" s="22"/>
      <c r="T74" s="22"/>
      <c r="U74" s="22"/>
      <c r="V74" s="22"/>
      <c r="W74" s="22"/>
      <c r="AD74" s="22"/>
      <c r="AE74" s="22"/>
      <c r="AF74" s="22"/>
      <c r="AG74" s="22"/>
      <c r="AN74" s="22"/>
      <c r="AO74" s="22"/>
      <c r="AP74" s="22"/>
      <c r="AQ74" s="22"/>
    </row>
    <row r="75">
      <c r="J75" s="22"/>
      <c r="K75" s="22"/>
      <c r="L75" s="22"/>
      <c r="M75" s="22"/>
      <c r="T75" s="22"/>
      <c r="U75" s="22"/>
      <c r="V75" s="22"/>
      <c r="W75" s="22"/>
      <c r="AD75" s="22"/>
      <c r="AE75" s="22"/>
      <c r="AF75" s="22"/>
      <c r="AG75" s="22"/>
      <c r="AN75" s="22"/>
      <c r="AO75" s="22"/>
      <c r="AP75" s="22"/>
      <c r="AQ75" s="22"/>
    </row>
    <row r="76">
      <c r="J76" s="22"/>
      <c r="K76" s="22"/>
      <c r="L76" s="22"/>
      <c r="M76" s="22"/>
      <c r="T76" s="22"/>
      <c r="U76" s="22"/>
      <c r="V76" s="22"/>
      <c r="W76" s="22"/>
      <c r="AD76" s="22"/>
      <c r="AE76" s="22"/>
      <c r="AF76" s="22"/>
      <c r="AG76" s="22"/>
      <c r="AN76" s="22"/>
      <c r="AO76" s="22"/>
      <c r="AP76" s="22"/>
      <c r="AQ76" s="22"/>
    </row>
    <row r="77">
      <c r="J77" s="22"/>
      <c r="K77" s="22"/>
      <c r="L77" s="22"/>
      <c r="M77" s="22"/>
      <c r="T77" s="22"/>
      <c r="U77" s="22"/>
      <c r="V77" s="22"/>
      <c r="W77" s="22"/>
      <c r="AD77" s="22"/>
      <c r="AE77" s="22"/>
      <c r="AF77" s="22"/>
      <c r="AG77" s="22"/>
      <c r="AN77" s="22"/>
      <c r="AO77" s="22"/>
      <c r="AP77" s="22"/>
      <c r="AQ77" s="22"/>
    </row>
    <row r="78">
      <c r="J78" s="22"/>
      <c r="K78" s="22"/>
      <c r="L78" s="22"/>
      <c r="M78" s="22"/>
      <c r="T78" s="22"/>
      <c r="U78" s="22"/>
      <c r="V78" s="22"/>
      <c r="W78" s="22"/>
      <c r="AD78" s="22"/>
      <c r="AE78" s="22"/>
      <c r="AF78" s="22"/>
      <c r="AG78" s="22"/>
      <c r="AN78" s="22"/>
      <c r="AO78" s="22"/>
      <c r="AP78" s="22"/>
      <c r="AQ78" s="22"/>
    </row>
    <row r="79">
      <c r="J79" s="22"/>
      <c r="K79" s="22"/>
      <c r="L79" s="22"/>
      <c r="M79" s="22"/>
      <c r="T79" s="22"/>
      <c r="U79" s="22"/>
      <c r="V79" s="22"/>
      <c r="W79" s="22"/>
      <c r="AD79" s="22"/>
      <c r="AE79" s="22"/>
      <c r="AF79" s="22"/>
      <c r="AG79" s="22"/>
      <c r="AN79" s="22"/>
      <c r="AO79" s="22"/>
      <c r="AP79" s="22"/>
      <c r="AQ79" s="22"/>
    </row>
    <row r="80">
      <c r="J80" s="22"/>
      <c r="K80" s="22"/>
      <c r="L80" s="22"/>
      <c r="M80" s="22"/>
      <c r="T80" s="22"/>
      <c r="U80" s="22"/>
      <c r="V80" s="22"/>
      <c r="W80" s="22"/>
      <c r="AD80" s="22"/>
      <c r="AE80" s="22"/>
      <c r="AF80" s="22"/>
      <c r="AG80" s="22"/>
      <c r="AN80" s="22"/>
      <c r="AO80" s="22"/>
      <c r="AP80" s="22"/>
      <c r="AQ80" s="22"/>
    </row>
    <row r="81">
      <c r="J81" s="22"/>
      <c r="K81" s="22"/>
      <c r="L81" s="22"/>
      <c r="M81" s="22"/>
      <c r="T81" s="22"/>
      <c r="U81" s="22"/>
      <c r="V81" s="22"/>
      <c r="W81" s="22"/>
      <c r="AD81" s="22"/>
      <c r="AE81" s="22"/>
      <c r="AF81" s="22"/>
      <c r="AG81" s="22"/>
      <c r="AN81" s="22"/>
      <c r="AO81" s="22"/>
      <c r="AP81" s="22"/>
      <c r="AQ81" s="22"/>
    </row>
    <row r="82">
      <c r="J82" s="22"/>
      <c r="K82" s="22"/>
      <c r="L82" s="22"/>
      <c r="M82" s="22"/>
      <c r="T82" s="22"/>
      <c r="U82" s="22"/>
      <c r="V82" s="22"/>
      <c r="W82" s="22"/>
      <c r="AD82" s="22"/>
      <c r="AE82" s="22"/>
      <c r="AF82" s="22"/>
      <c r="AG82" s="22"/>
      <c r="AN82" s="22"/>
      <c r="AO82" s="22"/>
      <c r="AP82" s="22"/>
      <c r="AQ82" s="22"/>
    </row>
    <row r="83">
      <c r="J83" s="22"/>
      <c r="K83" s="22"/>
      <c r="L83" s="22"/>
      <c r="M83" s="22"/>
      <c r="T83" s="22"/>
      <c r="U83" s="22"/>
      <c r="V83" s="22"/>
      <c r="W83" s="22"/>
      <c r="AD83" s="22"/>
      <c r="AE83" s="22"/>
      <c r="AF83" s="22"/>
      <c r="AG83" s="22"/>
      <c r="AN83" s="22"/>
      <c r="AO83" s="22"/>
      <c r="AP83" s="22"/>
      <c r="AQ83" s="22"/>
    </row>
    <row r="84">
      <c r="J84" s="22"/>
      <c r="K84" s="22"/>
      <c r="L84" s="22"/>
      <c r="M84" s="22"/>
      <c r="T84" s="22"/>
      <c r="U84" s="22"/>
      <c r="V84" s="22"/>
      <c r="W84" s="22"/>
      <c r="AD84" s="22"/>
      <c r="AE84" s="22"/>
      <c r="AF84" s="22"/>
      <c r="AG84" s="22"/>
      <c r="AN84" s="22"/>
      <c r="AO84" s="22"/>
      <c r="AP84" s="22"/>
      <c r="AQ84" s="22"/>
    </row>
    <row r="85">
      <c r="J85" s="22"/>
      <c r="K85" s="22"/>
      <c r="L85" s="22"/>
      <c r="M85" s="22"/>
      <c r="T85" s="22"/>
      <c r="U85" s="22"/>
      <c r="V85" s="22"/>
      <c r="W85" s="22"/>
      <c r="AD85" s="22"/>
      <c r="AE85" s="22"/>
      <c r="AF85" s="22"/>
      <c r="AG85" s="22"/>
      <c r="AN85" s="22"/>
      <c r="AO85" s="22"/>
      <c r="AP85" s="22"/>
      <c r="AQ85" s="22"/>
    </row>
    <row r="86">
      <c r="J86" s="22"/>
      <c r="K86" s="22"/>
      <c r="L86" s="22"/>
      <c r="M86" s="22"/>
      <c r="T86" s="22"/>
      <c r="U86" s="22"/>
      <c r="V86" s="22"/>
      <c r="W86" s="22"/>
      <c r="AD86" s="22"/>
      <c r="AE86" s="22"/>
      <c r="AF86" s="22"/>
      <c r="AG86" s="22"/>
      <c r="AN86" s="22"/>
      <c r="AO86" s="22"/>
      <c r="AP86" s="22"/>
      <c r="AQ86" s="22"/>
    </row>
    <row r="87">
      <c r="J87" s="22"/>
      <c r="K87" s="22"/>
      <c r="L87" s="22"/>
      <c r="M87" s="22"/>
      <c r="T87" s="22"/>
      <c r="U87" s="22"/>
      <c r="V87" s="22"/>
      <c r="W87" s="22"/>
      <c r="AD87" s="22"/>
      <c r="AE87" s="22"/>
      <c r="AF87" s="22"/>
      <c r="AG87" s="22"/>
      <c r="AN87" s="22"/>
      <c r="AO87" s="22"/>
      <c r="AP87" s="22"/>
      <c r="AQ87" s="22"/>
    </row>
    <row r="88">
      <c r="J88" s="22"/>
      <c r="K88" s="22"/>
      <c r="L88" s="22"/>
      <c r="M88" s="22"/>
      <c r="T88" s="22"/>
      <c r="U88" s="22"/>
      <c r="V88" s="22"/>
      <c r="W88" s="22"/>
      <c r="AD88" s="22"/>
      <c r="AE88" s="22"/>
      <c r="AF88" s="22"/>
      <c r="AG88" s="22"/>
      <c r="AN88" s="22"/>
      <c r="AO88" s="22"/>
      <c r="AP88" s="22"/>
      <c r="AQ88" s="22"/>
    </row>
    <row r="89">
      <c r="J89" s="22"/>
      <c r="K89" s="22"/>
      <c r="L89" s="22"/>
      <c r="M89" s="22"/>
      <c r="T89" s="22"/>
      <c r="U89" s="22"/>
      <c r="V89" s="22"/>
      <c r="W89" s="22"/>
      <c r="AD89" s="22"/>
      <c r="AE89" s="22"/>
      <c r="AF89" s="22"/>
      <c r="AG89" s="22"/>
      <c r="AN89" s="22"/>
      <c r="AO89" s="22"/>
      <c r="AP89" s="22"/>
      <c r="AQ89" s="22"/>
    </row>
    <row r="90">
      <c r="J90" s="22"/>
      <c r="K90" s="22"/>
      <c r="L90" s="22"/>
      <c r="M90" s="22"/>
      <c r="T90" s="22"/>
      <c r="U90" s="22"/>
      <c r="V90" s="22"/>
      <c r="W90" s="22"/>
      <c r="AD90" s="22"/>
      <c r="AE90" s="22"/>
      <c r="AF90" s="22"/>
      <c r="AG90" s="22"/>
      <c r="AN90" s="22"/>
      <c r="AO90" s="22"/>
      <c r="AP90" s="22"/>
      <c r="AQ90" s="22"/>
    </row>
    <row r="91">
      <c r="J91" s="22"/>
      <c r="K91" s="22"/>
      <c r="L91" s="22"/>
      <c r="M91" s="22"/>
      <c r="T91" s="22"/>
      <c r="U91" s="22"/>
      <c r="V91" s="22"/>
      <c r="W91" s="22"/>
      <c r="AD91" s="22"/>
      <c r="AE91" s="22"/>
      <c r="AF91" s="22"/>
      <c r="AG91" s="22"/>
      <c r="AN91" s="22"/>
      <c r="AO91" s="22"/>
      <c r="AP91" s="22"/>
      <c r="AQ91" s="22"/>
    </row>
    <row r="92">
      <c r="J92" s="22"/>
      <c r="K92" s="22"/>
      <c r="L92" s="22"/>
      <c r="M92" s="22"/>
      <c r="T92" s="22"/>
      <c r="U92" s="22"/>
      <c r="V92" s="22"/>
      <c r="W92" s="22"/>
      <c r="AD92" s="22"/>
      <c r="AE92" s="22"/>
      <c r="AF92" s="22"/>
      <c r="AG92" s="22"/>
      <c r="AN92" s="22"/>
      <c r="AO92" s="22"/>
      <c r="AP92" s="22"/>
      <c r="AQ92" s="22"/>
    </row>
    <row r="93">
      <c r="J93" s="22"/>
      <c r="K93" s="22"/>
      <c r="L93" s="22"/>
      <c r="M93" s="22"/>
      <c r="T93" s="22"/>
      <c r="U93" s="22"/>
      <c r="V93" s="22"/>
      <c r="W93" s="22"/>
      <c r="AD93" s="22"/>
      <c r="AE93" s="22"/>
      <c r="AF93" s="22"/>
      <c r="AG93" s="22"/>
      <c r="AN93" s="22"/>
      <c r="AO93" s="22"/>
      <c r="AP93" s="22"/>
      <c r="AQ93" s="22"/>
    </row>
    <row r="94">
      <c r="J94" s="22"/>
      <c r="K94" s="22"/>
      <c r="L94" s="22"/>
      <c r="M94" s="22"/>
      <c r="T94" s="22"/>
      <c r="U94" s="22"/>
      <c r="V94" s="22"/>
      <c r="W94" s="22"/>
      <c r="AD94" s="22"/>
      <c r="AE94" s="22"/>
      <c r="AF94" s="22"/>
      <c r="AG94" s="22"/>
      <c r="AN94" s="22"/>
      <c r="AO94" s="22"/>
      <c r="AP94" s="22"/>
      <c r="AQ94" s="22"/>
    </row>
    <row r="95">
      <c r="J95" s="22"/>
      <c r="K95" s="22"/>
      <c r="L95" s="22"/>
      <c r="M95" s="22"/>
      <c r="T95" s="22"/>
      <c r="U95" s="22"/>
      <c r="V95" s="22"/>
      <c r="W95" s="22"/>
      <c r="AD95" s="22"/>
      <c r="AE95" s="22"/>
      <c r="AF95" s="22"/>
      <c r="AG95" s="22"/>
      <c r="AN95" s="22"/>
      <c r="AO95" s="22"/>
      <c r="AP95" s="22"/>
      <c r="AQ95" s="22"/>
    </row>
    <row r="96">
      <c r="J96" s="22"/>
      <c r="K96" s="22"/>
      <c r="L96" s="22"/>
      <c r="M96" s="22"/>
      <c r="T96" s="22"/>
      <c r="U96" s="22"/>
      <c r="V96" s="22"/>
      <c r="W96" s="22"/>
      <c r="AD96" s="22"/>
      <c r="AE96" s="22"/>
      <c r="AF96" s="22"/>
      <c r="AG96" s="22"/>
      <c r="AN96" s="22"/>
      <c r="AO96" s="22"/>
      <c r="AP96" s="22"/>
      <c r="AQ96" s="22"/>
    </row>
    <row r="97">
      <c r="J97" s="22"/>
      <c r="K97" s="22"/>
      <c r="L97" s="22"/>
      <c r="M97" s="22"/>
      <c r="T97" s="22"/>
      <c r="U97" s="22"/>
      <c r="V97" s="22"/>
      <c r="W97" s="22"/>
      <c r="AD97" s="22"/>
      <c r="AE97" s="22"/>
      <c r="AF97" s="22"/>
      <c r="AG97" s="22"/>
      <c r="AN97" s="22"/>
      <c r="AO97" s="22"/>
      <c r="AP97" s="22"/>
      <c r="AQ97" s="22"/>
    </row>
    <row r="98">
      <c r="J98" s="22"/>
      <c r="K98" s="22"/>
      <c r="L98" s="22"/>
      <c r="M98" s="22"/>
      <c r="T98" s="22"/>
      <c r="U98" s="22"/>
      <c r="V98" s="22"/>
      <c r="W98" s="22"/>
      <c r="AD98" s="22"/>
      <c r="AE98" s="22"/>
      <c r="AF98" s="22"/>
      <c r="AG98" s="22"/>
      <c r="AN98" s="22"/>
      <c r="AO98" s="22"/>
      <c r="AP98" s="22"/>
      <c r="AQ98" s="22"/>
    </row>
    <row r="99">
      <c r="J99" s="22"/>
      <c r="K99" s="22"/>
      <c r="L99" s="22"/>
      <c r="M99" s="22"/>
      <c r="T99" s="22"/>
      <c r="U99" s="22"/>
      <c r="V99" s="22"/>
      <c r="W99" s="22"/>
      <c r="AD99" s="22"/>
      <c r="AE99" s="22"/>
      <c r="AF99" s="22"/>
      <c r="AG99" s="22"/>
      <c r="AN99" s="22"/>
      <c r="AO99" s="22"/>
      <c r="AP99" s="22"/>
      <c r="AQ99" s="22"/>
    </row>
    <row r="100">
      <c r="J100" s="22"/>
      <c r="K100" s="22"/>
      <c r="L100" s="22"/>
      <c r="M100" s="22"/>
      <c r="T100" s="22"/>
      <c r="U100" s="22"/>
      <c r="V100" s="22"/>
      <c r="W100" s="22"/>
      <c r="AD100" s="22"/>
      <c r="AE100" s="22"/>
      <c r="AF100" s="22"/>
      <c r="AG100" s="22"/>
      <c r="AN100" s="22"/>
      <c r="AO100" s="22"/>
      <c r="AP100" s="22"/>
      <c r="AQ100" s="22"/>
    </row>
    <row r="101">
      <c r="J101" s="22"/>
      <c r="K101" s="22"/>
      <c r="L101" s="22"/>
      <c r="M101" s="22"/>
      <c r="T101" s="22"/>
      <c r="U101" s="22"/>
      <c r="V101" s="22"/>
      <c r="W101" s="22"/>
      <c r="AD101" s="22"/>
      <c r="AE101" s="22"/>
      <c r="AF101" s="22"/>
      <c r="AG101" s="22"/>
      <c r="AN101" s="22"/>
      <c r="AO101" s="22"/>
      <c r="AP101" s="22"/>
      <c r="AQ101" s="22"/>
    </row>
    <row r="102">
      <c r="J102" s="22"/>
      <c r="K102" s="22"/>
      <c r="L102" s="22"/>
      <c r="M102" s="22"/>
      <c r="T102" s="22"/>
      <c r="U102" s="22"/>
      <c r="V102" s="22"/>
      <c r="W102" s="22"/>
      <c r="AD102" s="22"/>
      <c r="AE102" s="22"/>
      <c r="AF102" s="22"/>
      <c r="AG102" s="22"/>
      <c r="AN102" s="22"/>
      <c r="AO102" s="22"/>
      <c r="AP102" s="22"/>
      <c r="AQ102" s="22"/>
    </row>
    <row r="103">
      <c r="J103" s="22"/>
      <c r="K103" s="22"/>
      <c r="L103" s="22"/>
      <c r="M103" s="22"/>
      <c r="T103" s="22"/>
      <c r="U103" s="22"/>
      <c r="V103" s="22"/>
      <c r="W103" s="22"/>
      <c r="AD103" s="22"/>
      <c r="AE103" s="22"/>
      <c r="AF103" s="22"/>
      <c r="AG103" s="22"/>
      <c r="AN103" s="22"/>
      <c r="AO103" s="22"/>
      <c r="AP103" s="22"/>
      <c r="AQ103" s="22"/>
    </row>
    <row r="104">
      <c r="J104" s="22"/>
      <c r="K104" s="22"/>
      <c r="L104" s="22"/>
      <c r="M104" s="22"/>
      <c r="T104" s="22"/>
      <c r="U104" s="22"/>
      <c r="V104" s="22"/>
      <c r="W104" s="22"/>
      <c r="AD104" s="22"/>
      <c r="AE104" s="22"/>
      <c r="AF104" s="22"/>
      <c r="AG104" s="22"/>
      <c r="AN104" s="22"/>
      <c r="AO104" s="22"/>
      <c r="AP104" s="22"/>
      <c r="AQ104" s="22"/>
    </row>
    <row r="105">
      <c r="J105" s="22"/>
      <c r="K105" s="22"/>
      <c r="L105" s="22"/>
      <c r="M105" s="22"/>
      <c r="T105" s="22"/>
      <c r="U105" s="22"/>
      <c r="V105" s="22"/>
      <c r="W105" s="22"/>
      <c r="AD105" s="22"/>
      <c r="AE105" s="22"/>
      <c r="AF105" s="22"/>
      <c r="AG105" s="22"/>
      <c r="AN105" s="22"/>
      <c r="AO105" s="22"/>
      <c r="AP105" s="22"/>
      <c r="AQ105" s="22"/>
    </row>
    <row r="106">
      <c r="J106" s="22"/>
      <c r="K106" s="22"/>
      <c r="L106" s="22"/>
      <c r="M106" s="22"/>
      <c r="T106" s="22"/>
      <c r="U106" s="22"/>
      <c r="V106" s="22"/>
      <c r="W106" s="22"/>
      <c r="AD106" s="22"/>
      <c r="AE106" s="22"/>
      <c r="AF106" s="22"/>
      <c r="AG106" s="22"/>
      <c r="AN106" s="22"/>
      <c r="AO106" s="22"/>
      <c r="AP106" s="22"/>
      <c r="AQ106" s="22"/>
    </row>
    <row r="107">
      <c r="J107" s="22"/>
      <c r="K107" s="22"/>
      <c r="L107" s="22"/>
      <c r="M107" s="22"/>
      <c r="T107" s="22"/>
      <c r="U107" s="22"/>
      <c r="V107" s="22"/>
      <c r="W107" s="22"/>
      <c r="AD107" s="22"/>
      <c r="AE107" s="22"/>
      <c r="AF107" s="22"/>
      <c r="AG107" s="22"/>
      <c r="AN107" s="22"/>
      <c r="AO107" s="22"/>
      <c r="AP107" s="22"/>
      <c r="AQ107" s="22"/>
    </row>
    <row r="108">
      <c r="J108" s="22"/>
      <c r="K108" s="22"/>
      <c r="L108" s="22"/>
      <c r="M108" s="22"/>
      <c r="T108" s="22"/>
      <c r="U108" s="22"/>
      <c r="V108" s="22"/>
      <c r="W108" s="22"/>
      <c r="AD108" s="22"/>
      <c r="AE108" s="22"/>
      <c r="AF108" s="22"/>
      <c r="AG108" s="22"/>
      <c r="AN108" s="22"/>
      <c r="AO108" s="22"/>
      <c r="AP108" s="22"/>
      <c r="AQ108" s="22"/>
    </row>
    <row r="109">
      <c r="J109" s="22"/>
      <c r="K109" s="22"/>
      <c r="L109" s="22"/>
      <c r="M109" s="22"/>
      <c r="T109" s="22"/>
      <c r="U109" s="22"/>
      <c r="V109" s="22"/>
      <c r="W109" s="22"/>
      <c r="AD109" s="22"/>
      <c r="AE109" s="22"/>
      <c r="AF109" s="22"/>
      <c r="AG109" s="22"/>
      <c r="AN109" s="22"/>
      <c r="AO109" s="22"/>
      <c r="AP109" s="22"/>
      <c r="AQ109" s="22"/>
    </row>
    <row r="110">
      <c r="J110" s="22"/>
      <c r="K110" s="22"/>
      <c r="L110" s="22"/>
      <c r="M110" s="22"/>
      <c r="T110" s="22"/>
      <c r="U110" s="22"/>
      <c r="V110" s="22"/>
      <c r="W110" s="22"/>
      <c r="AD110" s="22"/>
      <c r="AE110" s="22"/>
      <c r="AF110" s="22"/>
      <c r="AG110" s="22"/>
      <c r="AN110" s="22"/>
      <c r="AO110" s="22"/>
      <c r="AP110" s="22"/>
      <c r="AQ110" s="22"/>
    </row>
    <row r="111">
      <c r="J111" s="22"/>
      <c r="K111" s="22"/>
      <c r="L111" s="22"/>
      <c r="M111" s="22"/>
      <c r="T111" s="22"/>
      <c r="U111" s="22"/>
      <c r="V111" s="22"/>
      <c r="W111" s="22"/>
      <c r="AD111" s="22"/>
      <c r="AE111" s="22"/>
      <c r="AF111" s="22"/>
      <c r="AG111" s="22"/>
      <c r="AN111" s="22"/>
      <c r="AO111" s="22"/>
      <c r="AP111" s="22"/>
      <c r="AQ111" s="22"/>
    </row>
    <row r="112">
      <c r="J112" s="22"/>
      <c r="K112" s="22"/>
      <c r="L112" s="22"/>
      <c r="M112" s="22"/>
      <c r="T112" s="22"/>
      <c r="U112" s="22"/>
      <c r="V112" s="22"/>
      <c r="W112" s="22"/>
      <c r="AD112" s="22"/>
      <c r="AE112" s="22"/>
      <c r="AF112" s="22"/>
      <c r="AG112" s="22"/>
      <c r="AN112" s="22"/>
      <c r="AO112" s="22"/>
      <c r="AP112" s="22"/>
      <c r="AQ112" s="22"/>
    </row>
    <row r="113">
      <c r="J113" s="22"/>
      <c r="K113" s="22"/>
      <c r="L113" s="22"/>
      <c r="M113" s="22"/>
      <c r="T113" s="22"/>
      <c r="U113" s="22"/>
      <c r="V113" s="22"/>
      <c r="W113" s="22"/>
      <c r="AD113" s="22"/>
      <c r="AE113" s="22"/>
      <c r="AF113" s="22"/>
      <c r="AG113" s="22"/>
      <c r="AN113" s="22"/>
      <c r="AO113" s="22"/>
      <c r="AP113" s="22"/>
      <c r="AQ113" s="22"/>
    </row>
    <row r="114">
      <c r="J114" s="22"/>
      <c r="K114" s="22"/>
      <c r="L114" s="22"/>
      <c r="M114" s="22"/>
      <c r="T114" s="22"/>
      <c r="U114" s="22"/>
      <c r="V114" s="22"/>
      <c r="W114" s="22"/>
      <c r="AD114" s="22"/>
      <c r="AE114" s="22"/>
      <c r="AF114" s="22"/>
      <c r="AG114" s="22"/>
      <c r="AN114" s="22"/>
      <c r="AO114" s="22"/>
      <c r="AP114" s="22"/>
      <c r="AQ114" s="22"/>
    </row>
    <row r="115">
      <c r="J115" s="22"/>
      <c r="K115" s="22"/>
      <c r="L115" s="22"/>
      <c r="M115" s="22"/>
      <c r="T115" s="22"/>
      <c r="U115" s="22"/>
      <c r="V115" s="22"/>
      <c r="W115" s="22"/>
      <c r="AD115" s="22"/>
      <c r="AE115" s="22"/>
      <c r="AF115" s="22"/>
      <c r="AG115" s="22"/>
      <c r="AN115" s="22"/>
      <c r="AO115" s="22"/>
      <c r="AP115" s="22"/>
      <c r="AQ115" s="22"/>
    </row>
    <row r="116">
      <c r="J116" s="22"/>
      <c r="K116" s="22"/>
      <c r="L116" s="22"/>
      <c r="M116" s="22"/>
      <c r="T116" s="22"/>
      <c r="U116" s="22"/>
      <c r="V116" s="22"/>
      <c r="W116" s="22"/>
      <c r="AD116" s="22"/>
      <c r="AE116" s="22"/>
      <c r="AF116" s="22"/>
      <c r="AG116" s="22"/>
      <c r="AN116" s="22"/>
      <c r="AO116" s="22"/>
      <c r="AP116" s="22"/>
      <c r="AQ116" s="22"/>
    </row>
    <row r="117">
      <c r="J117" s="22"/>
      <c r="K117" s="22"/>
      <c r="L117" s="22"/>
      <c r="M117" s="22"/>
      <c r="T117" s="22"/>
      <c r="U117" s="22"/>
      <c r="V117" s="22"/>
      <c r="W117" s="22"/>
      <c r="AD117" s="22"/>
      <c r="AE117" s="22"/>
      <c r="AF117" s="22"/>
      <c r="AG117" s="22"/>
      <c r="AN117" s="22"/>
      <c r="AO117" s="22"/>
      <c r="AP117" s="22"/>
      <c r="AQ117" s="22"/>
    </row>
    <row r="118">
      <c r="J118" s="22"/>
      <c r="K118" s="22"/>
      <c r="L118" s="22"/>
      <c r="M118" s="22"/>
      <c r="T118" s="22"/>
      <c r="U118" s="22"/>
      <c r="V118" s="22"/>
      <c r="W118" s="22"/>
      <c r="AD118" s="22"/>
      <c r="AE118" s="22"/>
      <c r="AF118" s="22"/>
      <c r="AG118" s="22"/>
      <c r="AN118" s="22"/>
      <c r="AO118" s="22"/>
      <c r="AP118" s="22"/>
      <c r="AQ118" s="22"/>
    </row>
    <row r="119">
      <c r="J119" s="22"/>
      <c r="K119" s="22"/>
      <c r="L119" s="22"/>
      <c r="M119" s="22"/>
      <c r="T119" s="22"/>
      <c r="U119" s="22"/>
      <c r="V119" s="22"/>
      <c r="W119" s="22"/>
      <c r="AD119" s="22"/>
      <c r="AE119" s="22"/>
      <c r="AF119" s="22"/>
      <c r="AG119" s="22"/>
      <c r="AN119" s="22"/>
      <c r="AO119" s="22"/>
      <c r="AP119" s="22"/>
      <c r="AQ119" s="22"/>
    </row>
    <row r="120">
      <c r="J120" s="22"/>
      <c r="K120" s="22"/>
      <c r="L120" s="22"/>
      <c r="M120" s="22"/>
      <c r="T120" s="22"/>
      <c r="U120" s="22"/>
      <c r="V120" s="22"/>
      <c r="W120" s="22"/>
      <c r="AD120" s="22"/>
      <c r="AE120" s="22"/>
      <c r="AF120" s="22"/>
      <c r="AG120" s="22"/>
      <c r="AN120" s="22"/>
      <c r="AO120" s="22"/>
      <c r="AP120" s="22"/>
      <c r="AQ120" s="22"/>
    </row>
    <row r="121">
      <c r="J121" s="22"/>
      <c r="K121" s="22"/>
      <c r="L121" s="22"/>
      <c r="M121" s="22"/>
      <c r="T121" s="22"/>
      <c r="U121" s="22"/>
      <c r="V121" s="22"/>
      <c r="W121" s="22"/>
      <c r="AD121" s="22"/>
      <c r="AE121" s="22"/>
      <c r="AF121" s="22"/>
      <c r="AG121" s="22"/>
      <c r="AN121" s="22"/>
      <c r="AO121" s="22"/>
      <c r="AP121" s="22"/>
      <c r="AQ121" s="22"/>
    </row>
    <row r="122">
      <c r="J122" s="22"/>
      <c r="K122" s="22"/>
      <c r="L122" s="22"/>
      <c r="M122" s="22"/>
      <c r="T122" s="22"/>
      <c r="U122" s="22"/>
      <c r="V122" s="22"/>
      <c r="W122" s="22"/>
      <c r="AD122" s="22"/>
      <c r="AE122" s="22"/>
      <c r="AF122" s="22"/>
      <c r="AG122" s="22"/>
      <c r="AN122" s="22"/>
      <c r="AO122" s="22"/>
      <c r="AP122" s="22"/>
      <c r="AQ122" s="22"/>
    </row>
    <row r="123">
      <c r="J123" s="22"/>
      <c r="K123" s="22"/>
      <c r="L123" s="22"/>
      <c r="M123" s="22"/>
      <c r="T123" s="22"/>
      <c r="U123" s="22"/>
      <c r="V123" s="22"/>
      <c r="W123" s="22"/>
      <c r="AD123" s="22"/>
      <c r="AE123" s="22"/>
      <c r="AF123" s="22"/>
      <c r="AG123" s="22"/>
      <c r="AN123" s="22"/>
      <c r="AO123" s="22"/>
      <c r="AP123" s="22"/>
      <c r="AQ123" s="22"/>
    </row>
    <row r="124">
      <c r="J124" s="22"/>
      <c r="K124" s="22"/>
      <c r="L124" s="22"/>
      <c r="M124" s="22"/>
      <c r="T124" s="22"/>
      <c r="U124" s="22"/>
      <c r="V124" s="22"/>
      <c r="W124" s="22"/>
      <c r="AD124" s="22"/>
      <c r="AE124" s="22"/>
      <c r="AF124" s="22"/>
      <c r="AG124" s="22"/>
      <c r="AN124" s="22"/>
      <c r="AO124" s="22"/>
      <c r="AP124" s="22"/>
      <c r="AQ124" s="22"/>
    </row>
    <row r="125">
      <c r="J125" s="22"/>
      <c r="K125" s="22"/>
      <c r="L125" s="22"/>
      <c r="M125" s="22"/>
      <c r="T125" s="22"/>
      <c r="U125" s="22"/>
      <c r="V125" s="22"/>
      <c r="W125" s="22"/>
      <c r="AD125" s="22"/>
      <c r="AE125" s="22"/>
      <c r="AF125" s="22"/>
      <c r="AG125" s="22"/>
      <c r="AN125" s="22"/>
      <c r="AO125" s="22"/>
      <c r="AP125" s="22"/>
      <c r="AQ125" s="22"/>
    </row>
    <row r="126">
      <c r="J126" s="22"/>
      <c r="K126" s="22"/>
      <c r="L126" s="22"/>
      <c r="M126" s="22"/>
      <c r="T126" s="22"/>
      <c r="U126" s="22"/>
      <c r="V126" s="22"/>
      <c r="W126" s="22"/>
      <c r="AD126" s="22"/>
      <c r="AE126" s="22"/>
      <c r="AF126" s="22"/>
      <c r="AG126" s="22"/>
      <c r="AN126" s="22"/>
      <c r="AO126" s="22"/>
      <c r="AP126" s="22"/>
      <c r="AQ126" s="22"/>
    </row>
    <row r="127">
      <c r="J127" s="22"/>
      <c r="K127" s="22"/>
      <c r="L127" s="22"/>
      <c r="M127" s="22"/>
      <c r="T127" s="22"/>
      <c r="U127" s="22"/>
      <c r="V127" s="22"/>
      <c r="W127" s="22"/>
      <c r="AD127" s="22"/>
      <c r="AE127" s="22"/>
      <c r="AF127" s="22"/>
      <c r="AG127" s="22"/>
      <c r="AN127" s="22"/>
      <c r="AO127" s="22"/>
      <c r="AP127" s="22"/>
      <c r="AQ127" s="22"/>
    </row>
    <row r="128">
      <c r="J128" s="22"/>
      <c r="K128" s="22"/>
      <c r="L128" s="22"/>
      <c r="M128" s="22"/>
      <c r="T128" s="22"/>
      <c r="U128" s="22"/>
      <c r="V128" s="22"/>
      <c r="W128" s="22"/>
      <c r="AD128" s="22"/>
      <c r="AE128" s="22"/>
      <c r="AF128" s="22"/>
      <c r="AG128" s="22"/>
      <c r="AN128" s="22"/>
      <c r="AO128" s="22"/>
      <c r="AP128" s="22"/>
      <c r="AQ128" s="22"/>
    </row>
    <row r="129">
      <c r="J129" s="22"/>
      <c r="K129" s="22"/>
      <c r="L129" s="22"/>
      <c r="M129" s="22"/>
      <c r="T129" s="22"/>
      <c r="U129" s="22"/>
      <c r="V129" s="22"/>
      <c r="W129" s="22"/>
      <c r="AD129" s="22"/>
      <c r="AE129" s="22"/>
      <c r="AF129" s="22"/>
      <c r="AG129" s="22"/>
      <c r="AN129" s="22"/>
      <c r="AO129" s="22"/>
      <c r="AP129" s="22"/>
      <c r="AQ129" s="22"/>
    </row>
    <row r="130">
      <c r="J130" s="22"/>
      <c r="K130" s="22"/>
      <c r="L130" s="22"/>
      <c r="M130" s="22"/>
      <c r="T130" s="22"/>
      <c r="U130" s="22"/>
      <c r="V130" s="22"/>
      <c r="W130" s="22"/>
      <c r="AD130" s="22"/>
      <c r="AE130" s="22"/>
      <c r="AF130" s="22"/>
      <c r="AG130" s="22"/>
      <c r="AN130" s="22"/>
      <c r="AO130" s="22"/>
      <c r="AP130" s="22"/>
      <c r="AQ130" s="22"/>
    </row>
    <row r="131">
      <c r="J131" s="22"/>
      <c r="K131" s="22"/>
      <c r="L131" s="22"/>
      <c r="M131" s="22"/>
      <c r="T131" s="22"/>
      <c r="U131" s="22"/>
      <c r="V131" s="22"/>
      <c r="W131" s="22"/>
      <c r="AD131" s="22"/>
      <c r="AE131" s="22"/>
      <c r="AF131" s="22"/>
      <c r="AG131" s="22"/>
      <c r="AN131" s="22"/>
      <c r="AO131" s="22"/>
      <c r="AP131" s="22"/>
      <c r="AQ131" s="22"/>
    </row>
    <row r="132">
      <c r="J132" s="22"/>
      <c r="K132" s="22"/>
      <c r="L132" s="22"/>
      <c r="M132" s="22"/>
      <c r="T132" s="22"/>
      <c r="U132" s="22"/>
      <c r="V132" s="22"/>
      <c r="W132" s="22"/>
      <c r="AD132" s="22"/>
      <c r="AE132" s="22"/>
      <c r="AF132" s="22"/>
      <c r="AG132" s="22"/>
      <c r="AN132" s="22"/>
      <c r="AO132" s="22"/>
      <c r="AP132" s="22"/>
      <c r="AQ132" s="22"/>
    </row>
    <row r="133">
      <c r="J133" s="22"/>
      <c r="K133" s="22"/>
      <c r="L133" s="22"/>
      <c r="M133" s="22"/>
      <c r="T133" s="22"/>
      <c r="U133" s="22"/>
      <c r="V133" s="22"/>
      <c r="W133" s="22"/>
      <c r="AD133" s="22"/>
      <c r="AE133" s="22"/>
      <c r="AF133" s="22"/>
      <c r="AG133" s="22"/>
      <c r="AN133" s="22"/>
      <c r="AO133" s="22"/>
      <c r="AP133" s="22"/>
      <c r="AQ133" s="22"/>
    </row>
    <row r="134">
      <c r="J134" s="22"/>
      <c r="K134" s="22"/>
      <c r="L134" s="22"/>
      <c r="M134" s="22"/>
      <c r="T134" s="22"/>
      <c r="U134" s="22"/>
      <c r="V134" s="22"/>
      <c r="W134" s="22"/>
      <c r="AD134" s="22"/>
      <c r="AE134" s="22"/>
      <c r="AF134" s="22"/>
      <c r="AG134" s="22"/>
      <c r="AN134" s="22"/>
      <c r="AO134" s="22"/>
      <c r="AP134" s="22"/>
      <c r="AQ134" s="22"/>
    </row>
    <row r="135">
      <c r="J135" s="22"/>
      <c r="K135" s="22"/>
      <c r="L135" s="22"/>
      <c r="M135" s="22"/>
      <c r="T135" s="22"/>
      <c r="U135" s="22"/>
      <c r="V135" s="22"/>
      <c r="W135" s="22"/>
      <c r="AD135" s="22"/>
      <c r="AE135" s="22"/>
      <c r="AF135" s="22"/>
      <c r="AG135" s="22"/>
      <c r="AN135" s="22"/>
      <c r="AO135" s="22"/>
      <c r="AP135" s="22"/>
      <c r="AQ135" s="22"/>
    </row>
    <row r="136">
      <c r="J136" s="22"/>
      <c r="K136" s="22"/>
      <c r="L136" s="22"/>
      <c r="M136" s="22"/>
      <c r="T136" s="22"/>
      <c r="U136" s="22"/>
      <c r="V136" s="22"/>
      <c r="W136" s="22"/>
      <c r="AD136" s="22"/>
      <c r="AE136" s="22"/>
      <c r="AF136" s="22"/>
      <c r="AG136" s="22"/>
      <c r="AN136" s="22"/>
      <c r="AO136" s="22"/>
      <c r="AP136" s="22"/>
      <c r="AQ136" s="22"/>
    </row>
    <row r="137">
      <c r="J137" s="28"/>
      <c r="K137" s="28"/>
      <c r="L137" s="28"/>
      <c r="M137" s="28"/>
      <c r="T137" s="28"/>
      <c r="U137" s="28"/>
      <c r="V137" s="28"/>
      <c r="W137" s="28"/>
      <c r="AD137" s="28"/>
      <c r="AE137" s="28"/>
      <c r="AF137" s="28"/>
      <c r="AG137" s="28"/>
      <c r="AN137" s="28"/>
      <c r="AO137" s="28"/>
      <c r="AP137" s="28"/>
      <c r="AQ137" s="28"/>
    </row>
    <row r="138">
      <c r="J138" s="28"/>
      <c r="K138" s="28"/>
      <c r="L138" s="28"/>
      <c r="M138" s="28"/>
      <c r="T138" s="28"/>
      <c r="U138" s="28"/>
      <c r="V138" s="28"/>
      <c r="W138" s="28"/>
      <c r="AD138" s="28"/>
      <c r="AE138" s="28"/>
      <c r="AF138" s="28"/>
      <c r="AG138" s="28"/>
      <c r="AN138" s="28"/>
      <c r="AO138" s="28"/>
      <c r="AP138" s="28"/>
      <c r="AQ138" s="28"/>
    </row>
    <row r="139">
      <c r="J139" s="28"/>
      <c r="K139" s="28"/>
      <c r="L139" s="28"/>
      <c r="M139" s="28"/>
      <c r="T139" s="28"/>
      <c r="U139" s="28"/>
      <c r="V139" s="28"/>
      <c r="W139" s="28"/>
      <c r="AD139" s="28"/>
      <c r="AE139" s="28"/>
      <c r="AF139" s="28"/>
      <c r="AG139" s="28"/>
      <c r="AN139" s="28"/>
      <c r="AO139" s="28"/>
      <c r="AP139" s="28"/>
      <c r="AQ139" s="28"/>
    </row>
    <row r="140">
      <c r="J140" s="28"/>
      <c r="K140" s="28"/>
      <c r="L140" s="28"/>
      <c r="M140" s="28"/>
      <c r="T140" s="28"/>
      <c r="U140" s="28"/>
      <c r="V140" s="28"/>
      <c r="W140" s="28"/>
      <c r="AD140" s="28"/>
      <c r="AE140" s="28"/>
      <c r="AF140" s="28"/>
      <c r="AG140" s="28"/>
      <c r="AN140" s="28"/>
      <c r="AO140" s="28"/>
      <c r="AP140" s="28"/>
      <c r="AQ140" s="28"/>
    </row>
    <row r="141">
      <c r="J141" s="28"/>
      <c r="K141" s="28"/>
      <c r="L141" s="28"/>
      <c r="M141" s="28"/>
      <c r="T141" s="28"/>
      <c r="U141" s="28"/>
      <c r="V141" s="28"/>
      <c r="W141" s="28"/>
      <c r="AD141" s="28"/>
      <c r="AE141" s="28"/>
      <c r="AF141" s="28"/>
      <c r="AG141" s="28"/>
      <c r="AN141" s="28"/>
      <c r="AO141" s="28"/>
      <c r="AP141" s="28"/>
      <c r="AQ141" s="28"/>
    </row>
    <row r="142">
      <c r="J142" s="28"/>
      <c r="K142" s="28"/>
      <c r="L142" s="28"/>
      <c r="M142" s="28"/>
      <c r="T142" s="28"/>
      <c r="U142" s="28"/>
      <c r="V142" s="28"/>
      <c r="W142" s="28"/>
      <c r="AD142" s="28"/>
      <c r="AE142" s="28"/>
      <c r="AF142" s="28"/>
      <c r="AG142" s="28"/>
      <c r="AN142" s="28"/>
      <c r="AO142" s="28"/>
      <c r="AP142" s="28"/>
      <c r="AQ142" s="28"/>
    </row>
    <row r="143">
      <c r="J143" s="28"/>
      <c r="K143" s="28"/>
      <c r="L143" s="28"/>
      <c r="M143" s="28"/>
      <c r="T143" s="28"/>
      <c r="U143" s="28"/>
      <c r="V143" s="28"/>
      <c r="W143" s="28"/>
      <c r="AD143" s="28"/>
      <c r="AE143" s="28"/>
      <c r="AF143" s="28"/>
      <c r="AG143" s="28"/>
      <c r="AN143" s="28"/>
      <c r="AO143" s="28"/>
      <c r="AP143" s="28"/>
      <c r="AQ143" s="28"/>
    </row>
    <row r="144">
      <c r="J144" s="28"/>
      <c r="K144" s="28"/>
      <c r="L144" s="28"/>
      <c r="M144" s="28"/>
      <c r="T144" s="28"/>
      <c r="U144" s="28"/>
      <c r="V144" s="28"/>
      <c r="W144" s="28"/>
      <c r="AD144" s="28"/>
      <c r="AE144" s="28"/>
      <c r="AF144" s="28"/>
      <c r="AG144" s="28"/>
      <c r="AN144" s="28"/>
      <c r="AO144" s="28"/>
      <c r="AP144" s="28"/>
      <c r="AQ144" s="28"/>
    </row>
    <row r="145">
      <c r="J145" s="28"/>
      <c r="K145" s="28"/>
      <c r="L145" s="28"/>
      <c r="M145" s="28"/>
      <c r="T145" s="28"/>
      <c r="U145" s="28"/>
      <c r="V145" s="28"/>
      <c r="W145" s="28"/>
      <c r="AD145" s="28"/>
      <c r="AE145" s="28"/>
      <c r="AF145" s="28"/>
      <c r="AG145" s="28"/>
      <c r="AN145" s="28"/>
      <c r="AO145" s="28"/>
      <c r="AP145" s="28"/>
      <c r="AQ145" s="28"/>
    </row>
    <row r="146">
      <c r="J146" s="28"/>
      <c r="K146" s="28"/>
      <c r="L146" s="28"/>
      <c r="M146" s="28"/>
      <c r="T146" s="28"/>
      <c r="U146" s="28"/>
      <c r="V146" s="28"/>
      <c r="W146" s="28"/>
      <c r="AD146" s="28"/>
      <c r="AE146" s="28"/>
      <c r="AF146" s="28"/>
      <c r="AG146" s="28"/>
      <c r="AN146" s="28"/>
      <c r="AO146" s="28"/>
      <c r="AP146" s="28"/>
      <c r="AQ146" s="28"/>
    </row>
    <row r="147">
      <c r="J147" s="28"/>
      <c r="K147" s="28"/>
      <c r="L147" s="28"/>
      <c r="M147" s="28"/>
      <c r="T147" s="28"/>
      <c r="U147" s="28"/>
      <c r="V147" s="28"/>
      <c r="W147" s="28"/>
      <c r="AD147" s="28"/>
      <c r="AE147" s="28"/>
      <c r="AF147" s="28"/>
      <c r="AG147" s="28"/>
      <c r="AN147" s="28"/>
      <c r="AO147" s="28"/>
      <c r="AP147" s="28"/>
      <c r="AQ147" s="28"/>
    </row>
    <row r="148">
      <c r="J148" s="28"/>
      <c r="K148" s="28"/>
      <c r="L148" s="28"/>
      <c r="M148" s="28"/>
      <c r="T148" s="28"/>
      <c r="U148" s="28"/>
      <c r="V148" s="28"/>
      <c r="W148" s="28"/>
      <c r="AD148" s="28"/>
      <c r="AE148" s="28"/>
      <c r="AF148" s="28"/>
      <c r="AG148" s="28"/>
      <c r="AN148" s="28"/>
      <c r="AO148" s="28"/>
      <c r="AP148" s="28"/>
      <c r="AQ148" s="28"/>
    </row>
    <row r="149">
      <c r="J149" s="28"/>
      <c r="K149" s="28"/>
      <c r="L149" s="28"/>
      <c r="M149" s="28"/>
      <c r="T149" s="28"/>
      <c r="U149" s="28"/>
      <c r="V149" s="28"/>
      <c r="W149" s="28"/>
      <c r="AD149" s="28"/>
      <c r="AE149" s="28"/>
      <c r="AF149" s="28"/>
      <c r="AG149" s="28"/>
      <c r="AN149" s="28"/>
      <c r="AO149" s="28"/>
      <c r="AP149" s="28"/>
      <c r="AQ149" s="28"/>
    </row>
    <row r="150">
      <c r="J150" s="28"/>
      <c r="K150" s="28"/>
      <c r="L150" s="28"/>
      <c r="M150" s="28"/>
      <c r="T150" s="28"/>
      <c r="U150" s="28"/>
      <c r="V150" s="28"/>
      <c r="W150" s="28"/>
      <c r="AD150" s="28"/>
      <c r="AE150" s="28"/>
      <c r="AF150" s="28"/>
      <c r="AG150" s="28"/>
      <c r="AN150" s="28"/>
      <c r="AO150" s="28"/>
      <c r="AP150" s="28"/>
      <c r="AQ150" s="28"/>
    </row>
    <row r="151">
      <c r="J151" s="28"/>
      <c r="K151" s="28"/>
      <c r="L151" s="28"/>
      <c r="M151" s="28"/>
      <c r="T151" s="28"/>
      <c r="U151" s="28"/>
      <c r="V151" s="28"/>
      <c r="W151" s="28"/>
      <c r="AD151" s="28"/>
      <c r="AE151" s="28"/>
      <c r="AF151" s="28"/>
      <c r="AG151" s="28"/>
      <c r="AN151" s="28"/>
      <c r="AO151" s="28"/>
      <c r="AP151" s="28"/>
      <c r="AQ151" s="28"/>
    </row>
    <row r="152">
      <c r="J152" s="28"/>
      <c r="K152" s="28"/>
      <c r="L152" s="28"/>
      <c r="M152" s="28"/>
      <c r="T152" s="28"/>
      <c r="U152" s="28"/>
      <c r="V152" s="28"/>
      <c r="W152" s="28"/>
      <c r="AD152" s="28"/>
      <c r="AE152" s="28"/>
      <c r="AF152" s="28"/>
      <c r="AG152" s="28"/>
      <c r="AN152" s="28"/>
      <c r="AO152" s="28"/>
      <c r="AP152" s="28"/>
      <c r="AQ152" s="28"/>
    </row>
    <row r="153">
      <c r="J153" s="28"/>
      <c r="K153" s="28"/>
      <c r="L153" s="28"/>
      <c r="M153" s="28"/>
      <c r="T153" s="28"/>
      <c r="U153" s="28"/>
      <c r="V153" s="28"/>
      <c r="W153" s="28"/>
      <c r="AD153" s="28"/>
      <c r="AE153" s="28"/>
      <c r="AF153" s="28"/>
      <c r="AG153" s="28"/>
      <c r="AN153" s="28"/>
      <c r="AO153" s="28"/>
      <c r="AP153" s="28"/>
      <c r="AQ153" s="28"/>
    </row>
    <row r="154">
      <c r="J154" s="28"/>
      <c r="K154" s="28"/>
      <c r="L154" s="28"/>
      <c r="M154" s="28"/>
      <c r="T154" s="28"/>
      <c r="U154" s="28"/>
      <c r="V154" s="28"/>
      <c r="W154" s="28"/>
      <c r="AD154" s="28"/>
      <c r="AE154" s="28"/>
      <c r="AF154" s="28"/>
      <c r="AG154" s="28"/>
      <c r="AN154" s="28"/>
      <c r="AO154" s="28"/>
      <c r="AP154" s="28"/>
      <c r="AQ154" s="28"/>
    </row>
    <row r="155">
      <c r="J155" s="28"/>
      <c r="K155" s="28"/>
      <c r="L155" s="28"/>
      <c r="M155" s="28"/>
      <c r="T155" s="28"/>
      <c r="U155" s="28"/>
      <c r="V155" s="28"/>
      <c r="W155" s="28"/>
      <c r="AD155" s="28"/>
      <c r="AE155" s="28"/>
      <c r="AF155" s="28"/>
      <c r="AG155" s="28"/>
      <c r="AN155" s="28"/>
      <c r="AO155" s="28"/>
      <c r="AP155" s="28"/>
      <c r="AQ155" s="28"/>
    </row>
    <row r="156">
      <c r="J156" s="28"/>
      <c r="K156" s="28"/>
      <c r="L156" s="28"/>
      <c r="M156" s="28"/>
      <c r="T156" s="28"/>
      <c r="U156" s="28"/>
      <c r="V156" s="28"/>
      <c r="W156" s="28"/>
      <c r="AD156" s="28"/>
      <c r="AE156" s="28"/>
      <c r="AF156" s="28"/>
      <c r="AG156" s="28"/>
      <c r="AN156" s="28"/>
      <c r="AO156" s="28"/>
      <c r="AP156" s="28"/>
      <c r="AQ156" s="28"/>
    </row>
    <row r="157">
      <c r="J157" s="28"/>
      <c r="K157" s="28"/>
      <c r="L157" s="28"/>
      <c r="M157" s="28"/>
      <c r="T157" s="28"/>
      <c r="U157" s="28"/>
      <c r="V157" s="28"/>
      <c r="W157" s="28"/>
      <c r="AD157" s="28"/>
      <c r="AE157" s="28"/>
      <c r="AF157" s="28"/>
      <c r="AG157" s="28"/>
      <c r="AN157" s="28"/>
      <c r="AO157" s="28"/>
      <c r="AP157" s="28"/>
      <c r="AQ157" s="28"/>
    </row>
    <row r="158">
      <c r="J158" s="28"/>
      <c r="K158" s="28"/>
      <c r="L158" s="28"/>
      <c r="M158" s="28"/>
      <c r="T158" s="28"/>
      <c r="U158" s="28"/>
      <c r="V158" s="28"/>
      <c r="W158" s="28"/>
      <c r="AD158" s="28"/>
      <c r="AE158" s="28"/>
      <c r="AF158" s="28"/>
      <c r="AG158" s="28"/>
      <c r="AN158" s="28"/>
      <c r="AO158" s="28"/>
      <c r="AP158" s="28"/>
      <c r="AQ158" s="28"/>
    </row>
    <row r="159">
      <c r="J159" s="28"/>
      <c r="K159" s="28"/>
      <c r="L159" s="28"/>
      <c r="M159" s="28"/>
      <c r="T159" s="28"/>
      <c r="U159" s="28"/>
      <c r="V159" s="28"/>
      <c r="W159" s="28"/>
      <c r="AD159" s="28"/>
      <c r="AE159" s="28"/>
      <c r="AF159" s="28"/>
      <c r="AG159" s="28"/>
      <c r="AN159" s="28"/>
      <c r="AO159" s="28"/>
      <c r="AP159" s="28"/>
      <c r="AQ159" s="28"/>
    </row>
    <row r="160">
      <c r="J160" s="28"/>
      <c r="K160" s="28"/>
      <c r="L160" s="28"/>
      <c r="M160" s="28"/>
      <c r="T160" s="28"/>
      <c r="U160" s="28"/>
      <c r="V160" s="28"/>
      <c r="W160" s="28"/>
      <c r="AD160" s="28"/>
      <c r="AE160" s="28"/>
      <c r="AF160" s="28"/>
      <c r="AG160" s="28"/>
      <c r="AN160" s="28"/>
      <c r="AO160" s="28"/>
      <c r="AP160" s="28"/>
      <c r="AQ160" s="28"/>
    </row>
    <row r="161">
      <c r="J161" s="28"/>
      <c r="K161" s="28"/>
      <c r="L161" s="28"/>
      <c r="M161" s="28"/>
      <c r="T161" s="28"/>
      <c r="U161" s="28"/>
      <c r="V161" s="28"/>
      <c r="W161" s="28"/>
      <c r="AD161" s="28"/>
      <c r="AE161" s="28"/>
      <c r="AF161" s="28"/>
      <c r="AG161" s="28"/>
      <c r="AN161" s="28"/>
      <c r="AO161" s="28"/>
      <c r="AP161" s="28"/>
      <c r="AQ161" s="28"/>
    </row>
    <row r="162">
      <c r="J162" s="28"/>
      <c r="K162" s="28"/>
      <c r="L162" s="28"/>
      <c r="M162" s="28"/>
      <c r="T162" s="28"/>
      <c r="U162" s="28"/>
      <c r="V162" s="28"/>
      <c r="W162" s="28"/>
      <c r="AD162" s="28"/>
      <c r="AE162" s="28"/>
      <c r="AF162" s="28"/>
      <c r="AG162" s="28"/>
      <c r="AN162" s="28"/>
      <c r="AO162" s="28"/>
      <c r="AP162" s="28"/>
      <c r="AQ162" s="28"/>
    </row>
    <row r="163">
      <c r="J163" s="28"/>
      <c r="K163" s="28"/>
      <c r="L163" s="28"/>
      <c r="M163" s="28"/>
      <c r="T163" s="28"/>
      <c r="U163" s="28"/>
      <c r="V163" s="28"/>
      <c r="W163" s="28"/>
      <c r="AD163" s="28"/>
      <c r="AE163" s="28"/>
      <c r="AF163" s="28"/>
      <c r="AG163" s="28"/>
      <c r="AN163" s="28"/>
      <c r="AO163" s="28"/>
      <c r="AP163" s="28"/>
      <c r="AQ163" s="28"/>
    </row>
    <row r="164">
      <c r="J164" s="28"/>
      <c r="K164" s="28"/>
      <c r="L164" s="28"/>
      <c r="M164" s="28"/>
      <c r="T164" s="28"/>
      <c r="U164" s="28"/>
      <c r="V164" s="28"/>
      <c r="W164" s="28"/>
      <c r="AD164" s="28"/>
      <c r="AE164" s="28"/>
      <c r="AF164" s="28"/>
      <c r="AG164" s="28"/>
      <c r="AN164" s="28"/>
      <c r="AO164" s="28"/>
      <c r="AP164" s="28"/>
      <c r="AQ164" s="28"/>
    </row>
    <row r="165">
      <c r="J165" s="28"/>
      <c r="K165" s="28"/>
      <c r="L165" s="28"/>
      <c r="M165" s="28"/>
      <c r="T165" s="28"/>
      <c r="U165" s="28"/>
      <c r="V165" s="28"/>
      <c r="W165" s="28"/>
      <c r="AD165" s="28"/>
      <c r="AE165" s="28"/>
      <c r="AF165" s="28"/>
      <c r="AG165" s="28"/>
      <c r="AN165" s="28"/>
      <c r="AO165" s="28"/>
      <c r="AP165" s="28"/>
      <c r="AQ165" s="28"/>
    </row>
    <row r="166">
      <c r="J166" s="28"/>
      <c r="K166" s="28"/>
      <c r="L166" s="28"/>
      <c r="M166" s="28"/>
      <c r="T166" s="28"/>
      <c r="U166" s="28"/>
      <c r="V166" s="28"/>
      <c r="W166" s="28"/>
      <c r="AD166" s="28"/>
      <c r="AE166" s="28"/>
      <c r="AF166" s="28"/>
      <c r="AG166" s="28"/>
      <c r="AN166" s="28"/>
      <c r="AO166" s="28"/>
      <c r="AP166" s="28"/>
      <c r="AQ166" s="28"/>
    </row>
    <row r="167">
      <c r="J167" s="28"/>
      <c r="K167" s="28"/>
      <c r="L167" s="28"/>
      <c r="M167" s="28"/>
      <c r="T167" s="28"/>
      <c r="U167" s="28"/>
      <c r="V167" s="28"/>
      <c r="W167" s="28"/>
      <c r="AD167" s="28"/>
      <c r="AE167" s="28"/>
      <c r="AF167" s="28"/>
      <c r="AG167" s="28"/>
      <c r="AN167" s="28"/>
      <c r="AO167" s="28"/>
      <c r="AP167" s="28"/>
      <c r="AQ167" s="28"/>
    </row>
    <row r="168">
      <c r="J168" s="28"/>
      <c r="K168" s="28"/>
      <c r="L168" s="28"/>
      <c r="M168" s="28"/>
      <c r="T168" s="28"/>
      <c r="U168" s="28"/>
      <c r="V168" s="28"/>
      <c r="W168" s="28"/>
      <c r="AD168" s="28"/>
      <c r="AE168" s="28"/>
      <c r="AF168" s="28"/>
      <c r="AG168" s="28"/>
      <c r="AN168" s="28"/>
      <c r="AO168" s="28"/>
      <c r="AP168" s="28"/>
      <c r="AQ168" s="28"/>
    </row>
    <row r="169">
      <c r="J169" s="28"/>
      <c r="K169" s="28"/>
      <c r="L169" s="28"/>
      <c r="M169" s="28"/>
      <c r="T169" s="28"/>
      <c r="U169" s="28"/>
      <c r="V169" s="28"/>
      <c r="W169" s="28"/>
      <c r="AD169" s="28"/>
      <c r="AE169" s="28"/>
      <c r="AF169" s="28"/>
      <c r="AG169" s="28"/>
      <c r="AN169" s="28"/>
      <c r="AO169" s="28"/>
      <c r="AP169" s="28"/>
      <c r="AQ169" s="28"/>
    </row>
    <row r="170">
      <c r="J170" s="28"/>
      <c r="K170" s="28"/>
      <c r="L170" s="28"/>
      <c r="M170" s="28"/>
      <c r="T170" s="28"/>
      <c r="U170" s="28"/>
      <c r="V170" s="28"/>
      <c r="W170" s="28"/>
      <c r="AD170" s="28"/>
      <c r="AE170" s="28"/>
      <c r="AF170" s="28"/>
      <c r="AG170" s="28"/>
      <c r="AN170" s="28"/>
      <c r="AO170" s="28"/>
      <c r="AP170" s="28"/>
      <c r="AQ170" s="28"/>
    </row>
    <row r="171">
      <c r="J171" s="28"/>
      <c r="K171" s="28"/>
      <c r="L171" s="28"/>
      <c r="M171" s="28"/>
      <c r="T171" s="28"/>
      <c r="U171" s="28"/>
      <c r="V171" s="28"/>
      <c r="W171" s="28"/>
      <c r="AD171" s="28"/>
      <c r="AE171" s="28"/>
      <c r="AF171" s="28"/>
      <c r="AG171" s="28"/>
      <c r="AN171" s="28"/>
      <c r="AO171" s="28"/>
      <c r="AP171" s="28"/>
      <c r="AQ171" s="28"/>
    </row>
    <row r="172">
      <c r="J172" s="28"/>
      <c r="K172" s="28"/>
      <c r="L172" s="28"/>
      <c r="M172" s="28"/>
      <c r="T172" s="28"/>
      <c r="U172" s="28"/>
      <c r="V172" s="28"/>
      <c r="W172" s="28"/>
      <c r="AD172" s="28"/>
      <c r="AE172" s="28"/>
      <c r="AF172" s="28"/>
      <c r="AG172" s="28"/>
      <c r="AN172" s="28"/>
      <c r="AO172" s="28"/>
      <c r="AP172" s="28"/>
      <c r="AQ172" s="28"/>
    </row>
    <row r="173">
      <c r="J173" s="28"/>
      <c r="K173" s="28"/>
      <c r="L173" s="28"/>
      <c r="M173" s="28"/>
      <c r="T173" s="28"/>
      <c r="U173" s="28"/>
      <c r="V173" s="28"/>
      <c r="W173" s="28"/>
      <c r="AD173" s="28"/>
      <c r="AE173" s="28"/>
      <c r="AF173" s="28"/>
      <c r="AG173" s="28"/>
      <c r="AN173" s="28"/>
      <c r="AO173" s="28"/>
      <c r="AP173" s="28"/>
      <c r="AQ173" s="28"/>
    </row>
    <row r="174">
      <c r="J174" s="28"/>
      <c r="K174" s="28"/>
      <c r="L174" s="28"/>
      <c r="M174" s="28"/>
      <c r="T174" s="28"/>
      <c r="U174" s="28"/>
      <c r="V174" s="28"/>
      <c r="W174" s="28"/>
      <c r="AD174" s="28"/>
      <c r="AE174" s="28"/>
      <c r="AF174" s="28"/>
      <c r="AG174" s="28"/>
      <c r="AN174" s="28"/>
      <c r="AO174" s="28"/>
      <c r="AP174" s="28"/>
      <c r="AQ174" s="28"/>
    </row>
    <row r="175">
      <c r="J175" s="28"/>
      <c r="K175" s="28"/>
      <c r="L175" s="28"/>
      <c r="M175" s="28"/>
      <c r="T175" s="28"/>
      <c r="U175" s="28"/>
      <c r="V175" s="28"/>
      <c r="W175" s="28"/>
      <c r="AD175" s="28"/>
      <c r="AE175" s="28"/>
      <c r="AF175" s="28"/>
      <c r="AG175" s="28"/>
      <c r="AN175" s="28"/>
      <c r="AO175" s="28"/>
      <c r="AP175" s="28"/>
      <c r="AQ175" s="28"/>
    </row>
    <row r="176">
      <c r="J176" s="28"/>
      <c r="K176" s="28"/>
      <c r="L176" s="28"/>
      <c r="M176" s="28"/>
      <c r="T176" s="28"/>
      <c r="U176" s="28"/>
      <c r="V176" s="28"/>
      <c r="W176" s="28"/>
      <c r="AD176" s="28"/>
      <c r="AE176" s="28"/>
      <c r="AF176" s="28"/>
      <c r="AG176" s="28"/>
      <c r="AN176" s="28"/>
      <c r="AO176" s="28"/>
      <c r="AP176" s="28"/>
      <c r="AQ176" s="28"/>
    </row>
    <row r="177">
      <c r="J177" s="28"/>
      <c r="K177" s="28"/>
      <c r="L177" s="28"/>
      <c r="M177" s="28"/>
      <c r="T177" s="28"/>
      <c r="U177" s="28"/>
      <c r="V177" s="28"/>
      <c r="W177" s="28"/>
      <c r="AD177" s="28"/>
      <c r="AE177" s="28"/>
      <c r="AF177" s="28"/>
      <c r="AG177" s="28"/>
      <c r="AN177" s="28"/>
      <c r="AO177" s="28"/>
      <c r="AP177" s="28"/>
      <c r="AQ177" s="28"/>
    </row>
    <row r="178">
      <c r="J178" s="28"/>
      <c r="K178" s="28"/>
      <c r="L178" s="28"/>
      <c r="M178" s="28"/>
      <c r="T178" s="28"/>
      <c r="U178" s="28"/>
      <c r="V178" s="28"/>
      <c r="W178" s="28"/>
      <c r="AD178" s="28"/>
      <c r="AE178" s="28"/>
      <c r="AF178" s="28"/>
      <c r="AG178" s="28"/>
      <c r="AN178" s="28"/>
      <c r="AO178" s="28"/>
      <c r="AP178" s="28"/>
      <c r="AQ178" s="28"/>
    </row>
    <row r="179">
      <c r="J179" s="28"/>
      <c r="K179" s="28"/>
      <c r="L179" s="28"/>
      <c r="M179" s="28"/>
      <c r="T179" s="28"/>
      <c r="U179" s="28"/>
      <c r="V179" s="28"/>
      <c r="W179" s="28"/>
      <c r="AD179" s="28"/>
      <c r="AE179" s="28"/>
      <c r="AF179" s="28"/>
      <c r="AG179" s="28"/>
      <c r="AN179" s="28"/>
      <c r="AO179" s="28"/>
      <c r="AP179" s="28"/>
      <c r="AQ179" s="28"/>
    </row>
    <row r="180">
      <c r="J180" s="28"/>
      <c r="K180" s="28"/>
      <c r="L180" s="28"/>
      <c r="M180" s="28"/>
      <c r="T180" s="28"/>
      <c r="U180" s="28"/>
      <c r="V180" s="28"/>
      <c r="W180" s="28"/>
      <c r="AD180" s="28"/>
      <c r="AE180" s="28"/>
      <c r="AF180" s="28"/>
      <c r="AG180" s="28"/>
      <c r="AN180" s="28"/>
      <c r="AO180" s="28"/>
      <c r="AP180" s="28"/>
      <c r="AQ180" s="28"/>
    </row>
    <row r="181">
      <c r="J181" s="28"/>
      <c r="K181" s="28"/>
      <c r="L181" s="28"/>
      <c r="M181" s="28"/>
      <c r="T181" s="28"/>
      <c r="U181" s="28"/>
      <c r="V181" s="28"/>
      <c r="W181" s="28"/>
      <c r="AD181" s="28"/>
      <c r="AE181" s="28"/>
      <c r="AF181" s="28"/>
      <c r="AG181" s="28"/>
      <c r="AN181" s="28"/>
      <c r="AO181" s="28"/>
      <c r="AP181" s="28"/>
      <c r="AQ181" s="28"/>
    </row>
    <row r="182">
      <c r="J182" s="28"/>
      <c r="K182" s="28"/>
      <c r="L182" s="28"/>
      <c r="M182" s="28"/>
      <c r="T182" s="28"/>
      <c r="U182" s="28"/>
      <c r="V182" s="28"/>
      <c r="W182" s="28"/>
      <c r="AD182" s="28"/>
      <c r="AE182" s="28"/>
      <c r="AF182" s="28"/>
      <c r="AG182" s="28"/>
      <c r="AN182" s="28"/>
      <c r="AO182" s="28"/>
      <c r="AP182" s="28"/>
      <c r="AQ182" s="28"/>
    </row>
    <row r="183">
      <c r="J183" s="28"/>
      <c r="K183" s="28"/>
      <c r="L183" s="28"/>
      <c r="M183" s="28"/>
      <c r="T183" s="28"/>
      <c r="U183" s="28"/>
      <c r="V183" s="28"/>
      <c r="W183" s="28"/>
      <c r="AD183" s="28"/>
      <c r="AE183" s="28"/>
      <c r="AF183" s="28"/>
      <c r="AG183" s="28"/>
      <c r="AN183" s="28"/>
      <c r="AO183" s="28"/>
      <c r="AP183" s="28"/>
      <c r="AQ183" s="28"/>
    </row>
    <row r="184">
      <c r="J184" s="28"/>
      <c r="K184" s="28"/>
      <c r="L184" s="28"/>
      <c r="M184" s="28"/>
      <c r="T184" s="28"/>
      <c r="U184" s="28"/>
      <c r="V184" s="28"/>
      <c r="W184" s="28"/>
      <c r="AD184" s="28"/>
      <c r="AE184" s="28"/>
      <c r="AF184" s="28"/>
      <c r="AG184" s="28"/>
      <c r="AN184" s="28"/>
      <c r="AO184" s="28"/>
      <c r="AP184" s="28"/>
      <c r="AQ184" s="28"/>
    </row>
    <row r="185">
      <c r="J185" s="28"/>
      <c r="K185" s="28"/>
      <c r="L185" s="28"/>
      <c r="M185" s="28"/>
      <c r="T185" s="28"/>
      <c r="U185" s="28"/>
      <c r="V185" s="28"/>
      <c r="W185" s="28"/>
      <c r="AD185" s="28"/>
      <c r="AE185" s="28"/>
      <c r="AF185" s="28"/>
      <c r="AG185" s="28"/>
      <c r="AN185" s="28"/>
      <c r="AO185" s="28"/>
      <c r="AP185" s="28"/>
      <c r="AQ185" s="28"/>
    </row>
    <row r="186">
      <c r="J186" s="28"/>
      <c r="K186" s="28"/>
      <c r="L186" s="28"/>
      <c r="M186" s="28"/>
      <c r="T186" s="28"/>
      <c r="U186" s="28"/>
      <c r="V186" s="28"/>
      <c r="W186" s="28"/>
      <c r="AD186" s="28"/>
      <c r="AE186" s="28"/>
      <c r="AF186" s="28"/>
      <c r="AG186" s="28"/>
      <c r="AN186" s="28"/>
      <c r="AO186" s="28"/>
      <c r="AP186" s="28"/>
      <c r="AQ186" s="28"/>
    </row>
    <row r="187">
      <c r="J187" s="28"/>
      <c r="K187" s="28"/>
      <c r="L187" s="28"/>
      <c r="M187" s="28"/>
      <c r="T187" s="28"/>
      <c r="U187" s="28"/>
      <c r="V187" s="28"/>
      <c r="W187" s="28"/>
      <c r="AD187" s="28"/>
      <c r="AE187" s="28"/>
      <c r="AF187" s="28"/>
      <c r="AG187" s="28"/>
      <c r="AN187" s="28"/>
      <c r="AO187" s="28"/>
      <c r="AP187" s="28"/>
      <c r="AQ187" s="28"/>
    </row>
    <row r="188">
      <c r="J188" s="28"/>
      <c r="K188" s="28"/>
      <c r="L188" s="28"/>
      <c r="M188" s="28"/>
      <c r="T188" s="28"/>
      <c r="U188" s="28"/>
      <c r="V188" s="28"/>
      <c r="W188" s="28"/>
      <c r="AD188" s="28"/>
      <c r="AE188" s="28"/>
      <c r="AF188" s="28"/>
      <c r="AG188" s="28"/>
      <c r="AN188" s="28"/>
      <c r="AO188" s="28"/>
      <c r="AP188" s="28"/>
      <c r="AQ188" s="28"/>
    </row>
    <row r="189">
      <c r="J189" s="28"/>
      <c r="K189" s="28"/>
      <c r="L189" s="28"/>
      <c r="M189" s="28"/>
      <c r="T189" s="28"/>
      <c r="U189" s="28"/>
      <c r="V189" s="28"/>
      <c r="W189" s="28"/>
      <c r="AD189" s="28"/>
      <c r="AE189" s="28"/>
      <c r="AF189" s="28"/>
      <c r="AG189" s="28"/>
      <c r="AN189" s="28"/>
      <c r="AO189" s="28"/>
      <c r="AP189" s="28"/>
      <c r="AQ189" s="28"/>
    </row>
    <row r="190">
      <c r="J190" s="28"/>
      <c r="K190" s="28"/>
      <c r="L190" s="28"/>
      <c r="M190" s="28"/>
      <c r="T190" s="28"/>
      <c r="U190" s="28"/>
      <c r="V190" s="28"/>
      <c r="W190" s="28"/>
      <c r="AD190" s="28"/>
      <c r="AE190" s="28"/>
      <c r="AF190" s="28"/>
      <c r="AG190" s="28"/>
      <c r="AN190" s="28"/>
      <c r="AO190" s="28"/>
      <c r="AP190" s="28"/>
      <c r="AQ190" s="28"/>
    </row>
    <row r="191">
      <c r="J191" s="28"/>
      <c r="K191" s="28"/>
      <c r="L191" s="28"/>
      <c r="M191" s="28"/>
      <c r="T191" s="28"/>
      <c r="U191" s="28"/>
      <c r="V191" s="28"/>
      <c r="W191" s="28"/>
      <c r="AD191" s="28"/>
      <c r="AE191" s="28"/>
      <c r="AF191" s="28"/>
      <c r="AG191" s="28"/>
      <c r="AN191" s="28"/>
      <c r="AO191" s="28"/>
      <c r="AP191" s="28"/>
      <c r="AQ191" s="28"/>
    </row>
    <row r="192">
      <c r="J192" s="28"/>
      <c r="K192" s="28"/>
      <c r="L192" s="28"/>
      <c r="M192" s="28"/>
      <c r="T192" s="28"/>
      <c r="U192" s="28"/>
      <c r="V192" s="28"/>
      <c r="W192" s="28"/>
      <c r="AD192" s="28"/>
      <c r="AE192" s="28"/>
      <c r="AF192" s="28"/>
      <c r="AG192" s="28"/>
      <c r="AN192" s="28"/>
      <c r="AO192" s="28"/>
      <c r="AP192" s="28"/>
      <c r="AQ192" s="28"/>
    </row>
    <row r="193">
      <c r="J193" s="28"/>
      <c r="K193" s="28"/>
      <c r="L193" s="28"/>
      <c r="M193" s="28"/>
      <c r="T193" s="28"/>
      <c r="U193" s="28"/>
      <c r="V193" s="28"/>
      <c r="W193" s="28"/>
      <c r="AD193" s="28"/>
      <c r="AE193" s="28"/>
      <c r="AF193" s="28"/>
      <c r="AG193" s="28"/>
      <c r="AN193" s="28"/>
      <c r="AO193" s="28"/>
      <c r="AP193" s="28"/>
      <c r="AQ193" s="28"/>
    </row>
    <row r="194">
      <c r="J194" s="28"/>
      <c r="K194" s="28"/>
      <c r="L194" s="28"/>
      <c r="M194" s="28"/>
      <c r="T194" s="28"/>
      <c r="U194" s="28"/>
      <c r="V194" s="28"/>
      <c r="W194" s="28"/>
      <c r="AD194" s="28"/>
      <c r="AE194" s="28"/>
      <c r="AF194" s="28"/>
      <c r="AG194" s="28"/>
      <c r="AN194" s="28"/>
      <c r="AO194" s="28"/>
      <c r="AP194" s="28"/>
      <c r="AQ194" s="28"/>
    </row>
    <row r="195">
      <c r="J195" s="28"/>
      <c r="K195" s="28"/>
      <c r="L195" s="28"/>
      <c r="M195" s="28"/>
      <c r="T195" s="28"/>
      <c r="U195" s="28"/>
      <c r="V195" s="28"/>
      <c r="W195" s="28"/>
      <c r="AD195" s="28"/>
      <c r="AE195" s="28"/>
      <c r="AF195" s="28"/>
      <c r="AG195" s="28"/>
      <c r="AN195" s="28"/>
      <c r="AO195" s="28"/>
      <c r="AP195" s="28"/>
      <c r="AQ195" s="28"/>
    </row>
    <row r="196">
      <c r="J196" s="28"/>
      <c r="K196" s="28"/>
      <c r="L196" s="28"/>
      <c r="M196" s="28"/>
      <c r="T196" s="28"/>
      <c r="U196" s="28"/>
      <c r="V196" s="28"/>
      <c r="W196" s="28"/>
      <c r="AD196" s="28"/>
      <c r="AE196" s="28"/>
      <c r="AF196" s="28"/>
      <c r="AG196" s="28"/>
      <c r="AN196" s="28"/>
      <c r="AO196" s="28"/>
      <c r="AP196" s="28"/>
      <c r="AQ196" s="28"/>
    </row>
    <row r="197">
      <c r="J197" s="28"/>
      <c r="K197" s="28"/>
      <c r="L197" s="28"/>
      <c r="M197" s="28"/>
      <c r="T197" s="28"/>
      <c r="U197" s="28"/>
      <c r="V197" s="28"/>
      <c r="W197" s="28"/>
      <c r="AD197" s="28"/>
      <c r="AE197" s="28"/>
      <c r="AF197" s="28"/>
      <c r="AG197" s="28"/>
      <c r="AN197" s="28"/>
      <c r="AO197" s="28"/>
      <c r="AP197" s="28"/>
      <c r="AQ197" s="28"/>
    </row>
    <row r="198">
      <c r="J198" s="28"/>
      <c r="K198" s="28"/>
      <c r="L198" s="28"/>
      <c r="M198" s="28"/>
      <c r="T198" s="28"/>
      <c r="U198" s="28"/>
      <c r="V198" s="28"/>
      <c r="W198" s="28"/>
      <c r="AD198" s="28"/>
      <c r="AE198" s="28"/>
      <c r="AF198" s="28"/>
      <c r="AG198" s="28"/>
      <c r="AN198" s="28"/>
      <c r="AO198" s="28"/>
      <c r="AP198" s="28"/>
      <c r="AQ198" s="28"/>
    </row>
    <row r="199">
      <c r="J199" s="28"/>
      <c r="K199" s="28"/>
      <c r="L199" s="28"/>
      <c r="M199" s="28"/>
      <c r="T199" s="28"/>
      <c r="U199" s="28"/>
      <c r="V199" s="28"/>
      <c r="W199" s="28"/>
      <c r="AD199" s="28"/>
      <c r="AE199" s="28"/>
      <c r="AF199" s="28"/>
      <c r="AG199" s="28"/>
      <c r="AN199" s="28"/>
      <c r="AO199" s="28"/>
      <c r="AP199" s="28"/>
      <c r="AQ199" s="28"/>
    </row>
    <row r="200">
      <c r="J200" s="28"/>
      <c r="K200" s="28"/>
      <c r="L200" s="28"/>
      <c r="M200" s="28"/>
      <c r="T200" s="28"/>
      <c r="U200" s="28"/>
      <c r="V200" s="28"/>
      <c r="W200" s="28"/>
      <c r="AD200" s="28"/>
      <c r="AE200" s="28"/>
      <c r="AF200" s="28"/>
      <c r="AG200" s="28"/>
      <c r="AN200" s="28"/>
      <c r="AO200" s="28"/>
      <c r="AP200" s="28"/>
      <c r="AQ200" s="28"/>
    </row>
    <row r="201">
      <c r="J201" s="28"/>
      <c r="K201" s="28"/>
      <c r="L201" s="28"/>
      <c r="M201" s="28"/>
      <c r="T201" s="28"/>
      <c r="U201" s="28"/>
      <c r="V201" s="28"/>
      <c r="W201" s="28"/>
      <c r="AD201" s="28"/>
      <c r="AE201" s="28"/>
      <c r="AF201" s="28"/>
      <c r="AG201" s="28"/>
      <c r="AN201" s="28"/>
      <c r="AO201" s="28"/>
      <c r="AP201" s="28"/>
      <c r="AQ201" s="28"/>
    </row>
    <row r="202">
      <c r="J202" s="28"/>
      <c r="K202" s="28"/>
      <c r="L202" s="28"/>
      <c r="M202" s="28"/>
      <c r="T202" s="28"/>
      <c r="U202" s="28"/>
      <c r="V202" s="28"/>
      <c r="W202" s="28"/>
      <c r="AD202" s="28"/>
      <c r="AE202" s="28"/>
      <c r="AF202" s="28"/>
      <c r="AG202" s="28"/>
      <c r="AN202" s="28"/>
      <c r="AO202" s="28"/>
      <c r="AP202" s="28"/>
      <c r="AQ202" s="28"/>
    </row>
    <row r="203">
      <c r="J203" s="28"/>
      <c r="K203" s="28"/>
      <c r="L203" s="28"/>
      <c r="M203" s="28"/>
      <c r="T203" s="28"/>
      <c r="U203" s="28"/>
      <c r="V203" s="28"/>
      <c r="W203" s="28"/>
      <c r="AD203" s="28"/>
      <c r="AE203" s="28"/>
      <c r="AF203" s="28"/>
      <c r="AG203" s="28"/>
      <c r="AN203" s="28"/>
      <c r="AO203" s="28"/>
      <c r="AP203" s="28"/>
      <c r="AQ203" s="28"/>
    </row>
    <row r="204">
      <c r="J204" s="28"/>
      <c r="K204" s="28"/>
      <c r="L204" s="28"/>
      <c r="M204" s="28"/>
      <c r="T204" s="28"/>
      <c r="U204" s="28"/>
      <c r="V204" s="28"/>
      <c r="W204" s="28"/>
      <c r="AD204" s="28"/>
      <c r="AE204" s="28"/>
      <c r="AF204" s="28"/>
      <c r="AG204" s="28"/>
      <c r="AN204" s="28"/>
      <c r="AO204" s="28"/>
      <c r="AP204" s="28"/>
      <c r="AQ204" s="28"/>
    </row>
    <row r="205">
      <c r="J205" s="28"/>
      <c r="K205" s="28"/>
      <c r="L205" s="28"/>
      <c r="M205" s="28"/>
      <c r="T205" s="28"/>
      <c r="U205" s="28"/>
      <c r="V205" s="28"/>
      <c r="W205" s="28"/>
      <c r="AD205" s="28"/>
      <c r="AE205" s="28"/>
      <c r="AF205" s="28"/>
      <c r="AG205" s="28"/>
      <c r="AN205" s="28"/>
      <c r="AO205" s="28"/>
      <c r="AP205" s="28"/>
      <c r="AQ205" s="28"/>
    </row>
    <row r="206">
      <c r="J206" s="28"/>
      <c r="K206" s="28"/>
      <c r="L206" s="28"/>
      <c r="M206" s="28"/>
      <c r="T206" s="28"/>
      <c r="U206" s="28"/>
      <c r="V206" s="28"/>
      <c r="W206" s="28"/>
      <c r="AD206" s="28"/>
      <c r="AE206" s="28"/>
      <c r="AF206" s="28"/>
      <c r="AG206" s="28"/>
      <c r="AN206" s="28"/>
      <c r="AO206" s="28"/>
      <c r="AP206" s="28"/>
      <c r="AQ206" s="28"/>
    </row>
    <row r="207">
      <c r="J207" s="28"/>
      <c r="K207" s="28"/>
      <c r="L207" s="28"/>
      <c r="M207" s="28"/>
      <c r="T207" s="28"/>
      <c r="U207" s="28"/>
      <c r="V207" s="28"/>
      <c r="W207" s="28"/>
      <c r="AD207" s="28"/>
      <c r="AE207" s="28"/>
      <c r="AF207" s="28"/>
      <c r="AG207" s="28"/>
      <c r="AN207" s="28"/>
      <c r="AO207" s="28"/>
      <c r="AP207" s="28"/>
      <c r="AQ207" s="28"/>
    </row>
    <row r="208">
      <c r="J208" s="28"/>
      <c r="K208" s="28"/>
      <c r="L208" s="28"/>
      <c r="M208" s="28"/>
      <c r="T208" s="28"/>
      <c r="U208" s="28"/>
      <c r="V208" s="28"/>
      <c r="W208" s="28"/>
      <c r="AD208" s="28"/>
      <c r="AE208" s="28"/>
      <c r="AF208" s="28"/>
      <c r="AG208" s="28"/>
      <c r="AN208" s="28"/>
      <c r="AO208" s="28"/>
      <c r="AP208" s="28"/>
      <c r="AQ208" s="28"/>
    </row>
    <row r="209">
      <c r="J209" s="28"/>
      <c r="K209" s="28"/>
      <c r="L209" s="28"/>
      <c r="M209" s="28"/>
      <c r="T209" s="28"/>
      <c r="U209" s="28"/>
      <c r="V209" s="28"/>
      <c r="W209" s="28"/>
      <c r="AD209" s="28"/>
      <c r="AE209" s="28"/>
      <c r="AF209" s="28"/>
      <c r="AG209" s="28"/>
      <c r="AN209" s="28"/>
      <c r="AO209" s="28"/>
      <c r="AP209" s="28"/>
      <c r="AQ209" s="28"/>
    </row>
    <row r="210">
      <c r="J210" s="28"/>
      <c r="K210" s="28"/>
      <c r="L210" s="28"/>
      <c r="M210" s="28"/>
      <c r="T210" s="28"/>
      <c r="U210" s="28"/>
      <c r="V210" s="28"/>
      <c r="W210" s="28"/>
      <c r="AD210" s="28"/>
      <c r="AE210" s="28"/>
      <c r="AF210" s="28"/>
      <c r="AG210" s="28"/>
      <c r="AN210" s="28"/>
      <c r="AO210" s="28"/>
      <c r="AP210" s="28"/>
      <c r="AQ210" s="28"/>
    </row>
    <row r="211">
      <c r="J211" s="28"/>
      <c r="K211" s="28"/>
      <c r="L211" s="28"/>
      <c r="M211" s="28"/>
      <c r="T211" s="28"/>
      <c r="U211" s="28"/>
      <c r="V211" s="28"/>
      <c r="W211" s="28"/>
      <c r="AD211" s="28"/>
      <c r="AE211" s="28"/>
      <c r="AF211" s="28"/>
      <c r="AG211" s="28"/>
      <c r="AN211" s="28"/>
      <c r="AO211" s="28"/>
      <c r="AP211" s="28"/>
      <c r="AQ211" s="28"/>
    </row>
    <row r="212">
      <c r="J212" s="28"/>
      <c r="K212" s="28"/>
      <c r="L212" s="28"/>
      <c r="M212" s="28"/>
      <c r="T212" s="28"/>
      <c r="U212" s="28"/>
      <c r="V212" s="28"/>
      <c r="W212" s="28"/>
      <c r="AD212" s="28"/>
      <c r="AE212" s="28"/>
      <c r="AF212" s="28"/>
      <c r="AG212" s="28"/>
      <c r="AN212" s="28"/>
      <c r="AO212" s="28"/>
      <c r="AP212" s="28"/>
      <c r="AQ212" s="28"/>
    </row>
    <row r="213">
      <c r="J213" s="28"/>
      <c r="K213" s="28"/>
      <c r="L213" s="28"/>
      <c r="M213" s="28"/>
      <c r="T213" s="28"/>
      <c r="U213" s="28"/>
      <c r="V213" s="28"/>
      <c r="W213" s="28"/>
      <c r="AD213" s="28"/>
      <c r="AE213" s="28"/>
      <c r="AF213" s="28"/>
      <c r="AG213" s="28"/>
      <c r="AN213" s="28"/>
      <c r="AO213" s="28"/>
      <c r="AP213" s="28"/>
      <c r="AQ213" s="28"/>
    </row>
    <row r="214">
      <c r="J214" s="28"/>
      <c r="K214" s="28"/>
      <c r="L214" s="28"/>
      <c r="M214" s="28"/>
      <c r="T214" s="28"/>
      <c r="U214" s="28"/>
      <c r="V214" s="28"/>
      <c r="W214" s="28"/>
      <c r="AD214" s="28"/>
      <c r="AE214" s="28"/>
      <c r="AF214" s="28"/>
      <c r="AG214" s="28"/>
      <c r="AN214" s="28"/>
      <c r="AO214" s="28"/>
      <c r="AP214" s="28"/>
      <c r="AQ214" s="28"/>
    </row>
    <row r="215">
      <c r="J215" s="28"/>
      <c r="K215" s="28"/>
      <c r="L215" s="28"/>
      <c r="M215" s="28"/>
      <c r="T215" s="28"/>
      <c r="U215" s="28"/>
      <c r="V215" s="28"/>
      <c r="W215" s="28"/>
      <c r="AD215" s="28"/>
      <c r="AE215" s="28"/>
      <c r="AF215" s="28"/>
      <c r="AG215" s="28"/>
      <c r="AN215" s="28"/>
      <c r="AO215" s="28"/>
      <c r="AP215" s="28"/>
      <c r="AQ215" s="28"/>
    </row>
    <row r="216">
      <c r="J216" s="28"/>
      <c r="K216" s="28"/>
      <c r="L216" s="28"/>
      <c r="M216" s="28"/>
      <c r="T216" s="28"/>
      <c r="U216" s="28"/>
      <c r="V216" s="28"/>
      <c r="W216" s="28"/>
      <c r="AD216" s="28"/>
      <c r="AE216" s="28"/>
      <c r="AF216" s="28"/>
      <c r="AG216" s="28"/>
      <c r="AN216" s="28"/>
      <c r="AO216" s="28"/>
      <c r="AP216" s="28"/>
      <c r="AQ216" s="28"/>
    </row>
    <row r="217">
      <c r="J217" s="28"/>
      <c r="K217" s="28"/>
      <c r="L217" s="28"/>
      <c r="M217" s="28"/>
      <c r="T217" s="28"/>
      <c r="U217" s="28"/>
      <c r="V217" s="28"/>
      <c r="W217" s="28"/>
      <c r="AD217" s="28"/>
      <c r="AE217" s="28"/>
      <c r="AF217" s="28"/>
      <c r="AG217" s="28"/>
      <c r="AN217" s="28"/>
      <c r="AO217" s="28"/>
      <c r="AP217" s="28"/>
      <c r="AQ217" s="28"/>
    </row>
    <row r="218">
      <c r="J218" s="28"/>
      <c r="K218" s="28"/>
      <c r="L218" s="28"/>
      <c r="M218" s="28"/>
      <c r="T218" s="28"/>
      <c r="U218" s="28"/>
      <c r="V218" s="28"/>
      <c r="W218" s="28"/>
      <c r="AD218" s="28"/>
      <c r="AE218" s="28"/>
      <c r="AF218" s="28"/>
      <c r="AG218" s="28"/>
      <c r="AN218" s="28"/>
      <c r="AO218" s="28"/>
      <c r="AP218" s="28"/>
      <c r="AQ218" s="28"/>
    </row>
    <row r="219">
      <c r="J219" s="28"/>
      <c r="K219" s="28"/>
      <c r="L219" s="28"/>
      <c r="M219" s="28"/>
      <c r="T219" s="28"/>
      <c r="U219" s="28"/>
      <c r="V219" s="28"/>
      <c r="W219" s="28"/>
      <c r="AD219" s="28"/>
      <c r="AE219" s="28"/>
      <c r="AF219" s="28"/>
      <c r="AG219" s="28"/>
      <c r="AN219" s="28"/>
      <c r="AO219" s="28"/>
      <c r="AP219" s="28"/>
      <c r="AQ219" s="28"/>
    </row>
    <row r="220">
      <c r="J220" s="28"/>
      <c r="K220" s="28"/>
      <c r="L220" s="28"/>
      <c r="M220" s="28"/>
      <c r="T220" s="28"/>
      <c r="U220" s="28"/>
      <c r="V220" s="28"/>
      <c r="W220" s="28"/>
      <c r="AD220" s="28"/>
      <c r="AE220" s="28"/>
      <c r="AF220" s="28"/>
      <c r="AG220" s="28"/>
      <c r="AN220" s="28"/>
      <c r="AO220" s="28"/>
      <c r="AP220" s="28"/>
      <c r="AQ220" s="28"/>
    </row>
    <row r="221">
      <c r="J221" s="28"/>
      <c r="K221" s="28"/>
      <c r="L221" s="28"/>
      <c r="M221" s="28"/>
      <c r="T221" s="28"/>
      <c r="U221" s="28"/>
      <c r="V221" s="28"/>
      <c r="W221" s="28"/>
      <c r="AD221" s="28"/>
      <c r="AE221" s="28"/>
      <c r="AF221" s="28"/>
      <c r="AG221" s="28"/>
      <c r="AN221" s="28"/>
      <c r="AO221" s="28"/>
      <c r="AP221" s="28"/>
      <c r="AQ221" s="28"/>
    </row>
    <row r="222">
      <c r="J222" s="28"/>
      <c r="K222" s="28"/>
      <c r="L222" s="28"/>
      <c r="M222" s="28"/>
      <c r="T222" s="28"/>
      <c r="U222" s="28"/>
      <c r="V222" s="28"/>
      <c r="W222" s="28"/>
      <c r="AD222" s="28"/>
      <c r="AE222" s="28"/>
      <c r="AF222" s="28"/>
      <c r="AG222" s="28"/>
      <c r="AN222" s="28"/>
      <c r="AO222" s="28"/>
      <c r="AP222" s="28"/>
      <c r="AQ222" s="28"/>
    </row>
    <row r="223">
      <c r="J223" s="28"/>
      <c r="K223" s="28"/>
      <c r="L223" s="28"/>
      <c r="M223" s="28"/>
      <c r="T223" s="28"/>
      <c r="U223" s="28"/>
      <c r="V223" s="28"/>
      <c r="W223" s="28"/>
      <c r="AD223" s="28"/>
      <c r="AE223" s="28"/>
      <c r="AF223" s="28"/>
      <c r="AG223" s="28"/>
      <c r="AN223" s="28"/>
      <c r="AO223" s="28"/>
      <c r="AP223" s="28"/>
      <c r="AQ223" s="28"/>
    </row>
    <row r="224">
      <c r="J224" s="28"/>
      <c r="K224" s="28"/>
      <c r="L224" s="28"/>
      <c r="M224" s="28"/>
      <c r="T224" s="28"/>
      <c r="U224" s="28"/>
      <c r="V224" s="28"/>
      <c r="W224" s="28"/>
      <c r="AD224" s="28"/>
      <c r="AE224" s="28"/>
      <c r="AF224" s="28"/>
      <c r="AG224" s="28"/>
      <c r="AN224" s="28"/>
      <c r="AO224" s="28"/>
      <c r="AP224" s="28"/>
      <c r="AQ224" s="28"/>
    </row>
    <row r="225">
      <c r="J225" s="28"/>
      <c r="K225" s="28"/>
      <c r="L225" s="28"/>
      <c r="M225" s="28"/>
      <c r="T225" s="28"/>
      <c r="U225" s="28"/>
      <c r="V225" s="28"/>
      <c r="W225" s="28"/>
      <c r="AD225" s="28"/>
      <c r="AE225" s="28"/>
      <c r="AF225" s="28"/>
      <c r="AG225" s="28"/>
      <c r="AN225" s="28"/>
      <c r="AO225" s="28"/>
      <c r="AP225" s="28"/>
      <c r="AQ225" s="28"/>
    </row>
    <row r="226">
      <c r="J226" s="28"/>
      <c r="K226" s="28"/>
      <c r="L226" s="28"/>
      <c r="M226" s="28"/>
      <c r="T226" s="28"/>
      <c r="U226" s="28"/>
      <c r="V226" s="28"/>
      <c r="W226" s="28"/>
      <c r="AD226" s="28"/>
      <c r="AE226" s="28"/>
      <c r="AF226" s="28"/>
      <c r="AG226" s="28"/>
      <c r="AN226" s="28"/>
      <c r="AO226" s="28"/>
      <c r="AP226" s="28"/>
      <c r="AQ226" s="28"/>
    </row>
    <row r="227">
      <c r="J227" s="28"/>
      <c r="K227" s="28"/>
      <c r="L227" s="28"/>
      <c r="M227" s="28"/>
      <c r="T227" s="28"/>
      <c r="U227" s="28"/>
      <c r="V227" s="28"/>
      <c r="W227" s="28"/>
      <c r="AD227" s="28"/>
      <c r="AE227" s="28"/>
      <c r="AF227" s="28"/>
      <c r="AG227" s="28"/>
      <c r="AN227" s="28"/>
      <c r="AO227" s="28"/>
      <c r="AP227" s="28"/>
      <c r="AQ227" s="28"/>
    </row>
    <row r="228">
      <c r="J228" s="28"/>
      <c r="K228" s="28"/>
      <c r="L228" s="28"/>
      <c r="M228" s="28"/>
      <c r="T228" s="28"/>
      <c r="U228" s="28"/>
      <c r="V228" s="28"/>
      <c r="W228" s="28"/>
      <c r="AD228" s="28"/>
      <c r="AE228" s="28"/>
      <c r="AF228" s="28"/>
      <c r="AG228" s="28"/>
      <c r="AN228" s="28"/>
      <c r="AO228" s="28"/>
      <c r="AP228" s="28"/>
      <c r="AQ228" s="28"/>
    </row>
    <row r="229">
      <c r="J229" s="28"/>
      <c r="K229" s="28"/>
      <c r="L229" s="28"/>
      <c r="M229" s="28"/>
      <c r="T229" s="28"/>
      <c r="U229" s="28"/>
      <c r="V229" s="28"/>
      <c r="W229" s="28"/>
      <c r="AD229" s="28"/>
      <c r="AE229" s="28"/>
      <c r="AF229" s="28"/>
      <c r="AG229" s="28"/>
      <c r="AN229" s="28"/>
      <c r="AO229" s="28"/>
      <c r="AP229" s="28"/>
      <c r="AQ229" s="28"/>
    </row>
    <row r="230">
      <c r="J230" s="28"/>
      <c r="K230" s="28"/>
      <c r="L230" s="28"/>
      <c r="M230" s="28"/>
      <c r="T230" s="28"/>
      <c r="U230" s="28"/>
      <c r="V230" s="28"/>
      <c r="W230" s="28"/>
      <c r="AD230" s="28"/>
      <c r="AE230" s="28"/>
      <c r="AF230" s="28"/>
      <c r="AG230" s="28"/>
      <c r="AN230" s="28"/>
      <c r="AO230" s="28"/>
      <c r="AP230" s="28"/>
      <c r="AQ230" s="28"/>
    </row>
    <row r="231">
      <c r="J231" s="28"/>
      <c r="K231" s="28"/>
      <c r="L231" s="28"/>
      <c r="M231" s="28"/>
      <c r="T231" s="28"/>
      <c r="U231" s="28"/>
      <c r="V231" s="28"/>
      <c r="W231" s="28"/>
      <c r="AD231" s="28"/>
      <c r="AE231" s="28"/>
      <c r="AF231" s="28"/>
      <c r="AG231" s="28"/>
      <c r="AN231" s="28"/>
      <c r="AO231" s="28"/>
      <c r="AP231" s="28"/>
      <c r="AQ231" s="28"/>
    </row>
    <row r="232">
      <c r="J232" s="28"/>
      <c r="K232" s="28"/>
      <c r="L232" s="28"/>
      <c r="M232" s="28"/>
      <c r="T232" s="28"/>
      <c r="U232" s="28"/>
      <c r="V232" s="28"/>
      <c r="W232" s="28"/>
      <c r="AD232" s="28"/>
      <c r="AE232" s="28"/>
      <c r="AF232" s="28"/>
      <c r="AG232" s="28"/>
      <c r="AN232" s="28"/>
      <c r="AO232" s="28"/>
      <c r="AP232" s="28"/>
      <c r="AQ232" s="28"/>
    </row>
    <row r="233">
      <c r="J233" s="28"/>
      <c r="K233" s="28"/>
      <c r="L233" s="28"/>
      <c r="M233" s="28"/>
      <c r="T233" s="28"/>
      <c r="U233" s="28"/>
      <c r="V233" s="28"/>
      <c r="W233" s="28"/>
      <c r="AD233" s="28"/>
      <c r="AE233" s="28"/>
      <c r="AF233" s="28"/>
      <c r="AG233" s="28"/>
      <c r="AN233" s="28"/>
      <c r="AO233" s="28"/>
      <c r="AP233" s="28"/>
      <c r="AQ233" s="28"/>
    </row>
    <row r="234">
      <c r="J234" s="28"/>
      <c r="K234" s="28"/>
      <c r="L234" s="28"/>
      <c r="M234" s="28"/>
      <c r="T234" s="28"/>
      <c r="U234" s="28"/>
      <c r="V234" s="28"/>
      <c r="W234" s="28"/>
      <c r="AD234" s="28"/>
      <c r="AE234" s="28"/>
      <c r="AF234" s="28"/>
      <c r="AG234" s="28"/>
      <c r="AN234" s="28"/>
      <c r="AO234" s="28"/>
      <c r="AP234" s="28"/>
      <c r="AQ234" s="28"/>
    </row>
    <row r="235">
      <c r="J235" s="28"/>
      <c r="K235" s="28"/>
      <c r="L235" s="28"/>
      <c r="M235" s="28"/>
      <c r="T235" s="28"/>
      <c r="U235" s="28"/>
      <c r="V235" s="28"/>
      <c r="W235" s="28"/>
      <c r="AD235" s="28"/>
      <c r="AE235" s="28"/>
      <c r="AF235" s="28"/>
      <c r="AG235" s="28"/>
      <c r="AN235" s="28"/>
      <c r="AO235" s="28"/>
      <c r="AP235" s="28"/>
      <c r="AQ235" s="28"/>
    </row>
    <row r="236">
      <c r="J236" s="28"/>
      <c r="K236" s="28"/>
      <c r="L236" s="28"/>
      <c r="M236" s="28"/>
      <c r="T236" s="28"/>
      <c r="U236" s="28"/>
      <c r="V236" s="28"/>
      <c r="W236" s="28"/>
      <c r="AD236" s="28"/>
      <c r="AE236" s="28"/>
      <c r="AF236" s="28"/>
      <c r="AG236" s="28"/>
      <c r="AN236" s="28"/>
      <c r="AO236" s="28"/>
      <c r="AP236" s="28"/>
      <c r="AQ236" s="28"/>
    </row>
    <row r="237">
      <c r="J237" s="28"/>
      <c r="K237" s="28"/>
      <c r="L237" s="28"/>
      <c r="M237" s="28"/>
      <c r="T237" s="28"/>
      <c r="U237" s="28"/>
      <c r="V237" s="28"/>
      <c r="W237" s="28"/>
      <c r="AD237" s="28"/>
      <c r="AE237" s="28"/>
      <c r="AF237" s="28"/>
      <c r="AG237" s="28"/>
      <c r="AN237" s="28"/>
      <c r="AO237" s="28"/>
      <c r="AP237" s="28"/>
      <c r="AQ237" s="28"/>
    </row>
    <row r="238">
      <c r="J238" s="28"/>
      <c r="K238" s="28"/>
      <c r="L238" s="28"/>
      <c r="M238" s="28"/>
      <c r="T238" s="28"/>
      <c r="U238" s="28"/>
      <c r="V238" s="28"/>
      <c r="W238" s="28"/>
      <c r="AD238" s="28"/>
      <c r="AE238" s="28"/>
      <c r="AF238" s="28"/>
      <c r="AG238" s="28"/>
      <c r="AN238" s="28"/>
      <c r="AO238" s="28"/>
      <c r="AP238" s="28"/>
      <c r="AQ238" s="28"/>
    </row>
    <row r="239">
      <c r="J239" s="28"/>
      <c r="K239" s="28"/>
      <c r="L239" s="28"/>
      <c r="M239" s="28"/>
      <c r="T239" s="28"/>
      <c r="U239" s="28"/>
      <c r="V239" s="28"/>
      <c r="W239" s="28"/>
      <c r="AD239" s="28"/>
      <c r="AE239" s="28"/>
      <c r="AF239" s="28"/>
      <c r="AG239" s="28"/>
      <c r="AN239" s="28"/>
      <c r="AO239" s="28"/>
      <c r="AP239" s="28"/>
      <c r="AQ239" s="28"/>
    </row>
    <row r="240">
      <c r="J240" s="28"/>
      <c r="K240" s="28"/>
      <c r="L240" s="28"/>
      <c r="M240" s="28"/>
      <c r="T240" s="28"/>
      <c r="U240" s="28"/>
      <c r="V240" s="28"/>
      <c r="W240" s="28"/>
      <c r="AD240" s="28"/>
      <c r="AE240" s="28"/>
      <c r="AF240" s="28"/>
      <c r="AG240" s="28"/>
      <c r="AN240" s="28"/>
      <c r="AO240" s="28"/>
      <c r="AP240" s="28"/>
      <c r="AQ240" s="28"/>
    </row>
    <row r="241">
      <c r="J241" s="28"/>
      <c r="K241" s="28"/>
      <c r="L241" s="28"/>
      <c r="M241" s="28"/>
      <c r="T241" s="28"/>
      <c r="U241" s="28"/>
      <c r="V241" s="28"/>
      <c r="W241" s="28"/>
      <c r="AD241" s="28"/>
      <c r="AE241" s="28"/>
      <c r="AF241" s="28"/>
      <c r="AG241" s="28"/>
      <c r="AN241" s="28"/>
      <c r="AO241" s="28"/>
      <c r="AP241" s="28"/>
      <c r="AQ241" s="28"/>
    </row>
    <row r="242">
      <c r="J242" s="28"/>
      <c r="K242" s="28"/>
      <c r="L242" s="28"/>
      <c r="M242" s="28"/>
      <c r="T242" s="28"/>
      <c r="U242" s="28"/>
      <c r="V242" s="28"/>
      <c r="W242" s="28"/>
      <c r="AD242" s="28"/>
      <c r="AE242" s="28"/>
      <c r="AF242" s="28"/>
      <c r="AG242" s="28"/>
      <c r="AN242" s="28"/>
      <c r="AO242" s="28"/>
      <c r="AP242" s="28"/>
      <c r="AQ242" s="28"/>
    </row>
    <row r="243">
      <c r="J243" s="28"/>
      <c r="K243" s="28"/>
      <c r="L243" s="28"/>
      <c r="M243" s="28"/>
      <c r="T243" s="28"/>
      <c r="U243" s="28"/>
      <c r="V243" s="28"/>
      <c r="W243" s="28"/>
      <c r="AD243" s="28"/>
      <c r="AE243" s="28"/>
      <c r="AF243" s="28"/>
      <c r="AG243" s="28"/>
      <c r="AN243" s="28"/>
      <c r="AO243" s="28"/>
      <c r="AP243" s="28"/>
      <c r="AQ243" s="28"/>
    </row>
    <row r="244">
      <c r="J244" s="28"/>
      <c r="K244" s="28"/>
      <c r="L244" s="28"/>
      <c r="M244" s="28"/>
      <c r="T244" s="28"/>
      <c r="U244" s="28"/>
      <c r="V244" s="28"/>
      <c r="W244" s="28"/>
      <c r="AD244" s="28"/>
      <c r="AE244" s="28"/>
      <c r="AF244" s="28"/>
      <c r="AG244" s="28"/>
      <c r="AN244" s="28"/>
      <c r="AO244" s="28"/>
      <c r="AP244" s="28"/>
      <c r="AQ244" s="28"/>
    </row>
    <row r="245">
      <c r="J245" s="28"/>
      <c r="K245" s="28"/>
      <c r="L245" s="28"/>
      <c r="M245" s="28"/>
      <c r="T245" s="28"/>
      <c r="U245" s="28"/>
      <c r="V245" s="28"/>
      <c r="W245" s="28"/>
      <c r="AD245" s="28"/>
      <c r="AE245" s="28"/>
      <c r="AF245" s="28"/>
      <c r="AG245" s="28"/>
      <c r="AN245" s="28"/>
      <c r="AO245" s="28"/>
      <c r="AP245" s="28"/>
      <c r="AQ245" s="28"/>
    </row>
    <row r="246">
      <c r="J246" s="28"/>
      <c r="K246" s="28"/>
      <c r="L246" s="28"/>
      <c r="M246" s="28"/>
      <c r="T246" s="28"/>
      <c r="U246" s="28"/>
      <c r="V246" s="28"/>
      <c r="W246" s="28"/>
      <c r="AD246" s="28"/>
      <c r="AE246" s="28"/>
      <c r="AF246" s="28"/>
      <c r="AG246" s="28"/>
      <c r="AN246" s="28"/>
      <c r="AO246" s="28"/>
      <c r="AP246" s="28"/>
      <c r="AQ246" s="28"/>
    </row>
    <row r="247">
      <c r="J247" s="28"/>
      <c r="K247" s="28"/>
      <c r="L247" s="28"/>
      <c r="M247" s="28"/>
      <c r="T247" s="28"/>
      <c r="U247" s="28"/>
      <c r="V247" s="28"/>
      <c r="W247" s="28"/>
      <c r="AD247" s="28"/>
      <c r="AE247" s="28"/>
      <c r="AF247" s="28"/>
      <c r="AG247" s="28"/>
      <c r="AN247" s="28"/>
      <c r="AO247" s="28"/>
      <c r="AP247" s="28"/>
      <c r="AQ247" s="28"/>
    </row>
    <row r="248">
      <c r="J248" s="28"/>
      <c r="K248" s="28"/>
      <c r="L248" s="28"/>
      <c r="M248" s="28"/>
      <c r="T248" s="28"/>
      <c r="U248" s="28"/>
      <c r="V248" s="28"/>
      <c r="W248" s="28"/>
      <c r="AD248" s="28"/>
      <c r="AE248" s="28"/>
      <c r="AF248" s="28"/>
      <c r="AG248" s="28"/>
      <c r="AN248" s="28"/>
      <c r="AO248" s="28"/>
      <c r="AP248" s="28"/>
      <c r="AQ248" s="28"/>
    </row>
    <row r="249">
      <c r="J249" s="28"/>
      <c r="K249" s="28"/>
      <c r="L249" s="28"/>
      <c r="M249" s="28"/>
      <c r="T249" s="28"/>
      <c r="U249" s="28"/>
      <c r="V249" s="28"/>
      <c r="W249" s="28"/>
      <c r="AD249" s="28"/>
      <c r="AE249" s="28"/>
      <c r="AF249" s="28"/>
      <c r="AG249" s="28"/>
      <c r="AN249" s="28"/>
      <c r="AO249" s="28"/>
      <c r="AP249" s="28"/>
      <c r="AQ249" s="28"/>
    </row>
    <row r="250">
      <c r="J250" s="28"/>
      <c r="K250" s="28"/>
      <c r="L250" s="28"/>
      <c r="M250" s="28"/>
      <c r="T250" s="28"/>
      <c r="U250" s="28"/>
      <c r="V250" s="28"/>
      <c r="W250" s="28"/>
      <c r="AD250" s="28"/>
      <c r="AE250" s="28"/>
      <c r="AF250" s="28"/>
      <c r="AG250" s="28"/>
      <c r="AN250" s="28"/>
      <c r="AO250" s="28"/>
      <c r="AP250" s="28"/>
      <c r="AQ250" s="28"/>
    </row>
    <row r="251">
      <c r="J251" s="28"/>
      <c r="K251" s="28"/>
      <c r="L251" s="28"/>
      <c r="M251" s="28"/>
      <c r="T251" s="28"/>
      <c r="U251" s="28"/>
      <c r="V251" s="28"/>
      <c r="W251" s="28"/>
      <c r="AD251" s="28"/>
      <c r="AE251" s="28"/>
      <c r="AF251" s="28"/>
      <c r="AG251" s="28"/>
      <c r="AN251" s="28"/>
      <c r="AO251" s="28"/>
      <c r="AP251" s="28"/>
      <c r="AQ251" s="28"/>
    </row>
    <row r="252">
      <c r="J252" s="28"/>
      <c r="K252" s="28"/>
      <c r="L252" s="28"/>
      <c r="M252" s="28"/>
      <c r="T252" s="28"/>
      <c r="U252" s="28"/>
      <c r="V252" s="28"/>
      <c r="W252" s="28"/>
      <c r="AD252" s="28"/>
      <c r="AE252" s="28"/>
      <c r="AF252" s="28"/>
      <c r="AG252" s="28"/>
      <c r="AN252" s="28"/>
      <c r="AO252" s="28"/>
      <c r="AP252" s="28"/>
      <c r="AQ252" s="28"/>
    </row>
    <row r="253">
      <c r="J253" s="28"/>
      <c r="K253" s="28"/>
      <c r="L253" s="28"/>
      <c r="M253" s="28"/>
      <c r="T253" s="28"/>
      <c r="U253" s="28"/>
      <c r="V253" s="28"/>
      <c r="W253" s="28"/>
      <c r="AD253" s="28"/>
      <c r="AE253" s="28"/>
      <c r="AF253" s="28"/>
      <c r="AG253" s="28"/>
      <c r="AN253" s="28"/>
      <c r="AO253" s="28"/>
      <c r="AP253" s="28"/>
      <c r="AQ253" s="28"/>
    </row>
    <row r="254">
      <c r="J254" s="28"/>
      <c r="K254" s="28"/>
      <c r="L254" s="28"/>
      <c r="M254" s="28"/>
      <c r="T254" s="28"/>
      <c r="U254" s="28"/>
      <c r="V254" s="28"/>
      <c r="W254" s="28"/>
      <c r="AD254" s="28"/>
      <c r="AE254" s="28"/>
      <c r="AF254" s="28"/>
      <c r="AG254" s="28"/>
      <c r="AN254" s="28"/>
      <c r="AO254" s="28"/>
      <c r="AP254" s="28"/>
      <c r="AQ254" s="28"/>
    </row>
    <row r="255">
      <c r="J255" s="28"/>
      <c r="K255" s="28"/>
      <c r="L255" s="28"/>
      <c r="M255" s="28"/>
      <c r="T255" s="28"/>
      <c r="U255" s="28"/>
      <c r="V255" s="28"/>
      <c r="W255" s="28"/>
      <c r="AD255" s="28"/>
      <c r="AE255" s="28"/>
      <c r="AF255" s="28"/>
      <c r="AG255" s="28"/>
      <c r="AN255" s="28"/>
      <c r="AO255" s="28"/>
      <c r="AP255" s="28"/>
      <c r="AQ255" s="28"/>
    </row>
    <row r="256">
      <c r="J256" s="28"/>
      <c r="K256" s="28"/>
      <c r="L256" s="28"/>
      <c r="M256" s="28"/>
      <c r="T256" s="28"/>
      <c r="U256" s="28"/>
      <c r="V256" s="28"/>
      <c r="W256" s="28"/>
      <c r="AD256" s="28"/>
      <c r="AE256" s="28"/>
      <c r="AF256" s="28"/>
      <c r="AG256" s="28"/>
      <c r="AN256" s="28"/>
      <c r="AO256" s="28"/>
      <c r="AP256" s="28"/>
      <c r="AQ256" s="28"/>
    </row>
    <row r="257">
      <c r="J257" s="28"/>
      <c r="K257" s="28"/>
      <c r="L257" s="28"/>
      <c r="M257" s="28"/>
      <c r="T257" s="28"/>
      <c r="U257" s="28"/>
      <c r="V257" s="28"/>
      <c r="W257" s="28"/>
      <c r="AD257" s="28"/>
      <c r="AE257" s="28"/>
      <c r="AF257" s="28"/>
      <c r="AG257" s="28"/>
      <c r="AN257" s="28"/>
      <c r="AO257" s="28"/>
      <c r="AP257" s="28"/>
      <c r="AQ257" s="28"/>
    </row>
    <row r="258">
      <c r="J258" s="28"/>
      <c r="K258" s="28"/>
      <c r="L258" s="28"/>
      <c r="M258" s="28"/>
      <c r="T258" s="28"/>
      <c r="U258" s="28"/>
      <c r="V258" s="28"/>
      <c r="W258" s="28"/>
      <c r="AD258" s="28"/>
      <c r="AE258" s="28"/>
      <c r="AF258" s="28"/>
      <c r="AG258" s="28"/>
      <c r="AN258" s="28"/>
      <c r="AO258" s="28"/>
      <c r="AP258" s="28"/>
      <c r="AQ258" s="28"/>
    </row>
    <row r="259">
      <c r="J259" s="28"/>
      <c r="K259" s="28"/>
      <c r="L259" s="28"/>
      <c r="M259" s="28"/>
      <c r="T259" s="28"/>
      <c r="U259" s="28"/>
      <c r="V259" s="28"/>
      <c r="W259" s="28"/>
      <c r="AD259" s="28"/>
      <c r="AE259" s="28"/>
      <c r="AF259" s="28"/>
      <c r="AG259" s="28"/>
      <c r="AN259" s="28"/>
      <c r="AO259" s="28"/>
      <c r="AP259" s="28"/>
      <c r="AQ259" s="28"/>
    </row>
    <row r="260">
      <c r="J260" s="28"/>
      <c r="K260" s="28"/>
      <c r="L260" s="28"/>
      <c r="M260" s="28"/>
      <c r="T260" s="28"/>
      <c r="U260" s="28"/>
      <c r="V260" s="28"/>
      <c r="W260" s="28"/>
      <c r="AD260" s="28"/>
      <c r="AE260" s="28"/>
      <c r="AF260" s="28"/>
      <c r="AG260" s="28"/>
      <c r="AN260" s="28"/>
      <c r="AO260" s="28"/>
      <c r="AP260" s="28"/>
      <c r="AQ260" s="28"/>
    </row>
    <row r="261">
      <c r="J261" s="28"/>
      <c r="K261" s="28"/>
      <c r="L261" s="28"/>
      <c r="M261" s="28"/>
      <c r="T261" s="28"/>
      <c r="U261" s="28"/>
      <c r="V261" s="28"/>
      <c r="W261" s="28"/>
      <c r="AD261" s="28"/>
      <c r="AE261" s="28"/>
      <c r="AF261" s="28"/>
      <c r="AG261" s="28"/>
      <c r="AN261" s="28"/>
      <c r="AO261" s="28"/>
      <c r="AP261" s="28"/>
      <c r="AQ261" s="28"/>
    </row>
    <row r="262">
      <c r="J262" s="28"/>
      <c r="K262" s="28"/>
      <c r="L262" s="28"/>
      <c r="M262" s="28"/>
      <c r="T262" s="28"/>
      <c r="U262" s="28"/>
      <c r="V262" s="28"/>
      <c r="W262" s="28"/>
      <c r="AD262" s="28"/>
      <c r="AE262" s="28"/>
      <c r="AF262" s="28"/>
      <c r="AG262" s="28"/>
      <c r="AN262" s="28"/>
      <c r="AO262" s="28"/>
      <c r="AP262" s="28"/>
      <c r="AQ262" s="28"/>
    </row>
    <row r="263">
      <c r="J263" s="28"/>
      <c r="K263" s="28"/>
      <c r="L263" s="28"/>
      <c r="M263" s="28"/>
      <c r="T263" s="28"/>
      <c r="U263" s="28"/>
      <c r="V263" s="28"/>
      <c r="W263" s="28"/>
      <c r="AD263" s="28"/>
      <c r="AE263" s="28"/>
      <c r="AF263" s="28"/>
      <c r="AG263" s="28"/>
      <c r="AN263" s="28"/>
      <c r="AO263" s="28"/>
      <c r="AP263" s="28"/>
      <c r="AQ263" s="28"/>
    </row>
    <row r="264">
      <c r="J264" s="28"/>
      <c r="K264" s="28"/>
      <c r="L264" s="28"/>
      <c r="M264" s="28"/>
      <c r="T264" s="28"/>
      <c r="U264" s="28"/>
      <c r="V264" s="28"/>
      <c r="W264" s="28"/>
      <c r="AD264" s="28"/>
      <c r="AE264" s="28"/>
      <c r="AF264" s="28"/>
      <c r="AG264" s="28"/>
      <c r="AN264" s="28"/>
      <c r="AO264" s="28"/>
      <c r="AP264" s="28"/>
      <c r="AQ264" s="28"/>
    </row>
    <row r="265">
      <c r="J265" s="28"/>
      <c r="K265" s="28"/>
      <c r="L265" s="28"/>
      <c r="M265" s="28"/>
      <c r="T265" s="28"/>
      <c r="U265" s="28"/>
      <c r="V265" s="28"/>
      <c r="W265" s="28"/>
      <c r="AD265" s="28"/>
      <c r="AE265" s="28"/>
      <c r="AF265" s="28"/>
      <c r="AG265" s="28"/>
      <c r="AN265" s="28"/>
      <c r="AO265" s="28"/>
      <c r="AP265" s="28"/>
      <c r="AQ265" s="28"/>
    </row>
    <row r="266">
      <c r="J266" s="28"/>
      <c r="K266" s="28"/>
      <c r="L266" s="28"/>
      <c r="M266" s="28"/>
      <c r="T266" s="28"/>
      <c r="U266" s="28"/>
      <c r="V266" s="28"/>
      <c r="W266" s="28"/>
      <c r="AD266" s="28"/>
      <c r="AE266" s="28"/>
      <c r="AF266" s="28"/>
      <c r="AG266" s="28"/>
      <c r="AN266" s="28"/>
      <c r="AO266" s="28"/>
      <c r="AP266" s="28"/>
      <c r="AQ266" s="28"/>
    </row>
    <row r="267">
      <c r="J267" s="28"/>
      <c r="K267" s="28"/>
      <c r="L267" s="28"/>
      <c r="M267" s="28"/>
      <c r="T267" s="28"/>
      <c r="U267" s="28"/>
      <c r="V267" s="28"/>
      <c r="W267" s="28"/>
      <c r="AD267" s="28"/>
      <c r="AE267" s="28"/>
      <c r="AF267" s="28"/>
      <c r="AG267" s="28"/>
      <c r="AN267" s="28"/>
      <c r="AO267" s="28"/>
      <c r="AP267" s="28"/>
      <c r="AQ267" s="28"/>
    </row>
    <row r="268">
      <c r="J268" s="28"/>
      <c r="K268" s="28"/>
      <c r="L268" s="28"/>
      <c r="M268" s="28"/>
      <c r="T268" s="28"/>
      <c r="U268" s="28"/>
      <c r="V268" s="28"/>
      <c r="W268" s="28"/>
      <c r="AD268" s="28"/>
      <c r="AE268" s="28"/>
      <c r="AF268" s="28"/>
      <c r="AG268" s="28"/>
      <c r="AN268" s="28"/>
      <c r="AO268" s="28"/>
      <c r="AP268" s="28"/>
      <c r="AQ268" s="28"/>
    </row>
    <row r="269">
      <c r="J269" s="28"/>
      <c r="K269" s="28"/>
      <c r="L269" s="28"/>
      <c r="M269" s="28"/>
      <c r="T269" s="28"/>
      <c r="U269" s="28"/>
      <c r="V269" s="28"/>
      <c r="W269" s="28"/>
      <c r="AD269" s="28"/>
      <c r="AE269" s="28"/>
      <c r="AF269" s="28"/>
      <c r="AG269" s="28"/>
      <c r="AN269" s="28"/>
      <c r="AO269" s="28"/>
      <c r="AP269" s="28"/>
      <c r="AQ269" s="28"/>
    </row>
    <row r="270">
      <c r="J270" s="28"/>
      <c r="K270" s="28"/>
      <c r="L270" s="28"/>
      <c r="M270" s="28"/>
      <c r="T270" s="28"/>
      <c r="U270" s="28"/>
      <c r="V270" s="28"/>
      <c r="W270" s="28"/>
      <c r="AD270" s="28"/>
      <c r="AE270" s="28"/>
      <c r="AF270" s="28"/>
      <c r="AG270" s="28"/>
      <c r="AN270" s="28"/>
      <c r="AO270" s="28"/>
      <c r="AP270" s="28"/>
      <c r="AQ270" s="28"/>
    </row>
    <row r="271">
      <c r="J271" s="28"/>
      <c r="K271" s="28"/>
      <c r="L271" s="28"/>
      <c r="M271" s="28"/>
      <c r="T271" s="28"/>
      <c r="U271" s="28"/>
      <c r="V271" s="28"/>
      <c r="W271" s="28"/>
      <c r="AD271" s="28"/>
      <c r="AE271" s="28"/>
      <c r="AF271" s="28"/>
      <c r="AG271" s="28"/>
      <c r="AN271" s="28"/>
      <c r="AO271" s="28"/>
      <c r="AP271" s="28"/>
      <c r="AQ271" s="28"/>
    </row>
    <row r="272">
      <c r="J272" s="28"/>
      <c r="K272" s="28"/>
      <c r="L272" s="28"/>
      <c r="M272" s="28"/>
      <c r="T272" s="28"/>
      <c r="U272" s="28"/>
      <c r="V272" s="28"/>
      <c r="W272" s="28"/>
      <c r="AD272" s="28"/>
      <c r="AE272" s="28"/>
      <c r="AF272" s="28"/>
      <c r="AG272" s="28"/>
      <c r="AN272" s="28"/>
      <c r="AO272" s="28"/>
      <c r="AP272" s="28"/>
      <c r="AQ272" s="28"/>
    </row>
    <row r="273">
      <c r="J273" s="28"/>
      <c r="K273" s="28"/>
      <c r="L273" s="28"/>
      <c r="M273" s="28"/>
      <c r="T273" s="28"/>
      <c r="U273" s="28"/>
      <c r="V273" s="28"/>
      <c r="W273" s="28"/>
      <c r="AD273" s="28"/>
      <c r="AE273" s="28"/>
      <c r="AF273" s="28"/>
      <c r="AG273" s="28"/>
      <c r="AN273" s="28"/>
      <c r="AO273" s="28"/>
      <c r="AP273" s="28"/>
      <c r="AQ273" s="28"/>
    </row>
    <row r="274">
      <c r="J274" s="28"/>
      <c r="K274" s="28"/>
      <c r="L274" s="28"/>
      <c r="M274" s="28"/>
      <c r="T274" s="28"/>
      <c r="U274" s="28"/>
      <c r="V274" s="28"/>
      <c r="W274" s="28"/>
      <c r="AD274" s="28"/>
      <c r="AE274" s="28"/>
      <c r="AF274" s="28"/>
      <c r="AG274" s="28"/>
      <c r="AN274" s="28"/>
      <c r="AO274" s="28"/>
      <c r="AP274" s="28"/>
      <c r="AQ274" s="28"/>
    </row>
    <row r="275">
      <c r="J275" s="28"/>
      <c r="K275" s="28"/>
      <c r="L275" s="28"/>
      <c r="M275" s="28"/>
      <c r="T275" s="28"/>
      <c r="U275" s="28"/>
      <c r="V275" s="28"/>
      <c r="W275" s="28"/>
      <c r="AD275" s="28"/>
      <c r="AE275" s="28"/>
      <c r="AF275" s="28"/>
      <c r="AG275" s="28"/>
      <c r="AN275" s="28"/>
      <c r="AO275" s="28"/>
      <c r="AP275" s="28"/>
      <c r="AQ275" s="28"/>
    </row>
    <row r="276">
      <c r="J276" s="28"/>
      <c r="K276" s="28"/>
      <c r="L276" s="28"/>
      <c r="M276" s="28"/>
      <c r="T276" s="28"/>
      <c r="U276" s="28"/>
      <c r="V276" s="28"/>
      <c r="W276" s="28"/>
      <c r="AD276" s="28"/>
      <c r="AE276" s="28"/>
      <c r="AF276" s="28"/>
      <c r="AG276" s="28"/>
      <c r="AN276" s="28"/>
      <c r="AO276" s="28"/>
      <c r="AP276" s="28"/>
      <c r="AQ276" s="28"/>
    </row>
    <row r="277">
      <c r="J277" s="28"/>
      <c r="K277" s="28"/>
      <c r="L277" s="28"/>
      <c r="M277" s="28"/>
      <c r="T277" s="28"/>
      <c r="U277" s="28"/>
      <c r="V277" s="28"/>
      <c r="W277" s="28"/>
      <c r="AD277" s="28"/>
      <c r="AE277" s="28"/>
      <c r="AF277" s="28"/>
      <c r="AG277" s="28"/>
      <c r="AN277" s="28"/>
      <c r="AO277" s="28"/>
      <c r="AP277" s="28"/>
      <c r="AQ277" s="28"/>
    </row>
    <row r="278">
      <c r="J278" s="28"/>
      <c r="K278" s="28"/>
      <c r="L278" s="28"/>
      <c r="M278" s="28"/>
      <c r="T278" s="28"/>
      <c r="U278" s="28"/>
      <c r="V278" s="28"/>
      <c r="W278" s="28"/>
      <c r="AD278" s="28"/>
      <c r="AE278" s="28"/>
      <c r="AF278" s="28"/>
      <c r="AG278" s="28"/>
      <c r="AN278" s="28"/>
      <c r="AO278" s="28"/>
      <c r="AP278" s="28"/>
      <c r="AQ278" s="28"/>
    </row>
    <row r="279">
      <c r="J279" s="28"/>
      <c r="K279" s="28"/>
      <c r="L279" s="28"/>
      <c r="M279" s="28"/>
      <c r="T279" s="28"/>
      <c r="U279" s="28"/>
      <c r="V279" s="28"/>
      <c r="W279" s="28"/>
      <c r="AD279" s="28"/>
      <c r="AE279" s="28"/>
      <c r="AF279" s="28"/>
      <c r="AG279" s="28"/>
      <c r="AN279" s="28"/>
      <c r="AO279" s="28"/>
      <c r="AP279" s="28"/>
      <c r="AQ279" s="28"/>
    </row>
    <row r="280">
      <c r="J280" s="28"/>
      <c r="K280" s="28"/>
      <c r="L280" s="28"/>
      <c r="M280" s="28"/>
      <c r="T280" s="28"/>
      <c r="U280" s="28"/>
      <c r="V280" s="28"/>
      <c r="W280" s="28"/>
      <c r="AD280" s="28"/>
      <c r="AE280" s="28"/>
      <c r="AF280" s="28"/>
      <c r="AG280" s="28"/>
      <c r="AN280" s="28"/>
      <c r="AO280" s="28"/>
      <c r="AP280" s="28"/>
      <c r="AQ280" s="28"/>
    </row>
    <row r="281">
      <c r="J281" s="28"/>
      <c r="K281" s="28"/>
      <c r="L281" s="28"/>
      <c r="M281" s="28"/>
      <c r="T281" s="28"/>
      <c r="U281" s="28"/>
      <c r="V281" s="28"/>
      <c r="W281" s="28"/>
      <c r="AD281" s="28"/>
      <c r="AE281" s="28"/>
      <c r="AF281" s="28"/>
      <c r="AG281" s="28"/>
      <c r="AN281" s="28"/>
      <c r="AO281" s="28"/>
      <c r="AP281" s="28"/>
      <c r="AQ281" s="28"/>
    </row>
    <row r="282">
      <c r="J282" s="28"/>
      <c r="K282" s="28"/>
      <c r="L282" s="28"/>
      <c r="M282" s="28"/>
      <c r="T282" s="28"/>
      <c r="U282" s="28"/>
      <c r="V282" s="28"/>
      <c r="W282" s="28"/>
      <c r="AD282" s="28"/>
      <c r="AE282" s="28"/>
      <c r="AF282" s="28"/>
      <c r="AG282" s="28"/>
      <c r="AN282" s="28"/>
      <c r="AO282" s="28"/>
      <c r="AP282" s="28"/>
      <c r="AQ282" s="28"/>
    </row>
    <row r="283">
      <c r="J283" s="28"/>
      <c r="K283" s="28"/>
      <c r="L283" s="28"/>
      <c r="M283" s="28"/>
      <c r="T283" s="28"/>
      <c r="U283" s="28"/>
      <c r="V283" s="28"/>
      <c r="W283" s="28"/>
      <c r="AD283" s="28"/>
      <c r="AE283" s="28"/>
      <c r="AF283" s="28"/>
      <c r="AG283" s="28"/>
      <c r="AN283" s="28"/>
      <c r="AO283" s="28"/>
      <c r="AP283" s="28"/>
      <c r="AQ283" s="28"/>
    </row>
    <row r="284">
      <c r="J284" s="28"/>
      <c r="K284" s="28"/>
      <c r="L284" s="28"/>
      <c r="M284" s="28"/>
      <c r="T284" s="28"/>
      <c r="U284" s="28"/>
      <c r="V284" s="28"/>
      <c r="W284" s="28"/>
      <c r="AD284" s="28"/>
      <c r="AE284" s="28"/>
      <c r="AF284" s="28"/>
      <c r="AG284" s="28"/>
      <c r="AN284" s="28"/>
      <c r="AO284" s="28"/>
      <c r="AP284" s="28"/>
      <c r="AQ284" s="28"/>
    </row>
    <row r="285">
      <c r="J285" s="28"/>
      <c r="K285" s="28"/>
      <c r="L285" s="28"/>
      <c r="M285" s="28"/>
      <c r="T285" s="28"/>
      <c r="U285" s="28"/>
      <c r="V285" s="28"/>
      <c r="W285" s="28"/>
      <c r="AD285" s="28"/>
      <c r="AE285" s="28"/>
      <c r="AF285" s="28"/>
      <c r="AG285" s="28"/>
      <c r="AN285" s="28"/>
      <c r="AO285" s="28"/>
      <c r="AP285" s="28"/>
      <c r="AQ285" s="28"/>
    </row>
    <row r="286">
      <c r="J286" s="28"/>
      <c r="K286" s="28"/>
      <c r="L286" s="28"/>
      <c r="M286" s="28"/>
      <c r="T286" s="28"/>
      <c r="U286" s="28"/>
      <c r="V286" s="28"/>
      <c r="W286" s="28"/>
      <c r="AD286" s="28"/>
      <c r="AE286" s="28"/>
      <c r="AF286" s="28"/>
      <c r="AG286" s="28"/>
      <c r="AN286" s="28"/>
      <c r="AO286" s="28"/>
      <c r="AP286" s="28"/>
      <c r="AQ286" s="28"/>
    </row>
    <row r="287">
      <c r="J287" s="28"/>
      <c r="K287" s="28"/>
      <c r="L287" s="28"/>
      <c r="M287" s="28"/>
      <c r="T287" s="28"/>
      <c r="U287" s="28"/>
      <c r="V287" s="28"/>
      <c r="W287" s="28"/>
      <c r="AD287" s="28"/>
      <c r="AE287" s="28"/>
      <c r="AF287" s="28"/>
      <c r="AG287" s="28"/>
      <c r="AN287" s="28"/>
      <c r="AO287" s="28"/>
      <c r="AP287" s="28"/>
      <c r="AQ287" s="28"/>
    </row>
    <row r="288">
      <c r="J288" s="28"/>
      <c r="K288" s="28"/>
      <c r="L288" s="28"/>
      <c r="M288" s="28"/>
      <c r="T288" s="28"/>
      <c r="U288" s="28"/>
      <c r="V288" s="28"/>
      <c r="W288" s="28"/>
      <c r="AD288" s="28"/>
      <c r="AE288" s="28"/>
      <c r="AF288" s="28"/>
      <c r="AG288" s="28"/>
      <c r="AN288" s="28"/>
      <c r="AO288" s="28"/>
      <c r="AP288" s="28"/>
      <c r="AQ288" s="28"/>
    </row>
    <row r="289">
      <c r="J289" s="28"/>
      <c r="K289" s="28"/>
      <c r="L289" s="28"/>
      <c r="M289" s="28"/>
      <c r="T289" s="28"/>
      <c r="U289" s="28"/>
      <c r="V289" s="28"/>
      <c r="W289" s="28"/>
      <c r="AD289" s="28"/>
      <c r="AE289" s="28"/>
      <c r="AF289" s="28"/>
      <c r="AG289" s="28"/>
      <c r="AN289" s="28"/>
      <c r="AO289" s="28"/>
      <c r="AP289" s="28"/>
      <c r="AQ289" s="28"/>
    </row>
    <row r="290">
      <c r="J290" s="28"/>
      <c r="K290" s="28"/>
      <c r="L290" s="28"/>
      <c r="M290" s="28"/>
      <c r="T290" s="28"/>
      <c r="U290" s="28"/>
      <c r="V290" s="28"/>
      <c r="W290" s="28"/>
      <c r="AD290" s="28"/>
      <c r="AE290" s="28"/>
      <c r="AF290" s="28"/>
      <c r="AG290" s="28"/>
      <c r="AN290" s="28"/>
      <c r="AO290" s="28"/>
      <c r="AP290" s="28"/>
      <c r="AQ290" s="28"/>
    </row>
    <row r="291">
      <c r="J291" s="28"/>
      <c r="K291" s="28"/>
      <c r="L291" s="28"/>
      <c r="M291" s="28"/>
      <c r="T291" s="28"/>
      <c r="U291" s="28"/>
      <c r="V291" s="28"/>
      <c r="W291" s="28"/>
      <c r="AD291" s="28"/>
      <c r="AE291" s="28"/>
      <c r="AF291" s="28"/>
      <c r="AG291" s="28"/>
      <c r="AN291" s="28"/>
      <c r="AO291" s="28"/>
      <c r="AP291" s="28"/>
      <c r="AQ291" s="28"/>
    </row>
    <row r="292">
      <c r="J292" s="28"/>
      <c r="K292" s="28"/>
      <c r="L292" s="28"/>
      <c r="M292" s="28"/>
      <c r="T292" s="28"/>
      <c r="U292" s="28"/>
      <c r="V292" s="28"/>
      <c r="W292" s="28"/>
      <c r="AD292" s="28"/>
      <c r="AE292" s="28"/>
      <c r="AF292" s="28"/>
      <c r="AG292" s="28"/>
      <c r="AN292" s="28"/>
      <c r="AO292" s="28"/>
      <c r="AP292" s="28"/>
      <c r="AQ292" s="28"/>
    </row>
    <row r="293">
      <c r="J293" s="28"/>
      <c r="K293" s="28"/>
      <c r="L293" s="28"/>
      <c r="M293" s="28"/>
      <c r="T293" s="28"/>
      <c r="U293" s="28"/>
      <c r="V293" s="28"/>
      <c r="W293" s="28"/>
      <c r="AD293" s="28"/>
      <c r="AE293" s="28"/>
      <c r="AF293" s="28"/>
      <c r="AG293" s="28"/>
      <c r="AN293" s="28"/>
      <c r="AO293" s="28"/>
      <c r="AP293" s="28"/>
      <c r="AQ293" s="28"/>
    </row>
    <row r="294">
      <c r="J294" s="28"/>
      <c r="K294" s="28"/>
      <c r="L294" s="28"/>
      <c r="M294" s="28"/>
      <c r="T294" s="28"/>
      <c r="U294" s="28"/>
      <c r="V294" s="28"/>
      <c r="W294" s="28"/>
      <c r="AD294" s="28"/>
      <c r="AE294" s="28"/>
      <c r="AF294" s="28"/>
      <c r="AG294" s="28"/>
      <c r="AN294" s="28"/>
      <c r="AO294" s="28"/>
      <c r="AP294" s="28"/>
      <c r="AQ294" s="28"/>
    </row>
    <row r="295">
      <c r="J295" s="28"/>
      <c r="K295" s="28"/>
      <c r="L295" s="28"/>
      <c r="M295" s="28"/>
      <c r="T295" s="28"/>
      <c r="U295" s="28"/>
      <c r="V295" s="28"/>
      <c r="W295" s="28"/>
      <c r="AD295" s="28"/>
      <c r="AE295" s="28"/>
      <c r="AF295" s="28"/>
      <c r="AG295" s="28"/>
      <c r="AN295" s="28"/>
      <c r="AO295" s="28"/>
      <c r="AP295" s="28"/>
      <c r="AQ295" s="28"/>
    </row>
    <row r="296">
      <c r="J296" s="28"/>
      <c r="K296" s="28"/>
      <c r="L296" s="28"/>
      <c r="M296" s="28"/>
      <c r="T296" s="28"/>
      <c r="U296" s="28"/>
      <c r="V296" s="28"/>
      <c r="W296" s="28"/>
      <c r="AD296" s="28"/>
      <c r="AE296" s="28"/>
      <c r="AF296" s="28"/>
      <c r="AG296" s="28"/>
      <c r="AN296" s="28"/>
      <c r="AO296" s="28"/>
      <c r="AP296" s="28"/>
      <c r="AQ296" s="28"/>
    </row>
    <row r="297">
      <c r="J297" s="28"/>
      <c r="K297" s="28"/>
      <c r="L297" s="28"/>
      <c r="M297" s="28"/>
      <c r="T297" s="28"/>
      <c r="U297" s="28"/>
      <c r="V297" s="28"/>
      <c r="W297" s="28"/>
      <c r="AD297" s="28"/>
      <c r="AE297" s="28"/>
      <c r="AF297" s="28"/>
      <c r="AG297" s="28"/>
      <c r="AN297" s="28"/>
      <c r="AO297" s="28"/>
      <c r="AP297" s="28"/>
      <c r="AQ297" s="28"/>
    </row>
    <row r="298">
      <c r="J298" s="28"/>
      <c r="K298" s="28"/>
      <c r="L298" s="28"/>
      <c r="M298" s="28"/>
      <c r="T298" s="28"/>
      <c r="U298" s="28"/>
      <c r="V298" s="28"/>
      <c r="W298" s="28"/>
      <c r="AD298" s="28"/>
      <c r="AE298" s="28"/>
      <c r="AF298" s="28"/>
      <c r="AG298" s="28"/>
      <c r="AN298" s="28"/>
      <c r="AO298" s="28"/>
      <c r="AP298" s="28"/>
      <c r="AQ298" s="28"/>
    </row>
    <row r="299">
      <c r="J299" s="28"/>
      <c r="K299" s="28"/>
      <c r="L299" s="28"/>
      <c r="M299" s="28"/>
      <c r="T299" s="28"/>
      <c r="U299" s="28"/>
      <c r="V299" s="28"/>
      <c r="W299" s="28"/>
      <c r="AD299" s="28"/>
      <c r="AE299" s="28"/>
      <c r="AF299" s="28"/>
      <c r="AG299" s="28"/>
      <c r="AN299" s="28"/>
      <c r="AO299" s="28"/>
      <c r="AP299" s="28"/>
      <c r="AQ299" s="28"/>
    </row>
    <row r="300">
      <c r="J300" s="28"/>
      <c r="K300" s="28"/>
      <c r="L300" s="28"/>
      <c r="M300" s="28"/>
      <c r="T300" s="28"/>
      <c r="U300" s="28"/>
      <c r="V300" s="28"/>
      <c r="W300" s="28"/>
      <c r="AD300" s="28"/>
      <c r="AE300" s="28"/>
      <c r="AF300" s="28"/>
      <c r="AG300" s="28"/>
      <c r="AN300" s="28"/>
      <c r="AO300" s="28"/>
      <c r="AP300" s="28"/>
      <c r="AQ300" s="28"/>
    </row>
    <row r="301">
      <c r="J301" s="28"/>
      <c r="K301" s="28"/>
      <c r="L301" s="28"/>
      <c r="M301" s="28"/>
      <c r="T301" s="28"/>
      <c r="U301" s="28"/>
      <c r="V301" s="28"/>
      <c r="W301" s="28"/>
      <c r="AD301" s="28"/>
      <c r="AE301" s="28"/>
      <c r="AF301" s="28"/>
      <c r="AG301" s="28"/>
      <c r="AN301" s="28"/>
      <c r="AO301" s="28"/>
      <c r="AP301" s="28"/>
      <c r="AQ301" s="28"/>
    </row>
    <row r="302">
      <c r="J302" s="28"/>
      <c r="K302" s="28"/>
      <c r="L302" s="28"/>
      <c r="M302" s="28"/>
      <c r="T302" s="28"/>
      <c r="U302" s="28"/>
      <c r="V302" s="28"/>
      <c r="W302" s="28"/>
      <c r="AD302" s="28"/>
      <c r="AE302" s="28"/>
      <c r="AF302" s="28"/>
      <c r="AG302" s="28"/>
      <c r="AN302" s="28"/>
      <c r="AO302" s="28"/>
      <c r="AP302" s="28"/>
      <c r="AQ302" s="28"/>
    </row>
    <row r="303">
      <c r="J303" s="28"/>
      <c r="K303" s="28"/>
      <c r="L303" s="28"/>
      <c r="M303" s="28"/>
      <c r="T303" s="28"/>
      <c r="U303" s="28"/>
      <c r="V303" s="28"/>
      <c r="W303" s="28"/>
      <c r="AD303" s="28"/>
      <c r="AE303" s="28"/>
      <c r="AF303" s="28"/>
      <c r="AG303" s="28"/>
      <c r="AN303" s="28"/>
      <c r="AO303" s="28"/>
      <c r="AP303" s="28"/>
      <c r="AQ303" s="28"/>
    </row>
    <row r="304">
      <c r="J304" s="28"/>
      <c r="K304" s="28"/>
      <c r="L304" s="28"/>
      <c r="M304" s="28"/>
      <c r="T304" s="28"/>
      <c r="U304" s="28"/>
      <c r="V304" s="28"/>
      <c r="W304" s="28"/>
      <c r="AD304" s="28"/>
      <c r="AE304" s="28"/>
      <c r="AF304" s="28"/>
      <c r="AG304" s="28"/>
      <c r="AN304" s="28"/>
      <c r="AO304" s="28"/>
      <c r="AP304" s="28"/>
      <c r="AQ304" s="28"/>
    </row>
    <row r="305">
      <c r="J305" s="28"/>
      <c r="K305" s="28"/>
      <c r="L305" s="28"/>
      <c r="M305" s="28"/>
      <c r="T305" s="28"/>
      <c r="U305" s="28"/>
      <c r="V305" s="28"/>
      <c r="W305" s="28"/>
      <c r="AD305" s="28"/>
      <c r="AE305" s="28"/>
      <c r="AF305" s="28"/>
      <c r="AG305" s="28"/>
      <c r="AN305" s="28"/>
      <c r="AO305" s="28"/>
      <c r="AP305" s="28"/>
      <c r="AQ305" s="28"/>
    </row>
    <row r="306">
      <c r="J306" s="28"/>
      <c r="K306" s="28"/>
      <c r="L306" s="28"/>
      <c r="M306" s="28"/>
      <c r="T306" s="28"/>
      <c r="U306" s="28"/>
      <c r="V306" s="28"/>
      <c r="W306" s="28"/>
      <c r="AD306" s="28"/>
      <c r="AE306" s="28"/>
      <c r="AF306" s="28"/>
      <c r="AG306" s="28"/>
      <c r="AN306" s="28"/>
      <c r="AO306" s="28"/>
      <c r="AP306" s="28"/>
      <c r="AQ306" s="28"/>
    </row>
    <row r="307">
      <c r="J307" s="28"/>
      <c r="K307" s="28"/>
      <c r="L307" s="28"/>
      <c r="M307" s="28"/>
      <c r="T307" s="28"/>
      <c r="U307" s="28"/>
      <c r="V307" s="28"/>
      <c r="W307" s="28"/>
      <c r="AD307" s="28"/>
      <c r="AE307" s="28"/>
      <c r="AF307" s="28"/>
      <c r="AG307" s="28"/>
      <c r="AN307" s="28"/>
      <c r="AO307" s="28"/>
      <c r="AP307" s="28"/>
      <c r="AQ307" s="28"/>
    </row>
    <row r="308">
      <c r="J308" s="28"/>
      <c r="K308" s="28"/>
      <c r="L308" s="28"/>
      <c r="M308" s="28"/>
      <c r="T308" s="28"/>
      <c r="U308" s="28"/>
      <c r="V308" s="28"/>
      <c r="W308" s="28"/>
      <c r="AD308" s="28"/>
      <c r="AE308" s="28"/>
      <c r="AF308" s="28"/>
      <c r="AG308" s="28"/>
      <c r="AN308" s="28"/>
      <c r="AO308" s="28"/>
      <c r="AP308" s="28"/>
      <c r="AQ308" s="28"/>
    </row>
    <row r="309">
      <c r="J309" s="28"/>
      <c r="K309" s="28"/>
      <c r="L309" s="28"/>
      <c r="M309" s="28"/>
      <c r="T309" s="28"/>
      <c r="U309" s="28"/>
      <c r="V309" s="28"/>
      <c r="W309" s="28"/>
      <c r="AD309" s="28"/>
      <c r="AE309" s="28"/>
      <c r="AF309" s="28"/>
      <c r="AG309" s="28"/>
      <c r="AN309" s="28"/>
      <c r="AO309" s="28"/>
      <c r="AP309" s="28"/>
      <c r="AQ309" s="28"/>
    </row>
    <row r="310">
      <c r="J310" s="28"/>
      <c r="K310" s="28"/>
      <c r="L310" s="28"/>
      <c r="M310" s="28"/>
      <c r="T310" s="28"/>
      <c r="U310" s="28"/>
      <c r="V310" s="28"/>
      <c r="W310" s="28"/>
      <c r="AD310" s="28"/>
      <c r="AE310" s="28"/>
      <c r="AF310" s="28"/>
      <c r="AG310" s="28"/>
      <c r="AN310" s="28"/>
      <c r="AO310" s="28"/>
      <c r="AP310" s="28"/>
      <c r="AQ310" s="28"/>
    </row>
    <row r="311">
      <c r="J311" s="28"/>
      <c r="K311" s="28"/>
      <c r="L311" s="28"/>
      <c r="M311" s="28"/>
      <c r="T311" s="28"/>
      <c r="U311" s="28"/>
      <c r="V311" s="28"/>
      <c r="W311" s="28"/>
      <c r="AD311" s="28"/>
      <c r="AE311" s="28"/>
      <c r="AF311" s="28"/>
      <c r="AG311" s="28"/>
      <c r="AN311" s="28"/>
      <c r="AO311" s="28"/>
      <c r="AP311" s="28"/>
      <c r="AQ311" s="28"/>
    </row>
    <row r="312">
      <c r="J312" s="28"/>
      <c r="K312" s="28"/>
      <c r="L312" s="28"/>
      <c r="M312" s="28"/>
      <c r="T312" s="28"/>
      <c r="U312" s="28"/>
      <c r="V312" s="28"/>
      <c r="W312" s="28"/>
      <c r="AD312" s="28"/>
      <c r="AE312" s="28"/>
      <c r="AF312" s="28"/>
      <c r="AG312" s="28"/>
      <c r="AN312" s="28"/>
      <c r="AO312" s="28"/>
      <c r="AP312" s="28"/>
      <c r="AQ312" s="28"/>
    </row>
    <row r="313">
      <c r="J313" s="28"/>
      <c r="K313" s="28"/>
      <c r="L313" s="28"/>
      <c r="M313" s="28"/>
      <c r="T313" s="28"/>
      <c r="U313" s="28"/>
      <c r="V313" s="28"/>
      <c r="W313" s="28"/>
      <c r="AD313" s="28"/>
      <c r="AE313" s="28"/>
      <c r="AF313" s="28"/>
      <c r="AG313" s="28"/>
      <c r="AN313" s="28"/>
      <c r="AO313" s="28"/>
      <c r="AP313" s="28"/>
      <c r="AQ313" s="28"/>
    </row>
    <row r="314">
      <c r="J314" s="28"/>
      <c r="K314" s="28"/>
      <c r="L314" s="28"/>
      <c r="M314" s="28"/>
      <c r="T314" s="28"/>
      <c r="U314" s="28"/>
      <c r="V314" s="28"/>
      <c r="W314" s="28"/>
      <c r="AD314" s="28"/>
      <c r="AE314" s="28"/>
      <c r="AF314" s="28"/>
      <c r="AG314" s="28"/>
      <c r="AN314" s="28"/>
      <c r="AO314" s="28"/>
      <c r="AP314" s="28"/>
      <c r="AQ314" s="28"/>
    </row>
    <row r="315">
      <c r="J315" s="28"/>
      <c r="K315" s="28"/>
      <c r="L315" s="28"/>
      <c r="M315" s="28"/>
      <c r="T315" s="28"/>
      <c r="U315" s="28"/>
      <c r="V315" s="28"/>
      <c r="W315" s="28"/>
      <c r="AD315" s="28"/>
      <c r="AE315" s="28"/>
      <c r="AF315" s="28"/>
      <c r="AG315" s="28"/>
      <c r="AN315" s="28"/>
      <c r="AO315" s="28"/>
      <c r="AP315" s="28"/>
      <c r="AQ315" s="28"/>
    </row>
    <row r="316">
      <c r="J316" s="28"/>
      <c r="K316" s="28"/>
      <c r="L316" s="28"/>
      <c r="M316" s="28"/>
      <c r="T316" s="28"/>
      <c r="U316" s="28"/>
      <c r="V316" s="28"/>
      <c r="W316" s="28"/>
      <c r="AD316" s="28"/>
      <c r="AE316" s="28"/>
      <c r="AF316" s="28"/>
      <c r="AG316" s="28"/>
      <c r="AN316" s="28"/>
      <c r="AO316" s="28"/>
      <c r="AP316" s="28"/>
      <c r="AQ316" s="28"/>
    </row>
    <row r="317">
      <c r="J317" s="28"/>
      <c r="K317" s="28"/>
      <c r="L317" s="28"/>
      <c r="M317" s="28"/>
      <c r="T317" s="28"/>
      <c r="U317" s="28"/>
      <c r="V317" s="28"/>
      <c r="W317" s="28"/>
      <c r="AD317" s="28"/>
      <c r="AE317" s="28"/>
      <c r="AF317" s="28"/>
      <c r="AG317" s="28"/>
      <c r="AN317" s="28"/>
      <c r="AO317" s="28"/>
      <c r="AP317" s="28"/>
      <c r="AQ317" s="28"/>
    </row>
    <row r="318">
      <c r="J318" s="28"/>
      <c r="K318" s="28"/>
      <c r="L318" s="28"/>
      <c r="M318" s="28"/>
      <c r="T318" s="28"/>
      <c r="U318" s="28"/>
      <c r="V318" s="28"/>
      <c r="W318" s="28"/>
      <c r="AD318" s="28"/>
      <c r="AE318" s="28"/>
      <c r="AF318" s="28"/>
      <c r="AG318" s="28"/>
      <c r="AN318" s="28"/>
      <c r="AO318" s="28"/>
      <c r="AP318" s="28"/>
      <c r="AQ318" s="28"/>
    </row>
    <row r="319">
      <c r="J319" s="28"/>
      <c r="K319" s="28"/>
      <c r="L319" s="28"/>
      <c r="M319" s="28"/>
      <c r="T319" s="28"/>
      <c r="U319" s="28"/>
      <c r="V319" s="28"/>
      <c r="W319" s="28"/>
      <c r="AD319" s="28"/>
      <c r="AE319" s="28"/>
      <c r="AF319" s="28"/>
      <c r="AG319" s="28"/>
      <c r="AN319" s="28"/>
      <c r="AO319" s="28"/>
      <c r="AP319" s="28"/>
      <c r="AQ319" s="28"/>
    </row>
    <row r="320">
      <c r="J320" s="28"/>
      <c r="K320" s="28"/>
      <c r="L320" s="28"/>
      <c r="M320" s="28"/>
      <c r="T320" s="28"/>
      <c r="U320" s="28"/>
      <c r="V320" s="28"/>
      <c r="W320" s="28"/>
      <c r="AD320" s="28"/>
      <c r="AE320" s="28"/>
      <c r="AF320" s="28"/>
      <c r="AG320" s="28"/>
      <c r="AN320" s="28"/>
      <c r="AO320" s="28"/>
      <c r="AP320" s="28"/>
      <c r="AQ320" s="28"/>
    </row>
    <row r="321">
      <c r="J321" s="28"/>
      <c r="K321" s="28"/>
      <c r="L321" s="28"/>
      <c r="M321" s="28"/>
      <c r="T321" s="28"/>
      <c r="U321" s="28"/>
      <c r="V321" s="28"/>
      <c r="W321" s="28"/>
      <c r="AD321" s="28"/>
      <c r="AE321" s="28"/>
      <c r="AF321" s="28"/>
      <c r="AG321" s="28"/>
      <c r="AN321" s="28"/>
      <c r="AO321" s="28"/>
      <c r="AP321" s="28"/>
      <c r="AQ321" s="28"/>
    </row>
    <row r="322">
      <c r="J322" s="28"/>
      <c r="K322" s="28"/>
      <c r="L322" s="28"/>
      <c r="M322" s="28"/>
      <c r="T322" s="28"/>
      <c r="U322" s="28"/>
      <c r="V322" s="28"/>
      <c r="W322" s="28"/>
      <c r="AD322" s="28"/>
      <c r="AE322" s="28"/>
      <c r="AF322" s="28"/>
      <c r="AG322" s="28"/>
      <c r="AN322" s="28"/>
      <c r="AO322" s="28"/>
      <c r="AP322" s="28"/>
      <c r="AQ322" s="28"/>
    </row>
    <row r="323">
      <c r="J323" s="28"/>
      <c r="K323" s="28"/>
      <c r="L323" s="28"/>
      <c r="M323" s="28"/>
      <c r="T323" s="28"/>
      <c r="U323" s="28"/>
      <c r="V323" s="28"/>
      <c r="W323" s="28"/>
      <c r="AD323" s="28"/>
      <c r="AE323" s="28"/>
      <c r="AF323" s="28"/>
      <c r="AG323" s="28"/>
      <c r="AN323" s="28"/>
      <c r="AO323" s="28"/>
      <c r="AP323" s="28"/>
      <c r="AQ323" s="28"/>
    </row>
    <row r="324">
      <c r="J324" s="28"/>
      <c r="K324" s="28"/>
      <c r="L324" s="28"/>
      <c r="M324" s="28"/>
      <c r="T324" s="28"/>
      <c r="U324" s="28"/>
      <c r="V324" s="28"/>
      <c r="W324" s="28"/>
      <c r="AD324" s="28"/>
      <c r="AE324" s="28"/>
      <c r="AF324" s="28"/>
      <c r="AG324" s="28"/>
      <c r="AN324" s="28"/>
      <c r="AO324" s="28"/>
      <c r="AP324" s="28"/>
      <c r="AQ324" s="28"/>
    </row>
    <row r="325">
      <c r="J325" s="28"/>
      <c r="K325" s="28"/>
      <c r="L325" s="28"/>
      <c r="M325" s="28"/>
      <c r="T325" s="28"/>
      <c r="U325" s="28"/>
      <c r="V325" s="28"/>
      <c r="W325" s="28"/>
      <c r="AD325" s="28"/>
      <c r="AE325" s="28"/>
      <c r="AF325" s="28"/>
      <c r="AG325" s="28"/>
      <c r="AN325" s="28"/>
      <c r="AO325" s="28"/>
      <c r="AP325" s="28"/>
      <c r="AQ325" s="28"/>
    </row>
    <row r="326">
      <c r="J326" s="28"/>
      <c r="K326" s="28"/>
      <c r="L326" s="28"/>
      <c r="M326" s="28"/>
      <c r="T326" s="28"/>
      <c r="U326" s="28"/>
      <c r="V326" s="28"/>
      <c r="W326" s="28"/>
      <c r="AD326" s="28"/>
      <c r="AE326" s="28"/>
      <c r="AF326" s="28"/>
      <c r="AG326" s="28"/>
      <c r="AN326" s="28"/>
      <c r="AO326" s="28"/>
      <c r="AP326" s="28"/>
      <c r="AQ326" s="28"/>
    </row>
    <row r="327">
      <c r="J327" s="28"/>
      <c r="K327" s="28"/>
      <c r="L327" s="28"/>
      <c r="M327" s="28"/>
      <c r="T327" s="28"/>
      <c r="U327" s="28"/>
      <c r="V327" s="28"/>
      <c r="W327" s="28"/>
      <c r="AD327" s="28"/>
      <c r="AE327" s="28"/>
      <c r="AF327" s="28"/>
      <c r="AG327" s="28"/>
      <c r="AN327" s="28"/>
      <c r="AO327" s="28"/>
      <c r="AP327" s="28"/>
      <c r="AQ327" s="28"/>
    </row>
    <row r="328">
      <c r="J328" s="28"/>
      <c r="K328" s="28"/>
      <c r="L328" s="28"/>
      <c r="M328" s="28"/>
      <c r="T328" s="28"/>
      <c r="U328" s="28"/>
      <c r="V328" s="28"/>
      <c r="W328" s="28"/>
      <c r="AD328" s="28"/>
      <c r="AE328" s="28"/>
      <c r="AF328" s="28"/>
      <c r="AG328" s="28"/>
      <c r="AN328" s="28"/>
      <c r="AO328" s="28"/>
      <c r="AP328" s="28"/>
      <c r="AQ328" s="28"/>
    </row>
    <row r="329">
      <c r="J329" s="28"/>
      <c r="K329" s="28"/>
      <c r="L329" s="28"/>
      <c r="M329" s="28"/>
      <c r="T329" s="28"/>
      <c r="U329" s="28"/>
      <c r="V329" s="28"/>
      <c r="W329" s="28"/>
      <c r="AD329" s="28"/>
      <c r="AE329" s="28"/>
      <c r="AF329" s="28"/>
      <c r="AG329" s="28"/>
      <c r="AN329" s="28"/>
      <c r="AO329" s="28"/>
      <c r="AP329" s="28"/>
      <c r="AQ329" s="28"/>
    </row>
    <row r="330">
      <c r="J330" s="28"/>
      <c r="K330" s="28"/>
      <c r="L330" s="28"/>
      <c r="M330" s="28"/>
      <c r="T330" s="28"/>
      <c r="U330" s="28"/>
      <c r="V330" s="28"/>
      <c r="W330" s="28"/>
      <c r="AD330" s="28"/>
      <c r="AE330" s="28"/>
      <c r="AF330" s="28"/>
      <c r="AG330" s="28"/>
      <c r="AN330" s="28"/>
      <c r="AO330" s="28"/>
      <c r="AP330" s="28"/>
      <c r="AQ330" s="28"/>
    </row>
    <row r="331">
      <c r="J331" s="28"/>
      <c r="K331" s="28"/>
      <c r="L331" s="28"/>
      <c r="M331" s="28"/>
      <c r="T331" s="28"/>
      <c r="U331" s="28"/>
      <c r="V331" s="28"/>
      <c r="W331" s="28"/>
      <c r="AD331" s="28"/>
      <c r="AE331" s="28"/>
      <c r="AF331" s="28"/>
      <c r="AG331" s="28"/>
      <c r="AN331" s="28"/>
      <c r="AO331" s="28"/>
      <c r="AP331" s="28"/>
      <c r="AQ331" s="28"/>
    </row>
    <row r="332">
      <c r="J332" s="28"/>
      <c r="K332" s="28"/>
      <c r="L332" s="28"/>
      <c r="M332" s="28"/>
      <c r="T332" s="28"/>
      <c r="U332" s="28"/>
      <c r="V332" s="28"/>
      <c r="W332" s="28"/>
      <c r="AD332" s="28"/>
      <c r="AE332" s="28"/>
      <c r="AF332" s="28"/>
      <c r="AG332" s="28"/>
      <c r="AN332" s="28"/>
      <c r="AO332" s="28"/>
      <c r="AP332" s="28"/>
      <c r="AQ332" s="28"/>
    </row>
    <row r="333">
      <c r="J333" s="28"/>
      <c r="K333" s="28"/>
      <c r="L333" s="28"/>
      <c r="M333" s="28"/>
      <c r="T333" s="28"/>
      <c r="U333" s="28"/>
      <c r="V333" s="28"/>
      <c r="W333" s="28"/>
      <c r="AD333" s="28"/>
      <c r="AE333" s="28"/>
      <c r="AF333" s="28"/>
      <c r="AG333" s="28"/>
      <c r="AN333" s="28"/>
      <c r="AO333" s="28"/>
      <c r="AP333" s="28"/>
      <c r="AQ333" s="28"/>
    </row>
    <row r="334">
      <c r="J334" s="28"/>
      <c r="K334" s="28"/>
      <c r="L334" s="28"/>
      <c r="M334" s="28"/>
      <c r="T334" s="28"/>
      <c r="U334" s="28"/>
      <c r="V334" s="28"/>
      <c r="W334" s="28"/>
      <c r="AD334" s="28"/>
      <c r="AE334" s="28"/>
      <c r="AF334" s="28"/>
      <c r="AG334" s="28"/>
      <c r="AN334" s="28"/>
      <c r="AO334" s="28"/>
      <c r="AP334" s="28"/>
      <c r="AQ334" s="28"/>
    </row>
    <row r="335">
      <c r="J335" s="28"/>
      <c r="K335" s="28"/>
      <c r="L335" s="28"/>
      <c r="M335" s="28"/>
      <c r="T335" s="28"/>
      <c r="U335" s="28"/>
      <c r="V335" s="28"/>
      <c r="W335" s="28"/>
      <c r="AD335" s="28"/>
      <c r="AE335" s="28"/>
      <c r="AF335" s="28"/>
      <c r="AG335" s="28"/>
      <c r="AN335" s="28"/>
      <c r="AO335" s="28"/>
      <c r="AP335" s="28"/>
      <c r="AQ335" s="28"/>
    </row>
    <row r="336">
      <c r="J336" s="28"/>
      <c r="K336" s="28"/>
      <c r="L336" s="28"/>
      <c r="M336" s="28"/>
      <c r="T336" s="28"/>
      <c r="U336" s="28"/>
      <c r="V336" s="28"/>
      <c r="W336" s="28"/>
      <c r="AD336" s="28"/>
      <c r="AE336" s="28"/>
      <c r="AF336" s="28"/>
      <c r="AG336" s="28"/>
      <c r="AN336" s="28"/>
      <c r="AO336" s="28"/>
      <c r="AP336" s="28"/>
      <c r="AQ336" s="28"/>
    </row>
    <row r="337">
      <c r="J337" s="28"/>
      <c r="K337" s="28"/>
      <c r="L337" s="28"/>
      <c r="M337" s="28"/>
      <c r="T337" s="28"/>
      <c r="U337" s="28"/>
      <c r="V337" s="28"/>
      <c r="W337" s="28"/>
      <c r="AD337" s="28"/>
      <c r="AE337" s="28"/>
      <c r="AF337" s="28"/>
      <c r="AG337" s="28"/>
      <c r="AN337" s="28"/>
      <c r="AO337" s="28"/>
      <c r="AP337" s="28"/>
      <c r="AQ337" s="28"/>
    </row>
    <row r="338">
      <c r="J338" s="28"/>
      <c r="K338" s="28"/>
      <c r="L338" s="28"/>
      <c r="M338" s="28"/>
      <c r="T338" s="28"/>
      <c r="U338" s="28"/>
      <c r="V338" s="28"/>
      <c r="W338" s="28"/>
      <c r="AD338" s="28"/>
      <c r="AE338" s="28"/>
      <c r="AF338" s="28"/>
      <c r="AG338" s="28"/>
      <c r="AN338" s="28"/>
      <c r="AO338" s="28"/>
      <c r="AP338" s="28"/>
      <c r="AQ338" s="28"/>
    </row>
    <row r="339">
      <c r="J339" s="28"/>
      <c r="K339" s="28"/>
      <c r="L339" s="28"/>
      <c r="M339" s="28"/>
      <c r="T339" s="28"/>
      <c r="U339" s="28"/>
      <c r="V339" s="28"/>
      <c r="W339" s="28"/>
      <c r="AD339" s="28"/>
      <c r="AE339" s="28"/>
      <c r="AF339" s="28"/>
      <c r="AG339" s="28"/>
      <c r="AN339" s="28"/>
      <c r="AO339" s="28"/>
      <c r="AP339" s="28"/>
      <c r="AQ339" s="28"/>
    </row>
    <row r="340">
      <c r="J340" s="28"/>
      <c r="K340" s="28"/>
      <c r="L340" s="28"/>
      <c r="M340" s="28"/>
      <c r="T340" s="28"/>
      <c r="U340" s="28"/>
      <c r="V340" s="28"/>
      <c r="W340" s="28"/>
      <c r="AD340" s="28"/>
      <c r="AE340" s="28"/>
      <c r="AF340" s="28"/>
      <c r="AG340" s="28"/>
      <c r="AN340" s="28"/>
      <c r="AO340" s="28"/>
      <c r="AP340" s="28"/>
      <c r="AQ340" s="28"/>
    </row>
    <row r="341">
      <c r="J341" s="28"/>
      <c r="K341" s="28"/>
      <c r="L341" s="28"/>
      <c r="M341" s="28"/>
      <c r="T341" s="28"/>
      <c r="U341" s="28"/>
      <c r="V341" s="28"/>
      <c r="W341" s="28"/>
      <c r="AD341" s="28"/>
      <c r="AE341" s="28"/>
      <c r="AF341" s="28"/>
      <c r="AG341" s="28"/>
      <c r="AN341" s="28"/>
      <c r="AO341" s="28"/>
      <c r="AP341" s="28"/>
      <c r="AQ341" s="28"/>
    </row>
    <row r="342">
      <c r="J342" s="28"/>
      <c r="K342" s="28"/>
      <c r="L342" s="28"/>
      <c r="M342" s="28"/>
      <c r="T342" s="28"/>
      <c r="U342" s="28"/>
      <c r="V342" s="28"/>
      <c r="W342" s="28"/>
      <c r="AD342" s="28"/>
      <c r="AE342" s="28"/>
      <c r="AF342" s="28"/>
      <c r="AG342" s="28"/>
      <c r="AN342" s="28"/>
      <c r="AO342" s="28"/>
      <c r="AP342" s="28"/>
      <c r="AQ342" s="28"/>
    </row>
    <row r="343">
      <c r="J343" s="28"/>
      <c r="K343" s="28"/>
      <c r="L343" s="28"/>
      <c r="M343" s="28"/>
      <c r="T343" s="28"/>
      <c r="U343" s="28"/>
      <c r="V343" s="28"/>
      <c r="W343" s="28"/>
      <c r="AD343" s="28"/>
      <c r="AE343" s="28"/>
      <c r="AF343" s="28"/>
      <c r="AG343" s="28"/>
      <c r="AN343" s="28"/>
      <c r="AO343" s="28"/>
      <c r="AP343" s="28"/>
      <c r="AQ343" s="28"/>
    </row>
    <row r="344">
      <c r="J344" s="28"/>
      <c r="K344" s="28"/>
      <c r="L344" s="28"/>
      <c r="M344" s="28"/>
      <c r="T344" s="28"/>
      <c r="U344" s="28"/>
      <c r="V344" s="28"/>
      <c r="W344" s="28"/>
      <c r="AD344" s="28"/>
      <c r="AE344" s="28"/>
      <c r="AF344" s="28"/>
      <c r="AG344" s="28"/>
      <c r="AN344" s="28"/>
      <c r="AO344" s="28"/>
      <c r="AP344" s="28"/>
      <c r="AQ344" s="28"/>
    </row>
    <row r="345">
      <c r="J345" s="28"/>
      <c r="K345" s="28"/>
      <c r="L345" s="28"/>
      <c r="M345" s="28"/>
      <c r="T345" s="28"/>
      <c r="U345" s="28"/>
      <c r="V345" s="28"/>
      <c r="W345" s="28"/>
      <c r="AD345" s="28"/>
      <c r="AE345" s="28"/>
      <c r="AF345" s="28"/>
      <c r="AG345" s="28"/>
      <c r="AN345" s="28"/>
      <c r="AO345" s="28"/>
      <c r="AP345" s="28"/>
      <c r="AQ345" s="28"/>
    </row>
    <row r="346">
      <c r="J346" s="28"/>
      <c r="K346" s="28"/>
      <c r="L346" s="28"/>
      <c r="M346" s="28"/>
      <c r="T346" s="28"/>
      <c r="U346" s="28"/>
      <c r="V346" s="28"/>
      <c r="W346" s="28"/>
      <c r="AD346" s="28"/>
      <c r="AE346" s="28"/>
      <c r="AF346" s="28"/>
      <c r="AG346" s="28"/>
      <c r="AN346" s="28"/>
      <c r="AO346" s="28"/>
      <c r="AP346" s="28"/>
      <c r="AQ346" s="28"/>
    </row>
    <row r="347">
      <c r="J347" s="28"/>
      <c r="K347" s="28"/>
      <c r="L347" s="28"/>
      <c r="M347" s="28"/>
      <c r="T347" s="28"/>
      <c r="U347" s="28"/>
      <c r="V347" s="28"/>
      <c r="W347" s="28"/>
      <c r="AD347" s="28"/>
      <c r="AE347" s="28"/>
      <c r="AF347" s="28"/>
      <c r="AG347" s="28"/>
      <c r="AN347" s="28"/>
      <c r="AO347" s="28"/>
      <c r="AP347" s="28"/>
      <c r="AQ347" s="28"/>
    </row>
    <row r="348">
      <c r="J348" s="28"/>
      <c r="K348" s="28"/>
      <c r="L348" s="28"/>
      <c r="M348" s="28"/>
      <c r="T348" s="28"/>
      <c r="U348" s="28"/>
      <c r="V348" s="28"/>
      <c r="W348" s="28"/>
      <c r="AD348" s="28"/>
      <c r="AE348" s="28"/>
      <c r="AF348" s="28"/>
      <c r="AG348" s="28"/>
      <c r="AN348" s="28"/>
      <c r="AO348" s="28"/>
      <c r="AP348" s="28"/>
      <c r="AQ348" s="28"/>
    </row>
    <row r="349">
      <c r="J349" s="28"/>
      <c r="K349" s="28"/>
      <c r="L349" s="28"/>
      <c r="M349" s="28"/>
      <c r="T349" s="28"/>
      <c r="U349" s="28"/>
      <c r="V349" s="28"/>
      <c r="W349" s="28"/>
      <c r="AD349" s="28"/>
      <c r="AE349" s="28"/>
      <c r="AF349" s="28"/>
      <c r="AG349" s="28"/>
      <c r="AN349" s="28"/>
      <c r="AO349" s="28"/>
      <c r="AP349" s="28"/>
      <c r="AQ349" s="28"/>
    </row>
    <row r="350">
      <c r="J350" s="28"/>
      <c r="K350" s="28"/>
      <c r="L350" s="28"/>
      <c r="M350" s="28"/>
      <c r="T350" s="28"/>
      <c r="U350" s="28"/>
      <c r="V350" s="28"/>
      <c r="W350" s="28"/>
      <c r="AD350" s="28"/>
      <c r="AE350" s="28"/>
      <c r="AF350" s="28"/>
      <c r="AG350" s="28"/>
      <c r="AN350" s="28"/>
      <c r="AO350" s="28"/>
      <c r="AP350" s="28"/>
      <c r="AQ350" s="28"/>
    </row>
    <row r="351">
      <c r="J351" s="28"/>
      <c r="K351" s="28"/>
      <c r="L351" s="28"/>
      <c r="M351" s="28"/>
      <c r="T351" s="28"/>
      <c r="U351" s="28"/>
      <c r="V351" s="28"/>
      <c r="W351" s="28"/>
      <c r="AD351" s="28"/>
      <c r="AE351" s="28"/>
      <c r="AF351" s="28"/>
      <c r="AG351" s="28"/>
      <c r="AN351" s="28"/>
      <c r="AO351" s="28"/>
      <c r="AP351" s="28"/>
      <c r="AQ351" s="28"/>
    </row>
    <row r="352">
      <c r="J352" s="28"/>
      <c r="K352" s="28"/>
      <c r="L352" s="28"/>
      <c r="M352" s="28"/>
      <c r="T352" s="28"/>
      <c r="U352" s="28"/>
      <c r="V352" s="28"/>
      <c r="W352" s="28"/>
      <c r="AD352" s="28"/>
      <c r="AE352" s="28"/>
      <c r="AF352" s="28"/>
      <c r="AG352" s="28"/>
      <c r="AN352" s="28"/>
      <c r="AO352" s="28"/>
      <c r="AP352" s="28"/>
      <c r="AQ352" s="28"/>
    </row>
    <row r="353">
      <c r="J353" s="28"/>
      <c r="K353" s="28"/>
      <c r="L353" s="28"/>
      <c r="M353" s="28"/>
      <c r="T353" s="28"/>
      <c r="U353" s="28"/>
      <c r="V353" s="28"/>
      <c r="W353" s="28"/>
      <c r="AD353" s="28"/>
      <c r="AE353" s="28"/>
      <c r="AF353" s="28"/>
      <c r="AG353" s="28"/>
      <c r="AN353" s="28"/>
      <c r="AO353" s="28"/>
      <c r="AP353" s="28"/>
      <c r="AQ353" s="28"/>
    </row>
    <row r="354">
      <c r="J354" s="28"/>
      <c r="K354" s="28"/>
      <c r="L354" s="28"/>
      <c r="M354" s="28"/>
      <c r="T354" s="28"/>
      <c r="U354" s="28"/>
      <c r="V354" s="28"/>
      <c r="W354" s="28"/>
      <c r="AD354" s="28"/>
      <c r="AE354" s="28"/>
      <c r="AF354" s="28"/>
      <c r="AG354" s="28"/>
      <c r="AN354" s="28"/>
      <c r="AO354" s="28"/>
      <c r="AP354" s="28"/>
      <c r="AQ354" s="28"/>
    </row>
    <row r="355">
      <c r="J355" s="28"/>
      <c r="K355" s="28"/>
      <c r="L355" s="28"/>
      <c r="M355" s="28"/>
      <c r="T355" s="28"/>
      <c r="U355" s="28"/>
      <c r="V355" s="28"/>
      <c r="W355" s="28"/>
      <c r="AD355" s="28"/>
      <c r="AE355" s="28"/>
      <c r="AF355" s="28"/>
      <c r="AG355" s="28"/>
      <c r="AN355" s="28"/>
      <c r="AO355" s="28"/>
      <c r="AP355" s="28"/>
      <c r="AQ355" s="28"/>
    </row>
    <row r="356">
      <c r="J356" s="28"/>
      <c r="K356" s="28"/>
      <c r="L356" s="28"/>
      <c r="M356" s="28"/>
      <c r="T356" s="28"/>
      <c r="U356" s="28"/>
      <c r="V356" s="28"/>
      <c r="W356" s="28"/>
      <c r="AD356" s="28"/>
      <c r="AE356" s="28"/>
      <c r="AF356" s="28"/>
      <c r="AG356" s="28"/>
      <c r="AN356" s="28"/>
      <c r="AO356" s="28"/>
      <c r="AP356" s="28"/>
      <c r="AQ356" s="28"/>
    </row>
    <row r="357">
      <c r="J357" s="28"/>
      <c r="K357" s="28"/>
      <c r="L357" s="28"/>
      <c r="M357" s="28"/>
      <c r="T357" s="28"/>
      <c r="U357" s="28"/>
      <c r="V357" s="28"/>
      <c r="W357" s="28"/>
      <c r="AD357" s="28"/>
      <c r="AE357" s="28"/>
      <c r="AF357" s="28"/>
      <c r="AG357" s="28"/>
      <c r="AN357" s="28"/>
      <c r="AO357" s="28"/>
      <c r="AP357" s="28"/>
      <c r="AQ357" s="28"/>
    </row>
    <row r="358">
      <c r="J358" s="28"/>
      <c r="K358" s="28"/>
      <c r="L358" s="28"/>
      <c r="M358" s="28"/>
      <c r="T358" s="28"/>
      <c r="U358" s="28"/>
      <c r="V358" s="28"/>
      <c r="W358" s="28"/>
      <c r="AD358" s="28"/>
      <c r="AE358" s="28"/>
      <c r="AF358" s="28"/>
      <c r="AG358" s="28"/>
      <c r="AN358" s="28"/>
      <c r="AO358" s="28"/>
      <c r="AP358" s="28"/>
      <c r="AQ358" s="28"/>
    </row>
    <row r="359">
      <c r="J359" s="28"/>
      <c r="K359" s="28"/>
      <c r="L359" s="28"/>
      <c r="M359" s="28"/>
      <c r="T359" s="28"/>
      <c r="U359" s="28"/>
      <c r="V359" s="28"/>
      <c r="W359" s="28"/>
      <c r="AD359" s="28"/>
      <c r="AE359" s="28"/>
      <c r="AF359" s="28"/>
      <c r="AG359" s="28"/>
      <c r="AN359" s="28"/>
      <c r="AO359" s="28"/>
      <c r="AP359" s="28"/>
      <c r="AQ359" s="28"/>
    </row>
    <row r="360">
      <c r="J360" s="28"/>
      <c r="K360" s="28"/>
      <c r="L360" s="28"/>
      <c r="M360" s="28"/>
      <c r="T360" s="28"/>
      <c r="U360" s="28"/>
      <c r="V360" s="28"/>
      <c r="W360" s="28"/>
      <c r="AD360" s="28"/>
      <c r="AE360" s="28"/>
      <c r="AF360" s="28"/>
      <c r="AG360" s="28"/>
      <c r="AN360" s="28"/>
      <c r="AO360" s="28"/>
      <c r="AP360" s="28"/>
      <c r="AQ360" s="28"/>
    </row>
    <row r="361">
      <c r="J361" s="28"/>
      <c r="K361" s="28"/>
      <c r="L361" s="28"/>
      <c r="M361" s="28"/>
      <c r="T361" s="28"/>
      <c r="U361" s="28"/>
      <c r="V361" s="28"/>
      <c r="W361" s="28"/>
      <c r="AD361" s="28"/>
      <c r="AE361" s="28"/>
      <c r="AF361" s="28"/>
      <c r="AG361" s="28"/>
      <c r="AN361" s="28"/>
      <c r="AO361" s="28"/>
      <c r="AP361" s="28"/>
      <c r="AQ361" s="28"/>
    </row>
    <row r="362">
      <c r="J362" s="28"/>
      <c r="K362" s="28"/>
      <c r="L362" s="28"/>
      <c r="M362" s="28"/>
      <c r="T362" s="28"/>
      <c r="U362" s="28"/>
      <c r="V362" s="28"/>
      <c r="W362" s="28"/>
      <c r="AD362" s="28"/>
      <c r="AE362" s="28"/>
      <c r="AF362" s="28"/>
      <c r="AG362" s="28"/>
      <c r="AN362" s="28"/>
      <c r="AO362" s="28"/>
      <c r="AP362" s="28"/>
      <c r="AQ362" s="28"/>
    </row>
    <row r="363">
      <c r="J363" s="28"/>
      <c r="K363" s="28"/>
      <c r="L363" s="28"/>
      <c r="M363" s="28"/>
      <c r="T363" s="28"/>
      <c r="U363" s="28"/>
      <c r="V363" s="28"/>
      <c r="W363" s="28"/>
      <c r="AD363" s="28"/>
      <c r="AE363" s="28"/>
      <c r="AF363" s="28"/>
      <c r="AG363" s="28"/>
      <c r="AN363" s="28"/>
      <c r="AO363" s="28"/>
      <c r="AP363" s="28"/>
      <c r="AQ363" s="28"/>
    </row>
    <row r="364">
      <c r="J364" s="28"/>
      <c r="K364" s="28"/>
      <c r="L364" s="28"/>
      <c r="M364" s="28"/>
      <c r="T364" s="28"/>
      <c r="U364" s="28"/>
      <c r="V364" s="28"/>
      <c r="W364" s="28"/>
      <c r="AD364" s="28"/>
      <c r="AE364" s="28"/>
      <c r="AF364" s="28"/>
      <c r="AG364" s="28"/>
      <c r="AN364" s="28"/>
      <c r="AO364" s="28"/>
      <c r="AP364" s="28"/>
      <c r="AQ364" s="28"/>
    </row>
    <row r="365">
      <c r="J365" s="28"/>
      <c r="K365" s="28"/>
      <c r="L365" s="28"/>
      <c r="M365" s="28"/>
      <c r="T365" s="28"/>
      <c r="U365" s="28"/>
      <c r="V365" s="28"/>
      <c r="W365" s="28"/>
      <c r="AD365" s="28"/>
      <c r="AE365" s="28"/>
      <c r="AF365" s="28"/>
      <c r="AG365" s="28"/>
      <c r="AN365" s="28"/>
      <c r="AO365" s="28"/>
      <c r="AP365" s="28"/>
      <c r="AQ365" s="28"/>
    </row>
    <row r="366">
      <c r="J366" s="28"/>
      <c r="K366" s="28"/>
      <c r="L366" s="28"/>
      <c r="M366" s="28"/>
      <c r="T366" s="28"/>
      <c r="U366" s="28"/>
      <c r="V366" s="28"/>
      <c r="W366" s="28"/>
      <c r="AD366" s="28"/>
      <c r="AE366" s="28"/>
      <c r="AF366" s="28"/>
      <c r="AG366" s="28"/>
      <c r="AN366" s="28"/>
      <c r="AO366" s="28"/>
      <c r="AP366" s="28"/>
      <c r="AQ366" s="28"/>
    </row>
    <row r="367">
      <c r="J367" s="28"/>
      <c r="K367" s="28"/>
      <c r="L367" s="28"/>
      <c r="M367" s="28"/>
      <c r="T367" s="28"/>
      <c r="U367" s="28"/>
      <c r="V367" s="28"/>
      <c r="W367" s="28"/>
      <c r="AD367" s="28"/>
      <c r="AE367" s="28"/>
      <c r="AF367" s="28"/>
      <c r="AG367" s="28"/>
      <c r="AN367" s="28"/>
      <c r="AO367" s="28"/>
      <c r="AP367" s="28"/>
      <c r="AQ367" s="28"/>
    </row>
    <row r="368">
      <c r="J368" s="28"/>
      <c r="K368" s="28"/>
      <c r="L368" s="28"/>
      <c r="M368" s="28"/>
      <c r="T368" s="28"/>
      <c r="U368" s="28"/>
      <c r="V368" s="28"/>
      <c r="W368" s="28"/>
      <c r="AD368" s="28"/>
      <c r="AE368" s="28"/>
      <c r="AF368" s="28"/>
      <c r="AG368" s="28"/>
      <c r="AN368" s="28"/>
      <c r="AO368" s="28"/>
      <c r="AP368" s="28"/>
      <c r="AQ368" s="28"/>
    </row>
    <row r="369">
      <c r="J369" s="28"/>
      <c r="K369" s="28"/>
      <c r="L369" s="28"/>
      <c r="M369" s="28"/>
      <c r="T369" s="28"/>
      <c r="U369" s="28"/>
      <c r="V369" s="28"/>
      <c r="W369" s="28"/>
      <c r="AD369" s="28"/>
      <c r="AE369" s="28"/>
      <c r="AF369" s="28"/>
      <c r="AG369" s="28"/>
      <c r="AN369" s="28"/>
      <c r="AO369" s="28"/>
      <c r="AP369" s="28"/>
      <c r="AQ369" s="28"/>
    </row>
    <row r="370">
      <c r="J370" s="28"/>
      <c r="K370" s="28"/>
      <c r="L370" s="28"/>
      <c r="M370" s="28"/>
      <c r="T370" s="28"/>
      <c r="U370" s="28"/>
      <c r="V370" s="28"/>
      <c r="W370" s="28"/>
      <c r="AD370" s="28"/>
      <c r="AE370" s="28"/>
      <c r="AF370" s="28"/>
      <c r="AG370" s="28"/>
      <c r="AN370" s="28"/>
      <c r="AO370" s="28"/>
      <c r="AP370" s="28"/>
      <c r="AQ370" s="28"/>
    </row>
    <row r="371">
      <c r="J371" s="28"/>
      <c r="K371" s="28"/>
      <c r="L371" s="28"/>
      <c r="M371" s="28"/>
      <c r="T371" s="28"/>
      <c r="U371" s="28"/>
      <c r="V371" s="28"/>
      <c r="W371" s="28"/>
      <c r="AD371" s="28"/>
      <c r="AE371" s="28"/>
      <c r="AF371" s="28"/>
      <c r="AG371" s="28"/>
      <c r="AN371" s="28"/>
      <c r="AO371" s="28"/>
      <c r="AP371" s="28"/>
      <c r="AQ371" s="28"/>
    </row>
    <row r="372">
      <c r="J372" s="28"/>
      <c r="K372" s="28"/>
      <c r="L372" s="28"/>
      <c r="M372" s="28"/>
      <c r="T372" s="28"/>
      <c r="U372" s="28"/>
      <c r="V372" s="28"/>
      <c r="W372" s="28"/>
      <c r="AD372" s="28"/>
      <c r="AE372" s="28"/>
      <c r="AF372" s="28"/>
      <c r="AG372" s="28"/>
      <c r="AN372" s="28"/>
      <c r="AO372" s="28"/>
      <c r="AP372" s="28"/>
      <c r="AQ372" s="28"/>
    </row>
    <row r="373">
      <c r="J373" s="28"/>
      <c r="K373" s="28"/>
      <c r="L373" s="28"/>
      <c r="M373" s="28"/>
      <c r="T373" s="28"/>
      <c r="U373" s="28"/>
      <c r="V373" s="28"/>
      <c r="W373" s="28"/>
      <c r="AD373" s="28"/>
      <c r="AE373" s="28"/>
      <c r="AF373" s="28"/>
      <c r="AG373" s="28"/>
      <c r="AN373" s="28"/>
      <c r="AO373" s="28"/>
      <c r="AP373" s="28"/>
      <c r="AQ373" s="28"/>
    </row>
    <row r="374">
      <c r="J374" s="28"/>
      <c r="K374" s="28"/>
      <c r="L374" s="28"/>
      <c r="M374" s="28"/>
      <c r="T374" s="28"/>
      <c r="U374" s="28"/>
      <c r="V374" s="28"/>
      <c r="W374" s="28"/>
      <c r="AD374" s="28"/>
      <c r="AE374" s="28"/>
      <c r="AF374" s="28"/>
      <c r="AG374" s="28"/>
      <c r="AN374" s="28"/>
      <c r="AO374" s="28"/>
      <c r="AP374" s="28"/>
      <c r="AQ374" s="28"/>
    </row>
    <row r="375">
      <c r="J375" s="28"/>
      <c r="K375" s="28"/>
      <c r="L375" s="28"/>
      <c r="M375" s="28"/>
      <c r="T375" s="28"/>
      <c r="U375" s="28"/>
      <c r="V375" s="28"/>
      <c r="W375" s="28"/>
      <c r="AD375" s="28"/>
      <c r="AE375" s="28"/>
      <c r="AF375" s="28"/>
      <c r="AG375" s="28"/>
      <c r="AN375" s="28"/>
      <c r="AO375" s="28"/>
      <c r="AP375" s="28"/>
      <c r="AQ375" s="28"/>
    </row>
    <row r="376">
      <c r="J376" s="28"/>
      <c r="K376" s="28"/>
      <c r="L376" s="28"/>
      <c r="M376" s="28"/>
      <c r="T376" s="28"/>
      <c r="U376" s="28"/>
      <c r="V376" s="28"/>
      <c r="W376" s="28"/>
      <c r="AD376" s="28"/>
      <c r="AE376" s="28"/>
      <c r="AF376" s="28"/>
      <c r="AG376" s="28"/>
      <c r="AN376" s="28"/>
      <c r="AO376" s="28"/>
      <c r="AP376" s="28"/>
      <c r="AQ376" s="28"/>
    </row>
    <row r="377">
      <c r="J377" s="28"/>
      <c r="K377" s="28"/>
      <c r="L377" s="28"/>
      <c r="M377" s="28"/>
      <c r="T377" s="28"/>
      <c r="U377" s="28"/>
      <c r="V377" s="28"/>
      <c r="W377" s="28"/>
      <c r="AD377" s="28"/>
      <c r="AE377" s="28"/>
      <c r="AF377" s="28"/>
      <c r="AG377" s="28"/>
      <c r="AN377" s="28"/>
      <c r="AO377" s="28"/>
      <c r="AP377" s="28"/>
      <c r="AQ377" s="28"/>
    </row>
    <row r="378">
      <c r="J378" s="28"/>
      <c r="K378" s="28"/>
      <c r="L378" s="28"/>
      <c r="M378" s="28"/>
      <c r="T378" s="28"/>
      <c r="U378" s="28"/>
      <c r="V378" s="28"/>
      <c r="W378" s="28"/>
      <c r="AD378" s="28"/>
      <c r="AE378" s="28"/>
      <c r="AF378" s="28"/>
      <c r="AG378" s="28"/>
      <c r="AN378" s="28"/>
      <c r="AO378" s="28"/>
      <c r="AP378" s="28"/>
      <c r="AQ378" s="28"/>
    </row>
    <row r="379">
      <c r="J379" s="28"/>
      <c r="K379" s="28"/>
      <c r="L379" s="28"/>
      <c r="M379" s="28"/>
      <c r="T379" s="28"/>
      <c r="U379" s="28"/>
      <c r="V379" s="28"/>
      <c r="W379" s="28"/>
      <c r="AD379" s="28"/>
      <c r="AE379" s="28"/>
      <c r="AF379" s="28"/>
      <c r="AG379" s="28"/>
      <c r="AN379" s="28"/>
      <c r="AO379" s="28"/>
      <c r="AP379" s="28"/>
      <c r="AQ379" s="28"/>
    </row>
    <row r="380">
      <c r="J380" s="28"/>
      <c r="K380" s="28"/>
      <c r="L380" s="28"/>
      <c r="M380" s="28"/>
      <c r="T380" s="28"/>
      <c r="U380" s="28"/>
      <c r="V380" s="28"/>
      <c r="W380" s="28"/>
      <c r="AD380" s="28"/>
      <c r="AE380" s="28"/>
      <c r="AF380" s="28"/>
      <c r="AG380" s="28"/>
      <c r="AN380" s="28"/>
      <c r="AO380" s="28"/>
      <c r="AP380" s="28"/>
      <c r="AQ380" s="28"/>
    </row>
    <row r="381">
      <c r="J381" s="28"/>
      <c r="K381" s="28"/>
      <c r="L381" s="28"/>
      <c r="M381" s="28"/>
      <c r="T381" s="28"/>
      <c r="U381" s="28"/>
      <c r="V381" s="28"/>
      <c r="W381" s="28"/>
      <c r="AD381" s="28"/>
      <c r="AE381" s="28"/>
      <c r="AF381" s="28"/>
      <c r="AG381" s="28"/>
      <c r="AN381" s="28"/>
      <c r="AO381" s="28"/>
      <c r="AP381" s="28"/>
      <c r="AQ381" s="28"/>
    </row>
    <row r="382">
      <c r="J382" s="28"/>
      <c r="K382" s="28"/>
      <c r="L382" s="28"/>
      <c r="M382" s="28"/>
      <c r="T382" s="28"/>
      <c r="U382" s="28"/>
      <c r="V382" s="28"/>
      <c r="W382" s="28"/>
      <c r="AD382" s="28"/>
      <c r="AE382" s="28"/>
      <c r="AF382" s="28"/>
      <c r="AG382" s="28"/>
      <c r="AN382" s="28"/>
      <c r="AO382" s="28"/>
      <c r="AP382" s="28"/>
      <c r="AQ382" s="28"/>
    </row>
    <row r="383">
      <c r="J383" s="28"/>
      <c r="K383" s="28"/>
      <c r="L383" s="28"/>
      <c r="M383" s="28"/>
      <c r="T383" s="28"/>
      <c r="U383" s="28"/>
      <c r="V383" s="28"/>
      <c r="W383" s="28"/>
      <c r="AD383" s="28"/>
      <c r="AE383" s="28"/>
      <c r="AF383" s="28"/>
      <c r="AG383" s="28"/>
      <c r="AN383" s="28"/>
      <c r="AO383" s="28"/>
      <c r="AP383" s="28"/>
      <c r="AQ383" s="28"/>
    </row>
    <row r="384">
      <c r="J384" s="28"/>
      <c r="K384" s="28"/>
      <c r="L384" s="28"/>
      <c r="M384" s="28"/>
      <c r="T384" s="28"/>
      <c r="U384" s="28"/>
      <c r="V384" s="28"/>
      <c r="W384" s="28"/>
      <c r="AD384" s="28"/>
      <c r="AE384" s="28"/>
      <c r="AF384" s="28"/>
      <c r="AG384" s="28"/>
      <c r="AN384" s="28"/>
      <c r="AO384" s="28"/>
      <c r="AP384" s="28"/>
      <c r="AQ384" s="28"/>
    </row>
    <row r="385">
      <c r="J385" s="28"/>
      <c r="K385" s="28"/>
      <c r="L385" s="28"/>
      <c r="M385" s="28"/>
      <c r="T385" s="28"/>
      <c r="U385" s="28"/>
      <c r="V385" s="28"/>
      <c r="W385" s="28"/>
      <c r="AD385" s="28"/>
      <c r="AE385" s="28"/>
      <c r="AF385" s="28"/>
      <c r="AG385" s="28"/>
      <c r="AN385" s="28"/>
      <c r="AO385" s="28"/>
      <c r="AP385" s="28"/>
      <c r="AQ385" s="28"/>
    </row>
    <row r="386">
      <c r="J386" s="28"/>
      <c r="K386" s="28"/>
      <c r="L386" s="28"/>
      <c r="M386" s="28"/>
      <c r="T386" s="28"/>
      <c r="U386" s="28"/>
      <c r="V386" s="28"/>
      <c r="W386" s="28"/>
      <c r="AD386" s="28"/>
      <c r="AE386" s="28"/>
      <c r="AF386" s="28"/>
      <c r="AG386" s="28"/>
      <c r="AN386" s="28"/>
      <c r="AO386" s="28"/>
      <c r="AP386" s="28"/>
      <c r="AQ386" s="28"/>
    </row>
    <row r="387">
      <c r="J387" s="28"/>
      <c r="K387" s="28"/>
      <c r="L387" s="28"/>
      <c r="M387" s="28"/>
      <c r="T387" s="28"/>
      <c r="U387" s="28"/>
      <c r="V387" s="28"/>
      <c r="W387" s="28"/>
      <c r="AD387" s="28"/>
      <c r="AE387" s="28"/>
      <c r="AF387" s="28"/>
      <c r="AG387" s="28"/>
      <c r="AN387" s="28"/>
      <c r="AO387" s="28"/>
      <c r="AP387" s="28"/>
      <c r="AQ387" s="28"/>
    </row>
    <row r="388">
      <c r="J388" s="28"/>
      <c r="K388" s="28"/>
      <c r="L388" s="28"/>
      <c r="M388" s="28"/>
      <c r="T388" s="28"/>
      <c r="U388" s="28"/>
      <c r="V388" s="28"/>
      <c r="W388" s="28"/>
      <c r="AD388" s="28"/>
      <c r="AE388" s="28"/>
      <c r="AF388" s="28"/>
      <c r="AG388" s="28"/>
      <c r="AN388" s="28"/>
      <c r="AO388" s="28"/>
      <c r="AP388" s="28"/>
      <c r="AQ388" s="28"/>
    </row>
    <row r="389">
      <c r="J389" s="28"/>
      <c r="K389" s="28"/>
      <c r="L389" s="28"/>
      <c r="M389" s="28"/>
      <c r="T389" s="28"/>
      <c r="U389" s="28"/>
      <c r="V389" s="28"/>
      <c r="W389" s="28"/>
      <c r="AD389" s="28"/>
      <c r="AE389" s="28"/>
      <c r="AF389" s="28"/>
      <c r="AG389" s="28"/>
      <c r="AN389" s="28"/>
      <c r="AO389" s="28"/>
      <c r="AP389" s="28"/>
      <c r="AQ389" s="28"/>
    </row>
    <row r="390">
      <c r="J390" s="28"/>
      <c r="K390" s="28"/>
      <c r="L390" s="28"/>
      <c r="M390" s="28"/>
      <c r="T390" s="28"/>
      <c r="U390" s="28"/>
      <c r="V390" s="28"/>
      <c r="W390" s="28"/>
      <c r="AD390" s="28"/>
      <c r="AE390" s="28"/>
      <c r="AF390" s="28"/>
      <c r="AG390" s="28"/>
      <c r="AN390" s="28"/>
      <c r="AO390" s="28"/>
      <c r="AP390" s="28"/>
      <c r="AQ390" s="28"/>
    </row>
    <row r="391">
      <c r="J391" s="28"/>
      <c r="K391" s="28"/>
      <c r="L391" s="28"/>
      <c r="M391" s="28"/>
      <c r="T391" s="28"/>
      <c r="U391" s="28"/>
      <c r="V391" s="28"/>
      <c r="W391" s="28"/>
      <c r="AD391" s="28"/>
      <c r="AE391" s="28"/>
      <c r="AF391" s="28"/>
      <c r="AG391" s="28"/>
      <c r="AN391" s="28"/>
      <c r="AO391" s="28"/>
      <c r="AP391" s="28"/>
      <c r="AQ391" s="28"/>
    </row>
    <row r="392">
      <c r="J392" s="28"/>
      <c r="K392" s="28"/>
      <c r="L392" s="28"/>
      <c r="M392" s="28"/>
      <c r="T392" s="28"/>
      <c r="U392" s="28"/>
      <c r="V392" s="28"/>
      <c r="W392" s="28"/>
      <c r="AD392" s="28"/>
      <c r="AE392" s="28"/>
      <c r="AF392" s="28"/>
      <c r="AG392" s="28"/>
      <c r="AN392" s="28"/>
      <c r="AO392" s="28"/>
      <c r="AP392" s="28"/>
      <c r="AQ392" s="28"/>
    </row>
    <row r="393">
      <c r="J393" s="28"/>
      <c r="K393" s="28"/>
      <c r="L393" s="28"/>
      <c r="M393" s="28"/>
      <c r="T393" s="28"/>
      <c r="U393" s="28"/>
      <c r="V393" s="28"/>
      <c r="W393" s="28"/>
      <c r="AD393" s="28"/>
      <c r="AE393" s="28"/>
      <c r="AF393" s="28"/>
      <c r="AG393" s="28"/>
      <c r="AN393" s="28"/>
      <c r="AO393" s="28"/>
      <c r="AP393" s="28"/>
      <c r="AQ393" s="28"/>
    </row>
    <row r="394">
      <c r="J394" s="28"/>
      <c r="K394" s="28"/>
      <c r="L394" s="28"/>
      <c r="M394" s="28"/>
      <c r="T394" s="28"/>
      <c r="U394" s="28"/>
      <c r="V394" s="28"/>
      <c r="W394" s="28"/>
      <c r="AD394" s="28"/>
      <c r="AE394" s="28"/>
      <c r="AF394" s="28"/>
      <c r="AG394" s="28"/>
      <c r="AN394" s="28"/>
      <c r="AO394" s="28"/>
      <c r="AP394" s="28"/>
      <c r="AQ394" s="28"/>
    </row>
    <row r="395">
      <c r="J395" s="28"/>
      <c r="K395" s="28"/>
      <c r="L395" s="28"/>
      <c r="M395" s="28"/>
      <c r="T395" s="28"/>
      <c r="U395" s="28"/>
      <c r="V395" s="28"/>
      <c r="W395" s="28"/>
      <c r="AD395" s="28"/>
      <c r="AE395" s="28"/>
      <c r="AF395" s="28"/>
      <c r="AG395" s="28"/>
      <c r="AN395" s="28"/>
      <c r="AO395" s="28"/>
      <c r="AP395" s="28"/>
      <c r="AQ395" s="28"/>
    </row>
    <row r="396">
      <c r="J396" s="28"/>
      <c r="K396" s="28"/>
      <c r="L396" s="28"/>
      <c r="M396" s="28"/>
      <c r="T396" s="28"/>
      <c r="U396" s="28"/>
      <c r="V396" s="28"/>
      <c r="W396" s="28"/>
      <c r="AD396" s="28"/>
      <c r="AE396" s="28"/>
      <c r="AF396" s="28"/>
      <c r="AG396" s="28"/>
      <c r="AN396" s="28"/>
      <c r="AO396" s="28"/>
      <c r="AP396" s="28"/>
      <c r="AQ396" s="28"/>
    </row>
    <row r="397">
      <c r="J397" s="28"/>
      <c r="K397" s="28"/>
      <c r="L397" s="28"/>
      <c r="M397" s="28"/>
      <c r="T397" s="28"/>
      <c r="U397" s="28"/>
      <c r="V397" s="28"/>
      <c r="W397" s="28"/>
      <c r="AD397" s="28"/>
      <c r="AE397" s="28"/>
      <c r="AF397" s="28"/>
      <c r="AG397" s="28"/>
      <c r="AN397" s="28"/>
      <c r="AO397" s="28"/>
      <c r="AP397" s="28"/>
      <c r="AQ397" s="28"/>
    </row>
    <row r="398">
      <c r="J398" s="28"/>
      <c r="K398" s="28"/>
      <c r="L398" s="28"/>
      <c r="M398" s="28"/>
      <c r="T398" s="28"/>
      <c r="U398" s="28"/>
      <c r="V398" s="28"/>
      <c r="W398" s="28"/>
      <c r="AD398" s="28"/>
      <c r="AE398" s="28"/>
      <c r="AF398" s="28"/>
      <c r="AG398" s="28"/>
      <c r="AN398" s="28"/>
      <c r="AO398" s="28"/>
      <c r="AP398" s="28"/>
      <c r="AQ398" s="28"/>
    </row>
    <row r="399">
      <c r="J399" s="28"/>
      <c r="K399" s="28"/>
      <c r="L399" s="28"/>
      <c r="M399" s="28"/>
      <c r="T399" s="28"/>
      <c r="U399" s="28"/>
      <c r="V399" s="28"/>
      <c r="W399" s="28"/>
      <c r="AD399" s="28"/>
      <c r="AE399" s="28"/>
      <c r="AF399" s="28"/>
      <c r="AG399" s="28"/>
      <c r="AN399" s="28"/>
      <c r="AO399" s="28"/>
      <c r="AP399" s="28"/>
      <c r="AQ399" s="28"/>
    </row>
    <row r="400">
      <c r="J400" s="28"/>
      <c r="K400" s="28"/>
      <c r="L400" s="28"/>
      <c r="M400" s="28"/>
      <c r="T400" s="28"/>
      <c r="U400" s="28"/>
      <c r="V400" s="28"/>
      <c r="W400" s="28"/>
      <c r="AD400" s="28"/>
      <c r="AE400" s="28"/>
      <c r="AF400" s="28"/>
      <c r="AG400" s="28"/>
      <c r="AN400" s="28"/>
      <c r="AO400" s="28"/>
      <c r="AP400" s="28"/>
      <c r="AQ400" s="28"/>
    </row>
    <row r="401">
      <c r="J401" s="28"/>
      <c r="K401" s="28"/>
      <c r="L401" s="28"/>
      <c r="M401" s="28"/>
      <c r="T401" s="28"/>
      <c r="U401" s="28"/>
      <c r="V401" s="28"/>
      <c r="W401" s="28"/>
      <c r="AD401" s="28"/>
      <c r="AE401" s="28"/>
      <c r="AF401" s="28"/>
      <c r="AG401" s="28"/>
      <c r="AN401" s="28"/>
      <c r="AO401" s="28"/>
      <c r="AP401" s="28"/>
      <c r="AQ401" s="28"/>
    </row>
    <row r="402">
      <c r="J402" s="28"/>
      <c r="K402" s="28"/>
      <c r="L402" s="28"/>
      <c r="M402" s="28"/>
      <c r="T402" s="28"/>
      <c r="U402" s="28"/>
      <c r="V402" s="28"/>
      <c r="W402" s="28"/>
      <c r="AD402" s="28"/>
      <c r="AE402" s="28"/>
      <c r="AF402" s="28"/>
      <c r="AG402" s="28"/>
      <c r="AN402" s="28"/>
      <c r="AO402" s="28"/>
      <c r="AP402" s="28"/>
      <c r="AQ402" s="28"/>
    </row>
    <row r="403">
      <c r="J403" s="28"/>
      <c r="K403" s="28"/>
      <c r="L403" s="28"/>
      <c r="M403" s="28"/>
      <c r="T403" s="28"/>
      <c r="U403" s="28"/>
      <c r="V403" s="28"/>
      <c r="W403" s="28"/>
      <c r="AD403" s="28"/>
      <c r="AE403" s="28"/>
      <c r="AF403" s="28"/>
      <c r="AG403" s="28"/>
      <c r="AN403" s="28"/>
      <c r="AO403" s="28"/>
      <c r="AP403" s="28"/>
      <c r="AQ403" s="28"/>
    </row>
    <row r="404">
      <c r="J404" s="28"/>
      <c r="K404" s="28"/>
      <c r="L404" s="28"/>
      <c r="M404" s="28"/>
      <c r="T404" s="28"/>
      <c r="U404" s="28"/>
      <c r="V404" s="28"/>
      <c r="W404" s="28"/>
      <c r="AD404" s="28"/>
      <c r="AE404" s="28"/>
      <c r="AF404" s="28"/>
      <c r="AG404" s="28"/>
      <c r="AN404" s="28"/>
      <c r="AO404" s="28"/>
      <c r="AP404" s="28"/>
      <c r="AQ404" s="28"/>
    </row>
    <row r="405">
      <c r="J405" s="28"/>
      <c r="K405" s="28"/>
      <c r="L405" s="28"/>
      <c r="M405" s="28"/>
      <c r="T405" s="28"/>
      <c r="U405" s="28"/>
      <c r="V405" s="28"/>
      <c r="W405" s="28"/>
      <c r="AD405" s="28"/>
      <c r="AE405" s="28"/>
      <c r="AF405" s="28"/>
      <c r="AG405" s="28"/>
      <c r="AN405" s="28"/>
      <c r="AO405" s="28"/>
      <c r="AP405" s="28"/>
      <c r="AQ405" s="28"/>
    </row>
    <row r="406">
      <c r="J406" s="28"/>
      <c r="K406" s="28"/>
      <c r="L406" s="28"/>
      <c r="M406" s="28"/>
      <c r="T406" s="28"/>
      <c r="U406" s="28"/>
      <c r="V406" s="28"/>
      <c r="W406" s="28"/>
      <c r="AD406" s="28"/>
      <c r="AE406" s="28"/>
      <c r="AF406" s="28"/>
      <c r="AG406" s="28"/>
      <c r="AN406" s="28"/>
      <c r="AO406" s="28"/>
      <c r="AP406" s="28"/>
      <c r="AQ406" s="28"/>
    </row>
    <row r="407">
      <c r="J407" s="28"/>
      <c r="K407" s="28"/>
      <c r="L407" s="28"/>
      <c r="M407" s="28"/>
      <c r="T407" s="28"/>
      <c r="U407" s="28"/>
      <c r="V407" s="28"/>
      <c r="W407" s="28"/>
      <c r="AD407" s="28"/>
      <c r="AE407" s="28"/>
      <c r="AF407" s="28"/>
      <c r="AG407" s="28"/>
      <c r="AN407" s="28"/>
      <c r="AO407" s="28"/>
      <c r="AP407" s="28"/>
      <c r="AQ407" s="28"/>
    </row>
    <row r="408">
      <c r="J408" s="28"/>
      <c r="K408" s="28"/>
      <c r="L408" s="28"/>
      <c r="M408" s="28"/>
      <c r="T408" s="28"/>
      <c r="U408" s="28"/>
      <c r="V408" s="28"/>
      <c r="W408" s="28"/>
      <c r="AD408" s="28"/>
      <c r="AE408" s="28"/>
      <c r="AF408" s="28"/>
      <c r="AG408" s="28"/>
      <c r="AN408" s="28"/>
      <c r="AO408" s="28"/>
      <c r="AP408" s="28"/>
      <c r="AQ408" s="28"/>
    </row>
    <row r="409">
      <c r="J409" s="28"/>
      <c r="K409" s="28"/>
      <c r="L409" s="28"/>
      <c r="M409" s="28"/>
      <c r="T409" s="28"/>
      <c r="U409" s="28"/>
      <c r="V409" s="28"/>
      <c r="W409" s="28"/>
      <c r="AD409" s="28"/>
      <c r="AE409" s="28"/>
      <c r="AF409" s="28"/>
      <c r="AG409" s="28"/>
      <c r="AN409" s="28"/>
      <c r="AO409" s="28"/>
      <c r="AP409" s="28"/>
      <c r="AQ409" s="28"/>
    </row>
    <row r="410">
      <c r="J410" s="28"/>
      <c r="K410" s="28"/>
      <c r="L410" s="28"/>
      <c r="M410" s="28"/>
      <c r="T410" s="28"/>
      <c r="U410" s="28"/>
      <c r="V410" s="28"/>
      <c r="W410" s="28"/>
      <c r="AD410" s="28"/>
      <c r="AE410" s="28"/>
      <c r="AF410" s="28"/>
      <c r="AG410" s="28"/>
      <c r="AN410" s="28"/>
      <c r="AO410" s="28"/>
      <c r="AP410" s="28"/>
      <c r="AQ410" s="28"/>
    </row>
    <row r="411">
      <c r="J411" s="28"/>
      <c r="K411" s="28"/>
      <c r="L411" s="28"/>
      <c r="M411" s="28"/>
      <c r="T411" s="28"/>
      <c r="U411" s="28"/>
      <c r="V411" s="28"/>
      <c r="W411" s="28"/>
      <c r="AD411" s="28"/>
      <c r="AE411" s="28"/>
      <c r="AF411" s="28"/>
      <c r="AG411" s="28"/>
      <c r="AN411" s="28"/>
      <c r="AO411" s="28"/>
      <c r="AP411" s="28"/>
      <c r="AQ411" s="28"/>
    </row>
    <row r="412">
      <c r="J412" s="28"/>
      <c r="K412" s="28"/>
      <c r="L412" s="28"/>
      <c r="M412" s="28"/>
      <c r="T412" s="28"/>
      <c r="U412" s="28"/>
      <c r="V412" s="28"/>
      <c r="W412" s="28"/>
      <c r="AD412" s="28"/>
      <c r="AE412" s="28"/>
      <c r="AF412" s="28"/>
      <c r="AG412" s="28"/>
      <c r="AN412" s="28"/>
      <c r="AO412" s="28"/>
      <c r="AP412" s="28"/>
      <c r="AQ412" s="28"/>
    </row>
    <row r="413">
      <c r="J413" s="28"/>
      <c r="K413" s="28"/>
      <c r="L413" s="28"/>
      <c r="M413" s="28"/>
      <c r="T413" s="28"/>
      <c r="U413" s="28"/>
      <c r="V413" s="28"/>
      <c r="W413" s="28"/>
      <c r="AD413" s="28"/>
      <c r="AE413" s="28"/>
      <c r="AF413" s="28"/>
      <c r="AG413" s="28"/>
      <c r="AN413" s="28"/>
      <c r="AO413" s="28"/>
      <c r="AP413" s="28"/>
      <c r="AQ413" s="28"/>
    </row>
    <row r="414">
      <c r="J414" s="28"/>
      <c r="K414" s="28"/>
      <c r="L414" s="28"/>
      <c r="M414" s="28"/>
      <c r="T414" s="28"/>
      <c r="U414" s="28"/>
      <c r="V414" s="28"/>
      <c r="W414" s="28"/>
      <c r="AD414" s="28"/>
      <c r="AE414" s="28"/>
      <c r="AF414" s="28"/>
      <c r="AG414" s="28"/>
      <c r="AN414" s="28"/>
      <c r="AO414" s="28"/>
      <c r="AP414" s="28"/>
      <c r="AQ414" s="28"/>
    </row>
    <row r="415">
      <c r="J415" s="28"/>
      <c r="K415" s="28"/>
      <c r="L415" s="28"/>
      <c r="M415" s="28"/>
      <c r="T415" s="28"/>
      <c r="U415" s="28"/>
      <c r="V415" s="28"/>
      <c r="W415" s="28"/>
      <c r="AD415" s="28"/>
      <c r="AE415" s="28"/>
      <c r="AF415" s="28"/>
      <c r="AG415" s="28"/>
      <c r="AN415" s="28"/>
      <c r="AO415" s="28"/>
      <c r="AP415" s="28"/>
      <c r="AQ415" s="28"/>
    </row>
    <row r="416">
      <c r="J416" s="28"/>
      <c r="K416" s="28"/>
      <c r="L416" s="28"/>
      <c r="M416" s="28"/>
      <c r="T416" s="28"/>
      <c r="U416" s="28"/>
      <c r="V416" s="28"/>
      <c r="W416" s="28"/>
      <c r="AD416" s="28"/>
      <c r="AE416" s="28"/>
      <c r="AF416" s="28"/>
      <c r="AG416" s="28"/>
      <c r="AN416" s="28"/>
      <c r="AO416" s="28"/>
      <c r="AP416" s="28"/>
      <c r="AQ416" s="28"/>
    </row>
    <row r="417">
      <c r="J417" s="28"/>
      <c r="K417" s="28"/>
      <c r="L417" s="28"/>
      <c r="M417" s="28"/>
      <c r="T417" s="28"/>
      <c r="U417" s="28"/>
      <c r="V417" s="28"/>
      <c r="W417" s="28"/>
      <c r="AD417" s="28"/>
      <c r="AE417" s="28"/>
      <c r="AF417" s="28"/>
      <c r="AG417" s="28"/>
      <c r="AN417" s="28"/>
      <c r="AO417" s="28"/>
      <c r="AP417" s="28"/>
      <c r="AQ417" s="28"/>
    </row>
    <row r="418">
      <c r="J418" s="28"/>
      <c r="K418" s="28"/>
      <c r="L418" s="28"/>
      <c r="M418" s="28"/>
      <c r="T418" s="28"/>
      <c r="U418" s="28"/>
      <c r="V418" s="28"/>
      <c r="W418" s="28"/>
      <c r="AD418" s="28"/>
      <c r="AE418" s="28"/>
      <c r="AF418" s="28"/>
      <c r="AG418" s="28"/>
      <c r="AN418" s="28"/>
      <c r="AO418" s="28"/>
      <c r="AP418" s="28"/>
      <c r="AQ418" s="28"/>
    </row>
    <row r="419">
      <c r="J419" s="28"/>
      <c r="K419" s="28"/>
      <c r="L419" s="28"/>
      <c r="M419" s="28"/>
      <c r="T419" s="28"/>
      <c r="U419" s="28"/>
      <c r="V419" s="28"/>
      <c r="W419" s="28"/>
      <c r="AD419" s="28"/>
      <c r="AE419" s="28"/>
      <c r="AF419" s="28"/>
      <c r="AG419" s="28"/>
      <c r="AN419" s="28"/>
      <c r="AO419" s="28"/>
      <c r="AP419" s="28"/>
      <c r="AQ419" s="28"/>
    </row>
    <row r="420">
      <c r="J420" s="28"/>
      <c r="K420" s="28"/>
      <c r="L420" s="28"/>
      <c r="M420" s="28"/>
      <c r="T420" s="28"/>
      <c r="U420" s="28"/>
      <c r="V420" s="28"/>
      <c r="W420" s="28"/>
      <c r="AD420" s="28"/>
      <c r="AE420" s="28"/>
      <c r="AF420" s="28"/>
      <c r="AG420" s="28"/>
      <c r="AN420" s="28"/>
      <c r="AO420" s="28"/>
      <c r="AP420" s="28"/>
      <c r="AQ420" s="28"/>
    </row>
    <row r="421">
      <c r="J421" s="28"/>
      <c r="K421" s="28"/>
      <c r="L421" s="28"/>
      <c r="M421" s="28"/>
      <c r="T421" s="28"/>
      <c r="U421" s="28"/>
      <c r="V421" s="28"/>
      <c r="W421" s="28"/>
      <c r="AD421" s="28"/>
      <c r="AE421" s="28"/>
      <c r="AF421" s="28"/>
      <c r="AG421" s="28"/>
      <c r="AN421" s="28"/>
      <c r="AO421" s="28"/>
      <c r="AP421" s="28"/>
      <c r="AQ421" s="28"/>
    </row>
    <row r="422">
      <c r="J422" s="28"/>
      <c r="K422" s="28"/>
      <c r="L422" s="28"/>
      <c r="M422" s="28"/>
      <c r="T422" s="28"/>
      <c r="U422" s="28"/>
      <c r="V422" s="28"/>
      <c r="W422" s="28"/>
      <c r="AD422" s="28"/>
      <c r="AE422" s="28"/>
      <c r="AF422" s="28"/>
      <c r="AG422" s="28"/>
      <c r="AN422" s="28"/>
      <c r="AO422" s="28"/>
      <c r="AP422" s="28"/>
      <c r="AQ422" s="28"/>
    </row>
    <row r="423">
      <c r="J423" s="28"/>
      <c r="K423" s="28"/>
      <c r="L423" s="28"/>
      <c r="M423" s="28"/>
      <c r="T423" s="28"/>
      <c r="U423" s="28"/>
      <c r="V423" s="28"/>
      <c r="W423" s="28"/>
      <c r="AD423" s="28"/>
      <c r="AE423" s="28"/>
      <c r="AF423" s="28"/>
      <c r="AG423" s="28"/>
      <c r="AN423" s="28"/>
      <c r="AO423" s="28"/>
      <c r="AP423" s="28"/>
      <c r="AQ423" s="28"/>
    </row>
    <row r="424">
      <c r="J424" s="28"/>
      <c r="K424" s="28"/>
      <c r="L424" s="28"/>
      <c r="M424" s="28"/>
      <c r="T424" s="28"/>
      <c r="U424" s="28"/>
      <c r="V424" s="28"/>
      <c r="W424" s="28"/>
      <c r="AD424" s="28"/>
      <c r="AE424" s="28"/>
      <c r="AF424" s="28"/>
      <c r="AG424" s="28"/>
      <c r="AN424" s="28"/>
      <c r="AO424" s="28"/>
      <c r="AP424" s="28"/>
      <c r="AQ424" s="28"/>
    </row>
    <row r="425">
      <c r="J425" s="28"/>
      <c r="K425" s="28"/>
      <c r="L425" s="28"/>
      <c r="M425" s="28"/>
      <c r="T425" s="28"/>
      <c r="U425" s="28"/>
      <c r="V425" s="28"/>
      <c r="W425" s="28"/>
      <c r="AD425" s="28"/>
      <c r="AE425" s="28"/>
      <c r="AF425" s="28"/>
      <c r="AG425" s="28"/>
      <c r="AN425" s="28"/>
      <c r="AO425" s="28"/>
      <c r="AP425" s="28"/>
      <c r="AQ425" s="28"/>
    </row>
    <row r="426">
      <c r="J426" s="28"/>
      <c r="K426" s="28"/>
      <c r="L426" s="28"/>
      <c r="M426" s="28"/>
      <c r="T426" s="28"/>
      <c r="U426" s="28"/>
      <c r="V426" s="28"/>
      <c r="W426" s="28"/>
      <c r="AD426" s="28"/>
      <c r="AE426" s="28"/>
      <c r="AF426" s="28"/>
      <c r="AG426" s="28"/>
      <c r="AN426" s="28"/>
      <c r="AO426" s="28"/>
      <c r="AP426" s="28"/>
      <c r="AQ426" s="28"/>
    </row>
    <row r="427">
      <c r="J427" s="28"/>
      <c r="K427" s="28"/>
      <c r="L427" s="28"/>
      <c r="M427" s="28"/>
      <c r="T427" s="28"/>
      <c r="U427" s="28"/>
      <c r="V427" s="28"/>
      <c r="W427" s="28"/>
      <c r="AD427" s="28"/>
      <c r="AE427" s="28"/>
      <c r="AF427" s="28"/>
      <c r="AG427" s="28"/>
      <c r="AN427" s="28"/>
      <c r="AO427" s="28"/>
      <c r="AP427" s="28"/>
      <c r="AQ427" s="28"/>
    </row>
    <row r="428">
      <c r="J428" s="28"/>
      <c r="K428" s="28"/>
      <c r="L428" s="28"/>
      <c r="M428" s="28"/>
      <c r="T428" s="28"/>
      <c r="U428" s="28"/>
      <c r="V428" s="28"/>
      <c r="W428" s="28"/>
      <c r="AD428" s="28"/>
      <c r="AE428" s="28"/>
      <c r="AF428" s="28"/>
      <c r="AG428" s="28"/>
      <c r="AN428" s="28"/>
      <c r="AO428" s="28"/>
      <c r="AP428" s="28"/>
      <c r="AQ428" s="28"/>
    </row>
    <row r="429">
      <c r="J429" s="28"/>
      <c r="K429" s="28"/>
      <c r="L429" s="28"/>
      <c r="M429" s="28"/>
      <c r="T429" s="28"/>
      <c r="U429" s="28"/>
      <c r="V429" s="28"/>
      <c r="W429" s="28"/>
      <c r="AD429" s="28"/>
      <c r="AE429" s="28"/>
      <c r="AF429" s="28"/>
      <c r="AG429" s="28"/>
      <c r="AN429" s="28"/>
      <c r="AO429" s="28"/>
      <c r="AP429" s="28"/>
      <c r="AQ429" s="28"/>
    </row>
    <row r="430">
      <c r="J430" s="28"/>
      <c r="K430" s="28"/>
      <c r="L430" s="28"/>
      <c r="M430" s="28"/>
      <c r="T430" s="28"/>
      <c r="U430" s="28"/>
      <c r="V430" s="28"/>
      <c r="W430" s="28"/>
      <c r="AD430" s="28"/>
      <c r="AE430" s="28"/>
      <c r="AF430" s="28"/>
      <c r="AG430" s="28"/>
      <c r="AN430" s="28"/>
      <c r="AO430" s="28"/>
      <c r="AP430" s="28"/>
      <c r="AQ430" s="28"/>
    </row>
    <row r="431">
      <c r="J431" s="28"/>
      <c r="K431" s="28"/>
      <c r="L431" s="28"/>
      <c r="M431" s="28"/>
      <c r="T431" s="28"/>
      <c r="U431" s="28"/>
      <c r="V431" s="28"/>
      <c r="W431" s="28"/>
      <c r="AD431" s="28"/>
      <c r="AE431" s="28"/>
      <c r="AF431" s="28"/>
      <c r="AG431" s="28"/>
      <c r="AN431" s="28"/>
      <c r="AO431" s="28"/>
      <c r="AP431" s="28"/>
      <c r="AQ431" s="28"/>
    </row>
    <row r="432">
      <c r="J432" s="28"/>
      <c r="K432" s="28"/>
      <c r="L432" s="28"/>
      <c r="M432" s="28"/>
      <c r="T432" s="28"/>
      <c r="U432" s="28"/>
      <c r="V432" s="28"/>
      <c r="W432" s="28"/>
      <c r="AD432" s="28"/>
      <c r="AE432" s="28"/>
      <c r="AF432" s="28"/>
      <c r="AG432" s="28"/>
      <c r="AN432" s="28"/>
      <c r="AO432" s="28"/>
      <c r="AP432" s="28"/>
      <c r="AQ432" s="28"/>
    </row>
    <row r="433">
      <c r="J433" s="28"/>
      <c r="K433" s="28"/>
      <c r="L433" s="28"/>
      <c r="M433" s="28"/>
      <c r="T433" s="28"/>
      <c r="U433" s="28"/>
      <c r="V433" s="28"/>
      <c r="W433" s="28"/>
      <c r="AD433" s="28"/>
      <c r="AE433" s="28"/>
      <c r="AF433" s="28"/>
      <c r="AG433" s="28"/>
      <c r="AN433" s="28"/>
      <c r="AO433" s="28"/>
      <c r="AP433" s="28"/>
      <c r="AQ433" s="28"/>
    </row>
    <row r="434">
      <c r="J434" s="28"/>
      <c r="K434" s="28"/>
      <c r="L434" s="28"/>
      <c r="M434" s="28"/>
      <c r="T434" s="28"/>
      <c r="U434" s="28"/>
      <c r="V434" s="28"/>
      <c r="W434" s="28"/>
      <c r="AD434" s="28"/>
      <c r="AE434" s="28"/>
      <c r="AF434" s="28"/>
      <c r="AG434" s="28"/>
      <c r="AN434" s="28"/>
      <c r="AO434" s="28"/>
      <c r="AP434" s="28"/>
      <c r="AQ434" s="28"/>
    </row>
    <row r="435">
      <c r="J435" s="28"/>
      <c r="K435" s="28"/>
      <c r="L435" s="28"/>
      <c r="M435" s="28"/>
      <c r="T435" s="28"/>
      <c r="U435" s="28"/>
      <c r="V435" s="28"/>
      <c r="W435" s="28"/>
      <c r="AD435" s="28"/>
      <c r="AE435" s="28"/>
      <c r="AF435" s="28"/>
      <c r="AG435" s="28"/>
      <c r="AN435" s="28"/>
      <c r="AO435" s="28"/>
      <c r="AP435" s="28"/>
      <c r="AQ435" s="28"/>
    </row>
    <row r="436">
      <c r="J436" s="28"/>
      <c r="K436" s="28"/>
      <c r="L436" s="28"/>
      <c r="M436" s="28"/>
      <c r="T436" s="28"/>
      <c r="U436" s="28"/>
      <c r="V436" s="28"/>
      <c r="W436" s="28"/>
      <c r="AD436" s="28"/>
      <c r="AE436" s="28"/>
      <c r="AF436" s="28"/>
      <c r="AG436" s="28"/>
      <c r="AN436" s="28"/>
      <c r="AO436" s="28"/>
      <c r="AP436" s="28"/>
      <c r="AQ436" s="28"/>
    </row>
    <row r="437">
      <c r="J437" s="28"/>
      <c r="K437" s="28"/>
      <c r="L437" s="28"/>
      <c r="M437" s="28"/>
      <c r="T437" s="28"/>
      <c r="U437" s="28"/>
      <c r="V437" s="28"/>
      <c r="W437" s="28"/>
      <c r="AD437" s="28"/>
      <c r="AE437" s="28"/>
      <c r="AF437" s="28"/>
      <c r="AG437" s="28"/>
      <c r="AN437" s="28"/>
      <c r="AO437" s="28"/>
      <c r="AP437" s="28"/>
      <c r="AQ437" s="28"/>
    </row>
    <row r="438">
      <c r="J438" s="28"/>
      <c r="K438" s="28"/>
      <c r="L438" s="28"/>
      <c r="M438" s="28"/>
      <c r="T438" s="28"/>
      <c r="U438" s="28"/>
      <c r="V438" s="28"/>
      <c r="W438" s="28"/>
      <c r="AD438" s="28"/>
      <c r="AE438" s="28"/>
      <c r="AF438" s="28"/>
      <c r="AG438" s="28"/>
      <c r="AN438" s="28"/>
      <c r="AO438" s="28"/>
      <c r="AP438" s="28"/>
      <c r="AQ438" s="28"/>
    </row>
    <row r="439">
      <c r="J439" s="28"/>
      <c r="K439" s="28"/>
      <c r="L439" s="28"/>
      <c r="M439" s="28"/>
      <c r="T439" s="28"/>
      <c r="U439" s="28"/>
      <c r="V439" s="28"/>
      <c r="W439" s="28"/>
      <c r="AD439" s="28"/>
      <c r="AE439" s="28"/>
      <c r="AF439" s="28"/>
      <c r="AG439" s="28"/>
      <c r="AN439" s="28"/>
      <c r="AO439" s="28"/>
      <c r="AP439" s="28"/>
      <c r="AQ439" s="28"/>
    </row>
    <row r="440">
      <c r="J440" s="28"/>
      <c r="K440" s="28"/>
      <c r="L440" s="28"/>
      <c r="M440" s="28"/>
      <c r="T440" s="28"/>
      <c r="U440" s="28"/>
      <c r="V440" s="28"/>
      <c r="W440" s="28"/>
      <c r="AD440" s="28"/>
      <c r="AE440" s="28"/>
      <c r="AF440" s="28"/>
      <c r="AG440" s="28"/>
      <c r="AN440" s="28"/>
      <c r="AO440" s="28"/>
      <c r="AP440" s="28"/>
      <c r="AQ440" s="28"/>
    </row>
    <row r="441">
      <c r="J441" s="28"/>
      <c r="K441" s="28"/>
      <c r="L441" s="28"/>
      <c r="M441" s="28"/>
      <c r="T441" s="28"/>
      <c r="U441" s="28"/>
      <c r="V441" s="28"/>
      <c r="W441" s="28"/>
      <c r="AD441" s="28"/>
      <c r="AE441" s="28"/>
      <c r="AF441" s="28"/>
      <c r="AG441" s="28"/>
      <c r="AN441" s="28"/>
      <c r="AO441" s="28"/>
      <c r="AP441" s="28"/>
      <c r="AQ441" s="28"/>
    </row>
    <row r="442">
      <c r="J442" s="28"/>
      <c r="K442" s="28"/>
      <c r="L442" s="28"/>
      <c r="M442" s="28"/>
      <c r="T442" s="28"/>
      <c r="U442" s="28"/>
      <c r="V442" s="28"/>
      <c r="W442" s="28"/>
      <c r="AD442" s="28"/>
      <c r="AE442" s="28"/>
      <c r="AF442" s="28"/>
      <c r="AG442" s="28"/>
      <c r="AN442" s="28"/>
      <c r="AO442" s="28"/>
      <c r="AP442" s="28"/>
      <c r="AQ442" s="28"/>
    </row>
    <row r="443">
      <c r="J443" s="28"/>
      <c r="K443" s="28"/>
      <c r="L443" s="28"/>
      <c r="M443" s="28"/>
      <c r="T443" s="28"/>
      <c r="U443" s="28"/>
      <c r="V443" s="28"/>
      <c r="W443" s="28"/>
      <c r="AD443" s="28"/>
      <c r="AE443" s="28"/>
      <c r="AF443" s="28"/>
      <c r="AG443" s="28"/>
      <c r="AN443" s="28"/>
      <c r="AO443" s="28"/>
      <c r="AP443" s="28"/>
      <c r="AQ443" s="28"/>
    </row>
    <row r="444">
      <c r="J444" s="28"/>
      <c r="K444" s="28"/>
      <c r="L444" s="28"/>
      <c r="M444" s="28"/>
      <c r="T444" s="28"/>
      <c r="U444" s="28"/>
      <c r="V444" s="28"/>
      <c r="W444" s="28"/>
      <c r="AD444" s="28"/>
      <c r="AE444" s="28"/>
      <c r="AF444" s="28"/>
      <c r="AG444" s="28"/>
      <c r="AN444" s="28"/>
      <c r="AO444" s="28"/>
      <c r="AP444" s="28"/>
      <c r="AQ444" s="28"/>
    </row>
    <row r="445">
      <c r="J445" s="28"/>
      <c r="K445" s="28"/>
      <c r="L445" s="28"/>
      <c r="M445" s="28"/>
      <c r="T445" s="28"/>
      <c r="U445" s="28"/>
      <c r="V445" s="28"/>
      <c r="W445" s="28"/>
      <c r="AD445" s="28"/>
      <c r="AE445" s="28"/>
      <c r="AF445" s="28"/>
      <c r="AG445" s="28"/>
      <c r="AN445" s="28"/>
      <c r="AO445" s="28"/>
      <c r="AP445" s="28"/>
      <c r="AQ445" s="28"/>
    </row>
    <row r="446">
      <c r="J446" s="28"/>
      <c r="K446" s="28"/>
      <c r="L446" s="28"/>
      <c r="M446" s="28"/>
      <c r="T446" s="28"/>
      <c r="U446" s="28"/>
      <c r="V446" s="28"/>
      <c r="W446" s="28"/>
      <c r="AD446" s="28"/>
      <c r="AE446" s="28"/>
      <c r="AF446" s="28"/>
      <c r="AG446" s="28"/>
      <c r="AN446" s="28"/>
      <c r="AO446" s="28"/>
      <c r="AP446" s="28"/>
      <c r="AQ446" s="28"/>
    </row>
    <row r="447">
      <c r="J447" s="28"/>
      <c r="K447" s="28"/>
      <c r="L447" s="28"/>
      <c r="M447" s="28"/>
      <c r="T447" s="28"/>
      <c r="U447" s="28"/>
      <c r="V447" s="28"/>
      <c r="W447" s="28"/>
      <c r="AD447" s="28"/>
      <c r="AE447" s="28"/>
      <c r="AF447" s="28"/>
      <c r="AG447" s="28"/>
      <c r="AN447" s="28"/>
      <c r="AO447" s="28"/>
      <c r="AP447" s="28"/>
      <c r="AQ447" s="28"/>
    </row>
    <row r="448">
      <c r="J448" s="28"/>
      <c r="K448" s="28"/>
      <c r="L448" s="28"/>
      <c r="M448" s="28"/>
      <c r="T448" s="28"/>
      <c r="U448" s="28"/>
      <c r="V448" s="28"/>
      <c r="W448" s="28"/>
      <c r="AD448" s="28"/>
      <c r="AE448" s="28"/>
      <c r="AF448" s="28"/>
      <c r="AG448" s="28"/>
      <c r="AN448" s="28"/>
      <c r="AO448" s="28"/>
      <c r="AP448" s="28"/>
      <c r="AQ448" s="28"/>
    </row>
    <row r="449">
      <c r="J449" s="28"/>
      <c r="K449" s="28"/>
      <c r="L449" s="28"/>
      <c r="M449" s="28"/>
      <c r="T449" s="28"/>
      <c r="U449" s="28"/>
      <c r="V449" s="28"/>
      <c r="W449" s="28"/>
      <c r="AD449" s="28"/>
      <c r="AE449" s="28"/>
      <c r="AF449" s="28"/>
      <c r="AG449" s="28"/>
      <c r="AN449" s="28"/>
      <c r="AO449" s="28"/>
      <c r="AP449" s="28"/>
      <c r="AQ449" s="28"/>
    </row>
    <row r="450">
      <c r="J450" s="28"/>
      <c r="K450" s="28"/>
      <c r="L450" s="28"/>
      <c r="M450" s="28"/>
      <c r="T450" s="28"/>
      <c r="U450" s="28"/>
      <c r="V450" s="28"/>
      <c r="W450" s="28"/>
      <c r="AD450" s="28"/>
      <c r="AE450" s="28"/>
      <c r="AF450" s="28"/>
      <c r="AG450" s="28"/>
      <c r="AN450" s="28"/>
      <c r="AO450" s="28"/>
      <c r="AP450" s="28"/>
      <c r="AQ450" s="28"/>
    </row>
    <row r="451">
      <c r="J451" s="28"/>
      <c r="K451" s="28"/>
      <c r="L451" s="28"/>
      <c r="M451" s="28"/>
      <c r="T451" s="28"/>
      <c r="U451" s="28"/>
      <c r="V451" s="28"/>
      <c r="W451" s="28"/>
      <c r="AD451" s="28"/>
      <c r="AE451" s="28"/>
      <c r="AF451" s="28"/>
      <c r="AG451" s="28"/>
      <c r="AN451" s="28"/>
      <c r="AO451" s="28"/>
      <c r="AP451" s="28"/>
      <c r="AQ451" s="28"/>
    </row>
    <row r="452">
      <c r="J452" s="28"/>
      <c r="K452" s="28"/>
      <c r="L452" s="28"/>
      <c r="M452" s="28"/>
      <c r="T452" s="28"/>
      <c r="U452" s="28"/>
      <c r="V452" s="28"/>
      <c r="W452" s="28"/>
      <c r="AD452" s="28"/>
      <c r="AE452" s="28"/>
      <c r="AF452" s="28"/>
      <c r="AG452" s="28"/>
      <c r="AN452" s="28"/>
      <c r="AO452" s="28"/>
      <c r="AP452" s="28"/>
      <c r="AQ452" s="28"/>
    </row>
    <row r="453">
      <c r="J453" s="28"/>
      <c r="K453" s="28"/>
      <c r="L453" s="28"/>
      <c r="M453" s="28"/>
      <c r="T453" s="28"/>
      <c r="U453" s="28"/>
      <c r="V453" s="28"/>
      <c r="W453" s="28"/>
      <c r="AD453" s="28"/>
      <c r="AE453" s="28"/>
      <c r="AF453" s="28"/>
      <c r="AG453" s="28"/>
      <c r="AN453" s="28"/>
      <c r="AO453" s="28"/>
      <c r="AP453" s="28"/>
      <c r="AQ453" s="28"/>
    </row>
    <row r="454">
      <c r="J454" s="28"/>
      <c r="K454" s="28"/>
      <c r="L454" s="28"/>
      <c r="M454" s="28"/>
      <c r="T454" s="28"/>
      <c r="U454" s="28"/>
      <c r="V454" s="28"/>
      <c r="W454" s="28"/>
      <c r="AD454" s="28"/>
      <c r="AE454" s="28"/>
      <c r="AF454" s="28"/>
      <c r="AG454" s="28"/>
      <c r="AN454" s="28"/>
      <c r="AO454" s="28"/>
      <c r="AP454" s="28"/>
      <c r="AQ454" s="28"/>
    </row>
    <row r="455">
      <c r="J455" s="28"/>
      <c r="K455" s="28"/>
      <c r="L455" s="28"/>
      <c r="M455" s="28"/>
      <c r="T455" s="28"/>
      <c r="U455" s="28"/>
      <c r="V455" s="28"/>
      <c r="W455" s="28"/>
      <c r="AD455" s="28"/>
      <c r="AE455" s="28"/>
      <c r="AF455" s="28"/>
      <c r="AG455" s="28"/>
      <c r="AN455" s="28"/>
      <c r="AO455" s="28"/>
      <c r="AP455" s="28"/>
      <c r="AQ455" s="28"/>
    </row>
    <row r="456">
      <c r="J456" s="28"/>
      <c r="K456" s="28"/>
      <c r="L456" s="28"/>
      <c r="M456" s="28"/>
      <c r="T456" s="28"/>
      <c r="U456" s="28"/>
      <c r="V456" s="28"/>
      <c r="W456" s="28"/>
      <c r="AD456" s="28"/>
      <c r="AE456" s="28"/>
      <c r="AF456" s="28"/>
      <c r="AG456" s="28"/>
      <c r="AN456" s="28"/>
      <c r="AO456" s="28"/>
      <c r="AP456" s="28"/>
      <c r="AQ456" s="28"/>
    </row>
    <row r="457">
      <c r="J457" s="28"/>
      <c r="K457" s="28"/>
      <c r="L457" s="28"/>
      <c r="M457" s="28"/>
      <c r="T457" s="28"/>
      <c r="U457" s="28"/>
      <c r="V457" s="28"/>
      <c r="W457" s="28"/>
      <c r="AD457" s="28"/>
      <c r="AE457" s="28"/>
      <c r="AF457" s="28"/>
      <c r="AG457" s="28"/>
      <c r="AN457" s="28"/>
      <c r="AO457" s="28"/>
      <c r="AP457" s="28"/>
      <c r="AQ457" s="28"/>
    </row>
    <row r="458">
      <c r="J458" s="28"/>
      <c r="K458" s="28"/>
      <c r="L458" s="28"/>
      <c r="M458" s="28"/>
      <c r="T458" s="28"/>
      <c r="U458" s="28"/>
      <c r="V458" s="28"/>
      <c r="W458" s="28"/>
      <c r="AD458" s="28"/>
      <c r="AE458" s="28"/>
      <c r="AF458" s="28"/>
      <c r="AG458" s="28"/>
      <c r="AN458" s="28"/>
      <c r="AO458" s="28"/>
      <c r="AP458" s="28"/>
      <c r="AQ458" s="28"/>
    </row>
    <row r="459">
      <c r="J459" s="28"/>
      <c r="K459" s="28"/>
      <c r="L459" s="28"/>
      <c r="M459" s="28"/>
      <c r="T459" s="28"/>
      <c r="U459" s="28"/>
      <c r="V459" s="28"/>
      <c r="W459" s="28"/>
      <c r="AD459" s="28"/>
      <c r="AE459" s="28"/>
      <c r="AF459" s="28"/>
      <c r="AG459" s="28"/>
      <c r="AN459" s="28"/>
      <c r="AO459" s="28"/>
      <c r="AP459" s="28"/>
      <c r="AQ459" s="28"/>
    </row>
    <row r="460">
      <c r="J460" s="28"/>
      <c r="K460" s="28"/>
      <c r="L460" s="28"/>
      <c r="M460" s="28"/>
      <c r="T460" s="28"/>
      <c r="U460" s="28"/>
      <c r="V460" s="28"/>
      <c r="W460" s="28"/>
      <c r="AD460" s="28"/>
      <c r="AE460" s="28"/>
      <c r="AF460" s="28"/>
      <c r="AG460" s="28"/>
      <c r="AN460" s="28"/>
      <c r="AO460" s="28"/>
      <c r="AP460" s="28"/>
      <c r="AQ460" s="28"/>
    </row>
    <row r="461">
      <c r="J461" s="28"/>
      <c r="K461" s="28"/>
      <c r="L461" s="28"/>
      <c r="M461" s="28"/>
      <c r="T461" s="28"/>
      <c r="U461" s="28"/>
      <c r="V461" s="28"/>
      <c r="W461" s="28"/>
      <c r="AD461" s="28"/>
      <c r="AE461" s="28"/>
      <c r="AF461" s="28"/>
      <c r="AG461" s="28"/>
      <c r="AN461" s="28"/>
      <c r="AO461" s="28"/>
      <c r="AP461" s="28"/>
      <c r="AQ461" s="28"/>
    </row>
    <row r="462">
      <c r="J462" s="28"/>
      <c r="K462" s="28"/>
      <c r="L462" s="28"/>
      <c r="M462" s="28"/>
      <c r="T462" s="28"/>
      <c r="U462" s="28"/>
      <c r="V462" s="28"/>
      <c r="W462" s="28"/>
      <c r="AD462" s="28"/>
      <c r="AE462" s="28"/>
      <c r="AF462" s="28"/>
      <c r="AG462" s="28"/>
      <c r="AN462" s="28"/>
      <c r="AO462" s="28"/>
      <c r="AP462" s="28"/>
      <c r="AQ462" s="28"/>
    </row>
    <row r="463">
      <c r="J463" s="28"/>
      <c r="K463" s="28"/>
      <c r="L463" s="28"/>
      <c r="M463" s="28"/>
      <c r="T463" s="28"/>
      <c r="U463" s="28"/>
      <c r="V463" s="28"/>
      <c r="W463" s="28"/>
      <c r="AD463" s="28"/>
      <c r="AE463" s="28"/>
      <c r="AF463" s="28"/>
      <c r="AG463" s="28"/>
      <c r="AN463" s="28"/>
      <c r="AO463" s="28"/>
      <c r="AP463" s="28"/>
      <c r="AQ463" s="28"/>
    </row>
    <row r="464">
      <c r="J464" s="28"/>
      <c r="K464" s="28"/>
      <c r="L464" s="28"/>
      <c r="M464" s="28"/>
      <c r="T464" s="28"/>
      <c r="U464" s="28"/>
      <c r="V464" s="28"/>
      <c r="W464" s="28"/>
      <c r="AD464" s="28"/>
      <c r="AE464" s="28"/>
      <c r="AF464" s="28"/>
      <c r="AG464" s="28"/>
      <c r="AN464" s="28"/>
      <c r="AO464" s="28"/>
      <c r="AP464" s="28"/>
      <c r="AQ464" s="28"/>
    </row>
    <row r="465">
      <c r="J465" s="28"/>
      <c r="K465" s="28"/>
      <c r="L465" s="28"/>
      <c r="M465" s="28"/>
      <c r="T465" s="28"/>
      <c r="U465" s="28"/>
      <c r="V465" s="28"/>
      <c r="W465" s="28"/>
      <c r="AD465" s="28"/>
      <c r="AE465" s="28"/>
      <c r="AF465" s="28"/>
      <c r="AG465" s="28"/>
      <c r="AN465" s="28"/>
      <c r="AO465" s="28"/>
      <c r="AP465" s="28"/>
      <c r="AQ465" s="28"/>
    </row>
    <row r="466">
      <c r="J466" s="28"/>
      <c r="K466" s="28"/>
      <c r="L466" s="28"/>
      <c r="M466" s="28"/>
      <c r="T466" s="28"/>
      <c r="U466" s="28"/>
      <c r="V466" s="28"/>
      <c r="W466" s="28"/>
      <c r="AD466" s="28"/>
      <c r="AE466" s="28"/>
      <c r="AF466" s="28"/>
      <c r="AG466" s="28"/>
      <c r="AN466" s="28"/>
      <c r="AO466" s="28"/>
      <c r="AP466" s="28"/>
      <c r="AQ466" s="28"/>
    </row>
    <row r="467">
      <c r="J467" s="28"/>
      <c r="K467" s="28"/>
      <c r="L467" s="28"/>
      <c r="M467" s="28"/>
      <c r="T467" s="28"/>
      <c r="U467" s="28"/>
      <c r="V467" s="28"/>
      <c r="W467" s="28"/>
      <c r="AD467" s="28"/>
      <c r="AE467" s="28"/>
      <c r="AF467" s="28"/>
      <c r="AG467" s="28"/>
      <c r="AN467" s="28"/>
      <c r="AO467" s="28"/>
      <c r="AP467" s="28"/>
      <c r="AQ467" s="28"/>
    </row>
    <row r="468">
      <c r="J468" s="28"/>
      <c r="K468" s="28"/>
      <c r="L468" s="28"/>
      <c r="M468" s="28"/>
      <c r="T468" s="28"/>
      <c r="U468" s="28"/>
      <c r="V468" s="28"/>
      <c r="W468" s="28"/>
      <c r="AD468" s="28"/>
      <c r="AE468" s="28"/>
      <c r="AF468" s="28"/>
      <c r="AG468" s="28"/>
      <c r="AN468" s="28"/>
      <c r="AO468" s="28"/>
      <c r="AP468" s="28"/>
      <c r="AQ468" s="28"/>
    </row>
    <row r="469">
      <c r="J469" s="28"/>
      <c r="K469" s="28"/>
      <c r="L469" s="28"/>
      <c r="M469" s="28"/>
      <c r="T469" s="28"/>
      <c r="U469" s="28"/>
      <c r="V469" s="28"/>
      <c r="W469" s="28"/>
      <c r="AD469" s="28"/>
      <c r="AE469" s="28"/>
      <c r="AF469" s="28"/>
      <c r="AG469" s="28"/>
      <c r="AN469" s="28"/>
      <c r="AO469" s="28"/>
      <c r="AP469" s="28"/>
      <c r="AQ469" s="28"/>
    </row>
    <row r="470">
      <c r="J470" s="28"/>
      <c r="K470" s="28"/>
      <c r="L470" s="28"/>
      <c r="M470" s="28"/>
      <c r="T470" s="28"/>
      <c r="U470" s="28"/>
      <c r="V470" s="28"/>
      <c r="W470" s="28"/>
      <c r="AD470" s="28"/>
      <c r="AE470" s="28"/>
      <c r="AF470" s="28"/>
      <c r="AG470" s="28"/>
      <c r="AN470" s="28"/>
      <c r="AO470" s="28"/>
      <c r="AP470" s="28"/>
      <c r="AQ470" s="28"/>
    </row>
    <row r="471">
      <c r="J471" s="28"/>
      <c r="K471" s="28"/>
      <c r="L471" s="28"/>
      <c r="M471" s="28"/>
      <c r="T471" s="28"/>
      <c r="U471" s="28"/>
      <c r="V471" s="28"/>
      <c r="W471" s="28"/>
      <c r="AD471" s="28"/>
      <c r="AE471" s="28"/>
      <c r="AF471" s="28"/>
      <c r="AG471" s="28"/>
      <c r="AN471" s="28"/>
      <c r="AO471" s="28"/>
      <c r="AP471" s="28"/>
      <c r="AQ471" s="28"/>
    </row>
    <row r="472">
      <c r="J472" s="28"/>
      <c r="K472" s="28"/>
      <c r="L472" s="28"/>
      <c r="M472" s="28"/>
      <c r="T472" s="28"/>
      <c r="U472" s="28"/>
      <c r="V472" s="28"/>
      <c r="W472" s="28"/>
      <c r="AD472" s="28"/>
      <c r="AE472" s="28"/>
      <c r="AF472" s="28"/>
      <c r="AG472" s="28"/>
      <c r="AN472" s="28"/>
      <c r="AO472" s="28"/>
      <c r="AP472" s="28"/>
      <c r="AQ472" s="28"/>
    </row>
    <row r="473">
      <c r="J473" s="28"/>
      <c r="K473" s="28"/>
      <c r="L473" s="28"/>
      <c r="M473" s="28"/>
      <c r="T473" s="28"/>
      <c r="U473" s="28"/>
      <c r="V473" s="28"/>
      <c r="W473" s="28"/>
      <c r="AD473" s="28"/>
      <c r="AE473" s="28"/>
      <c r="AF473" s="28"/>
      <c r="AG473" s="28"/>
      <c r="AN473" s="28"/>
      <c r="AO473" s="28"/>
      <c r="AP473" s="28"/>
      <c r="AQ473" s="28"/>
    </row>
    <row r="474">
      <c r="J474" s="28"/>
      <c r="K474" s="28"/>
      <c r="L474" s="28"/>
      <c r="M474" s="28"/>
      <c r="T474" s="28"/>
      <c r="U474" s="28"/>
      <c r="V474" s="28"/>
      <c r="W474" s="28"/>
      <c r="AD474" s="28"/>
      <c r="AE474" s="28"/>
      <c r="AF474" s="28"/>
      <c r="AG474" s="28"/>
      <c r="AN474" s="28"/>
      <c r="AO474" s="28"/>
      <c r="AP474" s="28"/>
      <c r="AQ474" s="28"/>
    </row>
    <row r="475">
      <c r="J475" s="28"/>
      <c r="K475" s="28"/>
      <c r="L475" s="28"/>
      <c r="M475" s="28"/>
      <c r="T475" s="28"/>
      <c r="U475" s="28"/>
      <c r="V475" s="28"/>
      <c r="W475" s="28"/>
      <c r="AD475" s="28"/>
      <c r="AE475" s="28"/>
      <c r="AF475" s="28"/>
      <c r="AG475" s="28"/>
      <c r="AN475" s="28"/>
      <c r="AO475" s="28"/>
      <c r="AP475" s="28"/>
      <c r="AQ475" s="28"/>
    </row>
    <row r="476">
      <c r="J476" s="28"/>
      <c r="K476" s="28"/>
      <c r="L476" s="28"/>
      <c r="M476" s="28"/>
      <c r="T476" s="28"/>
      <c r="U476" s="28"/>
      <c r="V476" s="28"/>
      <c r="W476" s="28"/>
      <c r="AD476" s="28"/>
      <c r="AE476" s="28"/>
      <c r="AF476" s="28"/>
      <c r="AG476" s="28"/>
      <c r="AN476" s="28"/>
      <c r="AO476" s="28"/>
      <c r="AP476" s="28"/>
      <c r="AQ476" s="28"/>
    </row>
    <row r="477">
      <c r="J477" s="28"/>
      <c r="K477" s="28"/>
      <c r="L477" s="28"/>
      <c r="M477" s="28"/>
      <c r="T477" s="28"/>
      <c r="U477" s="28"/>
      <c r="V477" s="28"/>
      <c r="W477" s="28"/>
      <c r="AD477" s="28"/>
      <c r="AE477" s="28"/>
      <c r="AF477" s="28"/>
      <c r="AG477" s="28"/>
      <c r="AN477" s="28"/>
      <c r="AO477" s="28"/>
      <c r="AP477" s="28"/>
      <c r="AQ477" s="28"/>
    </row>
    <row r="478">
      <c r="J478" s="28"/>
      <c r="K478" s="28"/>
      <c r="L478" s="28"/>
      <c r="M478" s="28"/>
      <c r="T478" s="28"/>
      <c r="U478" s="28"/>
      <c r="V478" s="28"/>
      <c r="W478" s="28"/>
      <c r="AD478" s="28"/>
      <c r="AE478" s="28"/>
      <c r="AF478" s="28"/>
      <c r="AG478" s="28"/>
      <c r="AN478" s="28"/>
      <c r="AO478" s="28"/>
      <c r="AP478" s="28"/>
      <c r="AQ478" s="28"/>
    </row>
    <row r="479">
      <c r="J479" s="28"/>
      <c r="K479" s="28"/>
      <c r="L479" s="28"/>
      <c r="M479" s="28"/>
      <c r="T479" s="28"/>
      <c r="U479" s="28"/>
      <c r="V479" s="28"/>
      <c r="W479" s="28"/>
      <c r="AD479" s="28"/>
      <c r="AE479" s="28"/>
      <c r="AF479" s="28"/>
      <c r="AG479" s="28"/>
      <c r="AN479" s="28"/>
      <c r="AO479" s="28"/>
      <c r="AP479" s="28"/>
      <c r="AQ479" s="28"/>
    </row>
    <row r="480">
      <c r="J480" s="28"/>
      <c r="K480" s="28"/>
      <c r="L480" s="28"/>
      <c r="M480" s="28"/>
      <c r="T480" s="28"/>
      <c r="U480" s="28"/>
      <c r="V480" s="28"/>
      <c r="W480" s="28"/>
      <c r="AD480" s="28"/>
      <c r="AE480" s="28"/>
      <c r="AF480" s="28"/>
      <c r="AG480" s="28"/>
      <c r="AN480" s="28"/>
      <c r="AO480" s="28"/>
      <c r="AP480" s="28"/>
      <c r="AQ480" s="28"/>
    </row>
    <row r="481">
      <c r="J481" s="28"/>
      <c r="K481" s="28"/>
      <c r="L481" s="28"/>
      <c r="M481" s="28"/>
      <c r="T481" s="28"/>
      <c r="U481" s="28"/>
      <c r="V481" s="28"/>
      <c r="W481" s="28"/>
      <c r="AD481" s="28"/>
      <c r="AE481" s="28"/>
      <c r="AF481" s="28"/>
      <c r="AG481" s="28"/>
      <c r="AN481" s="28"/>
      <c r="AO481" s="28"/>
      <c r="AP481" s="28"/>
      <c r="AQ481" s="28"/>
    </row>
    <row r="482">
      <c r="J482" s="28"/>
      <c r="K482" s="28"/>
      <c r="L482" s="28"/>
      <c r="M482" s="28"/>
      <c r="T482" s="28"/>
      <c r="U482" s="28"/>
      <c r="V482" s="28"/>
      <c r="W482" s="28"/>
      <c r="AD482" s="28"/>
      <c r="AE482" s="28"/>
      <c r="AF482" s="28"/>
      <c r="AG482" s="28"/>
      <c r="AN482" s="28"/>
      <c r="AO482" s="28"/>
      <c r="AP482" s="28"/>
      <c r="AQ482" s="28"/>
    </row>
    <row r="483">
      <c r="J483" s="28"/>
      <c r="K483" s="28"/>
      <c r="L483" s="28"/>
      <c r="M483" s="28"/>
      <c r="T483" s="28"/>
      <c r="U483" s="28"/>
      <c r="V483" s="28"/>
      <c r="W483" s="28"/>
      <c r="AD483" s="28"/>
      <c r="AE483" s="28"/>
      <c r="AF483" s="28"/>
      <c r="AG483" s="28"/>
      <c r="AN483" s="28"/>
      <c r="AO483" s="28"/>
      <c r="AP483" s="28"/>
      <c r="AQ483" s="28"/>
    </row>
    <row r="484">
      <c r="J484" s="28"/>
      <c r="K484" s="28"/>
      <c r="L484" s="28"/>
      <c r="M484" s="28"/>
      <c r="T484" s="28"/>
      <c r="U484" s="28"/>
      <c r="V484" s="28"/>
      <c r="W484" s="28"/>
      <c r="AD484" s="28"/>
      <c r="AE484" s="28"/>
      <c r="AF484" s="28"/>
      <c r="AG484" s="28"/>
      <c r="AN484" s="28"/>
      <c r="AO484" s="28"/>
      <c r="AP484" s="28"/>
      <c r="AQ484" s="28"/>
    </row>
    <row r="485">
      <c r="J485" s="28"/>
      <c r="K485" s="28"/>
      <c r="L485" s="28"/>
      <c r="M485" s="28"/>
      <c r="T485" s="28"/>
      <c r="U485" s="28"/>
      <c r="V485" s="28"/>
      <c r="W485" s="28"/>
      <c r="AD485" s="28"/>
      <c r="AE485" s="28"/>
      <c r="AF485" s="28"/>
      <c r="AG485" s="28"/>
      <c r="AN485" s="28"/>
      <c r="AO485" s="28"/>
      <c r="AP485" s="28"/>
      <c r="AQ485" s="28"/>
    </row>
    <row r="486">
      <c r="J486" s="28"/>
      <c r="K486" s="28"/>
      <c r="L486" s="28"/>
      <c r="M486" s="28"/>
      <c r="T486" s="28"/>
      <c r="U486" s="28"/>
      <c r="V486" s="28"/>
      <c r="W486" s="28"/>
      <c r="AD486" s="28"/>
      <c r="AE486" s="28"/>
      <c r="AF486" s="28"/>
      <c r="AG486" s="28"/>
      <c r="AN486" s="28"/>
      <c r="AO486" s="28"/>
      <c r="AP486" s="28"/>
      <c r="AQ486" s="28"/>
    </row>
    <row r="487">
      <c r="J487" s="28"/>
      <c r="K487" s="28"/>
      <c r="L487" s="28"/>
      <c r="M487" s="28"/>
      <c r="T487" s="28"/>
      <c r="U487" s="28"/>
      <c r="V487" s="28"/>
      <c r="W487" s="28"/>
      <c r="AD487" s="28"/>
      <c r="AE487" s="28"/>
      <c r="AF487" s="28"/>
      <c r="AG487" s="28"/>
      <c r="AN487" s="28"/>
      <c r="AO487" s="28"/>
      <c r="AP487" s="28"/>
      <c r="AQ487" s="28"/>
    </row>
    <row r="488">
      <c r="J488" s="28"/>
      <c r="K488" s="28"/>
      <c r="L488" s="28"/>
      <c r="M488" s="28"/>
      <c r="T488" s="28"/>
      <c r="U488" s="28"/>
      <c r="V488" s="28"/>
      <c r="W488" s="28"/>
      <c r="AD488" s="28"/>
      <c r="AE488" s="28"/>
      <c r="AF488" s="28"/>
      <c r="AG488" s="28"/>
      <c r="AN488" s="28"/>
      <c r="AO488" s="28"/>
      <c r="AP488" s="28"/>
      <c r="AQ488" s="28"/>
    </row>
    <row r="489">
      <c r="J489" s="28"/>
      <c r="K489" s="28"/>
      <c r="L489" s="28"/>
      <c r="M489" s="28"/>
      <c r="T489" s="28"/>
      <c r="U489" s="28"/>
      <c r="V489" s="28"/>
      <c r="W489" s="28"/>
      <c r="AD489" s="28"/>
      <c r="AE489" s="28"/>
      <c r="AF489" s="28"/>
      <c r="AG489" s="28"/>
      <c r="AN489" s="28"/>
      <c r="AO489" s="28"/>
      <c r="AP489" s="28"/>
      <c r="AQ489" s="28"/>
    </row>
    <row r="490">
      <c r="J490" s="28"/>
      <c r="K490" s="28"/>
      <c r="L490" s="28"/>
      <c r="M490" s="28"/>
      <c r="T490" s="28"/>
      <c r="U490" s="28"/>
      <c r="V490" s="28"/>
      <c r="W490" s="28"/>
      <c r="AD490" s="28"/>
      <c r="AE490" s="28"/>
      <c r="AF490" s="28"/>
      <c r="AG490" s="28"/>
      <c r="AN490" s="28"/>
      <c r="AO490" s="28"/>
      <c r="AP490" s="28"/>
      <c r="AQ490" s="28"/>
    </row>
    <row r="491">
      <c r="J491" s="28"/>
      <c r="K491" s="28"/>
      <c r="L491" s="28"/>
      <c r="M491" s="28"/>
      <c r="T491" s="28"/>
      <c r="U491" s="28"/>
      <c r="V491" s="28"/>
      <c r="W491" s="28"/>
      <c r="AD491" s="28"/>
      <c r="AE491" s="28"/>
      <c r="AF491" s="28"/>
      <c r="AG491" s="28"/>
      <c r="AN491" s="28"/>
      <c r="AO491" s="28"/>
      <c r="AP491" s="28"/>
      <c r="AQ491" s="28"/>
    </row>
    <row r="492">
      <c r="J492" s="28"/>
      <c r="K492" s="28"/>
      <c r="L492" s="28"/>
      <c r="M492" s="28"/>
      <c r="T492" s="28"/>
      <c r="U492" s="28"/>
      <c r="V492" s="28"/>
      <c r="W492" s="28"/>
      <c r="AD492" s="28"/>
      <c r="AE492" s="28"/>
      <c r="AF492" s="28"/>
      <c r="AG492" s="28"/>
      <c r="AN492" s="28"/>
      <c r="AO492" s="28"/>
      <c r="AP492" s="28"/>
      <c r="AQ492" s="28"/>
    </row>
    <row r="493">
      <c r="J493" s="28"/>
      <c r="K493" s="28"/>
      <c r="L493" s="28"/>
      <c r="M493" s="28"/>
      <c r="T493" s="28"/>
      <c r="U493" s="28"/>
      <c r="V493" s="28"/>
      <c r="W493" s="28"/>
      <c r="AD493" s="28"/>
      <c r="AE493" s="28"/>
      <c r="AF493" s="28"/>
      <c r="AG493" s="28"/>
      <c r="AN493" s="28"/>
      <c r="AO493" s="28"/>
      <c r="AP493" s="28"/>
      <c r="AQ493" s="28"/>
    </row>
    <row r="494">
      <c r="J494" s="28"/>
      <c r="K494" s="28"/>
      <c r="L494" s="28"/>
      <c r="M494" s="28"/>
      <c r="T494" s="28"/>
      <c r="U494" s="28"/>
      <c r="V494" s="28"/>
      <c r="W494" s="28"/>
      <c r="AD494" s="28"/>
      <c r="AE494" s="28"/>
      <c r="AF494" s="28"/>
      <c r="AG494" s="28"/>
      <c r="AN494" s="28"/>
      <c r="AO494" s="28"/>
      <c r="AP494" s="28"/>
      <c r="AQ494" s="28"/>
    </row>
    <row r="495">
      <c r="J495" s="28"/>
      <c r="K495" s="28"/>
      <c r="L495" s="28"/>
      <c r="M495" s="28"/>
      <c r="T495" s="28"/>
      <c r="U495" s="28"/>
      <c r="V495" s="28"/>
      <c r="W495" s="28"/>
      <c r="AD495" s="28"/>
      <c r="AE495" s="28"/>
      <c r="AF495" s="28"/>
      <c r="AG495" s="28"/>
      <c r="AN495" s="28"/>
      <c r="AO495" s="28"/>
      <c r="AP495" s="28"/>
      <c r="AQ495" s="28"/>
    </row>
    <row r="496">
      <c r="J496" s="28"/>
      <c r="K496" s="28"/>
      <c r="L496" s="28"/>
      <c r="M496" s="28"/>
      <c r="T496" s="28"/>
      <c r="U496" s="28"/>
      <c r="V496" s="28"/>
      <c r="W496" s="28"/>
      <c r="AD496" s="28"/>
      <c r="AE496" s="28"/>
      <c r="AF496" s="28"/>
      <c r="AG496" s="28"/>
      <c r="AN496" s="28"/>
      <c r="AO496" s="28"/>
      <c r="AP496" s="28"/>
      <c r="AQ496" s="28"/>
    </row>
    <row r="497">
      <c r="J497" s="28"/>
      <c r="K497" s="28"/>
      <c r="L497" s="28"/>
      <c r="M497" s="28"/>
      <c r="T497" s="28"/>
      <c r="U497" s="28"/>
      <c r="V497" s="28"/>
      <c r="W497" s="28"/>
      <c r="AD497" s="28"/>
      <c r="AE497" s="28"/>
      <c r="AF497" s="28"/>
      <c r="AG497" s="28"/>
      <c r="AN497" s="28"/>
      <c r="AO497" s="28"/>
      <c r="AP497" s="28"/>
      <c r="AQ497" s="28"/>
    </row>
    <row r="498">
      <c r="J498" s="28"/>
      <c r="K498" s="28"/>
      <c r="L498" s="28"/>
      <c r="M498" s="28"/>
      <c r="T498" s="28"/>
      <c r="U498" s="28"/>
      <c r="V498" s="28"/>
      <c r="W498" s="28"/>
      <c r="AD498" s="28"/>
      <c r="AE498" s="28"/>
      <c r="AF498" s="28"/>
      <c r="AG498" s="28"/>
      <c r="AN498" s="28"/>
      <c r="AO498" s="28"/>
      <c r="AP498" s="28"/>
      <c r="AQ498" s="28"/>
    </row>
    <row r="499">
      <c r="J499" s="28"/>
      <c r="K499" s="28"/>
      <c r="L499" s="28"/>
      <c r="M499" s="28"/>
      <c r="T499" s="28"/>
      <c r="U499" s="28"/>
      <c r="V499" s="28"/>
      <c r="W499" s="28"/>
      <c r="AD499" s="28"/>
      <c r="AE499" s="28"/>
      <c r="AF499" s="28"/>
      <c r="AG499" s="28"/>
      <c r="AN499" s="28"/>
      <c r="AO499" s="28"/>
      <c r="AP499" s="28"/>
      <c r="AQ499" s="28"/>
    </row>
    <row r="500">
      <c r="J500" s="28"/>
      <c r="K500" s="28"/>
      <c r="L500" s="28"/>
      <c r="M500" s="28"/>
      <c r="T500" s="28"/>
      <c r="U500" s="28"/>
      <c r="V500" s="28"/>
      <c r="W500" s="28"/>
      <c r="AD500" s="28"/>
      <c r="AE500" s="28"/>
      <c r="AF500" s="28"/>
      <c r="AG500" s="28"/>
      <c r="AN500" s="28"/>
      <c r="AO500" s="28"/>
      <c r="AP500" s="28"/>
      <c r="AQ500" s="28"/>
    </row>
    <row r="501">
      <c r="J501" s="28"/>
      <c r="K501" s="28"/>
      <c r="L501" s="28"/>
      <c r="M501" s="28"/>
      <c r="T501" s="28"/>
      <c r="U501" s="28"/>
      <c r="V501" s="28"/>
      <c r="W501" s="28"/>
      <c r="AD501" s="28"/>
      <c r="AE501" s="28"/>
      <c r="AF501" s="28"/>
      <c r="AG501" s="28"/>
      <c r="AN501" s="28"/>
      <c r="AO501" s="28"/>
      <c r="AP501" s="28"/>
      <c r="AQ501" s="28"/>
    </row>
    <row r="502">
      <c r="J502" s="28"/>
      <c r="K502" s="28"/>
      <c r="L502" s="28"/>
      <c r="M502" s="28"/>
      <c r="T502" s="28"/>
      <c r="U502" s="28"/>
      <c r="V502" s="28"/>
      <c r="W502" s="28"/>
      <c r="AD502" s="28"/>
      <c r="AE502" s="28"/>
      <c r="AF502" s="28"/>
      <c r="AG502" s="28"/>
      <c r="AN502" s="28"/>
      <c r="AO502" s="28"/>
      <c r="AP502" s="28"/>
      <c r="AQ502" s="28"/>
    </row>
    <row r="503">
      <c r="J503" s="28"/>
      <c r="K503" s="28"/>
      <c r="L503" s="28"/>
      <c r="M503" s="28"/>
      <c r="T503" s="28"/>
      <c r="U503" s="28"/>
      <c r="V503" s="28"/>
      <c r="W503" s="28"/>
      <c r="AD503" s="28"/>
      <c r="AE503" s="28"/>
      <c r="AF503" s="28"/>
      <c r="AG503" s="28"/>
      <c r="AN503" s="28"/>
      <c r="AO503" s="28"/>
      <c r="AP503" s="28"/>
      <c r="AQ503" s="28"/>
    </row>
    <row r="504">
      <c r="J504" s="28"/>
      <c r="K504" s="28"/>
      <c r="L504" s="28"/>
      <c r="M504" s="28"/>
      <c r="T504" s="28"/>
      <c r="U504" s="28"/>
      <c r="V504" s="28"/>
      <c r="W504" s="28"/>
      <c r="AD504" s="28"/>
      <c r="AE504" s="28"/>
      <c r="AF504" s="28"/>
      <c r="AG504" s="28"/>
      <c r="AN504" s="28"/>
      <c r="AO504" s="28"/>
      <c r="AP504" s="28"/>
      <c r="AQ504" s="28"/>
    </row>
    <row r="505">
      <c r="J505" s="28"/>
      <c r="K505" s="28"/>
      <c r="L505" s="28"/>
      <c r="M505" s="28"/>
      <c r="T505" s="28"/>
      <c r="U505" s="28"/>
      <c r="V505" s="28"/>
      <c r="W505" s="28"/>
      <c r="AD505" s="28"/>
      <c r="AE505" s="28"/>
      <c r="AF505" s="28"/>
      <c r="AG505" s="28"/>
      <c r="AN505" s="28"/>
      <c r="AO505" s="28"/>
      <c r="AP505" s="28"/>
      <c r="AQ505" s="28"/>
    </row>
    <row r="506">
      <c r="J506" s="28"/>
      <c r="K506" s="28"/>
      <c r="L506" s="28"/>
      <c r="M506" s="28"/>
      <c r="T506" s="28"/>
      <c r="U506" s="28"/>
      <c r="V506" s="28"/>
      <c r="W506" s="28"/>
      <c r="AD506" s="28"/>
      <c r="AE506" s="28"/>
      <c r="AF506" s="28"/>
      <c r="AG506" s="28"/>
      <c r="AN506" s="28"/>
      <c r="AO506" s="28"/>
      <c r="AP506" s="28"/>
      <c r="AQ506" s="28"/>
    </row>
    <row r="507">
      <c r="J507" s="28"/>
      <c r="K507" s="28"/>
      <c r="L507" s="28"/>
      <c r="M507" s="28"/>
      <c r="T507" s="28"/>
      <c r="U507" s="28"/>
      <c r="V507" s="28"/>
      <c r="W507" s="28"/>
      <c r="AD507" s="28"/>
      <c r="AE507" s="28"/>
      <c r="AF507" s="28"/>
      <c r="AG507" s="28"/>
      <c r="AN507" s="28"/>
      <c r="AO507" s="28"/>
      <c r="AP507" s="28"/>
      <c r="AQ507" s="28"/>
    </row>
    <row r="508">
      <c r="J508" s="28"/>
      <c r="K508" s="28"/>
      <c r="L508" s="28"/>
      <c r="M508" s="28"/>
      <c r="T508" s="28"/>
      <c r="U508" s="28"/>
      <c r="V508" s="28"/>
      <c r="W508" s="28"/>
      <c r="AD508" s="28"/>
      <c r="AE508" s="28"/>
      <c r="AF508" s="28"/>
      <c r="AG508" s="28"/>
      <c r="AN508" s="28"/>
      <c r="AO508" s="28"/>
      <c r="AP508" s="28"/>
      <c r="AQ508" s="28"/>
    </row>
    <row r="509">
      <c r="J509" s="28"/>
      <c r="K509" s="28"/>
      <c r="L509" s="28"/>
      <c r="M509" s="28"/>
      <c r="T509" s="28"/>
      <c r="U509" s="28"/>
      <c r="V509" s="28"/>
      <c r="W509" s="28"/>
      <c r="AD509" s="28"/>
      <c r="AE509" s="28"/>
      <c r="AF509" s="28"/>
      <c r="AG509" s="28"/>
      <c r="AN509" s="28"/>
      <c r="AO509" s="28"/>
      <c r="AP509" s="28"/>
      <c r="AQ509" s="28"/>
    </row>
    <row r="510">
      <c r="J510" s="28"/>
      <c r="K510" s="28"/>
      <c r="L510" s="28"/>
      <c r="M510" s="28"/>
      <c r="T510" s="28"/>
      <c r="U510" s="28"/>
      <c r="V510" s="28"/>
      <c r="W510" s="28"/>
      <c r="AD510" s="28"/>
      <c r="AE510" s="28"/>
      <c r="AF510" s="28"/>
      <c r="AG510" s="28"/>
      <c r="AN510" s="28"/>
      <c r="AO510" s="28"/>
      <c r="AP510" s="28"/>
      <c r="AQ510" s="28"/>
    </row>
    <row r="511">
      <c r="J511" s="28"/>
      <c r="K511" s="28"/>
      <c r="L511" s="28"/>
      <c r="M511" s="28"/>
      <c r="T511" s="28"/>
      <c r="U511" s="28"/>
      <c r="V511" s="28"/>
      <c r="W511" s="28"/>
      <c r="AD511" s="28"/>
      <c r="AE511" s="28"/>
      <c r="AF511" s="28"/>
      <c r="AG511" s="28"/>
      <c r="AN511" s="28"/>
      <c r="AO511" s="28"/>
      <c r="AP511" s="28"/>
      <c r="AQ511" s="28"/>
    </row>
    <row r="512">
      <c r="J512" s="28"/>
      <c r="K512" s="28"/>
      <c r="L512" s="28"/>
      <c r="M512" s="28"/>
      <c r="T512" s="28"/>
      <c r="U512" s="28"/>
      <c r="V512" s="28"/>
      <c r="W512" s="28"/>
      <c r="AD512" s="28"/>
      <c r="AE512" s="28"/>
      <c r="AF512" s="28"/>
      <c r="AG512" s="28"/>
      <c r="AN512" s="28"/>
      <c r="AO512" s="28"/>
      <c r="AP512" s="28"/>
      <c r="AQ512" s="28"/>
    </row>
    <row r="513">
      <c r="J513" s="28"/>
      <c r="K513" s="28"/>
      <c r="L513" s="28"/>
      <c r="M513" s="28"/>
      <c r="T513" s="28"/>
      <c r="U513" s="28"/>
      <c r="V513" s="28"/>
      <c r="W513" s="28"/>
      <c r="AD513" s="28"/>
      <c r="AE513" s="28"/>
      <c r="AF513" s="28"/>
      <c r="AG513" s="28"/>
      <c r="AN513" s="28"/>
      <c r="AO513" s="28"/>
      <c r="AP513" s="28"/>
      <c r="AQ513" s="28"/>
    </row>
    <row r="514">
      <c r="J514" s="28"/>
      <c r="K514" s="28"/>
      <c r="L514" s="28"/>
      <c r="M514" s="28"/>
      <c r="T514" s="28"/>
      <c r="U514" s="28"/>
      <c r="V514" s="28"/>
      <c r="W514" s="28"/>
      <c r="AD514" s="28"/>
      <c r="AE514" s="28"/>
      <c r="AF514" s="28"/>
      <c r="AG514" s="28"/>
      <c r="AN514" s="28"/>
      <c r="AO514" s="28"/>
      <c r="AP514" s="28"/>
      <c r="AQ514" s="28"/>
    </row>
    <row r="515">
      <c r="J515" s="28"/>
      <c r="K515" s="28"/>
      <c r="L515" s="28"/>
      <c r="M515" s="28"/>
      <c r="T515" s="28"/>
      <c r="U515" s="28"/>
      <c r="V515" s="28"/>
      <c r="W515" s="28"/>
      <c r="AD515" s="28"/>
      <c r="AE515" s="28"/>
      <c r="AF515" s="28"/>
      <c r="AG515" s="28"/>
      <c r="AN515" s="28"/>
      <c r="AO515" s="28"/>
      <c r="AP515" s="28"/>
      <c r="AQ515" s="28"/>
    </row>
    <row r="516">
      <c r="J516" s="28"/>
      <c r="K516" s="28"/>
      <c r="L516" s="28"/>
      <c r="M516" s="28"/>
      <c r="T516" s="28"/>
      <c r="U516" s="28"/>
      <c r="V516" s="28"/>
      <c r="W516" s="28"/>
      <c r="AD516" s="28"/>
      <c r="AE516" s="28"/>
      <c r="AF516" s="28"/>
      <c r="AG516" s="28"/>
      <c r="AN516" s="28"/>
      <c r="AO516" s="28"/>
      <c r="AP516" s="28"/>
      <c r="AQ516" s="28"/>
    </row>
    <row r="517">
      <c r="J517" s="28"/>
      <c r="K517" s="28"/>
      <c r="L517" s="28"/>
      <c r="M517" s="28"/>
      <c r="T517" s="28"/>
      <c r="U517" s="28"/>
      <c r="V517" s="28"/>
      <c r="W517" s="28"/>
      <c r="AD517" s="28"/>
      <c r="AE517" s="28"/>
      <c r="AF517" s="28"/>
      <c r="AG517" s="28"/>
      <c r="AN517" s="28"/>
      <c r="AO517" s="28"/>
      <c r="AP517" s="28"/>
      <c r="AQ517" s="28"/>
    </row>
    <row r="518">
      <c r="J518" s="28"/>
      <c r="K518" s="28"/>
      <c r="L518" s="28"/>
      <c r="M518" s="28"/>
      <c r="T518" s="28"/>
      <c r="U518" s="28"/>
      <c r="V518" s="28"/>
      <c r="W518" s="28"/>
      <c r="AD518" s="28"/>
      <c r="AE518" s="28"/>
      <c r="AF518" s="28"/>
      <c r="AG518" s="28"/>
      <c r="AN518" s="28"/>
      <c r="AO518" s="28"/>
      <c r="AP518" s="28"/>
      <c r="AQ518" s="28"/>
    </row>
    <row r="519">
      <c r="J519" s="28"/>
      <c r="K519" s="28"/>
      <c r="L519" s="28"/>
      <c r="M519" s="28"/>
      <c r="T519" s="28"/>
      <c r="U519" s="28"/>
      <c r="V519" s="28"/>
      <c r="W519" s="28"/>
      <c r="AD519" s="28"/>
      <c r="AE519" s="28"/>
      <c r="AF519" s="28"/>
      <c r="AG519" s="28"/>
      <c r="AN519" s="28"/>
      <c r="AO519" s="28"/>
      <c r="AP519" s="28"/>
      <c r="AQ519" s="28"/>
    </row>
    <row r="520">
      <c r="J520" s="28"/>
      <c r="K520" s="28"/>
      <c r="L520" s="28"/>
      <c r="M520" s="28"/>
      <c r="T520" s="28"/>
      <c r="U520" s="28"/>
      <c r="V520" s="28"/>
      <c r="W520" s="28"/>
      <c r="AD520" s="28"/>
      <c r="AE520" s="28"/>
      <c r="AF520" s="28"/>
      <c r="AG520" s="28"/>
      <c r="AN520" s="28"/>
      <c r="AO520" s="28"/>
      <c r="AP520" s="28"/>
      <c r="AQ520" s="28"/>
    </row>
    <row r="521">
      <c r="J521" s="28"/>
      <c r="K521" s="28"/>
      <c r="L521" s="28"/>
      <c r="M521" s="28"/>
      <c r="T521" s="28"/>
      <c r="U521" s="28"/>
      <c r="V521" s="28"/>
      <c r="W521" s="28"/>
      <c r="AD521" s="28"/>
      <c r="AE521" s="28"/>
      <c r="AF521" s="28"/>
      <c r="AG521" s="28"/>
      <c r="AN521" s="28"/>
      <c r="AO521" s="28"/>
      <c r="AP521" s="28"/>
      <c r="AQ521" s="28"/>
    </row>
    <row r="522">
      <c r="J522" s="28"/>
      <c r="K522" s="28"/>
      <c r="L522" s="28"/>
      <c r="M522" s="28"/>
      <c r="T522" s="28"/>
      <c r="U522" s="28"/>
      <c r="V522" s="28"/>
      <c r="W522" s="28"/>
      <c r="AD522" s="28"/>
      <c r="AE522" s="28"/>
      <c r="AF522" s="28"/>
      <c r="AG522" s="28"/>
      <c r="AN522" s="28"/>
      <c r="AO522" s="28"/>
      <c r="AP522" s="28"/>
      <c r="AQ522" s="28"/>
    </row>
    <row r="523">
      <c r="J523" s="28"/>
      <c r="K523" s="28"/>
      <c r="L523" s="28"/>
      <c r="M523" s="28"/>
      <c r="T523" s="28"/>
      <c r="U523" s="28"/>
      <c r="V523" s="28"/>
      <c r="W523" s="28"/>
      <c r="AD523" s="28"/>
      <c r="AE523" s="28"/>
      <c r="AF523" s="28"/>
      <c r="AG523" s="28"/>
      <c r="AN523" s="28"/>
      <c r="AO523" s="28"/>
      <c r="AP523" s="28"/>
      <c r="AQ523" s="28"/>
    </row>
    <row r="524">
      <c r="J524" s="28"/>
      <c r="K524" s="28"/>
      <c r="L524" s="28"/>
      <c r="M524" s="28"/>
      <c r="T524" s="28"/>
      <c r="U524" s="28"/>
      <c r="V524" s="28"/>
      <c r="W524" s="28"/>
      <c r="AD524" s="28"/>
      <c r="AE524" s="28"/>
      <c r="AF524" s="28"/>
      <c r="AG524" s="28"/>
      <c r="AN524" s="28"/>
      <c r="AO524" s="28"/>
      <c r="AP524" s="28"/>
      <c r="AQ524" s="28"/>
    </row>
    <row r="525">
      <c r="J525" s="28"/>
      <c r="K525" s="28"/>
      <c r="L525" s="28"/>
      <c r="M525" s="28"/>
      <c r="T525" s="28"/>
      <c r="U525" s="28"/>
      <c r="V525" s="28"/>
      <c r="W525" s="28"/>
      <c r="AD525" s="28"/>
      <c r="AE525" s="28"/>
      <c r="AF525" s="28"/>
      <c r="AG525" s="28"/>
      <c r="AN525" s="28"/>
      <c r="AO525" s="28"/>
      <c r="AP525" s="28"/>
      <c r="AQ525" s="28"/>
    </row>
    <row r="526">
      <c r="J526" s="28"/>
      <c r="K526" s="28"/>
      <c r="L526" s="28"/>
      <c r="M526" s="28"/>
      <c r="T526" s="28"/>
      <c r="U526" s="28"/>
      <c r="V526" s="28"/>
      <c r="W526" s="28"/>
      <c r="AD526" s="28"/>
      <c r="AE526" s="28"/>
      <c r="AF526" s="28"/>
      <c r="AG526" s="28"/>
      <c r="AN526" s="28"/>
      <c r="AO526" s="28"/>
      <c r="AP526" s="28"/>
      <c r="AQ526" s="28"/>
    </row>
    <row r="527">
      <c r="J527" s="28"/>
      <c r="K527" s="28"/>
      <c r="L527" s="28"/>
      <c r="M527" s="28"/>
      <c r="T527" s="28"/>
      <c r="U527" s="28"/>
      <c r="V527" s="28"/>
      <c r="W527" s="28"/>
      <c r="AD527" s="28"/>
      <c r="AE527" s="28"/>
      <c r="AF527" s="28"/>
      <c r="AG527" s="28"/>
      <c r="AN527" s="28"/>
      <c r="AO527" s="28"/>
      <c r="AP527" s="28"/>
      <c r="AQ527" s="28"/>
    </row>
    <row r="528">
      <c r="J528" s="28"/>
      <c r="K528" s="28"/>
      <c r="L528" s="28"/>
      <c r="M528" s="28"/>
      <c r="T528" s="28"/>
      <c r="U528" s="28"/>
      <c r="V528" s="28"/>
      <c r="W528" s="28"/>
      <c r="AD528" s="28"/>
      <c r="AE528" s="28"/>
      <c r="AF528" s="28"/>
      <c r="AG528" s="28"/>
      <c r="AN528" s="28"/>
      <c r="AO528" s="28"/>
      <c r="AP528" s="28"/>
      <c r="AQ528" s="28"/>
    </row>
    <row r="529">
      <c r="J529" s="28"/>
      <c r="K529" s="28"/>
      <c r="L529" s="28"/>
      <c r="M529" s="28"/>
      <c r="T529" s="28"/>
      <c r="U529" s="28"/>
      <c r="V529" s="28"/>
      <c r="W529" s="28"/>
      <c r="AD529" s="28"/>
      <c r="AE529" s="28"/>
      <c r="AF529" s="28"/>
      <c r="AG529" s="28"/>
      <c r="AN529" s="28"/>
      <c r="AO529" s="28"/>
      <c r="AP529" s="28"/>
      <c r="AQ529" s="28"/>
    </row>
    <row r="530">
      <c r="J530" s="28"/>
      <c r="K530" s="28"/>
      <c r="L530" s="28"/>
      <c r="M530" s="28"/>
      <c r="T530" s="28"/>
      <c r="U530" s="28"/>
      <c r="V530" s="28"/>
      <c r="W530" s="28"/>
      <c r="AD530" s="28"/>
      <c r="AE530" s="28"/>
      <c r="AF530" s="28"/>
      <c r="AG530" s="28"/>
      <c r="AN530" s="28"/>
      <c r="AO530" s="28"/>
      <c r="AP530" s="28"/>
      <c r="AQ530" s="28"/>
    </row>
    <row r="531">
      <c r="J531" s="28"/>
      <c r="K531" s="28"/>
      <c r="L531" s="28"/>
      <c r="M531" s="28"/>
      <c r="T531" s="28"/>
      <c r="U531" s="28"/>
      <c r="V531" s="28"/>
      <c r="W531" s="28"/>
      <c r="AD531" s="28"/>
      <c r="AE531" s="28"/>
      <c r="AF531" s="28"/>
      <c r="AG531" s="28"/>
      <c r="AN531" s="28"/>
      <c r="AO531" s="28"/>
      <c r="AP531" s="28"/>
      <c r="AQ531" s="28"/>
    </row>
    <row r="532">
      <c r="J532" s="28"/>
      <c r="K532" s="28"/>
      <c r="L532" s="28"/>
      <c r="M532" s="28"/>
      <c r="T532" s="28"/>
      <c r="U532" s="28"/>
      <c r="V532" s="28"/>
      <c r="W532" s="28"/>
      <c r="AD532" s="28"/>
      <c r="AE532" s="28"/>
      <c r="AF532" s="28"/>
      <c r="AG532" s="28"/>
      <c r="AN532" s="28"/>
      <c r="AO532" s="28"/>
      <c r="AP532" s="28"/>
      <c r="AQ532" s="28"/>
    </row>
    <row r="533">
      <c r="J533" s="28"/>
      <c r="K533" s="28"/>
      <c r="L533" s="28"/>
      <c r="M533" s="28"/>
      <c r="T533" s="28"/>
      <c r="U533" s="28"/>
      <c r="V533" s="28"/>
      <c r="W533" s="28"/>
      <c r="AD533" s="28"/>
      <c r="AE533" s="28"/>
      <c r="AF533" s="28"/>
      <c r="AG533" s="28"/>
      <c r="AN533" s="28"/>
      <c r="AO533" s="28"/>
      <c r="AP533" s="28"/>
      <c r="AQ533" s="28"/>
    </row>
    <row r="534">
      <c r="J534" s="28"/>
      <c r="K534" s="28"/>
      <c r="L534" s="28"/>
      <c r="M534" s="28"/>
      <c r="T534" s="28"/>
      <c r="U534" s="28"/>
      <c r="V534" s="28"/>
      <c r="W534" s="28"/>
      <c r="AD534" s="28"/>
      <c r="AE534" s="28"/>
      <c r="AF534" s="28"/>
      <c r="AG534" s="28"/>
      <c r="AN534" s="28"/>
      <c r="AO534" s="28"/>
      <c r="AP534" s="28"/>
      <c r="AQ534" s="28"/>
    </row>
    <row r="535">
      <c r="J535" s="28"/>
      <c r="K535" s="28"/>
      <c r="L535" s="28"/>
      <c r="M535" s="28"/>
      <c r="T535" s="28"/>
      <c r="U535" s="28"/>
      <c r="V535" s="28"/>
      <c r="W535" s="28"/>
      <c r="AD535" s="28"/>
      <c r="AE535" s="28"/>
      <c r="AF535" s="28"/>
      <c r="AG535" s="28"/>
      <c r="AN535" s="28"/>
      <c r="AO535" s="28"/>
      <c r="AP535" s="28"/>
      <c r="AQ535" s="28"/>
    </row>
    <row r="536">
      <c r="J536" s="28"/>
      <c r="K536" s="28"/>
      <c r="L536" s="28"/>
      <c r="M536" s="28"/>
      <c r="T536" s="28"/>
      <c r="U536" s="28"/>
      <c r="V536" s="28"/>
      <c r="W536" s="28"/>
      <c r="AD536" s="28"/>
      <c r="AE536" s="28"/>
      <c r="AF536" s="28"/>
      <c r="AG536" s="28"/>
      <c r="AN536" s="28"/>
      <c r="AO536" s="28"/>
      <c r="AP536" s="28"/>
      <c r="AQ536" s="28"/>
    </row>
    <row r="537">
      <c r="J537" s="28"/>
      <c r="K537" s="28"/>
      <c r="L537" s="28"/>
      <c r="M537" s="28"/>
      <c r="T537" s="28"/>
      <c r="U537" s="28"/>
      <c r="V537" s="28"/>
      <c r="W537" s="28"/>
      <c r="AD537" s="28"/>
      <c r="AE537" s="28"/>
      <c r="AF537" s="28"/>
      <c r="AG537" s="28"/>
      <c r="AN537" s="28"/>
      <c r="AO537" s="28"/>
      <c r="AP537" s="28"/>
      <c r="AQ537" s="28"/>
    </row>
    <row r="538">
      <c r="J538" s="28"/>
      <c r="K538" s="28"/>
      <c r="L538" s="28"/>
      <c r="M538" s="28"/>
      <c r="T538" s="28"/>
      <c r="U538" s="28"/>
      <c r="V538" s="28"/>
      <c r="W538" s="28"/>
      <c r="AD538" s="28"/>
      <c r="AE538" s="28"/>
      <c r="AF538" s="28"/>
      <c r="AG538" s="28"/>
      <c r="AN538" s="28"/>
      <c r="AO538" s="28"/>
      <c r="AP538" s="28"/>
      <c r="AQ538" s="28"/>
    </row>
    <row r="539">
      <c r="J539" s="28"/>
      <c r="K539" s="28"/>
      <c r="L539" s="28"/>
      <c r="M539" s="28"/>
      <c r="T539" s="28"/>
      <c r="U539" s="28"/>
      <c r="V539" s="28"/>
      <c r="W539" s="28"/>
      <c r="AD539" s="28"/>
      <c r="AE539" s="28"/>
      <c r="AF539" s="28"/>
      <c r="AG539" s="28"/>
      <c r="AN539" s="28"/>
      <c r="AO539" s="28"/>
      <c r="AP539" s="28"/>
      <c r="AQ539" s="28"/>
    </row>
    <row r="540">
      <c r="J540" s="28"/>
      <c r="K540" s="28"/>
      <c r="L540" s="28"/>
      <c r="M540" s="28"/>
      <c r="T540" s="28"/>
      <c r="U540" s="28"/>
      <c r="V540" s="28"/>
      <c r="W540" s="28"/>
      <c r="AD540" s="28"/>
      <c r="AE540" s="28"/>
      <c r="AF540" s="28"/>
      <c r="AG540" s="28"/>
      <c r="AN540" s="28"/>
      <c r="AO540" s="28"/>
      <c r="AP540" s="28"/>
      <c r="AQ540" s="28"/>
    </row>
    <row r="541">
      <c r="J541" s="28"/>
      <c r="K541" s="28"/>
      <c r="L541" s="28"/>
      <c r="M541" s="28"/>
      <c r="T541" s="28"/>
      <c r="U541" s="28"/>
      <c r="V541" s="28"/>
      <c r="W541" s="28"/>
      <c r="AD541" s="28"/>
      <c r="AE541" s="28"/>
      <c r="AF541" s="28"/>
      <c r="AG541" s="28"/>
      <c r="AN541" s="28"/>
      <c r="AO541" s="28"/>
      <c r="AP541" s="28"/>
      <c r="AQ541" s="28"/>
    </row>
    <row r="542">
      <c r="J542" s="28"/>
      <c r="K542" s="28"/>
      <c r="L542" s="28"/>
      <c r="M542" s="28"/>
      <c r="T542" s="28"/>
      <c r="U542" s="28"/>
      <c r="V542" s="28"/>
      <c r="W542" s="28"/>
      <c r="AD542" s="28"/>
      <c r="AE542" s="28"/>
      <c r="AF542" s="28"/>
      <c r="AG542" s="28"/>
      <c r="AN542" s="28"/>
      <c r="AO542" s="28"/>
      <c r="AP542" s="28"/>
      <c r="AQ542" s="28"/>
    </row>
    <row r="543">
      <c r="J543" s="28"/>
      <c r="K543" s="28"/>
      <c r="L543" s="28"/>
      <c r="M543" s="28"/>
      <c r="T543" s="28"/>
      <c r="U543" s="28"/>
      <c r="V543" s="28"/>
      <c r="W543" s="28"/>
      <c r="AD543" s="28"/>
      <c r="AE543" s="28"/>
      <c r="AF543" s="28"/>
      <c r="AG543" s="28"/>
      <c r="AN543" s="28"/>
      <c r="AO543" s="28"/>
      <c r="AP543" s="28"/>
      <c r="AQ543" s="28"/>
    </row>
    <row r="544">
      <c r="J544" s="28"/>
      <c r="K544" s="28"/>
      <c r="L544" s="28"/>
      <c r="M544" s="28"/>
      <c r="T544" s="28"/>
      <c r="U544" s="28"/>
      <c r="V544" s="28"/>
      <c r="W544" s="28"/>
      <c r="AD544" s="28"/>
      <c r="AE544" s="28"/>
      <c r="AF544" s="28"/>
      <c r="AG544" s="28"/>
      <c r="AN544" s="28"/>
      <c r="AO544" s="28"/>
      <c r="AP544" s="28"/>
      <c r="AQ544" s="28"/>
    </row>
    <row r="545">
      <c r="J545" s="28"/>
      <c r="K545" s="28"/>
      <c r="L545" s="28"/>
      <c r="M545" s="28"/>
      <c r="T545" s="28"/>
      <c r="U545" s="28"/>
      <c r="V545" s="28"/>
      <c r="W545" s="28"/>
      <c r="AD545" s="28"/>
      <c r="AE545" s="28"/>
      <c r="AF545" s="28"/>
      <c r="AG545" s="28"/>
      <c r="AN545" s="28"/>
      <c r="AO545" s="28"/>
      <c r="AP545" s="28"/>
      <c r="AQ545" s="28"/>
    </row>
    <row r="546">
      <c r="J546" s="28"/>
      <c r="K546" s="28"/>
      <c r="L546" s="28"/>
      <c r="M546" s="28"/>
      <c r="T546" s="28"/>
      <c r="U546" s="28"/>
      <c r="V546" s="28"/>
      <c r="W546" s="28"/>
      <c r="AD546" s="28"/>
      <c r="AE546" s="28"/>
      <c r="AF546" s="28"/>
      <c r="AG546" s="28"/>
      <c r="AN546" s="28"/>
      <c r="AO546" s="28"/>
      <c r="AP546" s="28"/>
      <c r="AQ546" s="28"/>
    </row>
    <row r="547">
      <c r="J547" s="28"/>
      <c r="K547" s="28"/>
      <c r="L547" s="28"/>
      <c r="M547" s="28"/>
      <c r="T547" s="28"/>
      <c r="U547" s="28"/>
      <c r="V547" s="28"/>
      <c r="W547" s="28"/>
      <c r="AD547" s="28"/>
      <c r="AE547" s="28"/>
      <c r="AF547" s="28"/>
      <c r="AG547" s="28"/>
      <c r="AN547" s="28"/>
      <c r="AO547" s="28"/>
      <c r="AP547" s="28"/>
      <c r="AQ547" s="28"/>
    </row>
    <row r="548">
      <c r="J548" s="28"/>
      <c r="K548" s="28"/>
      <c r="L548" s="28"/>
      <c r="M548" s="28"/>
      <c r="T548" s="28"/>
      <c r="U548" s="28"/>
      <c r="V548" s="28"/>
      <c r="W548" s="28"/>
      <c r="AD548" s="28"/>
      <c r="AE548" s="28"/>
      <c r="AF548" s="28"/>
      <c r="AG548" s="28"/>
      <c r="AN548" s="28"/>
      <c r="AO548" s="28"/>
      <c r="AP548" s="28"/>
      <c r="AQ548" s="28"/>
    </row>
    <row r="549">
      <c r="J549" s="28"/>
      <c r="K549" s="28"/>
      <c r="L549" s="28"/>
      <c r="M549" s="28"/>
      <c r="T549" s="28"/>
      <c r="U549" s="28"/>
      <c r="V549" s="28"/>
      <c r="W549" s="28"/>
      <c r="AD549" s="28"/>
      <c r="AE549" s="28"/>
      <c r="AF549" s="28"/>
      <c r="AG549" s="28"/>
      <c r="AN549" s="28"/>
      <c r="AO549" s="28"/>
      <c r="AP549" s="28"/>
      <c r="AQ549" s="28"/>
    </row>
    <row r="550">
      <c r="J550" s="28"/>
      <c r="K550" s="28"/>
      <c r="L550" s="28"/>
      <c r="M550" s="28"/>
      <c r="T550" s="28"/>
      <c r="U550" s="28"/>
      <c r="V550" s="28"/>
      <c r="W550" s="28"/>
      <c r="AD550" s="28"/>
      <c r="AE550" s="28"/>
      <c r="AF550" s="28"/>
      <c r="AG550" s="28"/>
      <c r="AN550" s="28"/>
      <c r="AO550" s="28"/>
      <c r="AP550" s="28"/>
      <c r="AQ550" s="28"/>
    </row>
    <row r="551">
      <c r="J551" s="28"/>
      <c r="K551" s="28"/>
      <c r="L551" s="28"/>
      <c r="M551" s="28"/>
      <c r="T551" s="28"/>
      <c r="U551" s="28"/>
      <c r="V551" s="28"/>
      <c r="W551" s="28"/>
      <c r="AD551" s="28"/>
      <c r="AE551" s="28"/>
      <c r="AF551" s="28"/>
      <c r="AG551" s="28"/>
      <c r="AN551" s="28"/>
      <c r="AO551" s="28"/>
      <c r="AP551" s="28"/>
      <c r="AQ551" s="28"/>
    </row>
    <row r="552">
      <c r="J552" s="28"/>
      <c r="K552" s="28"/>
      <c r="L552" s="28"/>
      <c r="M552" s="28"/>
      <c r="T552" s="28"/>
      <c r="U552" s="28"/>
      <c r="V552" s="28"/>
      <c r="W552" s="28"/>
      <c r="AD552" s="28"/>
      <c r="AE552" s="28"/>
      <c r="AF552" s="28"/>
      <c r="AG552" s="28"/>
      <c r="AN552" s="28"/>
      <c r="AO552" s="28"/>
      <c r="AP552" s="28"/>
      <c r="AQ552" s="28"/>
    </row>
    <row r="553">
      <c r="J553" s="28"/>
      <c r="K553" s="28"/>
      <c r="L553" s="28"/>
      <c r="M553" s="28"/>
      <c r="T553" s="28"/>
      <c r="U553" s="28"/>
      <c r="V553" s="28"/>
      <c r="W553" s="28"/>
      <c r="AD553" s="28"/>
      <c r="AE553" s="28"/>
      <c r="AF553" s="28"/>
      <c r="AG553" s="28"/>
      <c r="AN553" s="28"/>
      <c r="AO553" s="28"/>
      <c r="AP553" s="28"/>
      <c r="AQ553" s="28"/>
    </row>
    <row r="554">
      <c r="J554" s="28"/>
      <c r="K554" s="28"/>
      <c r="L554" s="28"/>
      <c r="M554" s="28"/>
      <c r="T554" s="28"/>
      <c r="U554" s="28"/>
      <c r="V554" s="28"/>
      <c r="W554" s="28"/>
      <c r="AD554" s="28"/>
      <c r="AE554" s="28"/>
      <c r="AF554" s="28"/>
      <c r="AG554" s="28"/>
      <c r="AN554" s="28"/>
      <c r="AO554" s="28"/>
      <c r="AP554" s="28"/>
      <c r="AQ554" s="28"/>
    </row>
    <row r="555">
      <c r="J555" s="28"/>
      <c r="K555" s="28"/>
      <c r="L555" s="28"/>
      <c r="M555" s="28"/>
      <c r="T555" s="28"/>
      <c r="U555" s="28"/>
      <c r="V555" s="28"/>
      <c r="W555" s="28"/>
      <c r="AD555" s="28"/>
      <c r="AE555" s="28"/>
      <c r="AF555" s="28"/>
      <c r="AG555" s="28"/>
      <c r="AN555" s="28"/>
      <c r="AO555" s="28"/>
      <c r="AP555" s="28"/>
      <c r="AQ555" s="28"/>
    </row>
    <row r="556">
      <c r="J556" s="28"/>
      <c r="K556" s="28"/>
      <c r="L556" s="28"/>
      <c r="M556" s="28"/>
      <c r="T556" s="28"/>
      <c r="U556" s="28"/>
      <c r="V556" s="28"/>
      <c r="W556" s="28"/>
      <c r="AD556" s="28"/>
      <c r="AE556" s="28"/>
      <c r="AF556" s="28"/>
      <c r="AG556" s="28"/>
      <c r="AN556" s="28"/>
      <c r="AO556" s="28"/>
      <c r="AP556" s="28"/>
      <c r="AQ556" s="28"/>
    </row>
    <row r="557">
      <c r="J557" s="28"/>
      <c r="K557" s="28"/>
      <c r="L557" s="28"/>
      <c r="M557" s="28"/>
      <c r="T557" s="28"/>
      <c r="U557" s="28"/>
      <c r="V557" s="28"/>
      <c r="W557" s="28"/>
      <c r="AD557" s="28"/>
      <c r="AE557" s="28"/>
      <c r="AF557" s="28"/>
      <c r="AG557" s="28"/>
      <c r="AN557" s="28"/>
      <c r="AO557" s="28"/>
      <c r="AP557" s="28"/>
      <c r="AQ557" s="28"/>
    </row>
    <row r="558">
      <c r="J558" s="28"/>
      <c r="K558" s="28"/>
      <c r="L558" s="28"/>
      <c r="M558" s="28"/>
      <c r="T558" s="28"/>
      <c r="U558" s="28"/>
      <c r="V558" s="28"/>
      <c r="W558" s="28"/>
      <c r="AD558" s="28"/>
      <c r="AE558" s="28"/>
      <c r="AF558" s="28"/>
      <c r="AG558" s="28"/>
      <c r="AN558" s="28"/>
      <c r="AO558" s="28"/>
      <c r="AP558" s="28"/>
      <c r="AQ558" s="28"/>
    </row>
    <row r="559">
      <c r="J559" s="28"/>
      <c r="K559" s="28"/>
      <c r="L559" s="28"/>
      <c r="M559" s="28"/>
      <c r="T559" s="28"/>
      <c r="U559" s="28"/>
      <c r="V559" s="28"/>
      <c r="W559" s="28"/>
      <c r="AD559" s="28"/>
      <c r="AE559" s="28"/>
      <c r="AF559" s="28"/>
      <c r="AG559" s="28"/>
      <c r="AN559" s="28"/>
      <c r="AO559" s="28"/>
      <c r="AP559" s="28"/>
      <c r="AQ559" s="28"/>
    </row>
    <row r="560">
      <c r="J560" s="28"/>
      <c r="K560" s="28"/>
      <c r="L560" s="28"/>
      <c r="M560" s="28"/>
      <c r="T560" s="28"/>
      <c r="U560" s="28"/>
      <c r="V560" s="28"/>
      <c r="W560" s="28"/>
      <c r="AD560" s="28"/>
      <c r="AE560" s="28"/>
      <c r="AF560" s="28"/>
      <c r="AG560" s="28"/>
      <c r="AN560" s="28"/>
      <c r="AO560" s="28"/>
      <c r="AP560" s="28"/>
      <c r="AQ560" s="28"/>
    </row>
    <row r="561">
      <c r="J561" s="28"/>
      <c r="K561" s="28"/>
      <c r="L561" s="28"/>
      <c r="M561" s="28"/>
      <c r="T561" s="28"/>
      <c r="U561" s="28"/>
      <c r="V561" s="28"/>
      <c r="W561" s="28"/>
      <c r="AD561" s="28"/>
      <c r="AE561" s="28"/>
      <c r="AF561" s="28"/>
      <c r="AG561" s="28"/>
      <c r="AN561" s="28"/>
      <c r="AO561" s="28"/>
      <c r="AP561" s="28"/>
      <c r="AQ561" s="28"/>
    </row>
    <row r="562">
      <c r="J562" s="28"/>
      <c r="K562" s="28"/>
      <c r="L562" s="28"/>
      <c r="M562" s="28"/>
      <c r="T562" s="28"/>
      <c r="U562" s="28"/>
      <c r="V562" s="28"/>
      <c r="W562" s="28"/>
      <c r="AD562" s="28"/>
      <c r="AE562" s="28"/>
      <c r="AF562" s="28"/>
      <c r="AG562" s="28"/>
      <c r="AN562" s="28"/>
      <c r="AO562" s="28"/>
      <c r="AP562" s="28"/>
      <c r="AQ562" s="28"/>
    </row>
    <row r="563">
      <c r="J563" s="28"/>
      <c r="K563" s="28"/>
      <c r="L563" s="28"/>
      <c r="M563" s="28"/>
      <c r="T563" s="28"/>
      <c r="U563" s="28"/>
      <c r="V563" s="28"/>
      <c r="W563" s="28"/>
      <c r="AD563" s="28"/>
      <c r="AE563" s="28"/>
      <c r="AF563" s="28"/>
      <c r="AG563" s="28"/>
      <c r="AN563" s="28"/>
      <c r="AO563" s="28"/>
      <c r="AP563" s="28"/>
      <c r="AQ563" s="28"/>
    </row>
    <row r="564">
      <c r="J564" s="28"/>
      <c r="K564" s="28"/>
      <c r="L564" s="28"/>
      <c r="M564" s="28"/>
      <c r="T564" s="28"/>
      <c r="U564" s="28"/>
      <c r="V564" s="28"/>
      <c r="W564" s="28"/>
      <c r="AD564" s="28"/>
      <c r="AE564" s="28"/>
      <c r="AF564" s="28"/>
      <c r="AG564" s="28"/>
      <c r="AN564" s="28"/>
      <c r="AO564" s="28"/>
      <c r="AP564" s="28"/>
      <c r="AQ564" s="28"/>
    </row>
    <row r="565">
      <c r="J565" s="28"/>
      <c r="K565" s="28"/>
      <c r="L565" s="28"/>
      <c r="M565" s="28"/>
      <c r="T565" s="28"/>
      <c r="U565" s="28"/>
      <c r="V565" s="28"/>
      <c r="W565" s="28"/>
      <c r="AD565" s="28"/>
      <c r="AE565" s="28"/>
      <c r="AF565" s="28"/>
      <c r="AG565" s="28"/>
      <c r="AN565" s="28"/>
      <c r="AO565" s="28"/>
      <c r="AP565" s="28"/>
      <c r="AQ565" s="28"/>
    </row>
    <row r="566">
      <c r="J566" s="28"/>
      <c r="K566" s="28"/>
      <c r="L566" s="28"/>
      <c r="M566" s="28"/>
      <c r="T566" s="28"/>
      <c r="U566" s="28"/>
      <c r="V566" s="28"/>
      <c r="W566" s="28"/>
      <c r="AD566" s="28"/>
      <c r="AE566" s="28"/>
      <c r="AF566" s="28"/>
      <c r="AG566" s="28"/>
      <c r="AN566" s="28"/>
      <c r="AO566" s="28"/>
      <c r="AP566" s="28"/>
      <c r="AQ566" s="28"/>
    </row>
    <row r="567">
      <c r="J567" s="28"/>
      <c r="K567" s="28"/>
      <c r="L567" s="28"/>
      <c r="M567" s="28"/>
      <c r="T567" s="28"/>
      <c r="U567" s="28"/>
      <c r="V567" s="28"/>
      <c r="W567" s="28"/>
      <c r="AD567" s="28"/>
      <c r="AE567" s="28"/>
      <c r="AF567" s="28"/>
      <c r="AG567" s="28"/>
      <c r="AN567" s="28"/>
      <c r="AO567" s="28"/>
      <c r="AP567" s="28"/>
      <c r="AQ567" s="28"/>
    </row>
    <row r="568">
      <c r="J568" s="28"/>
      <c r="K568" s="28"/>
      <c r="L568" s="28"/>
      <c r="M568" s="28"/>
      <c r="T568" s="28"/>
      <c r="U568" s="28"/>
      <c r="V568" s="28"/>
      <c r="W568" s="28"/>
      <c r="AD568" s="28"/>
      <c r="AE568" s="28"/>
      <c r="AF568" s="28"/>
      <c r="AG568" s="28"/>
      <c r="AN568" s="28"/>
      <c r="AO568" s="28"/>
      <c r="AP568" s="28"/>
      <c r="AQ568" s="28"/>
    </row>
    <row r="569">
      <c r="J569" s="28"/>
      <c r="K569" s="28"/>
      <c r="L569" s="28"/>
      <c r="M569" s="28"/>
      <c r="T569" s="28"/>
      <c r="U569" s="28"/>
      <c r="V569" s="28"/>
      <c r="W569" s="28"/>
      <c r="AD569" s="28"/>
      <c r="AE569" s="28"/>
      <c r="AF569" s="28"/>
      <c r="AG569" s="28"/>
      <c r="AN569" s="28"/>
      <c r="AO569" s="28"/>
      <c r="AP569" s="28"/>
      <c r="AQ569" s="28"/>
    </row>
    <row r="570">
      <c r="J570" s="28"/>
      <c r="K570" s="28"/>
      <c r="L570" s="28"/>
      <c r="M570" s="28"/>
      <c r="T570" s="28"/>
      <c r="U570" s="28"/>
      <c r="V570" s="28"/>
      <c r="W570" s="28"/>
      <c r="AD570" s="28"/>
      <c r="AE570" s="28"/>
      <c r="AF570" s="28"/>
      <c r="AG570" s="28"/>
      <c r="AN570" s="28"/>
      <c r="AO570" s="28"/>
      <c r="AP570" s="28"/>
      <c r="AQ570" s="28"/>
    </row>
    <row r="571">
      <c r="J571" s="28"/>
      <c r="K571" s="28"/>
      <c r="L571" s="28"/>
      <c r="M571" s="28"/>
      <c r="T571" s="28"/>
      <c r="U571" s="28"/>
      <c r="V571" s="28"/>
      <c r="W571" s="28"/>
      <c r="AD571" s="28"/>
      <c r="AE571" s="28"/>
      <c r="AF571" s="28"/>
      <c r="AG571" s="28"/>
      <c r="AN571" s="28"/>
      <c r="AO571" s="28"/>
      <c r="AP571" s="28"/>
      <c r="AQ571" s="28"/>
    </row>
    <row r="572">
      <c r="J572" s="28"/>
      <c r="K572" s="28"/>
      <c r="L572" s="28"/>
      <c r="M572" s="28"/>
      <c r="T572" s="28"/>
      <c r="U572" s="28"/>
      <c r="V572" s="28"/>
      <c r="W572" s="28"/>
      <c r="AD572" s="28"/>
      <c r="AE572" s="28"/>
      <c r="AF572" s="28"/>
      <c r="AG572" s="28"/>
      <c r="AN572" s="28"/>
      <c r="AO572" s="28"/>
      <c r="AP572" s="28"/>
      <c r="AQ572" s="28"/>
    </row>
    <row r="573">
      <c r="J573" s="28"/>
      <c r="K573" s="28"/>
      <c r="L573" s="28"/>
      <c r="M573" s="28"/>
      <c r="T573" s="28"/>
      <c r="U573" s="28"/>
      <c r="V573" s="28"/>
      <c r="W573" s="28"/>
      <c r="AD573" s="28"/>
      <c r="AE573" s="28"/>
      <c r="AF573" s="28"/>
      <c r="AG573" s="28"/>
      <c r="AN573" s="28"/>
      <c r="AO573" s="28"/>
      <c r="AP573" s="28"/>
      <c r="AQ573" s="28"/>
    </row>
    <row r="574">
      <c r="J574" s="28"/>
      <c r="K574" s="28"/>
      <c r="L574" s="28"/>
      <c r="M574" s="28"/>
      <c r="T574" s="28"/>
      <c r="U574" s="28"/>
      <c r="V574" s="28"/>
      <c r="W574" s="28"/>
      <c r="AD574" s="28"/>
      <c r="AE574" s="28"/>
      <c r="AF574" s="28"/>
      <c r="AG574" s="28"/>
      <c r="AN574" s="28"/>
      <c r="AO574" s="28"/>
      <c r="AP574" s="28"/>
      <c r="AQ574" s="28"/>
    </row>
    <row r="575">
      <c r="J575" s="28"/>
      <c r="K575" s="28"/>
      <c r="L575" s="28"/>
      <c r="M575" s="28"/>
      <c r="T575" s="28"/>
      <c r="U575" s="28"/>
      <c r="V575" s="28"/>
      <c r="W575" s="28"/>
      <c r="AD575" s="28"/>
      <c r="AE575" s="28"/>
      <c r="AF575" s="28"/>
      <c r="AG575" s="28"/>
      <c r="AN575" s="28"/>
      <c r="AO575" s="28"/>
      <c r="AP575" s="28"/>
      <c r="AQ575" s="28"/>
    </row>
    <row r="576">
      <c r="J576" s="28"/>
      <c r="K576" s="28"/>
      <c r="L576" s="28"/>
      <c r="M576" s="28"/>
      <c r="T576" s="28"/>
      <c r="U576" s="28"/>
      <c r="V576" s="28"/>
      <c r="W576" s="28"/>
      <c r="AD576" s="28"/>
      <c r="AE576" s="28"/>
      <c r="AF576" s="28"/>
      <c r="AG576" s="28"/>
      <c r="AN576" s="28"/>
      <c r="AO576" s="28"/>
      <c r="AP576" s="28"/>
      <c r="AQ576" s="28"/>
    </row>
    <row r="577">
      <c r="J577" s="28"/>
      <c r="K577" s="28"/>
      <c r="L577" s="28"/>
      <c r="M577" s="28"/>
      <c r="T577" s="28"/>
      <c r="U577" s="28"/>
      <c r="V577" s="28"/>
      <c r="W577" s="28"/>
      <c r="AD577" s="28"/>
      <c r="AE577" s="28"/>
      <c r="AF577" s="28"/>
      <c r="AG577" s="28"/>
      <c r="AN577" s="28"/>
      <c r="AO577" s="28"/>
      <c r="AP577" s="28"/>
      <c r="AQ577" s="28"/>
    </row>
    <row r="578">
      <c r="J578" s="28"/>
      <c r="K578" s="28"/>
      <c r="L578" s="28"/>
      <c r="M578" s="28"/>
      <c r="T578" s="28"/>
      <c r="U578" s="28"/>
      <c r="V578" s="28"/>
      <c r="W578" s="28"/>
      <c r="AD578" s="28"/>
      <c r="AE578" s="28"/>
      <c r="AF578" s="28"/>
      <c r="AG578" s="28"/>
      <c r="AN578" s="28"/>
      <c r="AO578" s="28"/>
      <c r="AP578" s="28"/>
      <c r="AQ578" s="28"/>
    </row>
    <row r="579">
      <c r="J579" s="28"/>
      <c r="K579" s="28"/>
      <c r="L579" s="28"/>
      <c r="M579" s="28"/>
      <c r="T579" s="28"/>
      <c r="U579" s="28"/>
      <c r="V579" s="28"/>
      <c r="W579" s="28"/>
      <c r="AD579" s="28"/>
      <c r="AE579" s="28"/>
      <c r="AF579" s="28"/>
      <c r="AG579" s="28"/>
      <c r="AN579" s="28"/>
      <c r="AO579" s="28"/>
      <c r="AP579" s="28"/>
      <c r="AQ579" s="28"/>
    </row>
    <row r="580">
      <c r="J580" s="28"/>
      <c r="K580" s="28"/>
      <c r="L580" s="28"/>
      <c r="M580" s="28"/>
      <c r="T580" s="28"/>
      <c r="U580" s="28"/>
      <c r="V580" s="28"/>
      <c r="W580" s="28"/>
      <c r="AD580" s="28"/>
      <c r="AE580" s="28"/>
      <c r="AF580" s="28"/>
      <c r="AG580" s="28"/>
      <c r="AN580" s="28"/>
      <c r="AO580" s="28"/>
      <c r="AP580" s="28"/>
      <c r="AQ580" s="28"/>
    </row>
    <row r="581">
      <c r="J581" s="28"/>
      <c r="K581" s="28"/>
      <c r="L581" s="28"/>
      <c r="M581" s="28"/>
      <c r="T581" s="28"/>
      <c r="U581" s="28"/>
      <c r="V581" s="28"/>
      <c r="W581" s="28"/>
      <c r="AD581" s="28"/>
      <c r="AE581" s="28"/>
      <c r="AF581" s="28"/>
      <c r="AG581" s="28"/>
      <c r="AN581" s="28"/>
      <c r="AO581" s="28"/>
      <c r="AP581" s="28"/>
      <c r="AQ581" s="28"/>
    </row>
    <row r="582">
      <c r="J582" s="28"/>
      <c r="K582" s="28"/>
      <c r="L582" s="28"/>
      <c r="M582" s="28"/>
      <c r="T582" s="28"/>
      <c r="U582" s="28"/>
      <c r="V582" s="28"/>
      <c r="W582" s="28"/>
      <c r="AD582" s="28"/>
      <c r="AE582" s="28"/>
      <c r="AF582" s="28"/>
      <c r="AG582" s="28"/>
      <c r="AN582" s="28"/>
      <c r="AO582" s="28"/>
      <c r="AP582" s="28"/>
      <c r="AQ582" s="28"/>
    </row>
    <row r="583">
      <c r="J583" s="28"/>
      <c r="K583" s="28"/>
      <c r="L583" s="28"/>
      <c r="M583" s="28"/>
      <c r="T583" s="28"/>
      <c r="U583" s="28"/>
      <c r="V583" s="28"/>
      <c r="W583" s="28"/>
      <c r="AD583" s="28"/>
      <c r="AE583" s="28"/>
      <c r="AF583" s="28"/>
      <c r="AG583" s="28"/>
      <c r="AN583" s="28"/>
      <c r="AO583" s="28"/>
      <c r="AP583" s="28"/>
      <c r="AQ583" s="28"/>
    </row>
    <row r="584">
      <c r="J584" s="28"/>
      <c r="K584" s="28"/>
      <c r="L584" s="28"/>
      <c r="M584" s="28"/>
      <c r="T584" s="28"/>
      <c r="U584" s="28"/>
      <c r="V584" s="28"/>
      <c r="W584" s="28"/>
      <c r="AD584" s="28"/>
      <c r="AE584" s="28"/>
      <c r="AF584" s="28"/>
      <c r="AG584" s="28"/>
      <c r="AN584" s="28"/>
      <c r="AO584" s="28"/>
      <c r="AP584" s="28"/>
      <c r="AQ584" s="28"/>
    </row>
    <row r="585">
      <c r="J585" s="28"/>
      <c r="K585" s="28"/>
      <c r="L585" s="28"/>
      <c r="M585" s="28"/>
      <c r="T585" s="28"/>
      <c r="U585" s="28"/>
      <c r="V585" s="28"/>
      <c r="W585" s="28"/>
      <c r="AD585" s="28"/>
      <c r="AE585" s="28"/>
      <c r="AF585" s="28"/>
      <c r="AG585" s="28"/>
      <c r="AN585" s="28"/>
      <c r="AO585" s="28"/>
      <c r="AP585" s="28"/>
      <c r="AQ585" s="28"/>
    </row>
    <row r="586">
      <c r="J586" s="28"/>
      <c r="K586" s="28"/>
      <c r="L586" s="28"/>
      <c r="M586" s="28"/>
      <c r="T586" s="28"/>
      <c r="U586" s="28"/>
      <c r="V586" s="28"/>
      <c r="W586" s="28"/>
      <c r="AD586" s="28"/>
      <c r="AE586" s="28"/>
      <c r="AF586" s="28"/>
      <c r="AG586" s="28"/>
      <c r="AN586" s="28"/>
      <c r="AO586" s="28"/>
      <c r="AP586" s="28"/>
      <c r="AQ586" s="28"/>
    </row>
    <row r="587">
      <c r="J587" s="28"/>
      <c r="K587" s="28"/>
      <c r="L587" s="28"/>
      <c r="M587" s="28"/>
      <c r="T587" s="28"/>
      <c r="U587" s="28"/>
      <c r="V587" s="28"/>
      <c r="W587" s="28"/>
      <c r="AD587" s="28"/>
      <c r="AE587" s="28"/>
      <c r="AF587" s="28"/>
      <c r="AG587" s="28"/>
      <c r="AN587" s="28"/>
      <c r="AO587" s="28"/>
      <c r="AP587" s="28"/>
      <c r="AQ587" s="28"/>
    </row>
    <row r="588">
      <c r="J588" s="28"/>
      <c r="K588" s="28"/>
      <c r="L588" s="28"/>
      <c r="M588" s="28"/>
      <c r="T588" s="28"/>
      <c r="U588" s="28"/>
      <c r="V588" s="28"/>
      <c r="W588" s="28"/>
      <c r="AD588" s="28"/>
      <c r="AE588" s="28"/>
      <c r="AF588" s="28"/>
      <c r="AG588" s="28"/>
      <c r="AN588" s="28"/>
      <c r="AO588" s="28"/>
      <c r="AP588" s="28"/>
      <c r="AQ588" s="28"/>
    </row>
    <row r="589">
      <c r="J589" s="28"/>
      <c r="K589" s="28"/>
      <c r="L589" s="28"/>
      <c r="M589" s="28"/>
      <c r="T589" s="28"/>
      <c r="U589" s="28"/>
      <c r="V589" s="28"/>
      <c r="W589" s="28"/>
      <c r="AD589" s="28"/>
      <c r="AE589" s="28"/>
      <c r="AF589" s="28"/>
      <c r="AG589" s="28"/>
      <c r="AN589" s="28"/>
      <c r="AO589" s="28"/>
      <c r="AP589" s="28"/>
      <c r="AQ589" s="28"/>
    </row>
    <row r="590">
      <c r="J590" s="28"/>
      <c r="K590" s="28"/>
      <c r="L590" s="28"/>
      <c r="M590" s="28"/>
      <c r="T590" s="28"/>
      <c r="U590" s="28"/>
      <c r="V590" s="28"/>
      <c r="W590" s="28"/>
      <c r="AD590" s="28"/>
      <c r="AE590" s="28"/>
      <c r="AF590" s="28"/>
      <c r="AG590" s="28"/>
      <c r="AN590" s="28"/>
      <c r="AO590" s="28"/>
      <c r="AP590" s="28"/>
      <c r="AQ590" s="28"/>
    </row>
    <row r="591">
      <c r="J591" s="28"/>
      <c r="K591" s="28"/>
      <c r="L591" s="28"/>
      <c r="M591" s="28"/>
      <c r="T591" s="28"/>
      <c r="U591" s="28"/>
      <c r="V591" s="28"/>
      <c r="W591" s="28"/>
      <c r="AD591" s="28"/>
      <c r="AE591" s="28"/>
      <c r="AF591" s="28"/>
      <c r="AG591" s="28"/>
      <c r="AN591" s="28"/>
      <c r="AO591" s="28"/>
      <c r="AP591" s="28"/>
      <c r="AQ591" s="28"/>
    </row>
    <row r="592">
      <c r="J592" s="28"/>
      <c r="K592" s="28"/>
      <c r="L592" s="28"/>
      <c r="M592" s="28"/>
      <c r="T592" s="28"/>
      <c r="U592" s="28"/>
      <c r="V592" s="28"/>
      <c r="W592" s="28"/>
      <c r="AD592" s="28"/>
      <c r="AE592" s="28"/>
      <c r="AF592" s="28"/>
      <c r="AG592" s="28"/>
      <c r="AN592" s="28"/>
      <c r="AO592" s="28"/>
      <c r="AP592" s="28"/>
      <c r="AQ592" s="28"/>
    </row>
    <row r="593">
      <c r="J593" s="28"/>
      <c r="K593" s="28"/>
      <c r="L593" s="28"/>
      <c r="M593" s="28"/>
      <c r="T593" s="28"/>
      <c r="U593" s="28"/>
      <c r="V593" s="28"/>
      <c r="W593" s="28"/>
      <c r="AD593" s="28"/>
      <c r="AE593" s="28"/>
      <c r="AF593" s="28"/>
      <c r="AG593" s="28"/>
      <c r="AN593" s="28"/>
      <c r="AO593" s="28"/>
      <c r="AP593" s="28"/>
      <c r="AQ593" s="28"/>
    </row>
    <row r="594">
      <c r="J594" s="28"/>
      <c r="K594" s="28"/>
      <c r="L594" s="28"/>
      <c r="M594" s="28"/>
      <c r="T594" s="28"/>
      <c r="U594" s="28"/>
      <c r="V594" s="28"/>
      <c r="W594" s="28"/>
      <c r="AD594" s="28"/>
      <c r="AE594" s="28"/>
      <c r="AF594" s="28"/>
      <c r="AG594" s="28"/>
      <c r="AN594" s="28"/>
      <c r="AO594" s="28"/>
      <c r="AP594" s="28"/>
      <c r="AQ594" s="28"/>
    </row>
    <row r="595">
      <c r="J595" s="28"/>
      <c r="K595" s="28"/>
      <c r="L595" s="28"/>
      <c r="M595" s="28"/>
      <c r="T595" s="28"/>
      <c r="U595" s="28"/>
      <c r="V595" s="28"/>
      <c r="W595" s="28"/>
      <c r="AD595" s="28"/>
      <c r="AE595" s="28"/>
      <c r="AF595" s="28"/>
      <c r="AG595" s="28"/>
      <c r="AN595" s="28"/>
      <c r="AO595" s="28"/>
      <c r="AP595" s="28"/>
      <c r="AQ595" s="28"/>
    </row>
    <row r="596">
      <c r="J596" s="28"/>
      <c r="K596" s="28"/>
      <c r="L596" s="28"/>
      <c r="M596" s="28"/>
      <c r="T596" s="28"/>
      <c r="U596" s="28"/>
      <c r="V596" s="28"/>
      <c r="W596" s="28"/>
      <c r="AD596" s="28"/>
      <c r="AE596" s="28"/>
      <c r="AF596" s="28"/>
      <c r="AG596" s="28"/>
      <c r="AN596" s="28"/>
      <c r="AO596" s="28"/>
      <c r="AP596" s="28"/>
      <c r="AQ596" s="28"/>
    </row>
    <row r="597">
      <c r="J597" s="28"/>
      <c r="K597" s="28"/>
      <c r="L597" s="28"/>
      <c r="M597" s="28"/>
      <c r="T597" s="28"/>
      <c r="U597" s="28"/>
      <c r="V597" s="28"/>
      <c r="W597" s="28"/>
      <c r="AD597" s="28"/>
      <c r="AE597" s="28"/>
      <c r="AF597" s="28"/>
      <c r="AG597" s="28"/>
      <c r="AN597" s="28"/>
      <c r="AO597" s="28"/>
      <c r="AP597" s="28"/>
      <c r="AQ597" s="28"/>
    </row>
    <row r="598">
      <c r="J598" s="28"/>
      <c r="K598" s="28"/>
      <c r="L598" s="28"/>
      <c r="M598" s="28"/>
      <c r="T598" s="28"/>
      <c r="U598" s="28"/>
      <c r="V598" s="28"/>
      <c r="W598" s="28"/>
      <c r="AD598" s="28"/>
      <c r="AE598" s="28"/>
      <c r="AF598" s="28"/>
      <c r="AG598" s="28"/>
      <c r="AN598" s="28"/>
      <c r="AO598" s="28"/>
      <c r="AP598" s="28"/>
      <c r="AQ598" s="28"/>
    </row>
    <row r="599">
      <c r="J599" s="28"/>
      <c r="K599" s="28"/>
      <c r="L599" s="28"/>
      <c r="M599" s="28"/>
      <c r="T599" s="28"/>
      <c r="U599" s="28"/>
      <c r="V599" s="28"/>
      <c r="W599" s="28"/>
      <c r="AD599" s="28"/>
      <c r="AE599" s="28"/>
      <c r="AF599" s="28"/>
      <c r="AG599" s="28"/>
      <c r="AN599" s="28"/>
      <c r="AO599" s="28"/>
      <c r="AP599" s="28"/>
      <c r="AQ599" s="28"/>
    </row>
    <row r="600">
      <c r="J600" s="28"/>
      <c r="K600" s="28"/>
      <c r="L600" s="28"/>
      <c r="M600" s="28"/>
      <c r="T600" s="28"/>
      <c r="U600" s="28"/>
      <c r="V600" s="28"/>
      <c r="W600" s="28"/>
      <c r="AD600" s="28"/>
      <c r="AE600" s="28"/>
      <c r="AF600" s="28"/>
      <c r="AG600" s="28"/>
      <c r="AN600" s="28"/>
      <c r="AO600" s="28"/>
      <c r="AP600" s="28"/>
      <c r="AQ600" s="28"/>
    </row>
    <row r="601">
      <c r="J601" s="28"/>
      <c r="K601" s="28"/>
      <c r="L601" s="28"/>
      <c r="M601" s="28"/>
      <c r="T601" s="28"/>
      <c r="U601" s="28"/>
      <c r="V601" s="28"/>
      <c r="W601" s="28"/>
      <c r="AD601" s="28"/>
      <c r="AE601" s="28"/>
      <c r="AF601" s="28"/>
      <c r="AG601" s="28"/>
      <c r="AN601" s="28"/>
      <c r="AO601" s="28"/>
      <c r="AP601" s="28"/>
      <c r="AQ601" s="28"/>
    </row>
    <row r="602">
      <c r="J602" s="28"/>
      <c r="K602" s="28"/>
      <c r="L602" s="28"/>
      <c r="M602" s="28"/>
      <c r="T602" s="28"/>
      <c r="U602" s="28"/>
      <c r="V602" s="28"/>
      <c r="W602" s="28"/>
      <c r="AD602" s="28"/>
      <c r="AE602" s="28"/>
      <c r="AF602" s="28"/>
      <c r="AG602" s="28"/>
      <c r="AN602" s="28"/>
      <c r="AO602" s="28"/>
      <c r="AP602" s="28"/>
      <c r="AQ602" s="28"/>
    </row>
    <row r="603">
      <c r="J603" s="28"/>
      <c r="K603" s="28"/>
      <c r="L603" s="28"/>
      <c r="M603" s="28"/>
      <c r="T603" s="28"/>
      <c r="U603" s="28"/>
      <c r="V603" s="28"/>
      <c r="W603" s="28"/>
      <c r="AD603" s="28"/>
      <c r="AE603" s="28"/>
      <c r="AF603" s="28"/>
      <c r="AG603" s="28"/>
      <c r="AN603" s="28"/>
      <c r="AO603" s="28"/>
      <c r="AP603" s="28"/>
      <c r="AQ603" s="28"/>
    </row>
    <row r="604">
      <c r="J604" s="28"/>
      <c r="K604" s="28"/>
      <c r="L604" s="28"/>
      <c r="M604" s="28"/>
      <c r="T604" s="28"/>
      <c r="U604" s="28"/>
      <c r="V604" s="28"/>
      <c r="W604" s="28"/>
      <c r="AD604" s="28"/>
      <c r="AE604" s="28"/>
      <c r="AF604" s="28"/>
      <c r="AG604" s="28"/>
      <c r="AN604" s="28"/>
      <c r="AO604" s="28"/>
      <c r="AP604" s="28"/>
      <c r="AQ604" s="28"/>
    </row>
    <row r="605">
      <c r="J605" s="28"/>
      <c r="K605" s="28"/>
      <c r="L605" s="28"/>
      <c r="M605" s="28"/>
      <c r="T605" s="28"/>
      <c r="U605" s="28"/>
      <c r="V605" s="28"/>
      <c r="W605" s="28"/>
      <c r="AD605" s="28"/>
      <c r="AE605" s="28"/>
      <c r="AF605" s="28"/>
      <c r="AG605" s="28"/>
      <c r="AN605" s="28"/>
      <c r="AO605" s="28"/>
      <c r="AP605" s="28"/>
      <c r="AQ605" s="28"/>
    </row>
    <row r="606">
      <c r="J606" s="28"/>
      <c r="K606" s="28"/>
      <c r="L606" s="28"/>
      <c r="M606" s="28"/>
      <c r="T606" s="28"/>
      <c r="U606" s="28"/>
      <c r="V606" s="28"/>
      <c r="W606" s="28"/>
      <c r="AD606" s="28"/>
      <c r="AE606" s="28"/>
      <c r="AF606" s="28"/>
      <c r="AG606" s="28"/>
      <c r="AN606" s="28"/>
      <c r="AO606" s="28"/>
      <c r="AP606" s="28"/>
      <c r="AQ606" s="28"/>
    </row>
    <row r="607">
      <c r="J607" s="28"/>
      <c r="K607" s="28"/>
      <c r="L607" s="28"/>
      <c r="M607" s="28"/>
      <c r="T607" s="28"/>
      <c r="U607" s="28"/>
      <c r="V607" s="28"/>
      <c r="W607" s="28"/>
      <c r="AD607" s="28"/>
      <c r="AE607" s="28"/>
      <c r="AF607" s="28"/>
      <c r="AG607" s="28"/>
      <c r="AN607" s="28"/>
      <c r="AO607" s="28"/>
      <c r="AP607" s="28"/>
      <c r="AQ607" s="28"/>
    </row>
    <row r="608">
      <c r="J608" s="28"/>
      <c r="K608" s="28"/>
      <c r="L608" s="28"/>
      <c r="M608" s="28"/>
      <c r="T608" s="28"/>
      <c r="U608" s="28"/>
      <c r="V608" s="28"/>
      <c r="W608" s="28"/>
      <c r="AD608" s="28"/>
      <c r="AE608" s="28"/>
      <c r="AF608" s="28"/>
      <c r="AG608" s="28"/>
      <c r="AN608" s="28"/>
      <c r="AO608" s="28"/>
      <c r="AP608" s="28"/>
      <c r="AQ608" s="28"/>
    </row>
    <row r="609">
      <c r="J609" s="28"/>
      <c r="K609" s="28"/>
      <c r="L609" s="28"/>
      <c r="M609" s="28"/>
      <c r="T609" s="28"/>
      <c r="U609" s="28"/>
      <c r="V609" s="28"/>
      <c r="W609" s="28"/>
      <c r="AD609" s="28"/>
      <c r="AE609" s="28"/>
      <c r="AF609" s="28"/>
      <c r="AG609" s="28"/>
      <c r="AN609" s="28"/>
      <c r="AO609" s="28"/>
      <c r="AP609" s="28"/>
      <c r="AQ609" s="28"/>
    </row>
    <row r="610">
      <c r="J610" s="28"/>
      <c r="K610" s="28"/>
      <c r="L610" s="28"/>
      <c r="M610" s="28"/>
      <c r="T610" s="28"/>
      <c r="U610" s="28"/>
      <c r="V610" s="28"/>
      <c r="W610" s="28"/>
      <c r="AD610" s="28"/>
      <c r="AE610" s="28"/>
      <c r="AF610" s="28"/>
      <c r="AG610" s="28"/>
      <c r="AN610" s="28"/>
      <c r="AO610" s="28"/>
      <c r="AP610" s="28"/>
      <c r="AQ610" s="28"/>
    </row>
    <row r="611">
      <c r="J611" s="28"/>
      <c r="K611" s="28"/>
      <c r="L611" s="28"/>
      <c r="M611" s="28"/>
      <c r="T611" s="28"/>
      <c r="U611" s="28"/>
      <c r="V611" s="28"/>
      <c r="W611" s="28"/>
      <c r="AD611" s="28"/>
      <c r="AE611" s="28"/>
      <c r="AF611" s="28"/>
      <c r="AG611" s="28"/>
      <c r="AN611" s="28"/>
      <c r="AO611" s="28"/>
      <c r="AP611" s="28"/>
      <c r="AQ611" s="28"/>
    </row>
    <row r="612">
      <c r="J612" s="28"/>
      <c r="K612" s="28"/>
      <c r="L612" s="28"/>
      <c r="M612" s="28"/>
      <c r="T612" s="28"/>
      <c r="U612" s="28"/>
      <c r="V612" s="28"/>
      <c r="W612" s="28"/>
      <c r="AD612" s="28"/>
      <c r="AE612" s="28"/>
      <c r="AF612" s="28"/>
      <c r="AG612" s="28"/>
      <c r="AN612" s="28"/>
      <c r="AO612" s="28"/>
      <c r="AP612" s="28"/>
      <c r="AQ612" s="28"/>
    </row>
    <row r="613">
      <c r="J613" s="28"/>
      <c r="K613" s="28"/>
      <c r="L613" s="28"/>
      <c r="M613" s="28"/>
      <c r="T613" s="28"/>
      <c r="U613" s="28"/>
      <c r="V613" s="28"/>
      <c r="W613" s="28"/>
      <c r="AD613" s="28"/>
      <c r="AE613" s="28"/>
      <c r="AF613" s="28"/>
      <c r="AG613" s="28"/>
      <c r="AN613" s="28"/>
      <c r="AO613" s="28"/>
      <c r="AP613" s="28"/>
      <c r="AQ613" s="28"/>
    </row>
    <row r="614">
      <c r="J614" s="28"/>
      <c r="K614" s="28"/>
      <c r="L614" s="28"/>
      <c r="M614" s="28"/>
      <c r="T614" s="28"/>
      <c r="U614" s="28"/>
      <c r="V614" s="28"/>
      <c r="W614" s="28"/>
      <c r="AD614" s="28"/>
      <c r="AE614" s="28"/>
      <c r="AF614" s="28"/>
      <c r="AG614" s="28"/>
      <c r="AN614" s="28"/>
      <c r="AO614" s="28"/>
      <c r="AP614" s="28"/>
      <c r="AQ614" s="28"/>
    </row>
    <row r="615">
      <c r="J615" s="28"/>
      <c r="K615" s="28"/>
      <c r="L615" s="28"/>
      <c r="M615" s="28"/>
      <c r="T615" s="28"/>
      <c r="U615" s="28"/>
      <c r="V615" s="28"/>
      <c r="W615" s="28"/>
      <c r="AD615" s="28"/>
      <c r="AE615" s="28"/>
      <c r="AF615" s="28"/>
      <c r="AG615" s="28"/>
      <c r="AN615" s="28"/>
      <c r="AO615" s="28"/>
      <c r="AP615" s="28"/>
      <c r="AQ615" s="28"/>
    </row>
    <row r="616">
      <c r="J616" s="28"/>
      <c r="K616" s="28"/>
      <c r="L616" s="28"/>
      <c r="M616" s="28"/>
      <c r="T616" s="28"/>
      <c r="U616" s="28"/>
      <c r="V616" s="28"/>
      <c r="W616" s="28"/>
      <c r="AD616" s="28"/>
      <c r="AE616" s="28"/>
      <c r="AF616" s="28"/>
      <c r="AG616" s="28"/>
      <c r="AN616" s="28"/>
      <c r="AO616" s="28"/>
      <c r="AP616" s="28"/>
      <c r="AQ616" s="28"/>
    </row>
    <row r="617">
      <c r="J617" s="28"/>
      <c r="K617" s="28"/>
      <c r="L617" s="28"/>
      <c r="M617" s="28"/>
      <c r="T617" s="28"/>
      <c r="U617" s="28"/>
      <c r="V617" s="28"/>
      <c r="W617" s="28"/>
      <c r="AD617" s="28"/>
      <c r="AE617" s="28"/>
      <c r="AF617" s="28"/>
      <c r="AG617" s="28"/>
      <c r="AN617" s="28"/>
      <c r="AO617" s="28"/>
      <c r="AP617" s="28"/>
      <c r="AQ617" s="28"/>
    </row>
    <row r="618">
      <c r="J618" s="28"/>
      <c r="K618" s="28"/>
      <c r="L618" s="28"/>
      <c r="M618" s="28"/>
      <c r="T618" s="28"/>
      <c r="U618" s="28"/>
      <c r="V618" s="28"/>
      <c r="W618" s="28"/>
      <c r="AD618" s="28"/>
      <c r="AE618" s="28"/>
      <c r="AF618" s="28"/>
      <c r="AG618" s="28"/>
      <c r="AN618" s="28"/>
      <c r="AO618" s="28"/>
      <c r="AP618" s="28"/>
      <c r="AQ618" s="28"/>
    </row>
    <row r="619">
      <c r="J619" s="28"/>
      <c r="K619" s="28"/>
      <c r="L619" s="28"/>
      <c r="M619" s="28"/>
      <c r="T619" s="28"/>
      <c r="U619" s="28"/>
      <c r="V619" s="28"/>
      <c r="W619" s="28"/>
      <c r="AD619" s="28"/>
      <c r="AE619" s="28"/>
      <c r="AF619" s="28"/>
      <c r="AG619" s="28"/>
      <c r="AN619" s="28"/>
      <c r="AO619" s="28"/>
      <c r="AP619" s="28"/>
      <c r="AQ619" s="28"/>
    </row>
    <row r="620">
      <c r="J620" s="28"/>
      <c r="K620" s="28"/>
      <c r="L620" s="28"/>
      <c r="M620" s="28"/>
      <c r="T620" s="28"/>
      <c r="U620" s="28"/>
      <c r="V620" s="28"/>
      <c r="W620" s="28"/>
      <c r="AD620" s="28"/>
      <c r="AE620" s="28"/>
      <c r="AF620" s="28"/>
      <c r="AG620" s="28"/>
      <c r="AN620" s="28"/>
      <c r="AO620" s="28"/>
      <c r="AP620" s="28"/>
      <c r="AQ620" s="28"/>
    </row>
    <row r="621">
      <c r="J621" s="28"/>
      <c r="K621" s="28"/>
      <c r="L621" s="28"/>
      <c r="M621" s="28"/>
      <c r="T621" s="28"/>
      <c r="U621" s="28"/>
      <c r="V621" s="28"/>
      <c r="W621" s="28"/>
      <c r="AD621" s="28"/>
      <c r="AE621" s="28"/>
      <c r="AF621" s="28"/>
      <c r="AG621" s="28"/>
      <c r="AN621" s="28"/>
      <c r="AO621" s="28"/>
      <c r="AP621" s="28"/>
      <c r="AQ621" s="28"/>
    </row>
    <row r="622">
      <c r="J622" s="28"/>
      <c r="K622" s="28"/>
      <c r="L622" s="28"/>
      <c r="M622" s="28"/>
      <c r="T622" s="28"/>
      <c r="U622" s="28"/>
      <c r="V622" s="28"/>
      <c r="W622" s="28"/>
      <c r="AD622" s="28"/>
      <c r="AE622" s="28"/>
      <c r="AF622" s="28"/>
      <c r="AG622" s="28"/>
      <c r="AN622" s="28"/>
      <c r="AO622" s="28"/>
      <c r="AP622" s="28"/>
      <c r="AQ622" s="28"/>
    </row>
    <row r="623">
      <c r="J623" s="28"/>
      <c r="K623" s="28"/>
      <c r="L623" s="28"/>
      <c r="M623" s="28"/>
      <c r="T623" s="28"/>
      <c r="U623" s="28"/>
      <c r="V623" s="28"/>
      <c r="W623" s="28"/>
      <c r="AD623" s="28"/>
      <c r="AE623" s="28"/>
      <c r="AF623" s="28"/>
      <c r="AG623" s="28"/>
      <c r="AN623" s="28"/>
      <c r="AO623" s="28"/>
      <c r="AP623" s="28"/>
      <c r="AQ623" s="28"/>
    </row>
    <row r="624">
      <c r="J624" s="28"/>
      <c r="K624" s="28"/>
      <c r="L624" s="28"/>
      <c r="M624" s="28"/>
      <c r="T624" s="28"/>
      <c r="U624" s="28"/>
      <c r="V624" s="28"/>
      <c r="W624" s="28"/>
      <c r="AD624" s="28"/>
      <c r="AE624" s="28"/>
      <c r="AF624" s="28"/>
      <c r="AG624" s="28"/>
      <c r="AN624" s="28"/>
      <c r="AO624" s="28"/>
      <c r="AP624" s="28"/>
      <c r="AQ624" s="28"/>
    </row>
    <row r="625">
      <c r="J625" s="28"/>
      <c r="K625" s="28"/>
      <c r="L625" s="28"/>
      <c r="M625" s="28"/>
      <c r="T625" s="28"/>
      <c r="U625" s="28"/>
      <c r="V625" s="28"/>
      <c r="W625" s="28"/>
      <c r="AD625" s="28"/>
      <c r="AE625" s="28"/>
      <c r="AF625" s="28"/>
      <c r="AG625" s="28"/>
      <c r="AN625" s="28"/>
      <c r="AO625" s="28"/>
      <c r="AP625" s="28"/>
      <c r="AQ625" s="28"/>
    </row>
    <row r="626">
      <c r="J626" s="28"/>
      <c r="K626" s="28"/>
      <c r="L626" s="28"/>
      <c r="M626" s="28"/>
      <c r="T626" s="28"/>
      <c r="U626" s="28"/>
      <c r="V626" s="28"/>
      <c r="W626" s="28"/>
      <c r="AD626" s="28"/>
      <c r="AE626" s="28"/>
      <c r="AF626" s="28"/>
      <c r="AG626" s="28"/>
      <c r="AN626" s="28"/>
      <c r="AO626" s="28"/>
      <c r="AP626" s="28"/>
      <c r="AQ626" s="28"/>
    </row>
    <row r="627">
      <c r="J627" s="28"/>
      <c r="K627" s="28"/>
      <c r="L627" s="28"/>
      <c r="M627" s="28"/>
      <c r="T627" s="28"/>
      <c r="U627" s="28"/>
      <c r="V627" s="28"/>
      <c r="W627" s="28"/>
      <c r="AD627" s="28"/>
      <c r="AE627" s="28"/>
      <c r="AF627" s="28"/>
      <c r="AG627" s="28"/>
      <c r="AN627" s="28"/>
      <c r="AO627" s="28"/>
      <c r="AP627" s="28"/>
      <c r="AQ627" s="28"/>
    </row>
    <row r="628">
      <c r="J628" s="28"/>
      <c r="K628" s="28"/>
      <c r="L628" s="28"/>
      <c r="M628" s="28"/>
      <c r="T628" s="28"/>
      <c r="U628" s="28"/>
      <c r="V628" s="28"/>
      <c r="W628" s="28"/>
      <c r="AD628" s="28"/>
      <c r="AE628" s="28"/>
      <c r="AF628" s="28"/>
      <c r="AG628" s="28"/>
      <c r="AN628" s="28"/>
      <c r="AO628" s="28"/>
      <c r="AP628" s="28"/>
      <c r="AQ628" s="28"/>
    </row>
    <row r="629">
      <c r="J629" s="28"/>
      <c r="K629" s="28"/>
      <c r="L629" s="28"/>
      <c r="M629" s="28"/>
      <c r="T629" s="28"/>
      <c r="U629" s="28"/>
      <c r="V629" s="28"/>
      <c r="W629" s="28"/>
      <c r="AD629" s="28"/>
      <c r="AE629" s="28"/>
      <c r="AF629" s="28"/>
      <c r="AG629" s="28"/>
      <c r="AN629" s="28"/>
      <c r="AO629" s="28"/>
      <c r="AP629" s="28"/>
      <c r="AQ629" s="28"/>
    </row>
    <row r="630">
      <c r="J630" s="28"/>
      <c r="K630" s="28"/>
      <c r="L630" s="28"/>
      <c r="M630" s="28"/>
      <c r="T630" s="28"/>
      <c r="U630" s="28"/>
      <c r="V630" s="28"/>
      <c r="W630" s="28"/>
      <c r="AD630" s="28"/>
      <c r="AE630" s="28"/>
      <c r="AF630" s="28"/>
      <c r="AG630" s="28"/>
      <c r="AN630" s="28"/>
      <c r="AO630" s="28"/>
      <c r="AP630" s="28"/>
      <c r="AQ630" s="28"/>
    </row>
    <row r="631">
      <c r="J631" s="28"/>
      <c r="K631" s="28"/>
      <c r="L631" s="28"/>
      <c r="M631" s="28"/>
      <c r="T631" s="28"/>
      <c r="U631" s="28"/>
      <c r="V631" s="28"/>
      <c r="W631" s="28"/>
      <c r="AD631" s="28"/>
      <c r="AE631" s="28"/>
      <c r="AF631" s="28"/>
      <c r="AG631" s="28"/>
      <c r="AN631" s="28"/>
      <c r="AO631" s="28"/>
      <c r="AP631" s="28"/>
      <c r="AQ631" s="28"/>
    </row>
    <row r="632">
      <c r="J632" s="28"/>
      <c r="K632" s="28"/>
      <c r="L632" s="28"/>
      <c r="M632" s="28"/>
      <c r="T632" s="28"/>
      <c r="U632" s="28"/>
      <c r="V632" s="28"/>
      <c r="W632" s="28"/>
      <c r="AD632" s="28"/>
      <c r="AE632" s="28"/>
      <c r="AF632" s="28"/>
      <c r="AG632" s="28"/>
      <c r="AN632" s="28"/>
      <c r="AO632" s="28"/>
      <c r="AP632" s="28"/>
      <c r="AQ632" s="28"/>
    </row>
    <row r="633">
      <c r="J633" s="28"/>
      <c r="K633" s="28"/>
      <c r="L633" s="28"/>
      <c r="M633" s="28"/>
      <c r="T633" s="28"/>
      <c r="U633" s="28"/>
      <c r="V633" s="28"/>
      <c r="W633" s="28"/>
      <c r="AD633" s="28"/>
      <c r="AE633" s="28"/>
      <c r="AF633" s="28"/>
      <c r="AG633" s="28"/>
      <c r="AN633" s="28"/>
      <c r="AO633" s="28"/>
      <c r="AP633" s="28"/>
      <c r="AQ633" s="28"/>
    </row>
    <row r="634">
      <c r="J634" s="28"/>
      <c r="K634" s="28"/>
      <c r="L634" s="28"/>
      <c r="M634" s="28"/>
      <c r="T634" s="28"/>
      <c r="U634" s="28"/>
      <c r="V634" s="28"/>
      <c r="W634" s="28"/>
      <c r="AD634" s="28"/>
      <c r="AE634" s="28"/>
      <c r="AF634" s="28"/>
      <c r="AG634" s="28"/>
      <c r="AN634" s="28"/>
      <c r="AO634" s="28"/>
      <c r="AP634" s="28"/>
      <c r="AQ634" s="28"/>
    </row>
    <row r="635">
      <c r="J635" s="28"/>
      <c r="K635" s="28"/>
      <c r="L635" s="28"/>
      <c r="M635" s="28"/>
      <c r="T635" s="28"/>
      <c r="U635" s="28"/>
      <c r="V635" s="28"/>
      <c r="W635" s="28"/>
      <c r="AD635" s="28"/>
      <c r="AE635" s="28"/>
      <c r="AF635" s="28"/>
      <c r="AG635" s="28"/>
      <c r="AN635" s="28"/>
      <c r="AO635" s="28"/>
      <c r="AP635" s="28"/>
      <c r="AQ635" s="28"/>
    </row>
    <row r="636">
      <c r="J636" s="28"/>
      <c r="K636" s="28"/>
      <c r="L636" s="28"/>
      <c r="M636" s="28"/>
      <c r="T636" s="28"/>
      <c r="U636" s="28"/>
      <c r="V636" s="28"/>
      <c r="W636" s="28"/>
      <c r="AD636" s="28"/>
      <c r="AE636" s="28"/>
      <c r="AF636" s="28"/>
      <c r="AG636" s="28"/>
      <c r="AN636" s="28"/>
      <c r="AO636" s="28"/>
      <c r="AP636" s="28"/>
      <c r="AQ636" s="28"/>
    </row>
    <row r="637">
      <c r="J637" s="28"/>
      <c r="K637" s="28"/>
      <c r="L637" s="28"/>
      <c r="M637" s="28"/>
      <c r="T637" s="28"/>
      <c r="U637" s="28"/>
      <c r="V637" s="28"/>
      <c r="W637" s="28"/>
      <c r="AD637" s="28"/>
      <c r="AE637" s="28"/>
      <c r="AF637" s="28"/>
      <c r="AG637" s="28"/>
      <c r="AN637" s="28"/>
      <c r="AO637" s="28"/>
      <c r="AP637" s="28"/>
      <c r="AQ637" s="28"/>
    </row>
    <row r="638">
      <c r="J638" s="28"/>
      <c r="K638" s="28"/>
      <c r="L638" s="28"/>
      <c r="M638" s="28"/>
      <c r="T638" s="28"/>
      <c r="U638" s="28"/>
      <c r="V638" s="28"/>
      <c r="W638" s="28"/>
      <c r="AD638" s="28"/>
      <c r="AE638" s="28"/>
      <c r="AF638" s="28"/>
      <c r="AG638" s="28"/>
      <c r="AN638" s="28"/>
      <c r="AO638" s="28"/>
      <c r="AP638" s="28"/>
      <c r="AQ638" s="28"/>
    </row>
    <row r="639">
      <c r="J639" s="28"/>
      <c r="K639" s="28"/>
      <c r="L639" s="28"/>
      <c r="M639" s="28"/>
      <c r="T639" s="28"/>
      <c r="U639" s="28"/>
      <c r="V639" s="28"/>
      <c r="W639" s="28"/>
      <c r="AD639" s="28"/>
      <c r="AE639" s="28"/>
      <c r="AF639" s="28"/>
      <c r="AG639" s="28"/>
      <c r="AN639" s="28"/>
      <c r="AO639" s="28"/>
      <c r="AP639" s="28"/>
      <c r="AQ639" s="28"/>
    </row>
    <row r="640">
      <c r="J640" s="28"/>
      <c r="K640" s="28"/>
      <c r="L640" s="28"/>
      <c r="M640" s="28"/>
      <c r="T640" s="28"/>
      <c r="U640" s="28"/>
      <c r="V640" s="28"/>
      <c r="W640" s="28"/>
      <c r="AD640" s="28"/>
      <c r="AE640" s="28"/>
      <c r="AF640" s="28"/>
      <c r="AG640" s="28"/>
      <c r="AN640" s="28"/>
      <c r="AO640" s="28"/>
      <c r="AP640" s="28"/>
      <c r="AQ640" s="28"/>
    </row>
    <row r="641">
      <c r="J641" s="28"/>
      <c r="K641" s="28"/>
      <c r="L641" s="28"/>
      <c r="M641" s="28"/>
      <c r="T641" s="28"/>
      <c r="U641" s="28"/>
      <c r="V641" s="28"/>
      <c r="W641" s="28"/>
      <c r="AD641" s="28"/>
      <c r="AE641" s="28"/>
      <c r="AF641" s="28"/>
      <c r="AG641" s="28"/>
      <c r="AN641" s="28"/>
      <c r="AO641" s="28"/>
      <c r="AP641" s="28"/>
      <c r="AQ641" s="28"/>
    </row>
    <row r="642">
      <c r="J642" s="28"/>
      <c r="K642" s="28"/>
      <c r="L642" s="28"/>
      <c r="M642" s="28"/>
      <c r="T642" s="28"/>
      <c r="U642" s="28"/>
      <c r="V642" s="28"/>
      <c r="W642" s="28"/>
      <c r="AD642" s="28"/>
      <c r="AE642" s="28"/>
      <c r="AF642" s="28"/>
      <c r="AG642" s="28"/>
      <c r="AN642" s="28"/>
      <c r="AO642" s="28"/>
      <c r="AP642" s="28"/>
      <c r="AQ642" s="28"/>
    </row>
    <row r="643">
      <c r="J643" s="28"/>
      <c r="K643" s="28"/>
      <c r="L643" s="28"/>
      <c r="M643" s="28"/>
      <c r="T643" s="28"/>
      <c r="U643" s="28"/>
      <c r="V643" s="28"/>
      <c r="W643" s="28"/>
      <c r="AD643" s="28"/>
      <c r="AE643" s="28"/>
      <c r="AF643" s="28"/>
      <c r="AG643" s="28"/>
      <c r="AN643" s="28"/>
      <c r="AO643" s="28"/>
      <c r="AP643" s="28"/>
      <c r="AQ643" s="28"/>
    </row>
    <row r="644">
      <c r="J644" s="28"/>
      <c r="K644" s="28"/>
      <c r="L644" s="28"/>
      <c r="M644" s="28"/>
      <c r="T644" s="28"/>
      <c r="U644" s="28"/>
      <c r="V644" s="28"/>
      <c r="W644" s="28"/>
      <c r="AD644" s="28"/>
      <c r="AE644" s="28"/>
      <c r="AF644" s="28"/>
      <c r="AG644" s="28"/>
      <c r="AN644" s="28"/>
      <c r="AO644" s="28"/>
      <c r="AP644" s="28"/>
      <c r="AQ644" s="28"/>
    </row>
    <row r="645">
      <c r="J645" s="28"/>
      <c r="K645" s="28"/>
      <c r="L645" s="28"/>
      <c r="M645" s="28"/>
      <c r="T645" s="28"/>
      <c r="U645" s="28"/>
      <c r="V645" s="28"/>
      <c r="W645" s="28"/>
      <c r="AD645" s="28"/>
      <c r="AE645" s="28"/>
      <c r="AF645" s="28"/>
      <c r="AG645" s="28"/>
      <c r="AN645" s="28"/>
      <c r="AO645" s="28"/>
      <c r="AP645" s="28"/>
      <c r="AQ645" s="28"/>
    </row>
    <row r="646">
      <c r="J646" s="28"/>
      <c r="K646" s="28"/>
      <c r="L646" s="28"/>
      <c r="M646" s="28"/>
      <c r="T646" s="28"/>
      <c r="U646" s="28"/>
      <c r="V646" s="28"/>
      <c r="W646" s="28"/>
      <c r="AD646" s="28"/>
      <c r="AE646" s="28"/>
      <c r="AF646" s="28"/>
      <c r="AG646" s="28"/>
      <c r="AN646" s="28"/>
      <c r="AO646" s="28"/>
      <c r="AP646" s="28"/>
      <c r="AQ646" s="28"/>
    </row>
    <row r="647">
      <c r="J647" s="28"/>
      <c r="K647" s="28"/>
      <c r="L647" s="28"/>
      <c r="M647" s="28"/>
      <c r="T647" s="28"/>
      <c r="U647" s="28"/>
      <c r="V647" s="28"/>
      <c r="W647" s="28"/>
      <c r="AD647" s="28"/>
      <c r="AE647" s="28"/>
      <c r="AF647" s="28"/>
      <c r="AG647" s="28"/>
      <c r="AN647" s="28"/>
      <c r="AO647" s="28"/>
      <c r="AP647" s="28"/>
      <c r="AQ647" s="28"/>
    </row>
    <row r="648">
      <c r="J648" s="28"/>
      <c r="K648" s="28"/>
      <c r="L648" s="28"/>
      <c r="M648" s="28"/>
      <c r="T648" s="28"/>
      <c r="U648" s="28"/>
      <c r="V648" s="28"/>
      <c r="W648" s="28"/>
      <c r="AD648" s="28"/>
      <c r="AE648" s="28"/>
      <c r="AF648" s="28"/>
      <c r="AG648" s="28"/>
      <c r="AN648" s="28"/>
      <c r="AO648" s="28"/>
      <c r="AP648" s="28"/>
      <c r="AQ648" s="28"/>
    </row>
    <row r="649">
      <c r="J649" s="28"/>
      <c r="K649" s="28"/>
      <c r="L649" s="28"/>
      <c r="M649" s="28"/>
      <c r="T649" s="28"/>
      <c r="U649" s="28"/>
      <c r="V649" s="28"/>
      <c r="W649" s="28"/>
      <c r="AD649" s="28"/>
      <c r="AE649" s="28"/>
      <c r="AF649" s="28"/>
      <c r="AG649" s="28"/>
      <c r="AN649" s="28"/>
      <c r="AO649" s="28"/>
      <c r="AP649" s="28"/>
      <c r="AQ649" s="28"/>
    </row>
    <row r="650">
      <c r="J650" s="28"/>
      <c r="K650" s="28"/>
      <c r="L650" s="28"/>
      <c r="M650" s="28"/>
      <c r="T650" s="28"/>
      <c r="U650" s="28"/>
      <c r="V650" s="28"/>
      <c r="W650" s="28"/>
      <c r="AD650" s="28"/>
      <c r="AE650" s="28"/>
      <c r="AF650" s="28"/>
      <c r="AG650" s="28"/>
      <c r="AN650" s="28"/>
      <c r="AO650" s="28"/>
      <c r="AP650" s="28"/>
      <c r="AQ650" s="28"/>
    </row>
    <row r="651">
      <c r="J651" s="28"/>
      <c r="K651" s="28"/>
      <c r="L651" s="28"/>
      <c r="M651" s="28"/>
      <c r="T651" s="28"/>
      <c r="U651" s="28"/>
      <c r="V651" s="28"/>
      <c r="W651" s="28"/>
      <c r="AD651" s="28"/>
      <c r="AE651" s="28"/>
      <c r="AF651" s="28"/>
      <c r="AG651" s="28"/>
      <c r="AN651" s="28"/>
      <c r="AO651" s="28"/>
      <c r="AP651" s="28"/>
      <c r="AQ651" s="28"/>
    </row>
    <row r="652">
      <c r="J652" s="28"/>
      <c r="K652" s="28"/>
      <c r="L652" s="28"/>
      <c r="M652" s="28"/>
      <c r="T652" s="28"/>
      <c r="U652" s="28"/>
      <c r="V652" s="28"/>
      <c r="W652" s="28"/>
      <c r="AD652" s="28"/>
      <c r="AE652" s="28"/>
      <c r="AF652" s="28"/>
      <c r="AG652" s="28"/>
      <c r="AN652" s="28"/>
      <c r="AO652" s="28"/>
      <c r="AP652" s="28"/>
      <c r="AQ652" s="28"/>
    </row>
    <row r="653">
      <c r="J653" s="28"/>
      <c r="K653" s="28"/>
      <c r="L653" s="28"/>
      <c r="M653" s="28"/>
      <c r="T653" s="28"/>
      <c r="U653" s="28"/>
      <c r="V653" s="28"/>
      <c r="W653" s="28"/>
      <c r="AD653" s="28"/>
      <c r="AE653" s="28"/>
      <c r="AF653" s="28"/>
      <c r="AG653" s="28"/>
      <c r="AN653" s="28"/>
      <c r="AO653" s="28"/>
      <c r="AP653" s="28"/>
      <c r="AQ653" s="28"/>
    </row>
    <row r="654">
      <c r="J654" s="28"/>
      <c r="K654" s="28"/>
      <c r="L654" s="28"/>
      <c r="M654" s="28"/>
      <c r="T654" s="28"/>
      <c r="U654" s="28"/>
      <c r="V654" s="28"/>
      <c r="W654" s="28"/>
      <c r="AD654" s="28"/>
      <c r="AE654" s="28"/>
      <c r="AF654" s="28"/>
      <c r="AG654" s="28"/>
      <c r="AN654" s="28"/>
      <c r="AO654" s="28"/>
      <c r="AP654" s="28"/>
      <c r="AQ654" s="28"/>
    </row>
    <row r="655">
      <c r="J655" s="28"/>
      <c r="K655" s="28"/>
      <c r="L655" s="28"/>
      <c r="M655" s="28"/>
      <c r="T655" s="28"/>
      <c r="U655" s="28"/>
      <c r="V655" s="28"/>
      <c r="W655" s="28"/>
      <c r="AD655" s="28"/>
      <c r="AE655" s="28"/>
      <c r="AF655" s="28"/>
      <c r="AG655" s="28"/>
      <c r="AN655" s="28"/>
      <c r="AO655" s="28"/>
      <c r="AP655" s="28"/>
      <c r="AQ655" s="28"/>
    </row>
    <row r="656">
      <c r="J656" s="28"/>
      <c r="K656" s="28"/>
      <c r="L656" s="28"/>
      <c r="M656" s="28"/>
      <c r="T656" s="28"/>
      <c r="U656" s="28"/>
      <c r="V656" s="28"/>
      <c r="W656" s="28"/>
      <c r="AD656" s="28"/>
      <c r="AE656" s="28"/>
      <c r="AF656" s="28"/>
      <c r="AG656" s="28"/>
      <c r="AN656" s="28"/>
      <c r="AO656" s="28"/>
      <c r="AP656" s="28"/>
      <c r="AQ656" s="28"/>
    </row>
    <row r="657">
      <c r="J657" s="28"/>
      <c r="K657" s="28"/>
      <c r="L657" s="28"/>
      <c r="M657" s="28"/>
      <c r="T657" s="28"/>
      <c r="U657" s="28"/>
      <c r="V657" s="28"/>
      <c r="W657" s="28"/>
      <c r="AD657" s="28"/>
      <c r="AE657" s="28"/>
      <c r="AF657" s="28"/>
      <c r="AG657" s="28"/>
      <c r="AN657" s="28"/>
      <c r="AO657" s="28"/>
      <c r="AP657" s="28"/>
      <c r="AQ657" s="28"/>
    </row>
    <row r="658">
      <c r="J658" s="28"/>
      <c r="K658" s="28"/>
      <c r="L658" s="28"/>
      <c r="M658" s="28"/>
      <c r="T658" s="28"/>
      <c r="U658" s="28"/>
      <c r="V658" s="28"/>
      <c r="W658" s="28"/>
      <c r="AD658" s="28"/>
      <c r="AE658" s="28"/>
      <c r="AF658" s="28"/>
      <c r="AG658" s="28"/>
      <c r="AN658" s="28"/>
      <c r="AO658" s="28"/>
      <c r="AP658" s="28"/>
      <c r="AQ658" s="28"/>
    </row>
    <row r="659">
      <c r="J659" s="28"/>
      <c r="K659" s="28"/>
      <c r="L659" s="28"/>
      <c r="M659" s="28"/>
      <c r="T659" s="28"/>
      <c r="U659" s="28"/>
      <c r="V659" s="28"/>
      <c r="W659" s="28"/>
      <c r="AD659" s="28"/>
      <c r="AE659" s="28"/>
      <c r="AF659" s="28"/>
      <c r="AG659" s="28"/>
      <c r="AN659" s="28"/>
      <c r="AO659" s="28"/>
      <c r="AP659" s="28"/>
      <c r="AQ659" s="28"/>
    </row>
    <row r="660">
      <c r="J660" s="28"/>
      <c r="K660" s="28"/>
      <c r="L660" s="28"/>
      <c r="M660" s="28"/>
      <c r="T660" s="28"/>
      <c r="U660" s="28"/>
      <c r="V660" s="28"/>
      <c r="W660" s="28"/>
      <c r="AD660" s="28"/>
      <c r="AE660" s="28"/>
      <c r="AF660" s="28"/>
      <c r="AG660" s="28"/>
      <c r="AN660" s="28"/>
      <c r="AO660" s="28"/>
      <c r="AP660" s="28"/>
      <c r="AQ660" s="28"/>
    </row>
    <row r="661">
      <c r="J661" s="28"/>
      <c r="K661" s="28"/>
      <c r="L661" s="28"/>
      <c r="M661" s="28"/>
      <c r="T661" s="28"/>
      <c r="U661" s="28"/>
      <c r="V661" s="28"/>
      <c r="W661" s="28"/>
      <c r="AD661" s="28"/>
      <c r="AE661" s="28"/>
      <c r="AF661" s="28"/>
      <c r="AG661" s="28"/>
      <c r="AN661" s="28"/>
      <c r="AO661" s="28"/>
      <c r="AP661" s="28"/>
      <c r="AQ661" s="28"/>
    </row>
    <row r="662">
      <c r="J662" s="28"/>
      <c r="K662" s="28"/>
      <c r="L662" s="28"/>
      <c r="M662" s="28"/>
      <c r="T662" s="28"/>
      <c r="U662" s="28"/>
      <c r="V662" s="28"/>
      <c r="W662" s="28"/>
      <c r="AD662" s="28"/>
      <c r="AE662" s="28"/>
      <c r="AF662" s="28"/>
      <c r="AG662" s="28"/>
      <c r="AN662" s="28"/>
      <c r="AO662" s="28"/>
      <c r="AP662" s="28"/>
      <c r="AQ662" s="28"/>
    </row>
    <row r="663">
      <c r="J663" s="28"/>
      <c r="K663" s="28"/>
      <c r="L663" s="28"/>
      <c r="M663" s="28"/>
      <c r="T663" s="28"/>
      <c r="U663" s="28"/>
      <c r="V663" s="28"/>
      <c r="W663" s="28"/>
      <c r="AD663" s="28"/>
      <c r="AE663" s="28"/>
      <c r="AF663" s="28"/>
      <c r="AG663" s="28"/>
      <c r="AN663" s="28"/>
      <c r="AO663" s="28"/>
      <c r="AP663" s="28"/>
      <c r="AQ663" s="28"/>
    </row>
    <row r="664">
      <c r="J664" s="28"/>
      <c r="K664" s="28"/>
      <c r="L664" s="28"/>
      <c r="M664" s="28"/>
      <c r="T664" s="28"/>
      <c r="U664" s="28"/>
      <c r="V664" s="28"/>
      <c r="W664" s="28"/>
      <c r="AD664" s="28"/>
      <c r="AE664" s="28"/>
      <c r="AF664" s="28"/>
      <c r="AG664" s="28"/>
      <c r="AN664" s="28"/>
      <c r="AO664" s="28"/>
      <c r="AP664" s="28"/>
      <c r="AQ664" s="28"/>
    </row>
    <row r="665">
      <c r="J665" s="28"/>
      <c r="K665" s="28"/>
      <c r="L665" s="28"/>
      <c r="M665" s="28"/>
      <c r="T665" s="28"/>
      <c r="U665" s="28"/>
      <c r="V665" s="28"/>
      <c r="W665" s="28"/>
      <c r="AD665" s="28"/>
      <c r="AE665" s="28"/>
      <c r="AF665" s="28"/>
      <c r="AG665" s="28"/>
      <c r="AN665" s="28"/>
      <c r="AO665" s="28"/>
      <c r="AP665" s="28"/>
      <c r="AQ665" s="28"/>
    </row>
    <row r="666">
      <c r="J666" s="28"/>
      <c r="K666" s="28"/>
      <c r="L666" s="28"/>
      <c r="M666" s="28"/>
      <c r="T666" s="28"/>
      <c r="U666" s="28"/>
      <c r="V666" s="28"/>
      <c r="W666" s="28"/>
      <c r="AD666" s="28"/>
      <c r="AE666" s="28"/>
      <c r="AF666" s="28"/>
      <c r="AG666" s="28"/>
      <c r="AN666" s="28"/>
      <c r="AO666" s="28"/>
      <c r="AP666" s="28"/>
      <c r="AQ666" s="28"/>
    </row>
    <row r="667">
      <c r="J667" s="28"/>
      <c r="K667" s="28"/>
      <c r="L667" s="28"/>
      <c r="M667" s="28"/>
      <c r="T667" s="28"/>
      <c r="U667" s="28"/>
      <c r="V667" s="28"/>
      <c r="W667" s="28"/>
      <c r="AD667" s="28"/>
      <c r="AE667" s="28"/>
      <c r="AF667" s="28"/>
      <c r="AG667" s="28"/>
      <c r="AN667" s="28"/>
      <c r="AO667" s="28"/>
      <c r="AP667" s="28"/>
      <c r="AQ667" s="28"/>
    </row>
    <row r="668">
      <c r="J668" s="28"/>
      <c r="K668" s="28"/>
      <c r="L668" s="28"/>
      <c r="M668" s="28"/>
      <c r="T668" s="28"/>
      <c r="U668" s="28"/>
      <c r="V668" s="28"/>
      <c r="W668" s="28"/>
      <c r="AD668" s="28"/>
      <c r="AE668" s="28"/>
      <c r="AF668" s="28"/>
      <c r="AG668" s="28"/>
      <c r="AN668" s="28"/>
      <c r="AO668" s="28"/>
      <c r="AP668" s="28"/>
      <c r="AQ668" s="28"/>
    </row>
    <row r="669">
      <c r="J669" s="28"/>
      <c r="K669" s="28"/>
      <c r="L669" s="28"/>
      <c r="M669" s="28"/>
      <c r="T669" s="28"/>
      <c r="U669" s="28"/>
      <c r="V669" s="28"/>
      <c r="W669" s="28"/>
      <c r="AD669" s="28"/>
      <c r="AE669" s="28"/>
      <c r="AF669" s="28"/>
      <c r="AG669" s="28"/>
      <c r="AN669" s="28"/>
      <c r="AO669" s="28"/>
      <c r="AP669" s="28"/>
      <c r="AQ669" s="28"/>
    </row>
    <row r="670">
      <c r="J670" s="28"/>
      <c r="K670" s="28"/>
      <c r="L670" s="28"/>
      <c r="M670" s="28"/>
      <c r="T670" s="28"/>
      <c r="U670" s="28"/>
      <c r="V670" s="28"/>
      <c r="W670" s="28"/>
      <c r="AD670" s="28"/>
      <c r="AE670" s="28"/>
      <c r="AF670" s="28"/>
      <c r="AG670" s="28"/>
      <c r="AN670" s="28"/>
      <c r="AO670" s="28"/>
      <c r="AP670" s="28"/>
      <c r="AQ670" s="28"/>
    </row>
    <row r="671">
      <c r="J671" s="28"/>
      <c r="K671" s="28"/>
      <c r="L671" s="28"/>
      <c r="M671" s="28"/>
      <c r="T671" s="28"/>
      <c r="U671" s="28"/>
      <c r="V671" s="28"/>
      <c r="W671" s="28"/>
      <c r="AD671" s="28"/>
      <c r="AE671" s="28"/>
      <c r="AF671" s="28"/>
      <c r="AG671" s="28"/>
      <c r="AN671" s="28"/>
      <c r="AO671" s="28"/>
      <c r="AP671" s="28"/>
      <c r="AQ671" s="28"/>
    </row>
    <row r="672">
      <c r="J672" s="28"/>
      <c r="K672" s="28"/>
      <c r="L672" s="28"/>
      <c r="M672" s="28"/>
      <c r="T672" s="28"/>
      <c r="U672" s="28"/>
      <c r="V672" s="28"/>
      <c r="W672" s="28"/>
      <c r="AD672" s="28"/>
      <c r="AE672" s="28"/>
      <c r="AF672" s="28"/>
      <c r="AG672" s="28"/>
      <c r="AN672" s="28"/>
      <c r="AO672" s="28"/>
      <c r="AP672" s="28"/>
      <c r="AQ672" s="28"/>
    </row>
    <row r="673">
      <c r="J673" s="28"/>
      <c r="K673" s="28"/>
      <c r="L673" s="28"/>
      <c r="M673" s="28"/>
      <c r="T673" s="28"/>
      <c r="U673" s="28"/>
      <c r="V673" s="28"/>
      <c r="W673" s="28"/>
      <c r="AD673" s="28"/>
      <c r="AE673" s="28"/>
      <c r="AF673" s="28"/>
      <c r="AG673" s="28"/>
      <c r="AN673" s="28"/>
      <c r="AO673" s="28"/>
      <c r="AP673" s="28"/>
      <c r="AQ673" s="28"/>
    </row>
    <row r="674">
      <c r="J674" s="28"/>
      <c r="K674" s="28"/>
      <c r="L674" s="28"/>
      <c r="M674" s="28"/>
      <c r="T674" s="28"/>
      <c r="U674" s="28"/>
      <c r="V674" s="28"/>
      <c r="W674" s="28"/>
      <c r="AD674" s="28"/>
      <c r="AE674" s="28"/>
      <c r="AF674" s="28"/>
      <c r="AG674" s="28"/>
      <c r="AN674" s="28"/>
      <c r="AO674" s="28"/>
      <c r="AP674" s="28"/>
      <c r="AQ674" s="28"/>
    </row>
    <row r="675">
      <c r="J675" s="28"/>
      <c r="K675" s="28"/>
      <c r="L675" s="28"/>
      <c r="M675" s="28"/>
      <c r="T675" s="28"/>
      <c r="U675" s="28"/>
      <c r="V675" s="28"/>
      <c r="W675" s="28"/>
      <c r="AD675" s="28"/>
      <c r="AE675" s="28"/>
      <c r="AF675" s="28"/>
      <c r="AG675" s="28"/>
      <c r="AN675" s="28"/>
      <c r="AO675" s="28"/>
      <c r="AP675" s="28"/>
      <c r="AQ675" s="28"/>
    </row>
    <row r="676">
      <c r="J676" s="28"/>
      <c r="K676" s="28"/>
      <c r="L676" s="28"/>
      <c r="M676" s="28"/>
      <c r="T676" s="28"/>
      <c r="U676" s="28"/>
      <c r="V676" s="28"/>
      <c r="W676" s="28"/>
      <c r="AD676" s="28"/>
      <c r="AE676" s="28"/>
      <c r="AF676" s="28"/>
      <c r="AG676" s="28"/>
      <c r="AN676" s="28"/>
      <c r="AO676" s="28"/>
      <c r="AP676" s="28"/>
      <c r="AQ676" s="28"/>
    </row>
    <row r="677">
      <c r="J677" s="28"/>
      <c r="K677" s="28"/>
      <c r="L677" s="28"/>
      <c r="M677" s="28"/>
      <c r="T677" s="28"/>
      <c r="U677" s="28"/>
      <c r="V677" s="28"/>
      <c r="W677" s="28"/>
      <c r="AD677" s="28"/>
      <c r="AE677" s="28"/>
      <c r="AF677" s="28"/>
      <c r="AG677" s="28"/>
      <c r="AN677" s="28"/>
      <c r="AO677" s="28"/>
      <c r="AP677" s="28"/>
      <c r="AQ677" s="28"/>
    </row>
    <row r="678">
      <c r="J678" s="28"/>
      <c r="K678" s="28"/>
      <c r="L678" s="28"/>
      <c r="M678" s="28"/>
      <c r="T678" s="28"/>
      <c r="U678" s="28"/>
      <c r="V678" s="28"/>
      <c r="W678" s="28"/>
      <c r="AD678" s="28"/>
      <c r="AE678" s="28"/>
      <c r="AF678" s="28"/>
      <c r="AG678" s="28"/>
      <c r="AN678" s="28"/>
      <c r="AO678" s="28"/>
      <c r="AP678" s="28"/>
      <c r="AQ678" s="28"/>
    </row>
    <row r="679">
      <c r="J679" s="28"/>
      <c r="K679" s="28"/>
      <c r="L679" s="28"/>
      <c r="M679" s="28"/>
      <c r="T679" s="28"/>
      <c r="U679" s="28"/>
      <c r="V679" s="28"/>
      <c r="W679" s="28"/>
      <c r="AD679" s="28"/>
      <c r="AE679" s="28"/>
      <c r="AF679" s="28"/>
      <c r="AG679" s="28"/>
      <c r="AN679" s="28"/>
      <c r="AO679" s="28"/>
      <c r="AP679" s="28"/>
      <c r="AQ679" s="28"/>
    </row>
    <row r="680">
      <c r="J680" s="28"/>
      <c r="K680" s="28"/>
      <c r="L680" s="28"/>
      <c r="M680" s="28"/>
      <c r="T680" s="28"/>
      <c r="U680" s="28"/>
      <c r="V680" s="28"/>
      <c r="W680" s="28"/>
      <c r="AD680" s="28"/>
      <c r="AE680" s="28"/>
      <c r="AF680" s="28"/>
      <c r="AG680" s="28"/>
      <c r="AN680" s="28"/>
      <c r="AO680" s="28"/>
      <c r="AP680" s="28"/>
      <c r="AQ680" s="28"/>
    </row>
    <row r="681">
      <c r="J681" s="28"/>
      <c r="K681" s="28"/>
      <c r="L681" s="28"/>
      <c r="M681" s="28"/>
      <c r="T681" s="28"/>
      <c r="U681" s="28"/>
      <c r="V681" s="28"/>
      <c r="W681" s="28"/>
      <c r="AD681" s="28"/>
      <c r="AE681" s="28"/>
      <c r="AF681" s="28"/>
      <c r="AG681" s="28"/>
      <c r="AN681" s="28"/>
      <c r="AO681" s="28"/>
      <c r="AP681" s="28"/>
      <c r="AQ681" s="28"/>
    </row>
    <row r="682">
      <c r="J682" s="28"/>
      <c r="K682" s="28"/>
      <c r="L682" s="28"/>
      <c r="M682" s="28"/>
      <c r="T682" s="28"/>
      <c r="U682" s="28"/>
      <c r="V682" s="28"/>
      <c r="W682" s="28"/>
      <c r="AD682" s="28"/>
      <c r="AE682" s="28"/>
      <c r="AF682" s="28"/>
      <c r="AG682" s="28"/>
      <c r="AN682" s="28"/>
      <c r="AO682" s="28"/>
      <c r="AP682" s="28"/>
      <c r="AQ682" s="28"/>
    </row>
    <row r="683">
      <c r="J683" s="28"/>
      <c r="K683" s="28"/>
      <c r="L683" s="28"/>
      <c r="M683" s="28"/>
      <c r="T683" s="28"/>
      <c r="U683" s="28"/>
      <c r="V683" s="28"/>
      <c r="W683" s="28"/>
      <c r="AD683" s="28"/>
      <c r="AE683" s="28"/>
      <c r="AF683" s="28"/>
      <c r="AG683" s="28"/>
      <c r="AN683" s="28"/>
      <c r="AO683" s="28"/>
      <c r="AP683" s="28"/>
      <c r="AQ683" s="28"/>
    </row>
    <row r="684">
      <c r="J684" s="28"/>
      <c r="K684" s="28"/>
      <c r="L684" s="28"/>
      <c r="M684" s="28"/>
      <c r="T684" s="28"/>
      <c r="U684" s="28"/>
      <c r="V684" s="28"/>
      <c r="W684" s="28"/>
      <c r="AD684" s="28"/>
      <c r="AE684" s="28"/>
      <c r="AF684" s="28"/>
      <c r="AG684" s="28"/>
      <c r="AN684" s="28"/>
      <c r="AO684" s="28"/>
      <c r="AP684" s="28"/>
      <c r="AQ684" s="28"/>
    </row>
    <row r="685">
      <c r="J685" s="28"/>
      <c r="K685" s="28"/>
      <c r="L685" s="28"/>
      <c r="M685" s="28"/>
      <c r="T685" s="28"/>
      <c r="U685" s="28"/>
      <c r="V685" s="28"/>
      <c r="W685" s="28"/>
      <c r="AD685" s="28"/>
      <c r="AE685" s="28"/>
      <c r="AF685" s="28"/>
      <c r="AG685" s="28"/>
      <c r="AN685" s="28"/>
      <c r="AO685" s="28"/>
      <c r="AP685" s="28"/>
      <c r="AQ685" s="28"/>
    </row>
    <row r="686">
      <c r="J686" s="28"/>
      <c r="K686" s="28"/>
      <c r="L686" s="28"/>
      <c r="M686" s="28"/>
      <c r="T686" s="28"/>
      <c r="U686" s="28"/>
      <c r="V686" s="28"/>
      <c r="W686" s="28"/>
      <c r="AD686" s="28"/>
      <c r="AE686" s="28"/>
      <c r="AF686" s="28"/>
      <c r="AG686" s="28"/>
      <c r="AN686" s="28"/>
      <c r="AO686" s="28"/>
      <c r="AP686" s="28"/>
      <c r="AQ686" s="28"/>
    </row>
    <row r="687">
      <c r="J687" s="28"/>
      <c r="K687" s="28"/>
      <c r="L687" s="28"/>
      <c r="M687" s="28"/>
      <c r="T687" s="28"/>
      <c r="U687" s="28"/>
      <c r="V687" s="28"/>
      <c r="W687" s="28"/>
      <c r="AD687" s="28"/>
      <c r="AE687" s="28"/>
      <c r="AF687" s="28"/>
      <c r="AG687" s="28"/>
      <c r="AN687" s="28"/>
      <c r="AO687" s="28"/>
      <c r="AP687" s="28"/>
      <c r="AQ687" s="28"/>
    </row>
    <row r="688">
      <c r="J688" s="28"/>
      <c r="K688" s="28"/>
      <c r="L688" s="28"/>
      <c r="M688" s="28"/>
      <c r="T688" s="28"/>
      <c r="U688" s="28"/>
      <c r="V688" s="28"/>
      <c r="W688" s="28"/>
      <c r="AD688" s="28"/>
      <c r="AE688" s="28"/>
      <c r="AF688" s="28"/>
      <c r="AG688" s="28"/>
      <c r="AN688" s="28"/>
      <c r="AO688" s="28"/>
      <c r="AP688" s="28"/>
      <c r="AQ688" s="28"/>
    </row>
    <row r="689">
      <c r="J689" s="28"/>
      <c r="K689" s="28"/>
      <c r="L689" s="28"/>
      <c r="M689" s="28"/>
      <c r="T689" s="28"/>
      <c r="U689" s="28"/>
      <c r="V689" s="28"/>
      <c r="W689" s="28"/>
      <c r="AD689" s="28"/>
      <c r="AE689" s="28"/>
      <c r="AF689" s="28"/>
      <c r="AG689" s="28"/>
      <c r="AN689" s="28"/>
      <c r="AO689" s="28"/>
      <c r="AP689" s="28"/>
      <c r="AQ689" s="28"/>
    </row>
    <row r="690">
      <c r="J690" s="28"/>
      <c r="K690" s="28"/>
      <c r="L690" s="28"/>
      <c r="M690" s="28"/>
      <c r="T690" s="28"/>
      <c r="U690" s="28"/>
      <c r="V690" s="28"/>
      <c r="W690" s="28"/>
      <c r="AD690" s="28"/>
      <c r="AE690" s="28"/>
      <c r="AF690" s="28"/>
      <c r="AG690" s="28"/>
      <c r="AN690" s="28"/>
      <c r="AO690" s="28"/>
      <c r="AP690" s="28"/>
      <c r="AQ690" s="28"/>
    </row>
    <row r="691">
      <c r="J691" s="28"/>
      <c r="K691" s="28"/>
      <c r="L691" s="28"/>
      <c r="M691" s="28"/>
      <c r="T691" s="28"/>
      <c r="U691" s="28"/>
      <c r="V691" s="28"/>
      <c r="W691" s="28"/>
      <c r="AD691" s="28"/>
      <c r="AE691" s="28"/>
      <c r="AF691" s="28"/>
      <c r="AG691" s="28"/>
      <c r="AN691" s="28"/>
      <c r="AO691" s="28"/>
      <c r="AP691" s="28"/>
      <c r="AQ691" s="28"/>
    </row>
    <row r="692">
      <c r="J692" s="28"/>
      <c r="K692" s="28"/>
      <c r="L692" s="28"/>
      <c r="M692" s="28"/>
      <c r="T692" s="28"/>
      <c r="U692" s="28"/>
      <c r="V692" s="28"/>
      <c r="W692" s="28"/>
      <c r="AD692" s="28"/>
      <c r="AE692" s="28"/>
      <c r="AF692" s="28"/>
      <c r="AG692" s="28"/>
      <c r="AN692" s="28"/>
      <c r="AO692" s="28"/>
      <c r="AP692" s="28"/>
      <c r="AQ692" s="28"/>
    </row>
    <row r="693">
      <c r="J693" s="28"/>
      <c r="K693" s="28"/>
      <c r="L693" s="28"/>
      <c r="M693" s="28"/>
      <c r="T693" s="28"/>
      <c r="U693" s="28"/>
      <c r="V693" s="28"/>
      <c r="W693" s="28"/>
      <c r="AD693" s="28"/>
      <c r="AE693" s="28"/>
      <c r="AF693" s="28"/>
      <c r="AG693" s="28"/>
      <c r="AN693" s="28"/>
      <c r="AO693" s="28"/>
      <c r="AP693" s="28"/>
      <c r="AQ693" s="28"/>
    </row>
    <row r="694">
      <c r="J694" s="28"/>
      <c r="K694" s="28"/>
      <c r="L694" s="28"/>
      <c r="M694" s="28"/>
      <c r="T694" s="28"/>
      <c r="U694" s="28"/>
      <c r="V694" s="28"/>
      <c r="W694" s="28"/>
      <c r="AD694" s="28"/>
      <c r="AE694" s="28"/>
      <c r="AF694" s="28"/>
      <c r="AG694" s="28"/>
      <c r="AN694" s="28"/>
      <c r="AO694" s="28"/>
      <c r="AP694" s="28"/>
      <c r="AQ694" s="28"/>
    </row>
    <row r="695">
      <c r="J695" s="28"/>
      <c r="K695" s="28"/>
      <c r="L695" s="28"/>
      <c r="M695" s="28"/>
      <c r="T695" s="28"/>
      <c r="U695" s="28"/>
      <c r="V695" s="28"/>
      <c r="W695" s="28"/>
      <c r="AD695" s="28"/>
      <c r="AE695" s="28"/>
      <c r="AF695" s="28"/>
      <c r="AG695" s="28"/>
      <c r="AN695" s="28"/>
      <c r="AO695" s="28"/>
      <c r="AP695" s="28"/>
      <c r="AQ695" s="28"/>
    </row>
    <row r="696">
      <c r="J696" s="28"/>
      <c r="K696" s="28"/>
      <c r="L696" s="28"/>
      <c r="M696" s="28"/>
      <c r="T696" s="28"/>
      <c r="U696" s="28"/>
      <c r="V696" s="28"/>
      <c r="W696" s="28"/>
      <c r="AD696" s="28"/>
      <c r="AE696" s="28"/>
      <c r="AF696" s="28"/>
      <c r="AG696" s="28"/>
      <c r="AN696" s="28"/>
      <c r="AO696" s="28"/>
      <c r="AP696" s="28"/>
      <c r="AQ696" s="28"/>
    </row>
    <row r="697">
      <c r="J697" s="28"/>
      <c r="K697" s="28"/>
      <c r="L697" s="28"/>
      <c r="M697" s="28"/>
      <c r="T697" s="28"/>
      <c r="U697" s="28"/>
      <c r="V697" s="28"/>
      <c r="W697" s="28"/>
      <c r="AD697" s="28"/>
      <c r="AE697" s="28"/>
      <c r="AF697" s="28"/>
      <c r="AG697" s="28"/>
      <c r="AN697" s="28"/>
      <c r="AO697" s="28"/>
      <c r="AP697" s="28"/>
      <c r="AQ697" s="28"/>
    </row>
    <row r="698">
      <c r="J698" s="28"/>
      <c r="K698" s="28"/>
      <c r="L698" s="28"/>
      <c r="M698" s="28"/>
      <c r="T698" s="28"/>
      <c r="U698" s="28"/>
      <c r="V698" s="28"/>
      <c r="W698" s="28"/>
      <c r="AD698" s="28"/>
      <c r="AE698" s="28"/>
      <c r="AF698" s="28"/>
      <c r="AG698" s="28"/>
      <c r="AN698" s="28"/>
      <c r="AO698" s="28"/>
      <c r="AP698" s="28"/>
      <c r="AQ698" s="28"/>
    </row>
    <row r="699">
      <c r="J699" s="28"/>
      <c r="K699" s="28"/>
      <c r="L699" s="28"/>
      <c r="M699" s="28"/>
      <c r="T699" s="28"/>
      <c r="U699" s="28"/>
      <c r="V699" s="28"/>
      <c r="W699" s="28"/>
      <c r="AD699" s="28"/>
      <c r="AE699" s="28"/>
      <c r="AF699" s="28"/>
      <c r="AG699" s="28"/>
      <c r="AN699" s="28"/>
      <c r="AO699" s="28"/>
      <c r="AP699" s="28"/>
      <c r="AQ699" s="28"/>
    </row>
    <row r="700">
      <c r="J700" s="28"/>
      <c r="K700" s="28"/>
      <c r="L700" s="28"/>
      <c r="M700" s="28"/>
      <c r="T700" s="28"/>
      <c r="U700" s="28"/>
      <c r="V700" s="28"/>
      <c r="W700" s="28"/>
      <c r="AD700" s="28"/>
      <c r="AE700" s="28"/>
      <c r="AF700" s="28"/>
      <c r="AG700" s="28"/>
      <c r="AN700" s="28"/>
      <c r="AO700" s="28"/>
      <c r="AP700" s="28"/>
      <c r="AQ700" s="28"/>
    </row>
    <row r="701">
      <c r="J701" s="28"/>
      <c r="K701" s="28"/>
      <c r="L701" s="28"/>
      <c r="M701" s="28"/>
      <c r="T701" s="28"/>
      <c r="U701" s="28"/>
      <c r="V701" s="28"/>
      <c r="W701" s="28"/>
      <c r="AD701" s="28"/>
      <c r="AE701" s="28"/>
      <c r="AF701" s="28"/>
      <c r="AG701" s="28"/>
      <c r="AN701" s="28"/>
      <c r="AO701" s="28"/>
      <c r="AP701" s="28"/>
      <c r="AQ701" s="28"/>
    </row>
    <row r="702">
      <c r="J702" s="28"/>
      <c r="K702" s="28"/>
      <c r="L702" s="28"/>
      <c r="M702" s="28"/>
      <c r="T702" s="28"/>
      <c r="U702" s="28"/>
      <c r="V702" s="28"/>
      <c r="W702" s="28"/>
      <c r="AD702" s="28"/>
      <c r="AE702" s="28"/>
      <c r="AF702" s="28"/>
      <c r="AG702" s="28"/>
      <c r="AN702" s="28"/>
      <c r="AO702" s="28"/>
      <c r="AP702" s="28"/>
      <c r="AQ702" s="28"/>
    </row>
    <row r="703">
      <c r="J703" s="28"/>
      <c r="K703" s="28"/>
      <c r="L703" s="28"/>
      <c r="M703" s="28"/>
      <c r="T703" s="28"/>
      <c r="U703" s="28"/>
      <c r="V703" s="28"/>
      <c r="W703" s="28"/>
      <c r="AD703" s="28"/>
      <c r="AE703" s="28"/>
      <c r="AF703" s="28"/>
      <c r="AG703" s="28"/>
      <c r="AN703" s="28"/>
      <c r="AO703" s="28"/>
      <c r="AP703" s="28"/>
      <c r="AQ703" s="28"/>
    </row>
    <row r="704">
      <c r="J704" s="28"/>
      <c r="K704" s="28"/>
      <c r="L704" s="28"/>
      <c r="M704" s="28"/>
      <c r="T704" s="28"/>
      <c r="U704" s="28"/>
      <c r="V704" s="28"/>
      <c r="W704" s="28"/>
      <c r="AD704" s="28"/>
      <c r="AE704" s="28"/>
      <c r="AF704" s="28"/>
      <c r="AG704" s="28"/>
      <c r="AN704" s="28"/>
      <c r="AO704" s="28"/>
      <c r="AP704" s="28"/>
      <c r="AQ704" s="28"/>
    </row>
    <row r="705">
      <c r="J705" s="28"/>
      <c r="K705" s="28"/>
      <c r="L705" s="28"/>
      <c r="M705" s="28"/>
      <c r="T705" s="28"/>
      <c r="U705" s="28"/>
      <c r="V705" s="28"/>
      <c r="W705" s="28"/>
      <c r="AD705" s="28"/>
      <c r="AE705" s="28"/>
      <c r="AF705" s="28"/>
      <c r="AG705" s="28"/>
      <c r="AN705" s="28"/>
      <c r="AO705" s="28"/>
      <c r="AP705" s="28"/>
      <c r="AQ705" s="28"/>
    </row>
    <row r="706">
      <c r="J706" s="28"/>
      <c r="K706" s="28"/>
      <c r="L706" s="28"/>
      <c r="M706" s="28"/>
      <c r="T706" s="28"/>
      <c r="U706" s="28"/>
      <c r="V706" s="28"/>
      <c r="W706" s="28"/>
      <c r="AD706" s="28"/>
      <c r="AE706" s="28"/>
      <c r="AF706" s="28"/>
      <c r="AG706" s="28"/>
      <c r="AN706" s="28"/>
      <c r="AO706" s="28"/>
      <c r="AP706" s="28"/>
      <c r="AQ706" s="28"/>
    </row>
    <row r="707">
      <c r="J707" s="28"/>
      <c r="K707" s="28"/>
      <c r="L707" s="28"/>
      <c r="M707" s="28"/>
      <c r="T707" s="28"/>
      <c r="U707" s="28"/>
      <c r="V707" s="28"/>
      <c r="W707" s="28"/>
      <c r="AD707" s="28"/>
      <c r="AE707" s="28"/>
      <c r="AF707" s="28"/>
      <c r="AG707" s="28"/>
      <c r="AN707" s="28"/>
      <c r="AO707" s="28"/>
      <c r="AP707" s="28"/>
      <c r="AQ707" s="28"/>
    </row>
    <row r="708">
      <c r="J708" s="28"/>
      <c r="K708" s="28"/>
      <c r="L708" s="28"/>
      <c r="M708" s="28"/>
      <c r="T708" s="28"/>
      <c r="U708" s="28"/>
      <c r="V708" s="28"/>
      <c r="W708" s="28"/>
      <c r="AD708" s="28"/>
      <c r="AE708" s="28"/>
      <c r="AF708" s="28"/>
      <c r="AG708" s="28"/>
      <c r="AN708" s="28"/>
      <c r="AO708" s="28"/>
      <c r="AP708" s="28"/>
      <c r="AQ708" s="28"/>
    </row>
    <row r="709">
      <c r="J709" s="28"/>
      <c r="K709" s="28"/>
      <c r="L709" s="28"/>
      <c r="M709" s="28"/>
      <c r="T709" s="28"/>
      <c r="U709" s="28"/>
      <c r="V709" s="28"/>
      <c r="W709" s="28"/>
      <c r="AD709" s="28"/>
      <c r="AE709" s="28"/>
      <c r="AF709" s="28"/>
      <c r="AG709" s="28"/>
      <c r="AN709" s="28"/>
      <c r="AO709" s="28"/>
      <c r="AP709" s="28"/>
      <c r="AQ709" s="28"/>
    </row>
    <row r="710">
      <c r="J710" s="28"/>
      <c r="K710" s="28"/>
      <c r="L710" s="28"/>
      <c r="M710" s="28"/>
      <c r="T710" s="28"/>
      <c r="U710" s="28"/>
      <c r="V710" s="28"/>
      <c r="W710" s="28"/>
      <c r="AD710" s="28"/>
      <c r="AE710" s="28"/>
      <c r="AF710" s="28"/>
      <c r="AG710" s="28"/>
      <c r="AN710" s="28"/>
      <c r="AO710" s="28"/>
      <c r="AP710" s="28"/>
      <c r="AQ710" s="28"/>
    </row>
    <row r="711">
      <c r="J711" s="28"/>
      <c r="K711" s="28"/>
      <c r="L711" s="28"/>
      <c r="M711" s="28"/>
      <c r="T711" s="28"/>
      <c r="U711" s="28"/>
      <c r="V711" s="28"/>
      <c r="W711" s="28"/>
      <c r="AD711" s="28"/>
      <c r="AE711" s="28"/>
      <c r="AF711" s="28"/>
      <c r="AG711" s="28"/>
      <c r="AN711" s="28"/>
      <c r="AO711" s="28"/>
      <c r="AP711" s="28"/>
      <c r="AQ711" s="28"/>
    </row>
    <row r="712">
      <c r="J712" s="28"/>
      <c r="K712" s="28"/>
      <c r="L712" s="28"/>
      <c r="M712" s="28"/>
      <c r="T712" s="28"/>
      <c r="U712" s="28"/>
      <c r="V712" s="28"/>
      <c r="W712" s="28"/>
      <c r="AD712" s="28"/>
      <c r="AE712" s="28"/>
      <c r="AF712" s="28"/>
      <c r="AG712" s="28"/>
      <c r="AN712" s="28"/>
      <c r="AO712" s="28"/>
      <c r="AP712" s="28"/>
      <c r="AQ712" s="28"/>
    </row>
    <row r="713">
      <c r="J713" s="28"/>
      <c r="K713" s="28"/>
      <c r="L713" s="28"/>
      <c r="M713" s="28"/>
      <c r="T713" s="28"/>
      <c r="U713" s="28"/>
      <c r="V713" s="28"/>
      <c r="W713" s="28"/>
      <c r="AD713" s="28"/>
      <c r="AE713" s="28"/>
      <c r="AF713" s="28"/>
      <c r="AG713" s="28"/>
      <c r="AN713" s="28"/>
      <c r="AO713" s="28"/>
      <c r="AP713" s="28"/>
      <c r="AQ713" s="28"/>
    </row>
    <row r="714">
      <c r="J714" s="28"/>
      <c r="K714" s="28"/>
      <c r="L714" s="28"/>
      <c r="M714" s="28"/>
      <c r="T714" s="28"/>
      <c r="U714" s="28"/>
      <c r="V714" s="28"/>
      <c r="W714" s="28"/>
      <c r="AD714" s="28"/>
      <c r="AE714" s="28"/>
      <c r="AF714" s="28"/>
      <c r="AG714" s="28"/>
      <c r="AN714" s="28"/>
      <c r="AO714" s="28"/>
      <c r="AP714" s="28"/>
      <c r="AQ714" s="28"/>
    </row>
    <row r="715">
      <c r="J715" s="28"/>
      <c r="K715" s="28"/>
      <c r="L715" s="28"/>
      <c r="M715" s="28"/>
      <c r="T715" s="28"/>
      <c r="U715" s="28"/>
      <c r="V715" s="28"/>
      <c r="W715" s="28"/>
      <c r="AD715" s="28"/>
      <c r="AE715" s="28"/>
      <c r="AF715" s="28"/>
      <c r="AG715" s="28"/>
      <c r="AN715" s="28"/>
      <c r="AO715" s="28"/>
      <c r="AP715" s="28"/>
      <c r="AQ715" s="28"/>
    </row>
    <row r="716">
      <c r="J716" s="28"/>
      <c r="K716" s="28"/>
      <c r="L716" s="28"/>
      <c r="M716" s="28"/>
      <c r="T716" s="28"/>
      <c r="U716" s="28"/>
      <c r="V716" s="28"/>
      <c r="W716" s="28"/>
      <c r="AD716" s="28"/>
      <c r="AE716" s="28"/>
      <c r="AF716" s="28"/>
      <c r="AG716" s="28"/>
      <c r="AN716" s="28"/>
      <c r="AO716" s="28"/>
      <c r="AP716" s="28"/>
      <c r="AQ716" s="28"/>
    </row>
    <row r="717">
      <c r="J717" s="28"/>
      <c r="K717" s="28"/>
      <c r="L717" s="28"/>
      <c r="M717" s="28"/>
      <c r="T717" s="28"/>
      <c r="U717" s="28"/>
      <c r="V717" s="28"/>
      <c r="W717" s="28"/>
      <c r="AD717" s="28"/>
      <c r="AE717" s="28"/>
      <c r="AF717" s="28"/>
      <c r="AG717" s="28"/>
      <c r="AN717" s="28"/>
      <c r="AO717" s="28"/>
      <c r="AP717" s="28"/>
      <c r="AQ717" s="28"/>
    </row>
    <row r="718">
      <c r="J718" s="28"/>
      <c r="K718" s="28"/>
      <c r="L718" s="28"/>
      <c r="M718" s="28"/>
      <c r="T718" s="28"/>
      <c r="U718" s="28"/>
      <c r="V718" s="28"/>
      <c r="W718" s="28"/>
      <c r="AD718" s="28"/>
      <c r="AE718" s="28"/>
      <c r="AF718" s="28"/>
      <c r="AG718" s="28"/>
      <c r="AN718" s="28"/>
      <c r="AO718" s="28"/>
      <c r="AP718" s="28"/>
      <c r="AQ718" s="28"/>
    </row>
    <row r="719">
      <c r="J719" s="28"/>
      <c r="K719" s="28"/>
      <c r="L719" s="28"/>
      <c r="M719" s="28"/>
      <c r="T719" s="28"/>
      <c r="U719" s="28"/>
      <c r="V719" s="28"/>
      <c r="W719" s="28"/>
      <c r="AD719" s="28"/>
      <c r="AE719" s="28"/>
      <c r="AF719" s="28"/>
      <c r="AG719" s="28"/>
      <c r="AN719" s="28"/>
      <c r="AO719" s="28"/>
      <c r="AP719" s="28"/>
      <c r="AQ719" s="28"/>
    </row>
    <row r="720">
      <c r="J720" s="28"/>
      <c r="K720" s="28"/>
      <c r="L720" s="28"/>
      <c r="M720" s="28"/>
      <c r="T720" s="28"/>
      <c r="U720" s="28"/>
      <c r="V720" s="28"/>
      <c r="W720" s="28"/>
      <c r="AD720" s="28"/>
      <c r="AE720" s="28"/>
      <c r="AF720" s="28"/>
      <c r="AG720" s="28"/>
      <c r="AN720" s="28"/>
      <c r="AO720" s="28"/>
      <c r="AP720" s="28"/>
      <c r="AQ720" s="28"/>
    </row>
    <row r="721">
      <c r="J721" s="28"/>
      <c r="K721" s="28"/>
      <c r="L721" s="28"/>
      <c r="M721" s="28"/>
      <c r="T721" s="28"/>
      <c r="U721" s="28"/>
      <c r="V721" s="28"/>
      <c r="W721" s="28"/>
      <c r="AD721" s="28"/>
      <c r="AE721" s="28"/>
      <c r="AF721" s="28"/>
      <c r="AG721" s="28"/>
      <c r="AN721" s="28"/>
      <c r="AO721" s="28"/>
      <c r="AP721" s="28"/>
      <c r="AQ721" s="28"/>
    </row>
    <row r="722">
      <c r="J722" s="28"/>
      <c r="K722" s="28"/>
      <c r="L722" s="28"/>
      <c r="M722" s="28"/>
      <c r="T722" s="28"/>
      <c r="U722" s="28"/>
      <c r="V722" s="28"/>
      <c r="W722" s="28"/>
      <c r="AD722" s="28"/>
      <c r="AE722" s="28"/>
      <c r="AF722" s="28"/>
      <c r="AG722" s="28"/>
      <c r="AN722" s="28"/>
      <c r="AO722" s="28"/>
      <c r="AP722" s="28"/>
      <c r="AQ722" s="28"/>
    </row>
    <row r="723">
      <c r="J723" s="28"/>
      <c r="K723" s="28"/>
      <c r="L723" s="28"/>
      <c r="M723" s="28"/>
      <c r="T723" s="28"/>
      <c r="U723" s="28"/>
      <c r="V723" s="28"/>
      <c r="W723" s="28"/>
      <c r="AD723" s="28"/>
      <c r="AE723" s="28"/>
      <c r="AF723" s="28"/>
      <c r="AG723" s="28"/>
      <c r="AN723" s="28"/>
      <c r="AO723" s="28"/>
      <c r="AP723" s="28"/>
      <c r="AQ723" s="28"/>
    </row>
    <row r="724">
      <c r="J724" s="28"/>
      <c r="K724" s="28"/>
      <c r="L724" s="28"/>
      <c r="M724" s="28"/>
      <c r="T724" s="28"/>
      <c r="U724" s="28"/>
      <c r="V724" s="28"/>
      <c r="W724" s="28"/>
      <c r="AD724" s="28"/>
      <c r="AE724" s="28"/>
      <c r="AF724" s="28"/>
      <c r="AG724" s="28"/>
      <c r="AN724" s="28"/>
      <c r="AO724" s="28"/>
      <c r="AP724" s="28"/>
      <c r="AQ724" s="28"/>
    </row>
    <row r="725">
      <c r="J725" s="28"/>
      <c r="K725" s="28"/>
      <c r="L725" s="28"/>
      <c r="M725" s="28"/>
      <c r="T725" s="28"/>
      <c r="U725" s="28"/>
      <c r="V725" s="28"/>
      <c r="W725" s="28"/>
      <c r="AD725" s="28"/>
      <c r="AE725" s="28"/>
      <c r="AF725" s="28"/>
      <c r="AG725" s="28"/>
      <c r="AN725" s="28"/>
      <c r="AO725" s="28"/>
      <c r="AP725" s="28"/>
      <c r="AQ725" s="28"/>
    </row>
    <row r="726">
      <c r="J726" s="28"/>
      <c r="K726" s="28"/>
      <c r="L726" s="28"/>
      <c r="M726" s="28"/>
      <c r="T726" s="28"/>
      <c r="U726" s="28"/>
      <c r="V726" s="28"/>
      <c r="W726" s="28"/>
      <c r="AD726" s="28"/>
      <c r="AE726" s="28"/>
      <c r="AF726" s="28"/>
      <c r="AG726" s="28"/>
      <c r="AN726" s="28"/>
      <c r="AO726" s="28"/>
      <c r="AP726" s="28"/>
      <c r="AQ726" s="28"/>
    </row>
    <row r="727">
      <c r="J727" s="28"/>
      <c r="K727" s="28"/>
      <c r="L727" s="28"/>
      <c r="M727" s="28"/>
      <c r="T727" s="28"/>
      <c r="U727" s="28"/>
      <c r="V727" s="28"/>
      <c r="W727" s="28"/>
      <c r="AD727" s="28"/>
      <c r="AE727" s="28"/>
      <c r="AF727" s="28"/>
      <c r="AG727" s="28"/>
      <c r="AN727" s="28"/>
      <c r="AO727" s="28"/>
      <c r="AP727" s="28"/>
      <c r="AQ727" s="28"/>
    </row>
    <row r="728">
      <c r="J728" s="28"/>
      <c r="K728" s="28"/>
      <c r="L728" s="28"/>
      <c r="M728" s="28"/>
      <c r="T728" s="28"/>
      <c r="U728" s="28"/>
      <c r="V728" s="28"/>
      <c r="W728" s="28"/>
      <c r="AD728" s="28"/>
      <c r="AE728" s="28"/>
      <c r="AF728" s="28"/>
      <c r="AG728" s="28"/>
      <c r="AN728" s="28"/>
      <c r="AO728" s="28"/>
      <c r="AP728" s="28"/>
      <c r="AQ728" s="28"/>
    </row>
    <row r="729">
      <c r="J729" s="28"/>
      <c r="K729" s="28"/>
      <c r="L729" s="28"/>
      <c r="M729" s="28"/>
      <c r="T729" s="28"/>
      <c r="U729" s="28"/>
      <c r="V729" s="28"/>
      <c r="W729" s="28"/>
      <c r="AD729" s="28"/>
      <c r="AE729" s="28"/>
      <c r="AF729" s="28"/>
      <c r="AG729" s="28"/>
      <c r="AN729" s="28"/>
      <c r="AO729" s="28"/>
      <c r="AP729" s="28"/>
      <c r="AQ729" s="28"/>
    </row>
    <row r="730">
      <c r="J730" s="28"/>
      <c r="K730" s="28"/>
      <c r="L730" s="28"/>
      <c r="M730" s="28"/>
      <c r="T730" s="28"/>
      <c r="U730" s="28"/>
      <c r="V730" s="28"/>
      <c r="W730" s="28"/>
      <c r="AD730" s="28"/>
      <c r="AE730" s="28"/>
      <c r="AF730" s="28"/>
      <c r="AG730" s="28"/>
      <c r="AN730" s="28"/>
      <c r="AO730" s="28"/>
      <c r="AP730" s="28"/>
      <c r="AQ730" s="28"/>
    </row>
    <row r="731">
      <c r="J731" s="28"/>
      <c r="K731" s="28"/>
      <c r="L731" s="28"/>
      <c r="M731" s="28"/>
      <c r="T731" s="28"/>
      <c r="U731" s="28"/>
      <c r="V731" s="28"/>
      <c r="W731" s="28"/>
      <c r="AD731" s="28"/>
      <c r="AE731" s="28"/>
      <c r="AF731" s="28"/>
      <c r="AG731" s="28"/>
      <c r="AN731" s="28"/>
      <c r="AO731" s="28"/>
      <c r="AP731" s="28"/>
      <c r="AQ731" s="28"/>
    </row>
    <row r="732">
      <c r="J732" s="28"/>
      <c r="K732" s="28"/>
      <c r="L732" s="28"/>
      <c r="M732" s="28"/>
      <c r="T732" s="28"/>
      <c r="U732" s="28"/>
      <c r="V732" s="28"/>
      <c r="W732" s="28"/>
      <c r="AD732" s="28"/>
      <c r="AE732" s="28"/>
      <c r="AF732" s="28"/>
      <c r="AG732" s="28"/>
      <c r="AN732" s="28"/>
      <c r="AO732" s="28"/>
      <c r="AP732" s="28"/>
      <c r="AQ732" s="28"/>
    </row>
    <row r="733">
      <c r="J733" s="28"/>
      <c r="K733" s="28"/>
      <c r="L733" s="28"/>
      <c r="M733" s="28"/>
      <c r="T733" s="28"/>
      <c r="U733" s="28"/>
      <c r="V733" s="28"/>
      <c r="W733" s="28"/>
      <c r="AD733" s="28"/>
      <c r="AE733" s="28"/>
      <c r="AF733" s="28"/>
      <c r="AG733" s="28"/>
      <c r="AN733" s="28"/>
      <c r="AO733" s="28"/>
      <c r="AP733" s="28"/>
      <c r="AQ733" s="28"/>
    </row>
    <row r="734">
      <c r="J734" s="28"/>
      <c r="K734" s="28"/>
      <c r="L734" s="28"/>
      <c r="M734" s="28"/>
      <c r="T734" s="28"/>
      <c r="U734" s="28"/>
      <c r="V734" s="28"/>
      <c r="W734" s="28"/>
      <c r="AD734" s="28"/>
      <c r="AE734" s="28"/>
      <c r="AF734" s="28"/>
      <c r="AG734" s="28"/>
      <c r="AN734" s="28"/>
      <c r="AO734" s="28"/>
      <c r="AP734" s="28"/>
      <c r="AQ734" s="28"/>
    </row>
    <row r="735">
      <c r="J735" s="28"/>
      <c r="K735" s="28"/>
      <c r="L735" s="28"/>
      <c r="M735" s="28"/>
      <c r="T735" s="28"/>
      <c r="U735" s="28"/>
      <c r="V735" s="28"/>
      <c r="W735" s="28"/>
      <c r="AD735" s="28"/>
      <c r="AE735" s="28"/>
      <c r="AF735" s="28"/>
      <c r="AG735" s="28"/>
      <c r="AN735" s="28"/>
      <c r="AO735" s="28"/>
      <c r="AP735" s="28"/>
      <c r="AQ735" s="28"/>
    </row>
    <row r="736">
      <c r="J736" s="28"/>
      <c r="K736" s="28"/>
      <c r="L736" s="28"/>
      <c r="M736" s="28"/>
      <c r="T736" s="28"/>
      <c r="U736" s="28"/>
      <c r="V736" s="28"/>
      <c r="W736" s="28"/>
      <c r="AD736" s="28"/>
      <c r="AE736" s="28"/>
      <c r="AF736" s="28"/>
      <c r="AG736" s="28"/>
      <c r="AN736" s="28"/>
      <c r="AO736" s="28"/>
      <c r="AP736" s="28"/>
      <c r="AQ736" s="28"/>
    </row>
    <row r="737">
      <c r="J737" s="28"/>
      <c r="K737" s="28"/>
      <c r="L737" s="28"/>
      <c r="M737" s="28"/>
      <c r="T737" s="28"/>
      <c r="U737" s="28"/>
      <c r="V737" s="28"/>
      <c r="W737" s="28"/>
      <c r="AD737" s="28"/>
      <c r="AE737" s="28"/>
      <c r="AF737" s="28"/>
      <c r="AG737" s="28"/>
      <c r="AN737" s="28"/>
      <c r="AO737" s="28"/>
      <c r="AP737" s="28"/>
      <c r="AQ737" s="28"/>
    </row>
    <row r="738">
      <c r="J738" s="28"/>
      <c r="K738" s="28"/>
      <c r="L738" s="28"/>
      <c r="M738" s="28"/>
      <c r="T738" s="28"/>
      <c r="U738" s="28"/>
      <c r="V738" s="28"/>
      <c r="W738" s="28"/>
      <c r="AD738" s="28"/>
      <c r="AE738" s="28"/>
      <c r="AF738" s="28"/>
      <c r="AG738" s="28"/>
      <c r="AN738" s="28"/>
      <c r="AO738" s="28"/>
      <c r="AP738" s="28"/>
      <c r="AQ738" s="28"/>
    </row>
    <row r="739">
      <c r="J739" s="28"/>
      <c r="K739" s="28"/>
      <c r="L739" s="28"/>
      <c r="M739" s="28"/>
      <c r="T739" s="28"/>
      <c r="U739" s="28"/>
      <c r="V739" s="28"/>
      <c r="W739" s="28"/>
      <c r="AD739" s="28"/>
      <c r="AE739" s="28"/>
      <c r="AF739" s="28"/>
      <c r="AG739" s="28"/>
      <c r="AN739" s="28"/>
      <c r="AO739" s="28"/>
      <c r="AP739" s="28"/>
      <c r="AQ739" s="28"/>
    </row>
    <row r="740">
      <c r="J740" s="28"/>
      <c r="K740" s="28"/>
      <c r="L740" s="28"/>
      <c r="M740" s="28"/>
      <c r="T740" s="28"/>
      <c r="U740" s="28"/>
      <c r="V740" s="28"/>
      <c r="W740" s="28"/>
      <c r="AD740" s="28"/>
      <c r="AE740" s="28"/>
      <c r="AF740" s="28"/>
      <c r="AG740" s="28"/>
      <c r="AN740" s="28"/>
      <c r="AO740" s="28"/>
      <c r="AP740" s="28"/>
      <c r="AQ740" s="28"/>
    </row>
    <row r="741">
      <c r="J741" s="28"/>
      <c r="K741" s="28"/>
      <c r="L741" s="28"/>
      <c r="M741" s="28"/>
      <c r="T741" s="28"/>
      <c r="U741" s="28"/>
      <c r="V741" s="28"/>
      <c r="W741" s="28"/>
      <c r="AD741" s="28"/>
      <c r="AE741" s="28"/>
      <c r="AF741" s="28"/>
      <c r="AG741" s="28"/>
      <c r="AN741" s="28"/>
      <c r="AO741" s="28"/>
      <c r="AP741" s="28"/>
      <c r="AQ741" s="28"/>
    </row>
    <row r="742">
      <c r="J742" s="28"/>
      <c r="K742" s="28"/>
      <c r="L742" s="28"/>
      <c r="M742" s="28"/>
      <c r="T742" s="28"/>
      <c r="U742" s="28"/>
      <c r="V742" s="28"/>
      <c r="W742" s="28"/>
      <c r="AD742" s="28"/>
      <c r="AE742" s="28"/>
      <c r="AF742" s="28"/>
      <c r="AG742" s="28"/>
      <c r="AN742" s="28"/>
      <c r="AO742" s="28"/>
      <c r="AP742" s="28"/>
      <c r="AQ742" s="28"/>
    </row>
    <row r="743">
      <c r="J743" s="28"/>
      <c r="K743" s="28"/>
      <c r="L743" s="28"/>
      <c r="M743" s="28"/>
      <c r="T743" s="28"/>
      <c r="U743" s="28"/>
      <c r="V743" s="28"/>
      <c r="W743" s="28"/>
      <c r="AD743" s="28"/>
      <c r="AE743" s="28"/>
      <c r="AF743" s="28"/>
      <c r="AG743" s="28"/>
      <c r="AN743" s="28"/>
      <c r="AO743" s="28"/>
      <c r="AP743" s="28"/>
      <c r="AQ743" s="28"/>
    </row>
    <row r="744">
      <c r="J744" s="28"/>
      <c r="K744" s="28"/>
      <c r="L744" s="28"/>
      <c r="M744" s="28"/>
      <c r="T744" s="28"/>
      <c r="U744" s="28"/>
      <c r="V744" s="28"/>
      <c r="W744" s="28"/>
      <c r="AD744" s="28"/>
      <c r="AE744" s="28"/>
      <c r="AF744" s="28"/>
      <c r="AG744" s="28"/>
      <c r="AN744" s="28"/>
      <c r="AO744" s="28"/>
      <c r="AP744" s="28"/>
      <c r="AQ744" s="28"/>
    </row>
    <row r="745">
      <c r="J745" s="28"/>
      <c r="K745" s="28"/>
      <c r="L745" s="28"/>
      <c r="M745" s="28"/>
      <c r="T745" s="28"/>
      <c r="U745" s="28"/>
      <c r="V745" s="28"/>
      <c r="W745" s="28"/>
      <c r="AD745" s="28"/>
      <c r="AE745" s="28"/>
      <c r="AF745" s="28"/>
      <c r="AG745" s="28"/>
      <c r="AN745" s="28"/>
      <c r="AO745" s="28"/>
      <c r="AP745" s="28"/>
      <c r="AQ745" s="28"/>
    </row>
    <row r="746">
      <c r="J746" s="28"/>
      <c r="K746" s="28"/>
      <c r="L746" s="28"/>
      <c r="M746" s="28"/>
      <c r="T746" s="28"/>
      <c r="U746" s="28"/>
      <c r="V746" s="28"/>
      <c r="W746" s="28"/>
      <c r="AD746" s="28"/>
      <c r="AE746" s="28"/>
      <c r="AF746" s="28"/>
      <c r="AG746" s="28"/>
      <c r="AN746" s="28"/>
      <c r="AO746" s="28"/>
      <c r="AP746" s="28"/>
      <c r="AQ746" s="28"/>
    </row>
    <row r="747">
      <c r="J747" s="28"/>
      <c r="K747" s="28"/>
      <c r="L747" s="28"/>
      <c r="M747" s="28"/>
      <c r="T747" s="28"/>
      <c r="U747" s="28"/>
      <c r="V747" s="28"/>
      <c r="W747" s="28"/>
      <c r="AD747" s="28"/>
      <c r="AE747" s="28"/>
      <c r="AF747" s="28"/>
      <c r="AG747" s="28"/>
      <c r="AN747" s="28"/>
      <c r="AO747" s="28"/>
      <c r="AP747" s="28"/>
      <c r="AQ747" s="28"/>
    </row>
    <row r="748">
      <c r="J748" s="28"/>
      <c r="K748" s="28"/>
      <c r="L748" s="28"/>
      <c r="M748" s="28"/>
      <c r="T748" s="28"/>
      <c r="U748" s="28"/>
      <c r="V748" s="28"/>
      <c r="W748" s="28"/>
      <c r="AD748" s="28"/>
      <c r="AE748" s="28"/>
      <c r="AF748" s="28"/>
      <c r="AG748" s="28"/>
      <c r="AN748" s="28"/>
      <c r="AO748" s="28"/>
      <c r="AP748" s="28"/>
      <c r="AQ748" s="28"/>
    </row>
    <row r="749">
      <c r="J749" s="28"/>
      <c r="K749" s="28"/>
      <c r="L749" s="28"/>
      <c r="M749" s="28"/>
      <c r="T749" s="28"/>
      <c r="U749" s="28"/>
      <c r="V749" s="28"/>
      <c r="W749" s="28"/>
      <c r="AD749" s="28"/>
      <c r="AE749" s="28"/>
      <c r="AF749" s="28"/>
      <c r="AG749" s="28"/>
      <c r="AN749" s="28"/>
      <c r="AO749" s="28"/>
      <c r="AP749" s="28"/>
      <c r="AQ749" s="28"/>
    </row>
    <row r="750">
      <c r="J750" s="28"/>
      <c r="K750" s="28"/>
      <c r="L750" s="28"/>
      <c r="M750" s="28"/>
      <c r="T750" s="28"/>
      <c r="U750" s="28"/>
      <c r="V750" s="28"/>
      <c r="W750" s="28"/>
      <c r="AD750" s="28"/>
      <c r="AE750" s="28"/>
      <c r="AF750" s="28"/>
      <c r="AG750" s="28"/>
      <c r="AN750" s="28"/>
      <c r="AO750" s="28"/>
      <c r="AP750" s="28"/>
      <c r="AQ750" s="28"/>
    </row>
    <row r="751">
      <c r="J751" s="28"/>
      <c r="K751" s="28"/>
      <c r="L751" s="28"/>
      <c r="M751" s="28"/>
      <c r="T751" s="28"/>
      <c r="U751" s="28"/>
      <c r="V751" s="28"/>
      <c r="W751" s="28"/>
      <c r="AD751" s="28"/>
      <c r="AE751" s="28"/>
      <c r="AF751" s="28"/>
      <c r="AG751" s="28"/>
      <c r="AN751" s="28"/>
      <c r="AO751" s="28"/>
      <c r="AP751" s="28"/>
      <c r="AQ751" s="28"/>
    </row>
    <row r="752">
      <c r="J752" s="28"/>
      <c r="K752" s="28"/>
      <c r="L752" s="28"/>
      <c r="M752" s="28"/>
      <c r="T752" s="28"/>
      <c r="U752" s="28"/>
      <c r="V752" s="28"/>
      <c r="W752" s="28"/>
      <c r="AD752" s="28"/>
      <c r="AE752" s="28"/>
      <c r="AF752" s="28"/>
      <c r="AG752" s="28"/>
      <c r="AN752" s="28"/>
      <c r="AO752" s="28"/>
      <c r="AP752" s="28"/>
      <c r="AQ752" s="28"/>
    </row>
    <row r="753">
      <c r="J753" s="28"/>
      <c r="K753" s="28"/>
      <c r="L753" s="28"/>
      <c r="M753" s="28"/>
      <c r="T753" s="28"/>
      <c r="U753" s="28"/>
      <c r="V753" s="28"/>
      <c r="W753" s="28"/>
      <c r="AD753" s="28"/>
      <c r="AE753" s="28"/>
      <c r="AF753" s="28"/>
      <c r="AG753" s="28"/>
      <c r="AN753" s="28"/>
      <c r="AO753" s="28"/>
      <c r="AP753" s="28"/>
      <c r="AQ753" s="28"/>
    </row>
    <row r="754">
      <c r="J754" s="28"/>
      <c r="K754" s="28"/>
      <c r="L754" s="28"/>
      <c r="M754" s="28"/>
      <c r="T754" s="28"/>
      <c r="U754" s="28"/>
      <c r="V754" s="28"/>
      <c r="W754" s="28"/>
      <c r="AD754" s="28"/>
      <c r="AE754" s="28"/>
      <c r="AF754" s="28"/>
      <c r="AG754" s="28"/>
      <c r="AN754" s="28"/>
      <c r="AO754" s="28"/>
      <c r="AP754" s="28"/>
      <c r="AQ754" s="28"/>
    </row>
    <row r="755">
      <c r="J755" s="28"/>
      <c r="K755" s="28"/>
      <c r="L755" s="28"/>
      <c r="M755" s="28"/>
      <c r="T755" s="28"/>
      <c r="U755" s="28"/>
      <c r="V755" s="28"/>
      <c r="W755" s="28"/>
      <c r="AD755" s="28"/>
      <c r="AE755" s="28"/>
      <c r="AF755" s="28"/>
      <c r="AG755" s="28"/>
      <c r="AN755" s="28"/>
      <c r="AO755" s="28"/>
      <c r="AP755" s="28"/>
      <c r="AQ755" s="28"/>
    </row>
    <row r="756">
      <c r="J756" s="28"/>
      <c r="K756" s="28"/>
      <c r="L756" s="28"/>
      <c r="M756" s="28"/>
      <c r="T756" s="28"/>
      <c r="U756" s="28"/>
      <c r="V756" s="28"/>
      <c r="W756" s="28"/>
      <c r="AD756" s="28"/>
      <c r="AE756" s="28"/>
      <c r="AF756" s="28"/>
      <c r="AG756" s="28"/>
      <c r="AN756" s="28"/>
      <c r="AO756" s="28"/>
      <c r="AP756" s="28"/>
      <c r="AQ756" s="28"/>
    </row>
    <row r="757">
      <c r="J757" s="28"/>
      <c r="K757" s="28"/>
      <c r="L757" s="28"/>
      <c r="M757" s="28"/>
      <c r="T757" s="28"/>
      <c r="U757" s="28"/>
      <c r="V757" s="28"/>
      <c r="W757" s="28"/>
      <c r="AD757" s="28"/>
      <c r="AE757" s="28"/>
      <c r="AF757" s="28"/>
      <c r="AG757" s="28"/>
      <c r="AN757" s="28"/>
      <c r="AO757" s="28"/>
      <c r="AP757" s="28"/>
      <c r="AQ757" s="28"/>
    </row>
    <row r="758">
      <c r="J758" s="28"/>
      <c r="K758" s="28"/>
      <c r="L758" s="28"/>
      <c r="M758" s="28"/>
      <c r="T758" s="28"/>
      <c r="U758" s="28"/>
      <c r="V758" s="28"/>
      <c r="W758" s="28"/>
      <c r="AD758" s="28"/>
      <c r="AE758" s="28"/>
      <c r="AF758" s="28"/>
      <c r="AG758" s="28"/>
      <c r="AN758" s="28"/>
      <c r="AO758" s="28"/>
      <c r="AP758" s="28"/>
      <c r="AQ758" s="28"/>
    </row>
    <row r="759">
      <c r="J759" s="28"/>
      <c r="K759" s="28"/>
      <c r="L759" s="28"/>
      <c r="M759" s="28"/>
      <c r="T759" s="28"/>
      <c r="U759" s="28"/>
      <c r="V759" s="28"/>
      <c r="W759" s="28"/>
      <c r="AD759" s="28"/>
      <c r="AE759" s="28"/>
      <c r="AF759" s="28"/>
      <c r="AG759" s="28"/>
      <c r="AN759" s="28"/>
      <c r="AO759" s="28"/>
      <c r="AP759" s="28"/>
      <c r="AQ759" s="28"/>
    </row>
    <row r="760">
      <c r="J760" s="28"/>
      <c r="K760" s="28"/>
      <c r="L760" s="28"/>
      <c r="M760" s="28"/>
      <c r="T760" s="28"/>
      <c r="U760" s="28"/>
      <c r="V760" s="28"/>
      <c r="W760" s="28"/>
      <c r="AD760" s="28"/>
      <c r="AE760" s="28"/>
      <c r="AF760" s="28"/>
      <c r="AG760" s="28"/>
      <c r="AN760" s="28"/>
      <c r="AO760" s="28"/>
      <c r="AP760" s="28"/>
      <c r="AQ760" s="28"/>
    </row>
    <row r="761">
      <c r="J761" s="28"/>
      <c r="K761" s="28"/>
      <c r="L761" s="28"/>
      <c r="M761" s="28"/>
      <c r="T761" s="28"/>
      <c r="U761" s="28"/>
      <c r="V761" s="28"/>
      <c r="W761" s="28"/>
      <c r="AD761" s="28"/>
      <c r="AE761" s="28"/>
      <c r="AF761" s="28"/>
      <c r="AG761" s="28"/>
      <c r="AN761" s="28"/>
      <c r="AO761" s="28"/>
      <c r="AP761" s="28"/>
      <c r="AQ761" s="28"/>
    </row>
    <row r="762">
      <c r="J762" s="28"/>
      <c r="K762" s="28"/>
      <c r="L762" s="28"/>
      <c r="M762" s="28"/>
      <c r="T762" s="28"/>
      <c r="U762" s="28"/>
      <c r="V762" s="28"/>
      <c r="W762" s="28"/>
      <c r="AD762" s="28"/>
      <c r="AE762" s="28"/>
      <c r="AF762" s="28"/>
      <c r="AG762" s="28"/>
      <c r="AN762" s="28"/>
      <c r="AO762" s="28"/>
      <c r="AP762" s="28"/>
      <c r="AQ762" s="28"/>
    </row>
    <row r="763">
      <c r="J763" s="28"/>
      <c r="K763" s="28"/>
      <c r="L763" s="28"/>
      <c r="M763" s="28"/>
      <c r="T763" s="28"/>
      <c r="U763" s="28"/>
      <c r="V763" s="28"/>
      <c r="W763" s="28"/>
      <c r="AD763" s="28"/>
      <c r="AE763" s="28"/>
      <c r="AF763" s="28"/>
      <c r="AG763" s="28"/>
      <c r="AN763" s="28"/>
      <c r="AO763" s="28"/>
      <c r="AP763" s="28"/>
      <c r="AQ763" s="28"/>
    </row>
    <row r="764">
      <c r="J764" s="28"/>
      <c r="K764" s="28"/>
      <c r="L764" s="28"/>
      <c r="M764" s="28"/>
      <c r="T764" s="28"/>
      <c r="U764" s="28"/>
      <c r="V764" s="28"/>
      <c r="W764" s="28"/>
      <c r="AD764" s="28"/>
      <c r="AE764" s="28"/>
      <c r="AF764" s="28"/>
      <c r="AG764" s="28"/>
      <c r="AN764" s="28"/>
      <c r="AO764" s="28"/>
      <c r="AP764" s="28"/>
      <c r="AQ764" s="28"/>
    </row>
    <row r="765">
      <c r="J765" s="28"/>
      <c r="K765" s="28"/>
      <c r="L765" s="28"/>
      <c r="M765" s="28"/>
      <c r="T765" s="28"/>
      <c r="U765" s="28"/>
      <c r="V765" s="28"/>
      <c r="W765" s="28"/>
      <c r="AD765" s="28"/>
      <c r="AE765" s="28"/>
      <c r="AF765" s="28"/>
      <c r="AG765" s="28"/>
      <c r="AN765" s="28"/>
      <c r="AO765" s="28"/>
      <c r="AP765" s="28"/>
      <c r="AQ765" s="28"/>
    </row>
    <row r="766">
      <c r="J766" s="28"/>
      <c r="K766" s="28"/>
      <c r="L766" s="28"/>
      <c r="M766" s="28"/>
      <c r="T766" s="28"/>
      <c r="U766" s="28"/>
      <c r="V766" s="28"/>
      <c r="W766" s="28"/>
      <c r="AD766" s="28"/>
      <c r="AE766" s="28"/>
      <c r="AF766" s="28"/>
      <c r="AG766" s="28"/>
      <c r="AN766" s="28"/>
      <c r="AO766" s="28"/>
      <c r="AP766" s="28"/>
      <c r="AQ766" s="28"/>
    </row>
    <row r="767">
      <c r="J767" s="28"/>
      <c r="K767" s="28"/>
      <c r="L767" s="28"/>
      <c r="M767" s="28"/>
      <c r="T767" s="28"/>
      <c r="U767" s="28"/>
      <c r="V767" s="28"/>
      <c r="W767" s="28"/>
      <c r="AD767" s="28"/>
      <c r="AE767" s="28"/>
      <c r="AF767" s="28"/>
      <c r="AG767" s="28"/>
      <c r="AN767" s="28"/>
      <c r="AO767" s="28"/>
      <c r="AP767" s="28"/>
      <c r="AQ767" s="28"/>
    </row>
    <row r="768">
      <c r="J768" s="28"/>
      <c r="K768" s="28"/>
      <c r="L768" s="28"/>
      <c r="M768" s="28"/>
      <c r="T768" s="28"/>
      <c r="U768" s="28"/>
      <c r="V768" s="28"/>
      <c r="W768" s="28"/>
      <c r="AD768" s="28"/>
      <c r="AE768" s="28"/>
      <c r="AF768" s="28"/>
      <c r="AG768" s="28"/>
      <c r="AN768" s="28"/>
      <c r="AO768" s="28"/>
      <c r="AP768" s="28"/>
      <c r="AQ768" s="28"/>
    </row>
    <row r="769">
      <c r="J769" s="28"/>
      <c r="K769" s="28"/>
      <c r="L769" s="28"/>
      <c r="M769" s="28"/>
      <c r="T769" s="28"/>
      <c r="U769" s="28"/>
      <c r="V769" s="28"/>
      <c r="W769" s="28"/>
      <c r="AD769" s="28"/>
      <c r="AE769" s="28"/>
      <c r="AF769" s="28"/>
      <c r="AG769" s="28"/>
      <c r="AN769" s="28"/>
      <c r="AO769" s="28"/>
      <c r="AP769" s="28"/>
      <c r="AQ769" s="28"/>
    </row>
    <row r="770">
      <c r="J770" s="28"/>
      <c r="K770" s="28"/>
      <c r="L770" s="28"/>
      <c r="M770" s="28"/>
      <c r="T770" s="28"/>
      <c r="U770" s="28"/>
      <c r="V770" s="28"/>
      <c r="W770" s="28"/>
      <c r="AD770" s="28"/>
      <c r="AE770" s="28"/>
      <c r="AF770" s="28"/>
      <c r="AG770" s="28"/>
      <c r="AN770" s="28"/>
      <c r="AO770" s="28"/>
      <c r="AP770" s="28"/>
      <c r="AQ770" s="28"/>
    </row>
    <row r="771">
      <c r="J771" s="28"/>
      <c r="K771" s="28"/>
      <c r="L771" s="28"/>
      <c r="M771" s="28"/>
      <c r="T771" s="28"/>
      <c r="U771" s="28"/>
      <c r="V771" s="28"/>
      <c r="W771" s="28"/>
      <c r="AD771" s="28"/>
      <c r="AE771" s="28"/>
      <c r="AF771" s="28"/>
      <c r="AG771" s="28"/>
      <c r="AN771" s="28"/>
      <c r="AO771" s="28"/>
      <c r="AP771" s="28"/>
      <c r="AQ771" s="28"/>
    </row>
    <row r="772">
      <c r="J772" s="28"/>
      <c r="K772" s="28"/>
      <c r="L772" s="28"/>
      <c r="M772" s="28"/>
      <c r="T772" s="28"/>
      <c r="U772" s="28"/>
      <c r="V772" s="28"/>
      <c r="W772" s="28"/>
      <c r="AD772" s="28"/>
      <c r="AE772" s="28"/>
      <c r="AF772" s="28"/>
      <c r="AG772" s="28"/>
      <c r="AN772" s="28"/>
      <c r="AO772" s="28"/>
      <c r="AP772" s="28"/>
      <c r="AQ772" s="28"/>
    </row>
    <row r="773">
      <c r="J773" s="28"/>
      <c r="K773" s="28"/>
      <c r="L773" s="28"/>
      <c r="M773" s="28"/>
      <c r="T773" s="28"/>
      <c r="U773" s="28"/>
      <c r="V773" s="28"/>
      <c r="W773" s="28"/>
      <c r="AD773" s="28"/>
      <c r="AE773" s="28"/>
      <c r="AF773" s="28"/>
      <c r="AG773" s="28"/>
      <c r="AN773" s="28"/>
      <c r="AO773" s="28"/>
      <c r="AP773" s="28"/>
      <c r="AQ773" s="28"/>
    </row>
    <row r="774">
      <c r="J774" s="28"/>
      <c r="K774" s="28"/>
      <c r="L774" s="28"/>
      <c r="M774" s="28"/>
      <c r="T774" s="28"/>
      <c r="U774" s="28"/>
      <c r="V774" s="28"/>
      <c r="W774" s="28"/>
      <c r="AD774" s="28"/>
      <c r="AE774" s="28"/>
      <c r="AF774" s="28"/>
      <c r="AG774" s="28"/>
      <c r="AN774" s="28"/>
      <c r="AO774" s="28"/>
      <c r="AP774" s="28"/>
      <c r="AQ774" s="28"/>
    </row>
    <row r="775">
      <c r="J775" s="28"/>
      <c r="K775" s="28"/>
      <c r="L775" s="28"/>
      <c r="M775" s="28"/>
      <c r="T775" s="28"/>
      <c r="U775" s="28"/>
      <c r="V775" s="28"/>
      <c r="W775" s="28"/>
      <c r="AD775" s="28"/>
      <c r="AE775" s="28"/>
      <c r="AF775" s="28"/>
      <c r="AG775" s="28"/>
      <c r="AN775" s="28"/>
      <c r="AO775" s="28"/>
      <c r="AP775" s="28"/>
      <c r="AQ775" s="28"/>
    </row>
    <row r="776">
      <c r="J776" s="28"/>
      <c r="K776" s="28"/>
      <c r="L776" s="28"/>
      <c r="M776" s="28"/>
      <c r="T776" s="28"/>
      <c r="U776" s="28"/>
      <c r="V776" s="28"/>
      <c r="W776" s="28"/>
      <c r="AD776" s="28"/>
      <c r="AE776" s="28"/>
      <c r="AF776" s="28"/>
      <c r="AG776" s="28"/>
      <c r="AN776" s="28"/>
      <c r="AO776" s="28"/>
      <c r="AP776" s="28"/>
      <c r="AQ776" s="28"/>
    </row>
    <row r="777">
      <c r="J777" s="28"/>
      <c r="K777" s="28"/>
      <c r="L777" s="28"/>
      <c r="M777" s="28"/>
      <c r="T777" s="28"/>
      <c r="U777" s="28"/>
      <c r="V777" s="28"/>
      <c r="W777" s="28"/>
      <c r="AD777" s="28"/>
      <c r="AE777" s="28"/>
      <c r="AF777" s="28"/>
      <c r="AG777" s="28"/>
      <c r="AN777" s="28"/>
      <c r="AO777" s="28"/>
      <c r="AP777" s="28"/>
      <c r="AQ777" s="28"/>
    </row>
    <row r="778">
      <c r="J778" s="28"/>
      <c r="K778" s="28"/>
      <c r="L778" s="28"/>
      <c r="M778" s="28"/>
      <c r="T778" s="28"/>
      <c r="U778" s="28"/>
      <c r="V778" s="28"/>
      <c r="W778" s="28"/>
      <c r="AD778" s="28"/>
      <c r="AE778" s="28"/>
      <c r="AF778" s="28"/>
      <c r="AG778" s="28"/>
      <c r="AN778" s="28"/>
      <c r="AO778" s="28"/>
      <c r="AP778" s="28"/>
      <c r="AQ778" s="28"/>
    </row>
    <row r="779">
      <c r="J779" s="28"/>
      <c r="K779" s="28"/>
      <c r="L779" s="28"/>
      <c r="M779" s="28"/>
      <c r="T779" s="28"/>
      <c r="U779" s="28"/>
      <c r="V779" s="28"/>
      <c r="W779" s="28"/>
      <c r="AD779" s="28"/>
      <c r="AE779" s="28"/>
      <c r="AF779" s="28"/>
      <c r="AG779" s="28"/>
      <c r="AN779" s="28"/>
      <c r="AO779" s="28"/>
      <c r="AP779" s="28"/>
      <c r="AQ779" s="28"/>
    </row>
    <row r="780">
      <c r="J780" s="28"/>
      <c r="K780" s="28"/>
      <c r="L780" s="28"/>
      <c r="M780" s="28"/>
      <c r="T780" s="28"/>
      <c r="U780" s="28"/>
      <c r="V780" s="28"/>
      <c r="W780" s="28"/>
      <c r="AD780" s="28"/>
      <c r="AE780" s="28"/>
      <c r="AF780" s="28"/>
      <c r="AG780" s="28"/>
      <c r="AN780" s="28"/>
      <c r="AO780" s="28"/>
      <c r="AP780" s="28"/>
      <c r="AQ780" s="28"/>
    </row>
    <row r="781">
      <c r="J781" s="28"/>
      <c r="K781" s="28"/>
      <c r="L781" s="28"/>
      <c r="M781" s="28"/>
      <c r="T781" s="28"/>
      <c r="U781" s="28"/>
      <c r="V781" s="28"/>
      <c r="W781" s="28"/>
      <c r="AD781" s="28"/>
      <c r="AE781" s="28"/>
      <c r="AF781" s="28"/>
      <c r="AG781" s="28"/>
      <c r="AN781" s="28"/>
      <c r="AO781" s="28"/>
      <c r="AP781" s="28"/>
      <c r="AQ781" s="28"/>
    </row>
    <row r="782">
      <c r="J782" s="28"/>
      <c r="K782" s="28"/>
      <c r="L782" s="28"/>
      <c r="M782" s="28"/>
      <c r="T782" s="28"/>
      <c r="U782" s="28"/>
      <c r="V782" s="28"/>
      <c r="W782" s="28"/>
      <c r="AD782" s="28"/>
      <c r="AE782" s="28"/>
      <c r="AF782" s="28"/>
      <c r="AG782" s="28"/>
      <c r="AN782" s="28"/>
      <c r="AO782" s="28"/>
      <c r="AP782" s="28"/>
      <c r="AQ782" s="28"/>
    </row>
    <row r="783">
      <c r="J783" s="28"/>
      <c r="K783" s="28"/>
      <c r="L783" s="28"/>
      <c r="M783" s="28"/>
      <c r="T783" s="28"/>
      <c r="U783" s="28"/>
      <c r="V783" s="28"/>
      <c r="W783" s="28"/>
      <c r="AD783" s="28"/>
      <c r="AE783" s="28"/>
      <c r="AF783" s="28"/>
      <c r="AG783" s="28"/>
      <c r="AN783" s="28"/>
      <c r="AO783" s="28"/>
      <c r="AP783" s="28"/>
      <c r="AQ783" s="28"/>
    </row>
    <row r="784">
      <c r="J784" s="28"/>
      <c r="K784" s="28"/>
      <c r="L784" s="28"/>
      <c r="M784" s="28"/>
      <c r="T784" s="28"/>
      <c r="U784" s="28"/>
      <c r="V784" s="28"/>
      <c r="W784" s="28"/>
      <c r="AD784" s="28"/>
      <c r="AE784" s="28"/>
      <c r="AF784" s="28"/>
      <c r="AG784" s="28"/>
      <c r="AN784" s="28"/>
      <c r="AO784" s="28"/>
      <c r="AP784" s="28"/>
      <c r="AQ784" s="28"/>
    </row>
    <row r="785">
      <c r="J785" s="28"/>
      <c r="K785" s="28"/>
      <c r="L785" s="28"/>
      <c r="M785" s="28"/>
      <c r="T785" s="28"/>
      <c r="U785" s="28"/>
      <c r="V785" s="28"/>
      <c r="W785" s="28"/>
      <c r="AD785" s="28"/>
      <c r="AE785" s="28"/>
      <c r="AF785" s="28"/>
      <c r="AG785" s="28"/>
      <c r="AN785" s="28"/>
      <c r="AO785" s="28"/>
      <c r="AP785" s="28"/>
      <c r="AQ785" s="28"/>
    </row>
    <row r="786">
      <c r="J786" s="28"/>
      <c r="K786" s="28"/>
      <c r="L786" s="28"/>
      <c r="M786" s="28"/>
      <c r="T786" s="28"/>
      <c r="U786" s="28"/>
      <c r="V786" s="28"/>
      <c r="W786" s="28"/>
      <c r="AD786" s="28"/>
      <c r="AE786" s="28"/>
      <c r="AF786" s="28"/>
      <c r="AG786" s="28"/>
      <c r="AN786" s="28"/>
      <c r="AO786" s="28"/>
      <c r="AP786" s="28"/>
      <c r="AQ786" s="28"/>
    </row>
    <row r="787">
      <c r="J787" s="28"/>
      <c r="K787" s="28"/>
      <c r="L787" s="28"/>
      <c r="M787" s="28"/>
      <c r="T787" s="28"/>
      <c r="U787" s="28"/>
      <c r="V787" s="28"/>
      <c r="W787" s="28"/>
      <c r="AD787" s="28"/>
      <c r="AE787" s="28"/>
      <c r="AF787" s="28"/>
      <c r="AG787" s="28"/>
      <c r="AN787" s="28"/>
      <c r="AO787" s="28"/>
      <c r="AP787" s="28"/>
      <c r="AQ787" s="28"/>
    </row>
    <row r="788">
      <c r="J788" s="28"/>
      <c r="K788" s="28"/>
      <c r="L788" s="28"/>
      <c r="M788" s="28"/>
      <c r="T788" s="28"/>
      <c r="U788" s="28"/>
      <c r="V788" s="28"/>
      <c r="W788" s="28"/>
      <c r="AD788" s="28"/>
      <c r="AE788" s="28"/>
      <c r="AF788" s="28"/>
      <c r="AG788" s="28"/>
      <c r="AN788" s="28"/>
      <c r="AO788" s="28"/>
      <c r="AP788" s="28"/>
      <c r="AQ788" s="28"/>
    </row>
    <row r="789">
      <c r="J789" s="28"/>
      <c r="K789" s="28"/>
      <c r="L789" s="28"/>
      <c r="M789" s="28"/>
      <c r="T789" s="28"/>
      <c r="U789" s="28"/>
      <c r="V789" s="28"/>
      <c r="W789" s="28"/>
      <c r="AD789" s="28"/>
      <c r="AE789" s="28"/>
      <c r="AF789" s="28"/>
      <c r="AG789" s="28"/>
      <c r="AN789" s="28"/>
      <c r="AO789" s="28"/>
      <c r="AP789" s="28"/>
      <c r="AQ789" s="28"/>
    </row>
    <row r="790">
      <c r="J790" s="28"/>
      <c r="K790" s="28"/>
      <c r="L790" s="28"/>
      <c r="M790" s="28"/>
      <c r="T790" s="28"/>
      <c r="U790" s="28"/>
      <c r="V790" s="28"/>
      <c r="W790" s="28"/>
      <c r="AD790" s="28"/>
      <c r="AE790" s="28"/>
      <c r="AF790" s="28"/>
      <c r="AG790" s="28"/>
      <c r="AN790" s="28"/>
      <c r="AO790" s="28"/>
      <c r="AP790" s="28"/>
      <c r="AQ790" s="28"/>
    </row>
    <row r="791">
      <c r="J791" s="28"/>
      <c r="K791" s="28"/>
      <c r="L791" s="28"/>
      <c r="M791" s="28"/>
      <c r="T791" s="28"/>
      <c r="U791" s="28"/>
      <c r="V791" s="28"/>
      <c r="W791" s="28"/>
      <c r="AD791" s="28"/>
      <c r="AE791" s="28"/>
      <c r="AF791" s="28"/>
      <c r="AG791" s="28"/>
      <c r="AN791" s="28"/>
      <c r="AO791" s="28"/>
      <c r="AP791" s="28"/>
      <c r="AQ791" s="28"/>
    </row>
    <row r="792">
      <c r="J792" s="28"/>
      <c r="K792" s="28"/>
      <c r="L792" s="28"/>
      <c r="M792" s="28"/>
      <c r="T792" s="28"/>
      <c r="U792" s="28"/>
      <c r="V792" s="28"/>
      <c r="W792" s="28"/>
      <c r="AD792" s="28"/>
      <c r="AE792" s="28"/>
      <c r="AF792" s="28"/>
      <c r="AG792" s="28"/>
      <c r="AN792" s="28"/>
      <c r="AO792" s="28"/>
      <c r="AP792" s="28"/>
      <c r="AQ792" s="28"/>
    </row>
    <row r="793">
      <c r="J793" s="28"/>
      <c r="K793" s="28"/>
      <c r="L793" s="28"/>
      <c r="M793" s="28"/>
      <c r="T793" s="28"/>
      <c r="U793" s="28"/>
      <c r="V793" s="28"/>
      <c r="W793" s="28"/>
      <c r="AD793" s="28"/>
      <c r="AE793" s="28"/>
      <c r="AF793" s="28"/>
      <c r="AG793" s="28"/>
      <c r="AN793" s="28"/>
      <c r="AO793" s="28"/>
      <c r="AP793" s="28"/>
      <c r="AQ793" s="28"/>
    </row>
    <row r="794">
      <c r="J794" s="28"/>
      <c r="K794" s="28"/>
      <c r="L794" s="28"/>
      <c r="M794" s="28"/>
      <c r="T794" s="28"/>
      <c r="U794" s="28"/>
      <c r="V794" s="28"/>
      <c r="W794" s="28"/>
      <c r="AD794" s="28"/>
      <c r="AE794" s="28"/>
      <c r="AF794" s="28"/>
      <c r="AG794" s="28"/>
      <c r="AN794" s="28"/>
      <c r="AO794" s="28"/>
      <c r="AP794" s="28"/>
      <c r="AQ794" s="28"/>
    </row>
    <row r="795">
      <c r="J795" s="28"/>
      <c r="K795" s="28"/>
      <c r="L795" s="28"/>
      <c r="M795" s="28"/>
      <c r="T795" s="28"/>
      <c r="U795" s="28"/>
      <c r="V795" s="28"/>
      <c r="W795" s="28"/>
      <c r="AD795" s="28"/>
      <c r="AE795" s="28"/>
      <c r="AF795" s="28"/>
      <c r="AG795" s="28"/>
      <c r="AN795" s="28"/>
      <c r="AO795" s="28"/>
      <c r="AP795" s="28"/>
      <c r="AQ795" s="28"/>
    </row>
    <row r="796">
      <c r="J796" s="28"/>
      <c r="K796" s="28"/>
      <c r="L796" s="28"/>
      <c r="M796" s="28"/>
      <c r="T796" s="28"/>
      <c r="U796" s="28"/>
      <c r="V796" s="28"/>
      <c r="W796" s="28"/>
      <c r="AD796" s="28"/>
      <c r="AE796" s="28"/>
      <c r="AF796" s="28"/>
      <c r="AG796" s="28"/>
      <c r="AN796" s="28"/>
      <c r="AO796" s="28"/>
      <c r="AP796" s="28"/>
      <c r="AQ796" s="28"/>
    </row>
    <row r="797">
      <c r="J797" s="28"/>
      <c r="K797" s="28"/>
      <c r="L797" s="28"/>
      <c r="M797" s="28"/>
      <c r="T797" s="28"/>
      <c r="U797" s="28"/>
      <c r="V797" s="28"/>
      <c r="W797" s="28"/>
      <c r="AD797" s="28"/>
      <c r="AE797" s="28"/>
      <c r="AF797" s="28"/>
      <c r="AG797" s="28"/>
      <c r="AN797" s="28"/>
      <c r="AO797" s="28"/>
      <c r="AP797" s="28"/>
      <c r="AQ797" s="28"/>
    </row>
    <row r="798">
      <c r="J798" s="28"/>
      <c r="K798" s="28"/>
      <c r="L798" s="28"/>
      <c r="M798" s="28"/>
      <c r="T798" s="28"/>
      <c r="U798" s="28"/>
      <c r="V798" s="28"/>
      <c r="W798" s="28"/>
      <c r="AD798" s="28"/>
      <c r="AE798" s="28"/>
      <c r="AF798" s="28"/>
      <c r="AG798" s="28"/>
      <c r="AN798" s="28"/>
      <c r="AO798" s="28"/>
      <c r="AP798" s="28"/>
      <c r="AQ798" s="28"/>
    </row>
    <row r="799">
      <c r="J799" s="28"/>
      <c r="K799" s="28"/>
      <c r="L799" s="28"/>
      <c r="M799" s="28"/>
      <c r="T799" s="28"/>
      <c r="U799" s="28"/>
      <c r="V799" s="28"/>
      <c r="W799" s="28"/>
      <c r="AD799" s="28"/>
      <c r="AE799" s="28"/>
      <c r="AF799" s="28"/>
      <c r="AG799" s="28"/>
      <c r="AN799" s="28"/>
      <c r="AO799" s="28"/>
      <c r="AP799" s="28"/>
      <c r="AQ799" s="28"/>
    </row>
    <row r="800">
      <c r="J800" s="28"/>
      <c r="K800" s="28"/>
      <c r="L800" s="28"/>
      <c r="M800" s="28"/>
      <c r="T800" s="28"/>
      <c r="U800" s="28"/>
      <c r="V800" s="28"/>
      <c r="W800" s="28"/>
      <c r="AD800" s="28"/>
      <c r="AE800" s="28"/>
      <c r="AF800" s="28"/>
      <c r="AG800" s="28"/>
      <c r="AN800" s="28"/>
      <c r="AO800" s="28"/>
      <c r="AP800" s="28"/>
      <c r="AQ800" s="28"/>
    </row>
    <row r="801">
      <c r="J801" s="28"/>
      <c r="K801" s="28"/>
      <c r="L801" s="28"/>
      <c r="M801" s="28"/>
      <c r="T801" s="28"/>
      <c r="U801" s="28"/>
      <c r="V801" s="28"/>
      <c r="W801" s="28"/>
      <c r="AD801" s="28"/>
      <c r="AE801" s="28"/>
      <c r="AF801" s="28"/>
      <c r="AG801" s="28"/>
      <c r="AN801" s="28"/>
      <c r="AO801" s="28"/>
      <c r="AP801" s="28"/>
      <c r="AQ801" s="28"/>
    </row>
    <row r="802">
      <c r="J802" s="28"/>
      <c r="K802" s="28"/>
      <c r="L802" s="28"/>
      <c r="M802" s="28"/>
      <c r="T802" s="28"/>
      <c r="U802" s="28"/>
      <c r="V802" s="28"/>
      <c r="W802" s="28"/>
      <c r="AD802" s="28"/>
      <c r="AE802" s="28"/>
      <c r="AF802" s="28"/>
      <c r="AG802" s="28"/>
      <c r="AN802" s="28"/>
      <c r="AO802" s="28"/>
      <c r="AP802" s="28"/>
      <c r="AQ802" s="28"/>
    </row>
    <row r="803">
      <c r="J803" s="28"/>
      <c r="K803" s="28"/>
      <c r="L803" s="28"/>
      <c r="M803" s="28"/>
      <c r="T803" s="28"/>
      <c r="U803" s="28"/>
      <c r="V803" s="28"/>
      <c r="W803" s="28"/>
      <c r="AD803" s="28"/>
      <c r="AE803" s="28"/>
      <c r="AF803" s="28"/>
      <c r="AG803" s="28"/>
      <c r="AN803" s="28"/>
      <c r="AO803" s="28"/>
      <c r="AP803" s="28"/>
      <c r="AQ803" s="28"/>
    </row>
    <row r="804">
      <c r="J804" s="28"/>
      <c r="K804" s="28"/>
      <c r="L804" s="28"/>
      <c r="M804" s="28"/>
      <c r="T804" s="28"/>
      <c r="U804" s="28"/>
      <c r="V804" s="28"/>
      <c r="W804" s="28"/>
      <c r="AD804" s="28"/>
      <c r="AE804" s="28"/>
      <c r="AF804" s="28"/>
      <c r="AG804" s="28"/>
      <c r="AN804" s="28"/>
      <c r="AO804" s="28"/>
      <c r="AP804" s="28"/>
      <c r="AQ804" s="28"/>
    </row>
    <row r="805">
      <c r="J805" s="28"/>
      <c r="K805" s="28"/>
      <c r="L805" s="28"/>
      <c r="M805" s="28"/>
      <c r="T805" s="28"/>
      <c r="U805" s="28"/>
      <c r="V805" s="28"/>
      <c r="W805" s="28"/>
      <c r="AD805" s="28"/>
      <c r="AE805" s="28"/>
      <c r="AF805" s="28"/>
      <c r="AG805" s="28"/>
      <c r="AN805" s="28"/>
      <c r="AO805" s="28"/>
      <c r="AP805" s="28"/>
      <c r="AQ805" s="28"/>
    </row>
    <row r="806">
      <c r="J806" s="28"/>
      <c r="K806" s="28"/>
      <c r="L806" s="28"/>
      <c r="M806" s="28"/>
      <c r="T806" s="28"/>
      <c r="U806" s="28"/>
      <c r="V806" s="28"/>
      <c r="W806" s="28"/>
      <c r="AD806" s="28"/>
      <c r="AE806" s="28"/>
      <c r="AF806" s="28"/>
      <c r="AG806" s="28"/>
      <c r="AN806" s="28"/>
      <c r="AO806" s="28"/>
      <c r="AP806" s="28"/>
      <c r="AQ806" s="28"/>
    </row>
    <row r="807">
      <c r="J807" s="28"/>
      <c r="K807" s="28"/>
      <c r="L807" s="28"/>
      <c r="M807" s="28"/>
      <c r="T807" s="28"/>
      <c r="U807" s="28"/>
      <c r="V807" s="28"/>
      <c r="W807" s="28"/>
      <c r="AD807" s="28"/>
      <c r="AE807" s="28"/>
      <c r="AF807" s="28"/>
      <c r="AG807" s="28"/>
      <c r="AN807" s="28"/>
      <c r="AO807" s="28"/>
      <c r="AP807" s="28"/>
      <c r="AQ807" s="28"/>
    </row>
    <row r="808">
      <c r="J808" s="28"/>
      <c r="K808" s="28"/>
      <c r="L808" s="28"/>
      <c r="M808" s="28"/>
      <c r="T808" s="28"/>
      <c r="U808" s="28"/>
      <c r="V808" s="28"/>
      <c r="W808" s="28"/>
      <c r="AD808" s="28"/>
      <c r="AE808" s="28"/>
      <c r="AF808" s="28"/>
      <c r="AG808" s="28"/>
      <c r="AN808" s="28"/>
      <c r="AO808" s="28"/>
      <c r="AP808" s="28"/>
      <c r="AQ808" s="28"/>
    </row>
    <row r="809">
      <c r="J809" s="28"/>
      <c r="K809" s="28"/>
      <c r="L809" s="28"/>
      <c r="M809" s="28"/>
      <c r="T809" s="28"/>
      <c r="U809" s="28"/>
      <c r="V809" s="28"/>
      <c r="W809" s="28"/>
      <c r="AD809" s="28"/>
      <c r="AE809" s="28"/>
      <c r="AF809" s="28"/>
      <c r="AG809" s="28"/>
      <c r="AN809" s="28"/>
      <c r="AO809" s="28"/>
      <c r="AP809" s="28"/>
      <c r="AQ809" s="28"/>
    </row>
    <row r="810">
      <c r="J810" s="28"/>
      <c r="K810" s="28"/>
      <c r="L810" s="28"/>
      <c r="M810" s="28"/>
      <c r="T810" s="28"/>
      <c r="U810" s="28"/>
      <c r="V810" s="28"/>
      <c r="W810" s="28"/>
      <c r="AD810" s="28"/>
      <c r="AE810" s="28"/>
      <c r="AF810" s="28"/>
      <c r="AG810" s="28"/>
      <c r="AN810" s="28"/>
      <c r="AO810" s="28"/>
      <c r="AP810" s="28"/>
      <c r="AQ810" s="28"/>
    </row>
    <row r="811">
      <c r="J811" s="28"/>
      <c r="K811" s="28"/>
      <c r="L811" s="28"/>
      <c r="M811" s="28"/>
      <c r="T811" s="28"/>
      <c r="U811" s="28"/>
      <c r="V811" s="28"/>
      <c r="W811" s="28"/>
      <c r="AD811" s="28"/>
      <c r="AE811" s="28"/>
      <c r="AF811" s="28"/>
      <c r="AG811" s="28"/>
      <c r="AN811" s="28"/>
      <c r="AO811" s="28"/>
      <c r="AP811" s="28"/>
      <c r="AQ811" s="28"/>
    </row>
    <row r="812">
      <c r="J812" s="28"/>
      <c r="K812" s="28"/>
      <c r="L812" s="28"/>
      <c r="M812" s="28"/>
      <c r="T812" s="28"/>
      <c r="U812" s="28"/>
      <c r="V812" s="28"/>
      <c r="W812" s="28"/>
      <c r="AD812" s="28"/>
      <c r="AE812" s="28"/>
      <c r="AF812" s="28"/>
      <c r="AG812" s="28"/>
      <c r="AN812" s="28"/>
      <c r="AO812" s="28"/>
      <c r="AP812" s="28"/>
      <c r="AQ812" s="28"/>
    </row>
    <row r="813">
      <c r="J813" s="28"/>
      <c r="K813" s="28"/>
      <c r="L813" s="28"/>
      <c r="M813" s="28"/>
      <c r="T813" s="28"/>
      <c r="U813" s="28"/>
      <c r="V813" s="28"/>
      <c r="W813" s="28"/>
      <c r="AD813" s="28"/>
      <c r="AE813" s="28"/>
      <c r="AF813" s="28"/>
      <c r="AG813" s="28"/>
      <c r="AN813" s="28"/>
      <c r="AO813" s="28"/>
      <c r="AP813" s="28"/>
      <c r="AQ813" s="28"/>
    </row>
    <row r="814">
      <c r="J814" s="28"/>
      <c r="K814" s="28"/>
      <c r="L814" s="28"/>
      <c r="M814" s="28"/>
      <c r="T814" s="28"/>
      <c r="U814" s="28"/>
      <c r="V814" s="28"/>
      <c r="W814" s="28"/>
      <c r="AD814" s="28"/>
      <c r="AE814" s="28"/>
      <c r="AF814" s="28"/>
      <c r="AG814" s="28"/>
      <c r="AN814" s="28"/>
      <c r="AO814" s="28"/>
      <c r="AP814" s="28"/>
      <c r="AQ814" s="28"/>
    </row>
    <row r="815">
      <c r="J815" s="28"/>
      <c r="K815" s="28"/>
      <c r="L815" s="28"/>
      <c r="M815" s="28"/>
      <c r="T815" s="28"/>
      <c r="U815" s="28"/>
      <c r="V815" s="28"/>
      <c r="W815" s="28"/>
      <c r="AD815" s="28"/>
      <c r="AE815" s="28"/>
      <c r="AF815" s="28"/>
      <c r="AG815" s="28"/>
      <c r="AN815" s="28"/>
      <c r="AO815" s="28"/>
      <c r="AP815" s="28"/>
      <c r="AQ815" s="28"/>
    </row>
    <row r="816">
      <c r="J816" s="28"/>
      <c r="K816" s="28"/>
      <c r="L816" s="28"/>
      <c r="M816" s="28"/>
      <c r="T816" s="28"/>
      <c r="U816" s="28"/>
      <c r="V816" s="28"/>
      <c r="W816" s="28"/>
      <c r="AD816" s="28"/>
      <c r="AE816" s="28"/>
      <c r="AF816" s="28"/>
      <c r="AG816" s="28"/>
      <c r="AN816" s="28"/>
      <c r="AO816" s="28"/>
      <c r="AP816" s="28"/>
      <c r="AQ816" s="28"/>
    </row>
    <row r="817">
      <c r="J817" s="28"/>
      <c r="K817" s="28"/>
      <c r="L817" s="28"/>
      <c r="M817" s="28"/>
      <c r="T817" s="28"/>
      <c r="U817" s="28"/>
      <c r="V817" s="28"/>
      <c r="W817" s="28"/>
      <c r="AD817" s="28"/>
      <c r="AE817" s="28"/>
      <c r="AF817" s="28"/>
      <c r="AG817" s="28"/>
      <c r="AN817" s="28"/>
      <c r="AO817" s="28"/>
      <c r="AP817" s="28"/>
      <c r="AQ817" s="28"/>
    </row>
    <row r="818">
      <c r="J818" s="28"/>
      <c r="K818" s="28"/>
      <c r="L818" s="28"/>
      <c r="M818" s="28"/>
      <c r="T818" s="28"/>
      <c r="U818" s="28"/>
      <c r="V818" s="28"/>
      <c r="W818" s="28"/>
      <c r="AD818" s="28"/>
      <c r="AE818" s="28"/>
      <c r="AF818" s="28"/>
      <c r="AG818" s="28"/>
      <c r="AN818" s="28"/>
      <c r="AO818" s="28"/>
      <c r="AP818" s="28"/>
      <c r="AQ818" s="28"/>
    </row>
    <row r="819">
      <c r="J819" s="28"/>
      <c r="K819" s="28"/>
      <c r="L819" s="28"/>
      <c r="M819" s="28"/>
      <c r="T819" s="28"/>
      <c r="U819" s="28"/>
      <c r="V819" s="28"/>
      <c r="W819" s="28"/>
      <c r="AD819" s="28"/>
      <c r="AE819" s="28"/>
      <c r="AF819" s="28"/>
      <c r="AG819" s="28"/>
      <c r="AN819" s="28"/>
      <c r="AO819" s="28"/>
      <c r="AP819" s="28"/>
      <c r="AQ819" s="28"/>
    </row>
    <row r="820">
      <c r="J820" s="28"/>
      <c r="K820" s="28"/>
      <c r="L820" s="28"/>
      <c r="M820" s="28"/>
      <c r="T820" s="28"/>
      <c r="U820" s="28"/>
      <c r="V820" s="28"/>
      <c r="W820" s="28"/>
      <c r="AD820" s="28"/>
      <c r="AE820" s="28"/>
      <c r="AF820" s="28"/>
      <c r="AG820" s="28"/>
      <c r="AN820" s="28"/>
      <c r="AO820" s="28"/>
      <c r="AP820" s="28"/>
      <c r="AQ820" s="28"/>
    </row>
    <row r="821">
      <c r="J821" s="28"/>
      <c r="K821" s="28"/>
      <c r="L821" s="28"/>
      <c r="M821" s="28"/>
      <c r="T821" s="28"/>
      <c r="U821" s="28"/>
      <c r="V821" s="28"/>
      <c r="W821" s="28"/>
      <c r="AD821" s="28"/>
      <c r="AE821" s="28"/>
      <c r="AF821" s="28"/>
      <c r="AG821" s="28"/>
      <c r="AN821" s="28"/>
      <c r="AO821" s="28"/>
      <c r="AP821" s="28"/>
      <c r="AQ821" s="28"/>
    </row>
    <row r="822">
      <c r="J822" s="28"/>
      <c r="K822" s="28"/>
      <c r="L822" s="28"/>
      <c r="M822" s="28"/>
      <c r="T822" s="28"/>
      <c r="U822" s="28"/>
      <c r="V822" s="28"/>
      <c r="W822" s="28"/>
      <c r="AD822" s="28"/>
      <c r="AE822" s="28"/>
      <c r="AF822" s="28"/>
      <c r="AG822" s="28"/>
      <c r="AN822" s="28"/>
      <c r="AO822" s="28"/>
      <c r="AP822" s="28"/>
      <c r="AQ822" s="28"/>
    </row>
    <row r="823">
      <c r="J823" s="28"/>
      <c r="K823" s="28"/>
      <c r="L823" s="28"/>
      <c r="M823" s="28"/>
      <c r="T823" s="28"/>
      <c r="U823" s="28"/>
      <c r="V823" s="28"/>
      <c r="W823" s="28"/>
      <c r="AD823" s="28"/>
      <c r="AE823" s="28"/>
      <c r="AF823" s="28"/>
      <c r="AG823" s="28"/>
      <c r="AN823" s="28"/>
      <c r="AO823" s="28"/>
      <c r="AP823" s="28"/>
      <c r="AQ823" s="28"/>
    </row>
    <row r="824">
      <c r="J824" s="28"/>
      <c r="K824" s="28"/>
      <c r="L824" s="28"/>
      <c r="M824" s="28"/>
      <c r="T824" s="28"/>
      <c r="U824" s="28"/>
      <c r="V824" s="28"/>
      <c r="W824" s="28"/>
      <c r="AD824" s="28"/>
      <c r="AE824" s="28"/>
      <c r="AF824" s="28"/>
      <c r="AG824" s="28"/>
      <c r="AN824" s="28"/>
      <c r="AO824" s="28"/>
      <c r="AP824" s="28"/>
      <c r="AQ824" s="28"/>
    </row>
    <row r="825">
      <c r="J825" s="28"/>
      <c r="K825" s="28"/>
      <c r="L825" s="28"/>
      <c r="M825" s="28"/>
      <c r="T825" s="28"/>
      <c r="U825" s="28"/>
      <c r="V825" s="28"/>
      <c r="W825" s="28"/>
      <c r="AD825" s="28"/>
      <c r="AE825" s="28"/>
      <c r="AF825" s="28"/>
      <c r="AG825" s="28"/>
      <c r="AN825" s="28"/>
      <c r="AO825" s="28"/>
      <c r="AP825" s="28"/>
      <c r="AQ825" s="28"/>
    </row>
    <row r="826">
      <c r="J826" s="28"/>
      <c r="K826" s="28"/>
      <c r="L826" s="28"/>
      <c r="M826" s="28"/>
      <c r="T826" s="28"/>
      <c r="U826" s="28"/>
      <c r="V826" s="28"/>
      <c r="W826" s="28"/>
      <c r="AD826" s="28"/>
      <c r="AE826" s="28"/>
      <c r="AF826" s="28"/>
      <c r="AG826" s="28"/>
      <c r="AN826" s="28"/>
      <c r="AO826" s="28"/>
      <c r="AP826" s="28"/>
      <c r="AQ826" s="28"/>
    </row>
    <row r="827">
      <c r="J827" s="28"/>
      <c r="K827" s="28"/>
      <c r="L827" s="28"/>
      <c r="M827" s="28"/>
      <c r="T827" s="28"/>
      <c r="U827" s="28"/>
      <c r="V827" s="28"/>
      <c r="W827" s="28"/>
      <c r="AD827" s="28"/>
      <c r="AE827" s="28"/>
      <c r="AF827" s="28"/>
      <c r="AG827" s="28"/>
      <c r="AN827" s="28"/>
      <c r="AO827" s="28"/>
      <c r="AP827" s="28"/>
      <c r="AQ827" s="28"/>
    </row>
    <row r="828">
      <c r="J828" s="28"/>
      <c r="K828" s="28"/>
      <c r="L828" s="28"/>
      <c r="M828" s="28"/>
      <c r="T828" s="28"/>
      <c r="U828" s="28"/>
      <c r="V828" s="28"/>
      <c r="W828" s="28"/>
      <c r="AD828" s="28"/>
      <c r="AE828" s="28"/>
      <c r="AF828" s="28"/>
      <c r="AG828" s="28"/>
      <c r="AN828" s="28"/>
      <c r="AO828" s="28"/>
      <c r="AP828" s="28"/>
      <c r="AQ828" s="28"/>
    </row>
    <row r="829">
      <c r="J829" s="28"/>
      <c r="K829" s="28"/>
      <c r="L829" s="28"/>
      <c r="M829" s="28"/>
      <c r="T829" s="28"/>
      <c r="U829" s="28"/>
      <c r="V829" s="28"/>
      <c r="W829" s="28"/>
      <c r="AD829" s="28"/>
      <c r="AE829" s="28"/>
      <c r="AF829" s="28"/>
      <c r="AG829" s="28"/>
      <c r="AN829" s="28"/>
      <c r="AO829" s="28"/>
      <c r="AP829" s="28"/>
      <c r="AQ829" s="28"/>
    </row>
    <row r="830">
      <c r="J830" s="28"/>
      <c r="K830" s="28"/>
      <c r="L830" s="28"/>
      <c r="M830" s="28"/>
      <c r="T830" s="28"/>
      <c r="U830" s="28"/>
      <c r="V830" s="28"/>
      <c r="W830" s="28"/>
      <c r="AD830" s="28"/>
      <c r="AE830" s="28"/>
      <c r="AF830" s="28"/>
      <c r="AG830" s="28"/>
      <c r="AN830" s="28"/>
      <c r="AO830" s="28"/>
      <c r="AP830" s="28"/>
      <c r="AQ830" s="28"/>
    </row>
    <row r="831">
      <c r="J831" s="28"/>
      <c r="K831" s="28"/>
      <c r="L831" s="28"/>
      <c r="M831" s="28"/>
      <c r="T831" s="28"/>
      <c r="U831" s="28"/>
      <c r="V831" s="28"/>
      <c r="W831" s="28"/>
      <c r="AD831" s="28"/>
      <c r="AE831" s="28"/>
      <c r="AF831" s="28"/>
      <c r="AG831" s="28"/>
      <c r="AN831" s="28"/>
      <c r="AO831" s="28"/>
      <c r="AP831" s="28"/>
      <c r="AQ831" s="28"/>
    </row>
    <row r="832">
      <c r="J832" s="28"/>
      <c r="K832" s="28"/>
      <c r="L832" s="28"/>
      <c r="M832" s="28"/>
      <c r="T832" s="28"/>
      <c r="U832" s="28"/>
      <c r="V832" s="28"/>
      <c r="W832" s="28"/>
      <c r="AD832" s="28"/>
      <c r="AE832" s="28"/>
      <c r="AF832" s="28"/>
      <c r="AG832" s="28"/>
      <c r="AN832" s="28"/>
      <c r="AO832" s="28"/>
      <c r="AP832" s="28"/>
      <c r="AQ832" s="28"/>
    </row>
    <row r="833">
      <c r="J833" s="28"/>
      <c r="K833" s="28"/>
      <c r="L833" s="28"/>
      <c r="M833" s="28"/>
      <c r="T833" s="28"/>
      <c r="U833" s="28"/>
      <c r="V833" s="28"/>
      <c r="W833" s="28"/>
      <c r="AD833" s="28"/>
      <c r="AE833" s="28"/>
      <c r="AF833" s="28"/>
      <c r="AG833" s="28"/>
      <c r="AN833" s="28"/>
      <c r="AO833" s="28"/>
      <c r="AP833" s="28"/>
      <c r="AQ833" s="28"/>
    </row>
    <row r="834">
      <c r="J834" s="28"/>
      <c r="K834" s="28"/>
      <c r="L834" s="28"/>
      <c r="M834" s="28"/>
      <c r="T834" s="28"/>
      <c r="U834" s="28"/>
      <c r="V834" s="28"/>
      <c r="W834" s="28"/>
      <c r="AD834" s="28"/>
      <c r="AE834" s="28"/>
      <c r="AF834" s="28"/>
      <c r="AG834" s="28"/>
      <c r="AN834" s="28"/>
      <c r="AO834" s="28"/>
      <c r="AP834" s="28"/>
      <c r="AQ834" s="28"/>
    </row>
    <row r="835">
      <c r="J835" s="28"/>
      <c r="K835" s="28"/>
      <c r="L835" s="28"/>
      <c r="M835" s="28"/>
      <c r="T835" s="28"/>
      <c r="U835" s="28"/>
      <c r="V835" s="28"/>
      <c r="W835" s="28"/>
      <c r="AD835" s="28"/>
      <c r="AE835" s="28"/>
      <c r="AF835" s="28"/>
      <c r="AG835" s="28"/>
      <c r="AN835" s="28"/>
      <c r="AO835" s="28"/>
      <c r="AP835" s="28"/>
      <c r="AQ835" s="28"/>
    </row>
    <row r="836">
      <c r="J836" s="28"/>
      <c r="K836" s="28"/>
      <c r="L836" s="28"/>
      <c r="M836" s="28"/>
      <c r="T836" s="28"/>
      <c r="U836" s="28"/>
      <c r="V836" s="28"/>
      <c r="W836" s="28"/>
      <c r="AD836" s="28"/>
      <c r="AE836" s="28"/>
      <c r="AF836" s="28"/>
      <c r="AG836" s="28"/>
      <c r="AN836" s="28"/>
      <c r="AO836" s="28"/>
      <c r="AP836" s="28"/>
      <c r="AQ836" s="28"/>
    </row>
    <row r="837">
      <c r="J837" s="28"/>
      <c r="K837" s="28"/>
      <c r="L837" s="28"/>
      <c r="M837" s="28"/>
      <c r="T837" s="28"/>
      <c r="U837" s="28"/>
      <c r="V837" s="28"/>
      <c r="W837" s="28"/>
      <c r="AD837" s="28"/>
      <c r="AE837" s="28"/>
      <c r="AF837" s="28"/>
      <c r="AG837" s="28"/>
      <c r="AN837" s="28"/>
      <c r="AO837" s="28"/>
      <c r="AP837" s="28"/>
      <c r="AQ837" s="28"/>
    </row>
    <row r="838">
      <c r="J838" s="28"/>
      <c r="K838" s="28"/>
      <c r="L838" s="28"/>
      <c r="M838" s="28"/>
      <c r="T838" s="28"/>
      <c r="U838" s="28"/>
      <c r="V838" s="28"/>
      <c r="W838" s="28"/>
      <c r="AD838" s="28"/>
      <c r="AE838" s="28"/>
      <c r="AF838" s="28"/>
      <c r="AG838" s="28"/>
      <c r="AN838" s="28"/>
      <c r="AO838" s="28"/>
      <c r="AP838" s="28"/>
      <c r="AQ838" s="28"/>
    </row>
    <row r="839">
      <c r="J839" s="28"/>
      <c r="K839" s="28"/>
      <c r="L839" s="28"/>
      <c r="M839" s="28"/>
      <c r="T839" s="28"/>
      <c r="U839" s="28"/>
      <c r="V839" s="28"/>
      <c r="W839" s="28"/>
      <c r="AD839" s="28"/>
      <c r="AE839" s="28"/>
      <c r="AF839" s="28"/>
      <c r="AG839" s="28"/>
      <c r="AN839" s="28"/>
      <c r="AO839" s="28"/>
      <c r="AP839" s="28"/>
      <c r="AQ839" s="28"/>
    </row>
    <row r="840">
      <c r="J840" s="28"/>
      <c r="K840" s="28"/>
      <c r="L840" s="28"/>
      <c r="M840" s="28"/>
      <c r="T840" s="28"/>
      <c r="U840" s="28"/>
      <c r="V840" s="28"/>
      <c r="W840" s="28"/>
      <c r="AD840" s="28"/>
      <c r="AE840" s="28"/>
      <c r="AF840" s="28"/>
      <c r="AG840" s="28"/>
      <c r="AN840" s="28"/>
      <c r="AO840" s="28"/>
      <c r="AP840" s="28"/>
      <c r="AQ840" s="28"/>
    </row>
    <row r="841">
      <c r="J841" s="28"/>
      <c r="K841" s="28"/>
      <c r="L841" s="28"/>
      <c r="M841" s="28"/>
      <c r="T841" s="28"/>
      <c r="U841" s="28"/>
      <c r="V841" s="28"/>
      <c r="W841" s="28"/>
      <c r="AD841" s="28"/>
      <c r="AE841" s="28"/>
      <c r="AF841" s="28"/>
      <c r="AG841" s="28"/>
      <c r="AN841" s="28"/>
      <c r="AO841" s="28"/>
      <c r="AP841" s="28"/>
      <c r="AQ841" s="28"/>
    </row>
    <row r="842">
      <c r="J842" s="28"/>
      <c r="K842" s="28"/>
      <c r="L842" s="28"/>
      <c r="M842" s="28"/>
      <c r="T842" s="28"/>
      <c r="U842" s="28"/>
      <c r="V842" s="28"/>
      <c r="W842" s="28"/>
      <c r="AD842" s="28"/>
      <c r="AE842" s="28"/>
      <c r="AF842" s="28"/>
      <c r="AG842" s="28"/>
      <c r="AN842" s="28"/>
      <c r="AO842" s="28"/>
      <c r="AP842" s="28"/>
      <c r="AQ842" s="28"/>
    </row>
    <row r="843">
      <c r="J843" s="28"/>
      <c r="K843" s="28"/>
      <c r="L843" s="28"/>
      <c r="M843" s="28"/>
      <c r="T843" s="28"/>
      <c r="U843" s="28"/>
      <c r="V843" s="28"/>
      <c r="W843" s="28"/>
      <c r="AD843" s="28"/>
      <c r="AE843" s="28"/>
      <c r="AF843" s="28"/>
      <c r="AG843" s="28"/>
      <c r="AN843" s="28"/>
      <c r="AO843" s="28"/>
      <c r="AP843" s="28"/>
      <c r="AQ843" s="28"/>
    </row>
    <row r="844">
      <c r="J844" s="28"/>
      <c r="K844" s="28"/>
      <c r="L844" s="28"/>
      <c r="M844" s="28"/>
      <c r="T844" s="28"/>
      <c r="U844" s="28"/>
      <c r="V844" s="28"/>
      <c r="W844" s="28"/>
      <c r="AD844" s="28"/>
      <c r="AE844" s="28"/>
      <c r="AF844" s="28"/>
      <c r="AG844" s="28"/>
      <c r="AN844" s="28"/>
      <c r="AO844" s="28"/>
      <c r="AP844" s="28"/>
      <c r="AQ844" s="28"/>
    </row>
    <row r="845">
      <c r="J845" s="28"/>
      <c r="K845" s="28"/>
      <c r="L845" s="28"/>
      <c r="M845" s="28"/>
      <c r="T845" s="28"/>
      <c r="U845" s="28"/>
      <c r="V845" s="28"/>
      <c r="W845" s="28"/>
      <c r="AD845" s="28"/>
      <c r="AE845" s="28"/>
      <c r="AF845" s="28"/>
      <c r="AG845" s="28"/>
      <c r="AN845" s="28"/>
      <c r="AO845" s="28"/>
      <c r="AP845" s="28"/>
      <c r="AQ845" s="28"/>
    </row>
    <row r="846">
      <c r="J846" s="28"/>
      <c r="K846" s="28"/>
      <c r="L846" s="28"/>
      <c r="M846" s="28"/>
      <c r="T846" s="28"/>
      <c r="U846" s="28"/>
      <c r="V846" s="28"/>
      <c r="W846" s="28"/>
      <c r="AD846" s="28"/>
      <c r="AE846" s="28"/>
      <c r="AF846" s="28"/>
      <c r="AG846" s="28"/>
      <c r="AN846" s="28"/>
      <c r="AO846" s="28"/>
      <c r="AP846" s="28"/>
      <c r="AQ846" s="28"/>
    </row>
    <row r="847">
      <c r="J847" s="28"/>
      <c r="K847" s="28"/>
      <c r="L847" s="28"/>
      <c r="M847" s="28"/>
      <c r="T847" s="28"/>
      <c r="U847" s="28"/>
      <c r="V847" s="28"/>
      <c r="W847" s="28"/>
      <c r="AD847" s="28"/>
      <c r="AE847" s="28"/>
      <c r="AF847" s="28"/>
      <c r="AG847" s="28"/>
      <c r="AN847" s="28"/>
      <c r="AO847" s="28"/>
      <c r="AP847" s="28"/>
      <c r="AQ847" s="28"/>
    </row>
    <row r="848">
      <c r="J848" s="28"/>
      <c r="K848" s="28"/>
      <c r="L848" s="28"/>
      <c r="M848" s="28"/>
      <c r="T848" s="28"/>
      <c r="U848" s="28"/>
      <c r="V848" s="28"/>
      <c r="W848" s="28"/>
      <c r="AD848" s="28"/>
      <c r="AE848" s="28"/>
      <c r="AF848" s="28"/>
      <c r="AG848" s="28"/>
      <c r="AN848" s="28"/>
      <c r="AO848" s="28"/>
      <c r="AP848" s="28"/>
      <c r="AQ848" s="28"/>
    </row>
    <row r="849">
      <c r="J849" s="28"/>
      <c r="K849" s="28"/>
      <c r="L849" s="28"/>
      <c r="M849" s="28"/>
      <c r="T849" s="28"/>
      <c r="U849" s="28"/>
      <c r="V849" s="28"/>
      <c r="W849" s="28"/>
      <c r="AD849" s="28"/>
      <c r="AE849" s="28"/>
      <c r="AF849" s="28"/>
      <c r="AG849" s="28"/>
      <c r="AN849" s="28"/>
      <c r="AO849" s="28"/>
      <c r="AP849" s="28"/>
      <c r="AQ849" s="28"/>
    </row>
    <row r="850">
      <c r="J850" s="28"/>
      <c r="K850" s="28"/>
      <c r="L850" s="28"/>
      <c r="M850" s="28"/>
      <c r="T850" s="28"/>
      <c r="U850" s="28"/>
      <c r="V850" s="28"/>
      <c r="W850" s="28"/>
      <c r="AD850" s="28"/>
      <c r="AE850" s="28"/>
      <c r="AF850" s="28"/>
      <c r="AG850" s="28"/>
      <c r="AN850" s="28"/>
      <c r="AO850" s="28"/>
      <c r="AP850" s="28"/>
      <c r="AQ850" s="28"/>
    </row>
    <row r="851">
      <c r="J851" s="28"/>
      <c r="K851" s="28"/>
      <c r="L851" s="28"/>
      <c r="M851" s="28"/>
      <c r="T851" s="28"/>
      <c r="U851" s="28"/>
      <c r="V851" s="28"/>
      <c r="W851" s="28"/>
      <c r="AD851" s="28"/>
      <c r="AE851" s="28"/>
      <c r="AF851" s="28"/>
      <c r="AG851" s="28"/>
      <c r="AN851" s="28"/>
      <c r="AO851" s="28"/>
      <c r="AP851" s="28"/>
      <c r="AQ851" s="28"/>
    </row>
    <row r="852">
      <c r="J852" s="28"/>
      <c r="K852" s="28"/>
      <c r="L852" s="28"/>
      <c r="M852" s="28"/>
      <c r="T852" s="28"/>
      <c r="U852" s="28"/>
      <c r="V852" s="28"/>
      <c r="W852" s="28"/>
      <c r="AD852" s="28"/>
      <c r="AE852" s="28"/>
      <c r="AF852" s="28"/>
      <c r="AG852" s="28"/>
      <c r="AN852" s="28"/>
      <c r="AO852" s="28"/>
      <c r="AP852" s="28"/>
      <c r="AQ852" s="28"/>
    </row>
    <row r="853">
      <c r="J853" s="28"/>
      <c r="K853" s="28"/>
      <c r="L853" s="28"/>
      <c r="M853" s="28"/>
      <c r="T853" s="28"/>
      <c r="U853" s="28"/>
      <c r="V853" s="28"/>
      <c r="W853" s="28"/>
      <c r="AD853" s="28"/>
      <c r="AE853" s="28"/>
      <c r="AF853" s="28"/>
      <c r="AG853" s="28"/>
      <c r="AN853" s="28"/>
      <c r="AO853" s="28"/>
      <c r="AP853" s="28"/>
      <c r="AQ853" s="28"/>
    </row>
    <row r="854">
      <c r="J854" s="28"/>
      <c r="K854" s="28"/>
      <c r="L854" s="28"/>
      <c r="M854" s="28"/>
      <c r="T854" s="28"/>
      <c r="U854" s="28"/>
      <c r="V854" s="28"/>
      <c r="W854" s="28"/>
      <c r="AD854" s="28"/>
      <c r="AE854" s="28"/>
      <c r="AF854" s="28"/>
      <c r="AG854" s="28"/>
      <c r="AN854" s="28"/>
      <c r="AO854" s="28"/>
      <c r="AP854" s="28"/>
      <c r="AQ854" s="28"/>
    </row>
    <row r="855">
      <c r="J855" s="28"/>
      <c r="K855" s="28"/>
      <c r="L855" s="28"/>
      <c r="M855" s="28"/>
      <c r="T855" s="28"/>
      <c r="U855" s="28"/>
      <c r="V855" s="28"/>
      <c r="W855" s="28"/>
      <c r="AD855" s="28"/>
      <c r="AE855" s="28"/>
      <c r="AF855" s="28"/>
      <c r="AG855" s="28"/>
      <c r="AN855" s="28"/>
      <c r="AO855" s="28"/>
      <c r="AP855" s="28"/>
      <c r="AQ855" s="28"/>
    </row>
    <row r="856">
      <c r="J856" s="28"/>
      <c r="K856" s="28"/>
      <c r="L856" s="28"/>
      <c r="M856" s="28"/>
      <c r="T856" s="28"/>
      <c r="U856" s="28"/>
      <c r="V856" s="28"/>
      <c r="W856" s="28"/>
      <c r="AD856" s="28"/>
      <c r="AE856" s="28"/>
      <c r="AF856" s="28"/>
      <c r="AG856" s="28"/>
      <c r="AN856" s="28"/>
      <c r="AO856" s="28"/>
      <c r="AP856" s="28"/>
      <c r="AQ856" s="28"/>
    </row>
    <row r="857">
      <c r="J857" s="28"/>
      <c r="K857" s="28"/>
      <c r="L857" s="28"/>
      <c r="M857" s="28"/>
      <c r="T857" s="28"/>
      <c r="U857" s="28"/>
      <c r="V857" s="28"/>
      <c r="W857" s="28"/>
      <c r="AD857" s="28"/>
      <c r="AE857" s="28"/>
      <c r="AF857" s="28"/>
      <c r="AG857" s="28"/>
      <c r="AN857" s="28"/>
      <c r="AO857" s="28"/>
      <c r="AP857" s="28"/>
      <c r="AQ857" s="28"/>
    </row>
    <row r="858">
      <c r="J858" s="28"/>
      <c r="K858" s="28"/>
      <c r="L858" s="28"/>
      <c r="M858" s="28"/>
      <c r="T858" s="28"/>
      <c r="U858" s="28"/>
      <c r="V858" s="28"/>
      <c r="W858" s="28"/>
      <c r="AD858" s="28"/>
      <c r="AE858" s="28"/>
      <c r="AF858" s="28"/>
      <c r="AG858" s="28"/>
      <c r="AN858" s="28"/>
      <c r="AO858" s="28"/>
      <c r="AP858" s="28"/>
      <c r="AQ858" s="28"/>
    </row>
    <row r="859">
      <c r="J859" s="28"/>
      <c r="K859" s="28"/>
      <c r="L859" s="28"/>
      <c r="M859" s="28"/>
      <c r="T859" s="28"/>
      <c r="U859" s="28"/>
      <c r="V859" s="28"/>
      <c r="W859" s="28"/>
      <c r="AD859" s="28"/>
      <c r="AE859" s="28"/>
      <c r="AF859" s="28"/>
      <c r="AG859" s="28"/>
      <c r="AN859" s="28"/>
      <c r="AO859" s="28"/>
      <c r="AP859" s="28"/>
      <c r="AQ859" s="28"/>
    </row>
    <row r="860">
      <c r="J860" s="28"/>
      <c r="K860" s="28"/>
      <c r="L860" s="28"/>
      <c r="M860" s="28"/>
      <c r="T860" s="28"/>
      <c r="U860" s="28"/>
      <c r="V860" s="28"/>
      <c r="W860" s="28"/>
      <c r="AD860" s="28"/>
      <c r="AE860" s="28"/>
      <c r="AF860" s="28"/>
      <c r="AG860" s="28"/>
      <c r="AN860" s="28"/>
      <c r="AO860" s="28"/>
      <c r="AP860" s="28"/>
      <c r="AQ860" s="28"/>
    </row>
    <row r="861">
      <c r="J861" s="28"/>
      <c r="K861" s="28"/>
      <c r="L861" s="28"/>
      <c r="M861" s="28"/>
      <c r="T861" s="28"/>
      <c r="U861" s="28"/>
      <c r="V861" s="28"/>
      <c r="W861" s="28"/>
      <c r="AD861" s="28"/>
      <c r="AE861" s="28"/>
      <c r="AF861" s="28"/>
      <c r="AG861" s="28"/>
      <c r="AN861" s="28"/>
      <c r="AO861" s="28"/>
      <c r="AP861" s="28"/>
      <c r="AQ861" s="28"/>
    </row>
    <row r="862">
      <c r="J862" s="28"/>
      <c r="K862" s="28"/>
      <c r="L862" s="28"/>
      <c r="M862" s="28"/>
      <c r="T862" s="28"/>
      <c r="U862" s="28"/>
      <c r="V862" s="28"/>
      <c r="W862" s="28"/>
      <c r="AD862" s="28"/>
      <c r="AE862" s="28"/>
      <c r="AF862" s="28"/>
      <c r="AG862" s="28"/>
      <c r="AN862" s="28"/>
      <c r="AO862" s="28"/>
      <c r="AP862" s="28"/>
      <c r="AQ862" s="28"/>
    </row>
    <row r="863">
      <c r="J863" s="28"/>
      <c r="K863" s="28"/>
      <c r="L863" s="28"/>
      <c r="M863" s="28"/>
      <c r="T863" s="28"/>
      <c r="U863" s="28"/>
      <c r="V863" s="28"/>
      <c r="W863" s="28"/>
      <c r="AD863" s="28"/>
      <c r="AE863" s="28"/>
      <c r="AF863" s="28"/>
      <c r="AG863" s="28"/>
      <c r="AN863" s="28"/>
      <c r="AO863" s="28"/>
      <c r="AP863" s="28"/>
      <c r="AQ863" s="28"/>
    </row>
    <row r="864">
      <c r="J864" s="28"/>
      <c r="K864" s="28"/>
      <c r="L864" s="28"/>
      <c r="M864" s="28"/>
      <c r="T864" s="28"/>
      <c r="U864" s="28"/>
      <c r="V864" s="28"/>
      <c r="W864" s="28"/>
      <c r="AD864" s="28"/>
      <c r="AE864" s="28"/>
      <c r="AF864" s="28"/>
      <c r="AG864" s="28"/>
      <c r="AN864" s="28"/>
      <c r="AO864" s="28"/>
      <c r="AP864" s="28"/>
      <c r="AQ864" s="28"/>
    </row>
    <row r="865">
      <c r="J865" s="28"/>
      <c r="K865" s="28"/>
      <c r="L865" s="28"/>
      <c r="M865" s="28"/>
      <c r="T865" s="28"/>
      <c r="U865" s="28"/>
      <c r="V865" s="28"/>
      <c r="W865" s="28"/>
      <c r="AD865" s="28"/>
      <c r="AE865" s="28"/>
      <c r="AF865" s="28"/>
      <c r="AG865" s="28"/>
      <c r="AN865" s="28"/>
      <c r="AO865" s="28"/>
      <c r="AP865" s="28"/>
      <c r="AQ865" s="28"/>
    </row>
    <row r="866">
      <c r="J866" s="28"/>
      <c r="K866" s="28"/>
      <c r="L866" s="28"/>
      <c r="M866" s="28"/>
      <c r="T866" s="28"/>
      <c r="U866" s="28"/>
      <c r="V866" s="28"/>
      <c r="W866" s="28"/>
      <c r="AD866" s="28"/>
      <c r="AE866" s="28"/>
      <c r="AF866" s="28"/>
      <c r="AG866" s="28"/>
      <c r="AN866" s="28"/>
      <c r="AO866" s="28"/>
      <c r="AP866" s="28"/>
      <c r="AQ866" s="28"/>
    </row>
    <row r="867">
      <c r="J867" s="28"/>
      <c r="K867" s="28"/>
      <c r="L867" s="28"/>
      <c r="M867" s="28"/>
      <c r="T867" s="28"/>
      <c r="U867" s="28"/>
      <c r="V867" s="28"/>
      <c r="W867" s="28"/>
      <c r="AD867" s="28"/>
      <c r="AE867" s="28"/>
      <c r="AF867" s="28"/>
      <c r="AG867" s="28"/>
      <c r="AN867" s="28"/>
      <c r="AO867" s="28"/>
      <c r="AP867" s="28"/>
      <c r="AQ867" s="28"/>
    </row>
    <row r="868">
      <c r="J868" s="28"/>
      <c r="K868" s="28"/>
      <c r="L868" s="28"/>
      <c r="M868" s="28"/>
      <c r="T868" s="28"/>
      <c r="U868" s="28"/>
      <c r="V868" s="28"/>
      <c r="W868" s="28"/>
      <c r="AD868" s="28"/>
      <c r="AE868" s="28"/>
      <c r="AF868" s="28"/>
      <c r="AG868" s="28"/>
      <c r="AN868" s="28"/>
      <c r="AO868" s="28"/>
      <c r="AP868" s="28"/>
      <c r="AQ868" s="28"/>
    </row>
    <row r="869">
      <c r="J869" s="28"/>
      <c r="K869" s="28"/>
      <c r="L869" s="28"/>
      <c r="M869" s="28"/>
      <c r="T869" s="28"/>
      <c r="U869" s="28"/>
      <c r="V869" s="28"/>
      <c r="W869" s="28"/>
      <c r="AD869" s="28"/>
      <c r="AE869" s="28"/>
      <c r="AF869" s="28"/>
      <c r="AG869" s="28"/>
      <c r="AN869" s="28"/>
      <c r="AO869" s="28"/>
      <c r="AP869" s="28"/>
      <c r="AQ869" s="28"/>
    </row>
    <row r="870">
      <c r="J870" s="28"/>
      <c r="K870" s="28"/>
      <c r="L870" s="28"/>
      <c r="M870" s="28"/>
      <c r="T870" s="28"/>
      <c r="U870" s="28"/>
      <c r="V870" s="28"/>
      <c r="W870" s="28"/>
      <c r="AD870" s="28"/>
      <c r="AE870" s="28"/>
      <c r="AF870" s="28"/>
      <c r="AG870" s="28"/>
      <c r="AN870" s="28"/>
      <c r="AO870" s="28"/>
      <c r="AP870" s="28"/>
      <c r="AQ870" s="28"/>
    </row>
    <row r="871">
      <c r="J871" s="28"/>
      <c r="K871" s="28"/>
      <c r="L871" s="28"/>
      <c r="M871" s="28"/>
      <c r="T871" s="28"/>
      <c r="U871" s="28"/>
      <c r="V871" s="28"/>
      <c r="W871" s="28"/>
      <c r="AD871" s="28"/>
      <c r="AE871" s="28"/>
      <c r="AF871" s="28"/>
      <c r="AG871" s="28"/>
      <c r="AN871" s="28"/>
      <c r="AO871" s="28"/>
      <c r="AP871" s="28"/>
      <c r="AQ871" s="28"/>
    </row>
    <row r="872">
      <c r="J872" s="28"/>
      <c r="K872" s="28"/>
      <c r="L872" s="28"/>
      <c r="M872" s="28"/>
      <c r="T872" s="28"/>
      <c r="U872" s="28"/>
      <c r="V872" s="28"/>
      <c r="W872" s="28"/>
      <c r="AD872" s="28"/>
      <c r="AE872" s="28"/>
      <c r="AF872" s="28"/>
      <c r="AG872" s="28"/>
      <c r="AN872" s="28"/>
      <c r="AO872" s="28"/>
      <c r="AP872" s="28"/>
      <c r="AQ872" s="28"/>
    </row>
    <row r="873">
      <c r="J873" s="28"/>
      <c r="K873" s="28"/>
      <c r="L873" s="28"/>
      <c r="M873" s="28"/>
      <c r="T873" s="28"/>
      <c r="U873" s="28"/>
      <c r="V873" s="28"/>
      <c r="W873" s="28"/>
      <c r="AD873" s="28"/>
      <c r="AE873" s="28"/>
      <c r="AF873" s="28"/>
      <c r="AG873" s="28"/>
      <c r="AN873" s="28"/>
      <c r="AO873" s="28"/>
      <c r="AP873" s="28"/>
      <c r="AQ873" s="28"/>
    </row>
    <row r="874">
      <c r="J874" s="28"/>
      <c r="K874" s="28"/>
      <c r="L874" s="28"/>
      <c r="M874" s="28"/>
      <c r="T874" s="28"/>
      <c r="U874" s="28"/>
      <c r="V874" s="28"/>
      <c r="W874" s="28"/>
      <c r="AD874" s="28"/>
      <c r="AE874" s="28"/>
      <c r="AF874" s="28"/>
      <c r="AG874" s="28"/>
      <c r="AN874" s="28"/>
      <c r="AO874" s="28"/>
      <c r="AP874" s="28"/>
      <c r="AQ874" s="28"/>
    </row>
    <row r="875">
      <c r="J875" s="28"/>
      <c r="K875" s="28"/>
      <c r="L875" s="28"/>
      <c r="M875" s="28"/>
      <c r="T875" s="28"/>
      <c r="U875" s="28"/>
      <c r="V875" s="28"/>
      <c r="W875" s="28"/>
      <c r="AD875" s="28"/>
      <c r="AE875" s="28"/>
      <c r="AF875" s="28"/>
      <c r="AG875" s="28"/>
      <c r="AN875" s="28"/>
      <c r="AO875" s="28"/>
      <c r="AP875" s="28"/>
      <c r="AQ875" s="28"/>
    </row>
    <row r="876">
      <c r="J876" s="28"/>
      <c r="K876" s="28"/>
      <c r="L876" s="28"/>
      <c r="M876" s="28"/>
      <c r="T876" s="28"/>
      <c r="U876" s="28"/>
      <c r="V876" s="28"/>
      <c r="W876" s="28"/>
      <c r="AD876" s="28"/>
      <c r="AE876" s="28"/>
      <c r="AF876" s="28"/>
      <c r="AG876" s="28"/>
      <c r="AN876" s="28"/>
      <c r="AO876" s="28"/>
      <c r="AP876" s="28"/>
      <c r="AQ876" s="28"/>
    </row>
    <row r="877">
      <c r="J877" s="28"/>
      <c r="K877" s="28"/>
      <c r="L877" s="28"/>
      <c r="M877" s="28"/>
      <c r="T877" s="28"/>
      <c r="U877" s="28"/>
      <c r="V877" s="28"/>
      <c r="W877" s="28"/>
      <c r="AD877" s="28"/>
      <c r="AE877" s="28"/>
      <c r="AF877" s="28"/>
      <c r="AG877" s="28"/>
      <c r="AN877" s="28"/>
      <c r="AO877" s="28"/>
      <c r="AP877" s="28"/>
      <c r="AQ877" s="28"/>
    </row>
    <row r="878">
      <c r="J878" s="28"/>
      <c r="K878" s="28"/>
      <c r="L878" s="28"/>
      <c r="M878" s="28"/>
      <c r="T878" s="28"/>
      <c r="U878" s="28"/>
      <c r="V878" s="28"/>
      <c r="W878" s="28"/>
      <c r="AD878" s="28"/>
      <c r="AE878" s="28"/>
      <c r="AF878" s="28"/>
      <c r="AG878" s="28"/>
      <c r="AN878" s="28"/>
      <c r="AO878" s="28"/>
      <c r="AP878" s="28"/>
      <c r="AQ878" s="28"/>
    </row>
    <row r="879">
      <c r="J879" s="28"/>
      <c r="K879" s="28"/>
      <c r="L879" s="28"/>
      <c r="M879" s="28"/>
      <c r="T879" s="28"/>
      <c r="U879" s="28"/>
      <c r="V879" s="28"/>
      <c r="W879" s="28"/>
      <c r="AD879" s="28"/>
      <c r="AE879" s="28"/>
      <c r="AF879" s="28"/>
      <c r="AG879" s="28"/>
      <c r="AN879" s="28"/>
      <c r="AO879" s="28"/>
      <c r="AP879" s="28"/>
      <c r="AQ879" s="28"/>
    </row>
    <row r="880">
      <c r="J880" s="28"/>
      <c r="K880" s="28"/>
      <c r="L880" s="28"/>
      <c r="M880" s="28"/>
      <c r="T880" s="28"/>
      <c r="U880" s="28"/>
      <c r="V880" s="28"/>
      <c r="W880" s="28"/>
      <c r="AD880" s="28"/>
      <c r="AE880" s="28"/>
      <c r="AF880" s="28"/>
      <c r="AG880" s="28"/>
      <c r="AN880" s="28"/>
      <c r="AO880" s="28"/>
      <c r="AP880" s="28"/>
      <c r="AQ880" s="28"/>
    </row>
    <row r="881">
      <c r="J881" s="28"/>
      <c r="K881" s="28"/>
      <c r="L881" s="28"/>
      <c r="M881" s="28"/>
      <c r="T881" s="28"/>
      <c r="U881" s="28"/>
      <c r="V881" s="28"/>
      <c r="W881" s="28"/>
      <c r="AD881" s="28"/>
      <c r="AE881" s="28"/>
      <c r="AF881" s="28"/>
      <c r="AG881" s="28"/>
      <c r="AN881" s="28"/>
      <c r="AO881" s="28"/>
      <c r="AP881" s="28"/>
      <c r="AQ881" s="28"/>
    </row>
    <row r="882">
      <c r="J882" s="28"/>
      <c r="K882" s="28"/>
      <c r="L882" s="28"/>
      <c r="M882" s="28"/>
      <c r="T882" s="28"/>
      <c r="U882" s="28"/>
      <c r="V882" s="28"/>
      <c r="W882" s="28"/>
      <c r="AD882" s="28"/>
      <c r="AE882" s="28"/>
      <c r="AF882" s="28"/>
      <c r="AG882" s="28"/>
      <c r="AN882" s="28"/>
      <c r="AO882" s="28"/>
      <c r="AP882" s="28"/>
      <c r="AQ882" s="28"/>
    </row>
    <row r="883">
      <c r="J883" s="28"/>
      <c r="K883" s="28"/>
      <c r="L883" s="28"/>
      <c r="M883" s="28"/>
      <c r="T883" s="28"/>
      <c r="U883" s="28"/>
      <c r="V883" s="28"/>
      <c r="W883" s="28"/>
      <c r="AD883" s="28"/>
      <c r="AE883" s="28"/>
      <c r="AF883" s="28"/>
      <c r="AG883" s="28"/>
      <c r="AN883" s="28"/>
      <c r="AO883" s="28"/>
      <c r="AP883" s="28"/>
      <c r="AQ883" s="28"/>
    </row>
    <row r="884">
      <c r="J884" s="28"/>
      <c r="K884" s="28"/>
      <c r="L884" s="28"/>
      <c r="M884" s="28"/>
      <c r="T884" s="28"/>
      <c r="U884" s="28"/>
      <c r="V884" s="28"/>
      <c r="W884" s="28"/>
      <c r="AD884" s="28"/>
      <c r="AE884" s="28"/>
      <c r="AF884" s="28"/>
      <c r="AG884" s="28"/>
      <c r="AN884" s="28"/>
      <c r="AO884" s="28"/>
      <c r="AP884" s="28"/>
      <c r="AQ884" s="28"/>
    </row>
    <row r="885">
      <c r="J885" s="28"/>
      <c r="K885" s="28"/>
      <c r="L885" s="28"/>
      <c r="M885" s="28"/>
      <c r="T885" s="28"/>
      <c r="U885" s="28"/>
      <c r="V885" s="28"/>
      <c r="W885" s="28"/>
      <c r="AD885" s="28"/>
      <c r="AE885" s="28"/>
      <c r="AF885" s="28"/>
      <c r="AG885" s="28"/>
      <c r="AN885" s="28"/>
      <c r="AO885" s="28"/>
      <c r="AP885" s="28"/>
      <c r="AQ885" s="28"/>
    </row>
    <row r="886">
      <c r="J886" s="28"/>
      <c r="K886" s="28"/>
      <c r="L886" s="28"/>
      <c r="M886" s="28"/>
      <c r="T886" s="28"/>
      <c r="U886" s="28"/>
      <c r="V886" s="28"/>
      <c r="W886" s="28"/>
      <c r="AD886" s="28"/>
      <c r="AE886" s="28"/>
      <c r="AF886" s="28"/>
      <c r="AG886" s="28"/>
      <c r="AN886" s="28"/>
      <c r="AO886" s="28"/>
      <c r="AP886" s="28"/>
      <c r="AQ886" s="28"/>
    </row>
    <row r="887">
      <c r="J887" s="28"/>
      <c r="K887" s="28"/>
      <c r="L887" s="28"/>
      <c r="M887" s="28"/>
      <c r="T887" s="28"/>
      <c r="U887" s="28"/>
      <c r="V887" s="28"/>
      <c r="W887" s="28"/>
      <c r="AD887" s="28"/>
      <c r="AE887" s="28"/>
      <c r="AF887" s="28"/>
      <c r="AG887" s="28"/>
      <c r="AN887" s="28"/>
      <c r="AO887" s="28"/>
      <c r="AP887" s="28"/>
      <c r="AQ887" s="28"/>
    </row>
    <row r="888">
      <c r="J888" s="28"/>
      <c r="K888" s="28"/>
      <c r="L888" s="28"/>
      <c r="M888" s="28"/>
      <c r="T888" s="28"/>
      <c r="U888" s="28"/>
      <c r="V888" s="28"/>
      <c r="W888" s="28"/>
      <c r="AD888" s="28"/>
      <c r="AE888" s="28"/>
      <c r="AF888" s="28"/>
      <c r="AG888" s="28"/>
      <c r="AN888" s="28"/>
      <c r="AO888" s="28"/>
      <c r="AP888" s="28"/>
      <c r="AQ888" s="28"/>
    </row>
    <row r="889">
      <c r="J889" s="28"/>
      <c r="K889" s="28"/>
      <c r="L889" s="28"/>
      <c r="M889" s="28"/>
      <c r="T889" s="28"/>
      <c r="U889" s="28"/>
      <c r="V889" s="28"/>
      <c r="W889" s="28"/>
      <c r="AD889" s="28"/>
      <c r="AE889" s="28"/>
      <c r="AF889" s="28"/>
      <c r="AG889" s="28"/>
      <c r="AN889" s="28"/>
      <c r="AO889" s="28"/>
      <c r="AP889" s="28"/>
      <c r="AQ889" s="28"/>
    </row>
    <row r="890">
      <c r="J890" s="28"/>
      <c r="K890" s="28"/>
      <c r="L890" s="28"/>
      <c r="M890" s="28"/>
      <c r="T890" s="28"/>
      <c r="U890" s="28"/>
      <c r="V890" s="28"/>
      <c r="W890" s="28"/>
      <c r="AD890" s="28"/>
      <c r="AE890" s="28"/>
      <c r="AF890" s="28"/>
      <c r="AG890" s="28"/>
      <c r="AN890" s="28"/>
      <c r="AO890" s="28"/>
      <c r="AP890" s="28"/>
      <c r="AQ890" s="28"/>
    </row>
    <row r="891">
      <c r="J891" s="28"/>
      <c r="K891" s="28"/>
      <c r="L891" s="28"/>
      <c r="M891" s="28"/>
      <c r="T891" s="28"/>
      <c r="U891" s="28"/>
      <c r="V891" s="28"/>
      <c r="W891" s="28"/>
      <c r="AD891" s="28"/>
      <c r="AE891" s="28"/>
      <c r="AF891" s="28"/>
      <c r="AG891" s="28"/>
      <c r="AN891" s="28"/>
      <c r="AO891" s="28"/>
      <c r="AP891" s="28"/>
      <c r="AQ891" s="28"/>
    </row>
    <row r="892">
      <c r="J892" s="28"/>
      <c r="K892" s="28"/>
      <c r="L892" s="28"/>
      <c r="M892" s="28"/>
      <c r="T892" s="28"/>
      <c r="U892" s="28"/>
      <c r="V892" s="28"/>
      <c r="W892" s="28"/>
      <c r="AD892" s="28"/>
      <c r="AE892" s="28"/>
      <c r="AF892" s="28"/>
      <c r="AG892" s="28"/>
      <c r="AN892" s="28"/>
      <c r="AO892" s="28"/>
      <c r="AP892" s="28"/>
      <c r="AQ892" s="28"/>
    </row>
    <row r="893">
      <c r="J893" s="28"/>
      <c r="K893" s="28"/>
      <c r="L893" s="28"/>
      <c r="M893" s="28"/>
      <c r="T893" s="28"/>
      <c r="U893" s="28"/>
      <c r="V893" s="28"/>
      <c r="W893" s="28"/>
      <c r="AD893" s="28"/>
      <c r="AE893" s="28"/>
      <c r="AF893" s="28"/>
      <c r="AG893" s="28"/>
      <c r="AN893" s="28"/>
      <c r="AO893" s="28"/>
      <c r="AP893" s="28"/>
      <c r="AQ893" s="28"/>
    </row>
    <row r="894">
      <c r="J894" s="28"/>
      <c r="K894" s="28"/>
      <c r="L894" s="28"/>
      <c r="M894" s="28"/>
      <c r="T894" s="28"/>
      <c r="U894" s="28"/>
      <c r="V894" s="28"/>
      <c r="W894" s="28"/>
      <c r="AD894" s="28"/>
      <c r="AE894" s="28"/>
      <c r="AF894" s="28"/>
      <c r="AG894" s="28"/>
      <c r="AN894" s="28"/>
      <c r="AO894" s="28"/>
      <c r="AP894" s="28"/>
      <c r="AQ894" s="28"/>
    </row>
    <row r="895">
      <c r="J895" s="28"/>
      <c r="K895" s="28"/>
      <c r="L895" s="28"/>
      <c r="M895" s="28"/>
      <c r="T895" s="28"/>
      <c r="U895" s="28"/>
      <c r="V895" s="28"/>
      <c r="W895" s="28"/>
      <c r="AD895" s="28"/>
      <c r="AE895" s="28"/>
      <c r="AF895" s="28"/>
      <c r="AG895" s="28"/>
      <c r="AN895" s="28"/>
      <c r="AO895" s="28"/>
      <c r="AP895" s="28"/>
      <c r="AQ895" s="28"/>
    </row>
    <row r="896">
      <c r="J896" s="28"/>
      <c r="K896" s="28"/>
      <c r="L896" s="28"/>
      <c r="M896" s="28"/>
      <c r="T896" s="28"/>
      <c r="U896" s="28"/>
      <c r="V896" s="28"/>
      <c r="W896" s="28"/>
      <c r="AD896" s="28"/>
      <c r="AE896" s="28"/>
      <c r="AF896" s="28"/>
      <c r="AG896" s="28"/>
      <c r="AN896" s="28"/>
      <c r="AO896" s="28"/>
      <c r="AP896" s="28"/>
      <c r="AQ896" s="28"/>
    </row>
    <row r="897">
      <c r="J897" s="28"/>
      <c r="K897" s="28"/>
      <c r="L897" s="28"/>
      <c r="M897" s="28"/>
      <c r="T897" s="28"/>
      <c r="U897" s="28"/>
      <c r="V897" s="28"/>
      <c r="W897" s="28"/>
      <c r="AD897" s="28"/>
      <c r="AE897" s="28"/>
      <c r="AF897" s="28"/>
      <c r="AG897" s="28"/>
      <c r="AN897" s="28"/>
      <c r="AO897" s="28"/>
      <c r="AP897" s="28"/>
      <c r="AQ897" s="28"/>
    </row>
    <row r="898">
      <c r="J898" s="28"/>
      <c r="K898" s="28"/>
      <c r="L898" s="28"/>
      <c r="M898" s="28"/>
      <c r="T898" s="28"/>
      <c r="U898" s="28"/>
      <c r="V898" s="28"/>
      <c r="W898" s="28"/>
      <c r="AD898" s="28"/>
      <c r="AE898" s="28"/>
      <c r="AF898" s="28"/>
      <c r="AG898" s="28"/>
      <c r="AN898" s="28"/>
      <c r="AO898" s="28"/>
      <c r="AP898" s="28"/>
      <c r="AQ898" s="28"/>
    </row>
    <row r="899">
      <c r="J899" s="28"/>
      <c r="K899" s="28"/>
      <c r="L899" s="28"/>
      <c r="M899" s="28"/>
      <c r="T899" s="28"/>
      <c r="U899" s="28"/>
      <c r="V899" s="28"/>
      <c r="W899" s="28"/>
      <c r="AD899" s="28"/>
      <c r="AE899" s="28"/>
      <c r="AF899" s="28"/>
      <c r="AG899" s="28"/>
      <c r="AN899" s="28"/>
      <c r="AO899" s="28"/>
      <c r="AP899" s="28"/>
      <c r="AQ899" s="28"/>
    </row>
    <row r="900">
      <c r="J900" s="28"/>
      <c r="K900" s="28"/>
      <c r="L900" s="28"/>
      <c r="M900" s="28"/>
      <c r="T900" s="28"/>
      <c r="U900" s="28"/>
      <c r="V900" s="28"/>
      <c r="W900" s="28"/>
      <c r="AD900" s="28"/>
      <c r="AE900" s="28"/>
      <c r="AF900" s="28"/>
      <c r="AG900" s="28"/>
      <c r="AN900" s="28"/>
      <c r="AO900" s="28"/>
      <c r="AP900" s="28"/>
      <c r="AQ900" s="28"/>
    </row>
    <row r="901">
      <c r="J901" s="28"/>
      <c r="K901" s="28"/>
      <c r="L901" s="28"/>
      <c r="M901" s="28"/>
      <c r="T901" s="28"/>
      <c r="U901" s="28"/>
      <c r="V901" s="28"/>
      <c r="W901" s="28"/>
      <c r="AD901" s="28"/>
      <c r="AE901" s="28"/>
      <c r="AF901" s="28"/>
      <c r="AG901" s="28"/>
      <c r="AN901" s="28"/>
      <c r="AO901" s="28"/>
      <c r="AP901" s="28"/>
      <c r="AQ901" s="28"/>
    </row>
    <row r="902">
      <c r="J902" s="28"/>
      <c r="K902" s="28"/>
      <c r="L902" s="28"/>
      <c r="M902" s="28"/>
      <c r="T902" s="28"/>
      <c r="U902" s="28"/>
      <c r="V902" s="28"/>
      <c r="W902" s="28"/>
      <c r="AD902" s="28"/>
      <c r="AE902" s="28"/>
      <c r="AF902" s="28"/>
      <c r="AG902" s="28"/>
      <c r="AN902" s="28"/>
      <c r="AO902" s="28"/>
      <c r="AP902" s="28"/>
      <c r="AQ902" s="28"/>
    </row>
    <row r="903">
      <c r="J903" s="28"/>
      <c r="K903" s="28"/>
      <c r="L903" s="28"/>
      <c r="M903" s="28"/>
      <c r="T903" s="28"/>
      <c r="U903" s="28"/>
      <c r="V903" s="28"/>
      <c r="W903" s="28"/>
      <c r="AD903" s="28"/>
      <c r="AE903" s="28"/>
      <c r="AF903" s="28"/>
      <c r="AG903" s="28"/>
      <c r="AN903" s="28"/>
      <c r="AO903" s="28"/>
      <c r="AP903" s="28"/>
      <c r="AQ903" s="28"/>
    </row>
    <row r="904">
      <c r="J904" s="28"/>
      <c r="K904" s="28"/>
      <c r="L904" s="28"/>
      <c r="M904" s="28"/>
      <c r="T904" s="28"/>
      <c r="U904" s="28"/>
      <c r="V904" s="28"/>
      <c r="W904" s="28"/>
      <c r="AD904" s="28"/>
      <c r="AE904" s="28"/>
      <c r="AF904" s="28"/>
      <c r="AG904" s="28"/>
      <c r="AN904" s="28"/>
      <c r="AO904" s="28"/>
      <c r="AP904" s="28"/>
      <c r="AQ904" s="28"/>
    </row>
    <row r="905">
      <c r="J905" s="28"/>
      <c r="K905" s="28"/>
      <c r="L905" s="28"/>
      <c r="M905" s="28"/>
      <c r="T905" s="28"/>
      <c r="U905" s="28"/>
      <c r="V905" s="28"/>
      <c r="W905" s="28"/>
      <c r="AD905" s="28"/>
      <c r="AE905" s="28"/>
      <c r="AF905" s="28"/>
      <c r="AG905" s="28"/>
      <c r="AN905" s="28"/>
      <c r="AO905" s="28"/>
      <c r="AP905" s="28"/>
      <c r="AQ905" s="28"/>
    </row>
    <row r="906">
      <c r="J906" s="28"/>
      <c r="K906" s="28"/>
      <c r="L906" s="28"/>
      <c r="M906" s="28"/>
      <c r="T906" s="28"/>
      <c r="U906" s="28"/>
      <c r="V906" s="28"/>
      <c r="W906" s="28"/>
      <c r="AD906" s="28"/>
      <c r="AE906" s="28"/>
      <c r="AF906" s="28"/>
      <c r="AG906" s="28"/>
      <c r="AN906" s="28"/>
      <c r="AO906" s="28"/>
      <c r="AP906" s="28"/>
      <c r="AQ906" s="28"/>
    </row>
    <row r="907">
      <c r="J907" s="28"/>
      <c r="K907" s="28"/>
      <c r="L907" s="28"/>
      <c r="M907" s="28"/>
      <c r="T907" s="28"/>
      <c r="U907" s="28"/>
      <c r="V907" s="28"/>
      <c r="W907" s="28"/>
      <c r="AD907" s="28"/>
      <c r="AE907" s="28"/>
      <c r="AF907" s="28"/>
      <c r="AG907" s="28"/>
      <c r="AN907" s="28"/>
      <c r="AO907" s="28"/>
      <c r="AP907" s="28"/>
      <c r="AQ907" s="28"/>
    </row>
    <row r="908">
      <c r="J908" s="28"/>
      <c r="K908" s="28"/>
      <c r="L908" s="28"/>
      <c r="M908" s="28"/>
      <c r="T908" s="28"/>
      <c r="U908" s="28"/>
      <c r="V908" s="28"/>
      <c r="W908" s="28"/>
      <c r="AD908" s="28"/>
      <c r="AE908" s="28"/>
      <c r="AF908" s="28"/>
      <c r="AG908" s="28"/>
      <c r="AN908" s="28"/>
      <c r="AO908" s="28"/>
      <c r="AP908" s="28"/>
      <c r="AQ908" s="28"/>
    </row>
    <row r="909">
      <c r="J909" s="28"/>
      <c r="K909" s="28"/>
      <c r="L909" s="28"/>
      <c r="M909" s="28"/>
      <c r="T909" s="28"/>
      <c r="U909" s="28"/>
      <c r="V909" s="28"/>
      <c r="W909" s="28"/>
      <c r="AD909" s="28"/>
      <c r="AE909" s="28"/>
      <c r="AF909" s="28"/>
      <c r="AG909" s="28"/>
      <c r="AN909" s="28"/>
      <c r="AO909" s="28"/>
      <c r="AP909" s="28"/>
      <c r="AQ909" s="28"/>
    </row>
    <row r="910">
      <c r="J910" s="28"/>
      <c r="K910" s="28"/>
      <c r="L910" s="28"/>
      <c r="M910" s="28"/>
      <c r="T910" s="28"/>
      <c r="U910" s="28"/>
      <c r="V910" s="28"/>
      <c r="W910" s="28"/>
      <c r="AD910" s="28"/>
      <c r="AE910" s="28"/>
      <c r="AF910" s="28"/>
      <c r="AG910" s="28"/>
      <c r="AN910" s="28"/>
      <c r="AO910" s="28"/>
      <c r="AP910" s="28"/>
      <c r="AQ910" s="28"/>
    </row>
    <row r="911">
      <c r="J911" s="28"/>
      <c r="K911" s="28"/>
      <c r="L911" s="28"/>
      <c r="M911" s="28"/>
      <c r="T911" s="28"/>
      <c r="U911" s="28"/>
      <c r="V911" s="28"/>
      <c r="W911" s="28"/>
      <c r="AD911" s="28"/>
      <c r="AE911" s="28"/>
      <c r="AF911" s="28"/>
      <c r="AG911" s="28"/>
      <c r="AN911" s="28"/>
      <c r="AO911" s="28"/>
      <c r="AP911" s="28"/>
      <c r="AQ911" s="28"/>
    </row>
    <row r="912">
      <c r="J912" s="28"/>
      <c r="K912" s="28"/>
      <c r="L912" s="28"/>
      <c r="M912" s="28"/>
      <c r="T912" s="28"/>
      <c r="U912" s="28"/>
      <c r="V912" s="28"/>
      <c r="W912" s="28"/>
      <c r="AD912" s="28"/>
      <c r="AE912" s="28"/>
      <c r="AF912" s="28"/>
      <c r="AG912" s="28"/>
      <c r="AN912" s="28"/>
      <c r="AO912" s="28"/>
      <c r="AP912" s="28"/>
      <c r="AQ912" s="28"/>
    </row>
    <row r="913">
      <c r="J913" s="28"/>
      <c r="K913" s="28"/>
      <c r="L913" s="28"/>
      <c r="M913" s="28"/>
      <c r="T913" s="28"/>
      <c r="U913" s="28"/>
      <c r="V913" s="28"/>
      <c r="W913" s="28"/>
      <c r="AD913" s="28"/>
      <c r="AE913" s="28"/>
      <c r="AF913" s="28"/>
      <c r="AG913" s="28"/>
      <c r="AN913" s="28"/>
      <c r="AO913" s="28"/>
      <c r="AP913" s="28"/>
      <c r="AQ913" s="28"/>
    </row>
    <row r="914">
      <c r="J914" s="28"/>
      <c r="K914" s="28"/>
      <c r="L914" s="28"/>
      <c r="M914" s="28"/>
      <c r="T914" s="28"/>
      <c r="U914" s="28"/>
      <c r="V914" s="28"/>
      <c r="W914" s="28"/>
      <c r="AD914" s="28"/>
      <c r="AE914" s="28"/>
      <c r="AF914" s="28"/>
      <c r="AG914" s="28"/>
      <c r="AN914" s="28"/>
      <c r="AO914" s="28"/>
      <c r="AP914" s="28"/>
      <c r="AQ914" s="28"/>
    </row>
    <row r="915">
      <c r="J915" s="28"/>
      <c r="K915" s="28"/>
      <c r="L915" s="28"/>
      <c r="M915" s="28"/>
      <c r="T915" s="28"/>
      <c r="U915" s="28"/>
      <c r="V915" s="28"/>
      <c r="W915" s="28"/>
      <c r="AD915" s="28"/>
      <c r="AE915" s="28"/>
      <c r="AF915" s="28"/>
      <c r="AG915" s="28"/>
      <c r="AN915" s="28"/>
      <c r="AO915" s="28"/>
      <c r="AP915" s="28"/>
      <c r="AQ915" s="28"/>
    </row>
    <row r="916">
      <c r="J916" s="28"/>
      <c r="K916" s="28"/>
      <c r="L916" s="28"/>
      <c r="M916" s="28"/>
      <c r="T916" s="28"/>
      <c r="U916" s="28"/>
      <c r="V916" s="28"/>
      <c r="W916" s="28"/>
      <c r="AD916" s="28"/>
      <c r="AE916" s="28"/>
      <c r="AF916" s="28"/>
      <c r="AG916" s="28"/>
      <c r="AN916" s="28"/>
      <c r="AO916" s="28"/>
      <c r="AP916" s="28"/>
      <c r="AQ916" s="28"/>
    </row>
    <row r="917">
      <c r="J917" s="28"/>
      <c r="K917" s="28"/>
      <c r="L917" s="28"/>
      <c r="M917" s="28"/>
      <c r="T917" s="28"/>
      <c r="U917" s="28"/>
      <c r="V917" s="28"/>
      <c r="W917" s="28"/>
      <c r="AD917" s="28"/>
      <c r="AE917" s="28"/>
      <c r="AF917" s="28"/>
      <c r="AG917" s="28"/>
      <c r="AN917" s="28"/>
      <c r="AO917" s="28"/>
      <c r="AP917" s="28"/>
      <c r="AQ917" s="28"/>
    </row>
    <row r="918">
      <c r="J918" s="28"/>
      <c r="K918" s="28"/>
      <c r="L918" s="28"/>
      <c r="M918" s="28"/>
      <c r="T918" s="28"/>
      <c r="U918" s="28"/>
      <c r="V918" s="28"/>
      <c r="W918" s="28"/>
      <c r="AD918" s="28"/>
      <c r="AE918" s="28"/>
      <c r="AF918" s="28"/>
      <c r="AG918" s="28"/>
      <c r="AN918" s="28"/>
      <c r="AO918" s="28"/>
      <c r="AP918" s="28"/>
      <c r="AQ918" s="28"/>
    </row>
    <row r="919">
      <c r="J919" s="28"/>
      <c r="K919" s="28"/>
      <c r="L919" s="28"/>
      <c r="M919" s="28"/>
      <c r="T919" s="28"/>
      <c r="U919" s="28"/>
      <c r="V919" s="28"/>
      <c r="W919" s="28"/>
      <c r="AD919" s="28"/>
      <c r="AE919" s="28"/>
      <c r="AF919" s="28"/>
      <c r="AG919" s="28"/>
      <c r="AN919" s="28"/>
      <c r="AO919" s="28"/>
      <c r="AP919" s="28"/>
      <c r="AQ919" s="28"/>
    </row>
    <row r="920">
      <c r="J920" s="28"/>
      <c r="K920" s="28"/>
      <c r="L920" s="28"/>
      <c r="M920" s="28"/>
      <c r="T920" s="28"/>
      <c r="U920" s="28"/>
      <c r="V920" s="28"/>
      <c r="W920" s="28"/>
      <c r="AD920" s="28"/>
      <c r="AE920" s="28"/>
      <c r="AF920" s="28"/>
      <c r="AG920" s="28"/>
      <c r="AN920" s="28"/>
      <c r="AO920" s="28"/>
      <c r="AP920" s="28"/>
      <c r="AQ920" s="28"/>
    </row>
    <row r="921">
      <c r="J921" s="28"/>
      <c r="K921" s="28"/>
      <c r="L921" s="28"/>
      <c r="M921" s="28"/>
      <c r="T921" s="28"/>
      <c r="U921" s="28"/>
      <c r="V921" s="28"/>
      <c r="W921" s="28"/>
      <c r="AD921" s="28"/>
      <c r="AE921" s="28"/>
      <c r="AF921" s="28"/>
      <c r="AG921" s="28"/>
      <c r="AN921" s="28"/>
      <c r="AO921" s="28"/>
      <c r="AP921" s="28"/>
      <c r="AQ921" s="28"/>
    </row>
    <row r="922">
      <c r="J922" s="28"/>
      <c r="K922" s="28"/>
      <c r="L922" s="28"/>
      <c r="M922" s="28"/>
      <c r="T922" s="28"/>
      <c r="U922" s="28"/>
      <c r="V922" s="28"/>
      <c r="W922" s="28"/>
      <c r="AD922" s="28"/>
      <c r="AE922" s="28"/>
      <c r="AF922" s="28"/>
      <c r="AG922" s="28"/>
      <c r="AN922" s="28"/>
      <c r="AO922" s="28"/>
      <c r="AP922" s="28"/>
      <c r="AQ922" s="28"/>
    </row>
    <row r="923">
      <c r="J923" s="28"/>
      <c r="K923" s="28"/>
      <c r="L923" s="28"/>
      <c r="M923" s="28"/>
      <c r="T923" s="28"/>
      <c r="U923" s="28"/>
      <c r="V923" s="28"/>
      <c r="W923" s="28"/>
      <c r="AD923" s="28"/>
      <c r="AE923" s="28"/>
      <c r="AF923" s="28"/>
      <c r="AG923" s="28"/>
      <c r="AN923" s="28"/>
      <c r="AO923" s="28"/>
      <c r="AP923" s="28"/>
      <c r="AQ923" s="28"/>
    </row>
    <row r="924">
      <c r="J924" s="28"/>
      <c r="K924" s="28"/>
      <c r="L924" s="28"/>
      <c r="M924" s="28"/>
      <c r="T924" s="28"/>
      <c r="U924" s="28"/>
      <c r="V924" s="28"/>
      <c r="W924" s="28"/>
      <c r="AD924" s="28"/>
      <c r="AE924" s="28"/>
      <c r="AF924" s="28"/>
      <c r="AG924" s="28"/>
      <c r="AN924" s="28"/>
      <c r="AO924" s="28"/>
      <c r="AP924" s="28"/>
      <c r="AQ924" s="28"/>
    </row>
    <row r="925">
      <c r="J925" s="28"/>
      <c r="K925" s="28"/>
      <c r="L925" s="28"/>
      <c r="M925" s="28"/>
      <c r="T925" s="28"/>
      <c r="U925" s="28"/>
      <c r="V925" s="28"/>
      <c r="W925" s="28"/>
      <c r="AD925" s="28"/>
      <c r="AE925" s="28"/>
      <c r="AF925" s="28"/>
      <c r="AG925" s="28"/>
      <c r="AN925" s="28"/>
      <c r="AO925" s="28"/>
      <c r="AP925" s="28"/>
      <c r="AQ925" s="28"/>
    </row>
    <row r="926">
      <c r="J926" s="28"/>
      <c r="K926" s="28"/>
      <c r="L926" s="28"/>
      <c r="M926" s="28"/>
      <c r="T926" s="28"/>
      <c r="U926" s="28"/>
      <c r="V926" s="28"/>
      <c r="W926" s="28"/>
      <c r="AD926" s="28"/>
      <c r="AE926" s="28"/>
      <c r="AF926" s="28"/>
      <c r="AG926" s="28"/>
      <c r="AN926" s="28"/>
      <c r="AO926" s="28"/>
      <c r="AP926" s="28"/>
      <c r="AQ926" s="28"/>
    </row>
    <row r="927">
      <c r="J927" s="28"/>
      <c r="K927" s="28"/>
      <c r="L927" s="28"/>
      <c r="M927" s="28"/>
      <c r="T927" s="28"/>
      <c r="U927" s="28"/>
      <c r="V927" s="28"/>
      <c r="W927" s="28"/>
      <c r="AD927" s="28"/>
      <c r="AE927" s="28"/>
      <c r="AF927" s="28"/>
      <c r="AG927" s="28"/>
      <c r="AN927" s="28"/>
      <c r="AO927" s="28"/>
      <c r="AP927" s="28"/>
      <c r="AQ927" s="28"/>
    </row>
    <row r="928">
      <c r="J928" s="28"/>
      <c r="K928" s="28"/>
      <c r="L928" s="28"/>
      <c r="M928" s="28"/>
      <c r="T928" s="28"/>
      <c r="U928" s="28"/>
      <c r="V928" s="28"/>
      <c r="W928" s="28"/>
      <c r="AD928" s="28"/>
      <c r="AE928" s="28"/>
      <c r="AF928" s="28"/>
      <c r="AG928" s="28"/>
      <c r="AN928" s="28"/>
      <c r="AO928" s="28"/>
      <c r="AP928" s="28"/>
      <c r="AQ928" s="28"/>
    </row>
    <row r="929">
      <c r="J929" s="28"/>
      <c r="K929" s="28"/>
      <c r="L929" s="28"/>
      <c r="M929" s="28"/>
      <c r="T929" s="28"/>
      <c r="U929" s="28"/>
      <c r="V929" s="28"/>
      <c r="W929" s="28"/>
      <c r="AD929" s="28"/>
      <c r="AE929" s="28"/>
      <c r="AF929" s="28"/>
      <c r="AG929" s="28"/>
      <c r="AN929" s="28"/>
      <c r="AO929" s="28"/>
      <c r="AP929" s="28"/>
      <c r="AQ929" s="28"/>
    </row>
    <row r="930">
      <c r="J930" s="28"/>
      <c r="K930" s="28"/>
      <c r="L930" s="28"/>
      <c r="M930" s="28"/>
      <c r="T930" s="28"/>
      <c r="U930" s="28"/>
      <c r="V930" s="28"/>
      <c r="W930" s="28"/>
      <c r="AD930" s="28"/>
      <c r="AE930" s="28"/>
      <c r="AF930" s="28"/>
      <c r="AG930" s="28"/>
      <c r="AN930" s="28"/>
      <c r="AO930" s="28"/>
      <c r="AP930" s="28"/>
      <c r="AQ930" s="28"/>
    </row>
    <row r="931">
      <c r="J931" s="28"/>
      <c r="K931" s="28"/>
      <c r="L931" s="28"/>
      <c r="M931" s="28"/>
      <c r="T931" s="28"/>
      <c r="U931" s="28"/>
      <c r="V931" s="28"/>
      <c r="W931" s="28"/>
      <c r="AD931" s="28"/>
      <c r="AE931" s="28"/>
      <c r="AF931" s="28"/>
      <c r="AG931" s="28"/>
      <c r="AN931" s="28"/>
      <c r="AO931" s="28"/>
      <c r="AP931" s="28"/>
      <c r="AQ931" s="28"/>
    </row>
    <row r="932">
      <c r="J932" s="28"/>
      <c r="K932" s="28"/>
      <c r="L932" s="28"/>
      <c r="M932" s="28"/>
      <c r="T932" s="28"/>
      <c r="U932" s="28"/>
      <c r="V932" s="28"/>
      <c r="W932" s="28"/>
      <c r="AD932" s="28"/>
      <c r="AE932" s="28"/>
      <c r="AF932" s="28"/>
      <c r="AG932" s="28"/>
      <c r="AN932" s="28"/>
      <c r="AO932" s="28"/>
      <c r="AP932" s="28"/>
      <c r="AQ932" s="28"/>
    </row>
    <row r="933">
      <c r="J933" s="28"/>
      <c r="K933" s="28"/>
      <c r="L933" s="28"/>
      <c r="M933" s="28"/>
      <c r="T933" s="28"/>
      <c r="U933" s="28"/>
      <c r="V933" s="28"/>
      <c r="W933" s="28"/>
      <c r="AD933" s="28"/>
      <c r="AE933" s="28"/>
      <c r="AF933" s="28"/>
      <c r="AG933" s="28"/>
      <c r="AN933" s="28"/>
      <c r="AO933" s="28"/>
      <c r="AP933" s="28"/>
      <c r="AQ933" s="28"/>
    </row>
    <row r="934">
      <c r="J934" s="28"/>
      <c r="K934" s="28"/>
      <c r="L934" s="28"/>
      <c r="M934" s="28"/>
      <c r="T934" s="28"/>
      <c r="U934" s="28"/>
      <c r="V934" s="28"/>
      <c r="W934" s="28"/>
      <c r="AD934" s="28"/>
      <c r="AE934" s="28"/>
      <c r="AF934" s="28"/>
      <c r="AG934" s="28"/>
      <c r="AN934" s="28"/>
      <c r="AO934" s="28"/>
      <c r="AP934" s="28"/>
      <c r="AQ934" s="28"/>
    </row>
    <row r="935">
      <c r="J935" s="28"/>
      <c r="K935" s="28"/>
      <c r="L935" s="28"/>
      <c r="M935" s="28"/>
      <c r="T935" s="28"/>
      <c r="U935" s="28"/>
      <c r="V935" s="28"/>
      <c r="W935" s="28"/>
      <c r="AD935" s="28"/>
      <c r="AE935" s="28"/>
      <c r="AF935" s="28"/>
      <c r="AG935" s="28"/>
      <c r="AN935" s="28"/>
      <c r="AO935" s="28"/>
      <c r="AP935" s="28"/>
      <c r="AQ935" s="28"/>
    </row>
    <row r="936">
      <c r="J936" s="28"/>
      <c r="K936" s="28"/>
      <c r="L936" s="28"/>
      <c r="M936" s="28"/>
      <c r="T936" s="28"/>
      <c r="U936" s="28"/>
      <c r="V936" s="28"/>
      <c r="W936" s="28"/>
      <c r="AD936" s="28"/>
      <c r="AE936" s="28"/>
      <c r="AF936" s="28"/>
      <c r="AG936" s="28"/>
      <c r="AN936" s="28"/>
      <c r="AO936" s="28"/>
      <c r="AP936" s="28"/>
      <c r="AQ936" s="28"/>
    </row>
    <row r="937">
      <c r="J937" s="28"/>
      <c r="K937" s="28"/>
      <c r="L937" s="28"/>
      <c r="M937" s="28"/>
      <c r="T937" s="28"/>
      <c r="U937" s="28"/>
      <c r="V937" s="28"/>
      <c r="W937" s="28"/>
      <c r="AD937" s="28"/>
      <c r="AE937" s="28"/>
      <c r="AF937" s="28"/>
      <c r="AG937" s="28"/>
      <c r="AN937" s="28"/>
      <c r="AO937" s="28"/>
      <c r="AP937" s="28"/>
      <c r="AQ937" s="28"/>
    </row>
    <row r="938">
      <c r="J938" s="28"/>
      <c r="K938" s="28"/>
      <c r="L938" s="28"/>
      <c r="M938" s="28"/>
      <c r="T938" s="28"/>
      <c r="U938" s="28"/>
      <c r="V938" s="28"/>
      <c r="W938" s="28"/>
      <c r="AD938" s="28"/>
      <c r="AE938" s="28"/>
      <c r="AF938" s="28"/>
      <c r="AG938" s="28"/>
      <c r="AN938" s="28"/>
      <c r="AO938" s="28"/>
      <c r="AP938" s="28"/>
      <c r="AQ938" s="28"/>
    </row>
    <row r="939">
      <c r="J939" s="28"/>
      <c r="K939" s="28"/>
      <c r="L939" s="28"/>
      <c r="M939" s="28"/>
      <c r="T939" s="28"/>
      <c r="U939" s="28"/>
      <c r="V939" s="28"/>
      <c r="W939" s="28"/>
      <c r="AD939" s="28"/>
      <c r="AE939" s="28"/>
      <c r="AF939" s="28"/>
      <c r="AG939" s="28"/>
      <c r="AN939" s="28"/>
      <c r="AO939" s="28"/>
      <c r="AP939" s="28"/>
      <c r="AQ939" s="28"/>
    </row>
    <row r="940">
      <c r="J940" s="28"/>
      <c r="K940" s="28"/>
      <c r="L940" s="28"/>
      <c r="M940" s="28"/>
      <c r="T940" s="28"/>
      <c r="U940" s="28"/>
      <c r="V940" s="28"/>
      <c r="W940" s="28"/>
      <c r="AD940" s="28"/>
      <c r="AE940" s="28"/>
      <c r="AF940" s="28"/>
      <c r="AG940" s="28"/>
      <c r="AN940" s="28"/>
      <c r="AO940" s="28"/>
      <c r="AP940" s="28"/>
      <c r="AQ940" s="28"/>
    </row>
    <row r="941">
      <c r="J941" s="28"/>
      <c r="K941" s="28"/>
      <c r="L941" s="28"/>
      <c r="M941" s="28"/>
      <c r="T941" s="28"/>
      <c r="U941" s="28"/>
      <c r="V941" s="28"/>
      <c r="W941" s="28"/>
      <c r="AD941" s="28"/>
      <c r="AE941" s="28"/>
      <c r="AF941" s="28"/>
      <c r="AG941" s="28"/>
      <c r="AN941" s="28"/>
      <c r="AO941" s="28"/>
      <c r="AP941" s="28"/>
      <c r="AQ941" s="28"/>
    </row>
    <row r="942">
      <c r="J942" s="28"/>
      <c r="K942" s="28"/>
      <c r="L942" s="28"/>
      <c r="M942" s="28"/>
      <c r="T942" s="28"/>
      <c r="U942" s="28"/>
      <c r="V942" s="28"/>
      <c r="W942" s="28"/>
      <c r="AD942" s="28"/>
      <c r="AE942" s="28"/>
      <c r="AF942" s="28"/>
      <c r="AG942" s="28"/>
      <c r="AN942" s="28"/>
      <c r="AO942" s="28"/>
      <c r="AP942" s="28"/>
      <c r="AQ942" s="28"/>
    </row>
    <row r="943">
      <c r="J943" s="28"/>
      <c r="K943" s="28"/>
      <c r="L943" s="28"/>
      <c r="M943" s="28"/>
      <c r="T943" s="28"/>
      <c r="U943" s="28"/>
      <c r="V943" s="28"/>
      <c r="W943" s="28"/>
      <c r="AD943" s="28"/>
      <c r="AE943" s="28"/>
      <c r="AF943" s="28"/>
      <c r="AG943" s="28"/>
      <c r="AN943" s="28"/>
      <c r="AO943" s="28"/>
      <c r="AP943" s="28"/>
      <c r="AQ943" s="28"/>
    </row>
    <row r="944">
      <c r="J944" s="28"/>
      <c r="K944" s="28"/>
      <c r="L944" s="28"/>
      <c r="M944" s="28"/>
      <c r="T944" s="28"/>
      <c r="U944" s="28"/>
      <c r="V944" s="28"/>
      <c r="W944" s="28"/>
      <c r="AD944" s="28"/>
      <c r="AE944" s="28"/>
      <c r="AF944" s="28"/>
      <c r="AG944" s="28"/>
      <c r="AN944" s="28"/>
      <c r="AO944" s="28"/>
      <c r="AP944" s="28"/>
      <c r="AQ944" s="28"/>
    </row>
    <row r="945">
      <c r="J945" s="28"/>
      <c r="K945" s="28"/>
      <c r="L945" s="28"/>
      <c r="M945" s="28"/>
      <c r="T945" s="28"/>
      <c r="U945" s="28"/>
      <c r="V945" s="28"/>
      <c r="W945" s="28"/>
      <c r="AD945" s="28"/>
      <c r="AE945" s="28"/>
      <c r="AF945" s="28"/>
      <c r="AG945" s="28"/>
      <c r="AN945" s="28"/>
      <c r="AO945" s="28"/>
      <c r="AP945" s="28"/>
      <c r="AQ945" s="28"/>
    </row>
    <row r="946">
      <c r="J946" s="28"/>
      <c r="K946" s="28"/>
      <c r="L946" s="28"/>
      <c r="M946" s="28"/>
      <c r="T946" s="28"/>
      <c r="U946" s="28"/>
      <c r="V946" s="28"/>
      <c r="W946" s="28"/>
      <c r="AD946" s="28"/>
      <c r="AE946" s="28"/>
      <c r="AF946" s="28"/>
      <c r="AG946" s="28"/>
      <c r="AN946" s="28"/>
      <c r="AO946" s="28"/>
      <c r="AP946" s="28"/>
      <c r="AQ946" s="28"/>
    </row>
    <row r="947">
      <c r="J947" s="28"/>
      <c r="K947" s="28"/>
      <c r="L947" s="28"/>
      <c r="M947" s="28"/>
      <c r="T947" s="28"/>
      <c r="U947" s="28"/>
      <c r="V947" s="28"/>
      <c r="W947" s="28"/>
      <c r="AD947" s="28"/>
      <c r="AE947" s="28"/>
      <c r="AF947" s="28"/>
      <c r="AG947" s="28"/>
      <c r="AN947" s="28"/>
      <c r="AO947" s="28"/>
      <c r="AP947" s="28"/>
      <c r="AQ947" s="28"/>
    </row>
    <row r="948">
      <c r="J948" s="28"/>
      <c r="K948" s="28"/>
      <c r="L948" s="28"/>
      <c r="M948" s="28"/>
      <c r="T948" s="28"/>
      <c r="U948" s="28"/>
      <c r="V948" s="28"/>
      <c r="W948" s="28"/>
      <c r="AD948" s="28"/>
      <c r="AE948" s="28"/>
      <c r="AF948" s="28"/>
      <c r="AG948" s="28"/>
      <c r="AN948" s="28"/>
      <c r="AO948" s="28"/>
      <c r="AP948" s="28"/>
      <c r="AQ948" s="28"/>
    </row>
    <row r="949">
      <c r="J949" s="28"/>
      <c r="K949" s="28"/>
      <c r="L949" s="28"/>
      <c r="M949" s="28"/>
      <c r="T949" s="28"/>
      <c r="U949" s="28"/>
      <c r="V949" s="28"/>
      <c r="W949" s="28"/>
      <c r="AD949" s="28"/>
      <c r="AE949" s="28"/>
      <c r="AF949" s="28"/>
      <c r="AG949" s="28"/>
      <c r="AN949" s="28"/>
      <c r="AO949" s="28"/>
      <c r="AP949" s="28"/>
      <c r="AQ949" s="28"/>
    </row>
    <row r="950">
      <c r="J950" s="28"/>
      <c r="K950" s="28"/>
      <c r="L950" s="28"/>
      <c r="M950" s="28"/>
      <c r="T950" s="28"/>
      <c r="U950" s="28"/>
      <c r="V950" s="28"/>
      <c r="W950" s="28"/>
      <c r="AD950" s="28"/>
      <c r="AE950" s="28"/>
      <c r="AF950" s="28"/>
      <c r="AG950" s="28"/>
      <c r="AN950" s="28"/>
      <c r="AO950" s="28"/>
      <c r="AP950" s="28"/>
      <c r="AQ950" s="28"/>
    </row>
    <row r="951">
      <c r="J951" s="28"/>
      <c r="K951" s="28"/>
      <c r="L951" s="28"/>
      <c r="M951" s="28"/>
      <c r="T951" s="28"/>
      <c r="U951" s="28"/>
      <c r="V951" s="28"/>
      <c r="W951" s="28"/>
      <c r="AD951" s="28"/>
      <c r="AE951" s="28"/>
      <c r="AF951" s="28"/>
      <c r="AG951" s="28"/>
      <c r="AN951" s="28"/>
      <c r="AO951" s="28"/>
      <c r="AP951" s="28"/>
      <c r="AQ951" s="28"/>
    </row>
    <row r="952">
      <c r="J952" s="28"/>
      <c r="K952" s="28"/>
      <c r="L952" s="28"/>
      <c r="M952" s="28"/>
      <c r="T952" s="28"/>
      <c r="U952" s="28"/>
      <c r="V952" s="28"/>
      <c r="W952" s="28"/>
      <c r="AD952" s="28"/>
      <c r="AE952" s="28"/>
      <c r="AF952" s="28"/>
      <c r="AG952" s="28"/>
      <c r="AN952" s="28"/>
      <c r="AO952" s="28"/>
      <c r="AP952" s="28"/>
      <c r="AQ952" s="28"/>
    </row>
    <row r="953">
      <c r="J953" s="28"/>
      <c r="K953" s="28"/>
      <c r="L953" s="28"/>
      <c r="M953" s="28"/>
      <c r="T953" s="28"/>
      <c r="U953" s="28"/>
      <c r="V953" s="28"/>
      <c r="W953" s="28"/>
      <c r="AD953" s="28"/>
      <c r="AE953" s="28"/>
      <c r="AF953" s="28"/>
      <c r="AG953" s="28"/>
      <c r="AN953" s="28"/>
      <c r="AO953" s="28"/>
      <c r="AP953" s="28"/>
      <c r="AQ953" s="28"/>
    </row>
    <row r="954">
      <c r="J954" s="28"/>
      <c r="K954" s="28"/>
      <c r="L954" s="28"/>
      <c r="M954" s="28"/>
      <c r="T954" s="28"/>
      <c r="U954" s="28"/>
      <c r="V954" s="28"/>
      <c r="W954" s="28"/>
      <c r="AD954" s="28"/>
      <c r="AE954" s="28"/>
      <c r="AF954" s="28"/>
      <c r="AG954" s="28"/>
      <c r="AN954" s="28"/>
      <c r="AO954" s="28"/>
      <c r="AP954" s="28"/>
      <c r="AQ954" s="28"/>
    </row>
    <row r="955">
      <c r="J955" s="28"/>
      <c r="K955" s="28"/>
      <c r="L955" s="28"/>
      <c r="M955" s="28"/>
      <c r="T955" s="28"/>
      <c r="U955" s="28"/>
      <c r="V955" s="28"/>
      <c r="W955" s="28"/>
      <c r="AD955" s="28"/>
      <c r="AE955" s="28"/>
      <c r="AF955" s="28"/>
      <c r="AG955" s="28"/>
      <c r="AN955" s="28"/>
      <c r="AO955" s="28"/>
      <c r="AP955" s="28"/>
      <c r="AQ955" s="28"/>
    </row>
    <row r="956">
      <c r="J956" s="28"/>
      <c r="K956" s="28"/>
      <c r="L956" s="28"/>
      <c r="M956" s="28"/>
      <c r="T956" s="28"/>
      <c r="U956" s="28"/>
      <c r="V956" s="28"/>
      <c r="W956" s="28"/>
      <c r="AD956" s="28"/>
      <c r="AE956" s="28"/>
      <c r="AF956" s="28"/>
      <c r="AG956" s="28"/>
      <c r="AN956" s="28"/>
      <c r="AO956" s="28"/>
      <c r="AP956" s="28"/>
      <c r="AQ956" s="28"/>
    </row>
    <row r="957">
      <c r="J957" s="28"/>
      <c r="K957" s="28"/>
      <c r="L957" s="28"/>
      <c r="M957" s="28"/>
      <c r="T957" s="28"/>
      <c r="U957" s="28"/>
      <c r="V957" s="28"/>
      <c r="W957" s="28"/>
      <c r="AD957" s="28"/>
      <c r="AE957" s="28"/>
      <c r="AF957" s="28"/>
      <c r="AG957" s="28"/>
      <c r="AN957" s="28"/>
      <c r="AO957" s="28"/>
      <c r="AP957" s="28"/>
      <c r="AQ957" s="28"/>
    </row>
    <row r="958">
      <c r="J958" s="28"/>
      <c r="K958" s="28"/>
      <c r="L958" s="28"/>
      <c r="M958" s="28"/>
      <c r="T958" s="28"/>
      <c r="U958" s="28"/>
      <c r="V958" s="28"/>
      <c r="W958" s="28"/>
      <c r="AD958" s="28"/>
      <c r="AE958" s="28"/>
      <c r="AF958" s="28"/>
      <c r="AG958" s="28"/>
      <c r="AN958" s="28"/>
      <c r="AO958" s="28"/>
      <c r="AP958" s="28"/>
      <c r="AQ958" s="28"/>
    </row>
    <row r="959">
      <c r="J959" s="28"/>
      <c r="K959" s="28"/>
      <c r="L959" s="28"/>
      <c r="M959" s="28"/>
      <c r="T959" s="28"/>
      <c r="U959" s="28"/>
      <c r="V959" s="28"/>
      <c r="W959" s="28"/>
      <c r="AD959" s="28"/>
      <c r="AE959" s="28"/>
      <c r="AF959" s="28"/>
      <c r="AG959" s="28"/>
      <c r="AN959" s="28"/>
      <c r="AO959" s="28"/>
      <c r="AP959" s="28"/>
      <c r="AQ959" s="28"/>
    </row>
    <row r="960">
      <c r="J960" s="28"/>
      <c r="K960" s="28"/>
      <c r="L960" s="28"/>
      <c r="M960" s="28"/>
      <c r="T960" s="28"/>
      <c r="U960" s="28"/>
      <c r="V960" s="28"/>
      <c r="W960" s="28"/>
      <c r="AD960" s="28"/>
      <c r="AE960" s="28"/>
      <c r="AF960" s="28"/>
      <c r="AG960" s="28"/>
      <c r="AN960" s="28"/>
      <c r="AO960" s="28"/>
      <c r="AP960" s="28"/>
      <c r="AQ960" s="28"/>
    </row>
    <row r="961">
      <c r="J961" s="28"/>
      <c r="K961" s="28"/>
      <c r="L961" s="28"/>
      <c r="M961" s="28"/>
      <c r="T961" s="28"/>
      <c r="U961" s="28"/>
      <c r="V961" s="28"/>
      <c r="W961" s="28"/>
      <c r="AD961" s="28"/>
      <c r="AE961" s="28"/>
      <c r="AF961" s="28"/>
      <c r="AG961" s="28"/>
      <c r="AN961" s="28"/>
      <c r="AO961" s="28"/>
      <c r="AP961" s="28"/>
      <c r="AQ961" s="28"/>
    </row>
    <row r="962">
      <c r="J962" s="28"/>
      <c r="K962" s="28"/>
      <c r="L962" s="28"/>
      <c r="M962" s="28"/>
      <c r="T962" s="28"/>
      <c r="U962" s="28"/>
      <c r="V962" s="28"/>
      <c r="W962" s="28"/>
      <c r="AD962" s="28"/>
      <c r="AE962" s="28"/>
      <c r="AF962" s="28"/>
      <c r="AG962" s="28"/>
      <c r="AN962" s="28"/>
      <c r="AO962" s="28"/>
      <c r="AP962" s="28"/>
      <c r="AQ962" s="28"/>
    </row>
    <row r="963">
      <c r="J963" s="28"/>
      <c r="K963" s="28"/>
      <c r="L963" s="28"/>
      <c r="M963" s="28"/>
      <c r="T963" s="28"/>
      <c r="U963" s="28"/>
      <c r="V963" s="28"/>
      <c r="W963" s="28"/>
      <c r="AD963" s="28"/>
      <c r="AE963" s="28"/>
      <c r="AF963" s="28"/>
      <c r="AG963" s="28"/>
      <c r="AN963" s="28"/>
      <c r="AO963" s="28"/>
      <c r="AP963" s="28"/>
      <c r="AQ963" s="28"/>
    </row>
    <row r="964">
      <c r="J964" s="28"/>
      <c r="K964" s="28"/>
      <c r="L964" s="28"/>
      <c r="M964" s="28"/>
      <c r="T964" s="28"/>
      <c r="U964" s="28"/>
      <c r="V964" s="28"/>
      <c r="W964" s="28"/>
      <c r="AD964" s="28"/>
      <c r="AE964" s="28"/>
      <c r="AF964" s="28"/>
      <c r="AG964" s="28"/>
      <c r="AN964" s="28"/>
      <c r="AO964" s="28"/>
      <c r="AP964" s="28"/>
      <c r="AQ964" s="28"/>
    </row>
    <row r="965">
      <c r="J965" s="28"/>
      <c r="K965" s="28"/>
      <c r="L965" s="28"/>
      <c r="M965" s="28"/>
      <c r="T965" s="28"/>
      <c r="U965" s="28"/>
      <c r="V965" s="28"/>
      <c r="W965" s="28"/>
      <c r="AD965" s="28"/>
      <c r="AE965" s="28"/>
      <c r="AF965" s="28"/>
      <c r="AG965" s="28"/>
      <c r="AN965" s="28"/>
      <c r="AO965" s="28"/>
      <c r="AP965" s="28"/>
      <c r="AQ965" s="28"/>
    </row>
    <row r="966">
      <c r="J966" s="28"/>
      <c r="K966" s="28"/>
      <c r="L966" s="28"/>
      <c r="M966" s="28"/>
      <c r="T966" s="28"/>
      <c r="U966" s="28"/>
      <c r="V966" s="28"/>
      <c r="W966" s="28"/>
      <c r="AD966" s="28"/>
      <c r="AE966" s="28"/>
      <c r="AF966" s="28"/>
      <c r="AG966" s="28"/>
      <c r="AN966" s="28"/>
      <c r="AO966" s="28"/>
      <c r="AP966" s="28"/>
      <c r="AQ966" s="28"/>
    </row>
    <row r="967">
      <c r="J967" s="28"/>
      <c r="K967" s="28"/>
      <c r="L967" s="28"/>
      <c r="M967" s="28"/>
      <c r="T967" s="28"/>
      <c r="U967" s="28"/>
      <c r="V967" s="28"/>
      <c r="W967" s="28"/>
      <c r="AD967" s="28"/>
      <c r="AE967" s="28"/>
      <c r="AF967" s="28"/>
      <c r="AG967" s="28"/>
      <c r="AN967" s="28"/>
      <c r="AO967" s="28"/>
      <c r="AP967" s="28"/>
      <c r="AQ967" s="28"/>
    </row>
    <row r="968">
      <c r="J968" s="28"/>
      <c r="K968" s="28"/>
      <c r="L968" s="28"/>
      <c r="M968" s="28"/>
      <c r="T968" s="28"/>
      <c r="U968" s="28"/>
      <c r="V968" s="28"/>
      <c r="W968" s="28"/>
      <c r="AD968" s="28"/>
      <c r="AE968" s="28"/>
      <c r="AF968" s="28"/>
      <c r="AG968" s="28"/>
      <c r="AN968" s="28"/>
      <c r="AO968" s="28"/>
      <c r="AP968" s="28"/>
      <c r="AQ968" s="28"/>
    </row>
    <row r="969">
      <c r="J969" s="28"/>
      <c r="K969" s="28"/>
      <c r="L969" s="28"/>
      <c r="M969" s="28"/>
      <c r="T969" s="28"/>
      <c r="U969" s="28"/>
      <c r="V969" s="28"/>
      <c r="W969" s="28"/>
      <c r="AD969" s="28"/>
      <c r="AE969" s="28"/>
      <c r="AF969" s="28"/>
      <c r="AG969" s="28"/>
      <c r="AN969" s="28"/>
      <c r="AO969" s="28"/>
      <c r="AP969" s="28"/>
      <c r="AQ969" s="28"/>
    </row>
    <row r="970">
      <c r="J970" s="28"/>
      <c r="K970" s="28"/>
      <c r="L970" s="28"/>
      <c r="M970" s="28"/>
      <c r="T970" s="28"/>
      <c r="U970" s="28"/>
      <c r="V970" s="28"/>
      <c r="W970" s="28"/>
      <c r="AD970" s="28"/>
      <c r="AE970" s="28"/>
      <c r="AF970" s="28"/>
      <c r="AG970" s="28"/>
      <c r="AN970" s="28"/>
      <c r="AO970" s="28"/>
      <c r="AP970" s="28"/>
      <c r="AQ970" s="28"/>
    </row>
    <row r="971">
      <c r="J971" s="28"/>
      <c r="K971" s="28"/>
      <c r="L971" s="28"/>
      <c r="M971" s="28"/>
      <c r="T971" s="28"/>
      <c r="U971" s="28"/>
      <c r="V971" s="28"/>
      <c r="W971" s="28"/>
      <c r="AD971" s="28"/>
      <c r="AE971" s="28"/>
      <c r="AF971" s="28"/>
      <c r="AG971" s="28"/>
      <c r="AN971" s="28"/>
      <c r="AO971" s="28"/>
      <c r="AP971" s="28"/>
      <c r="AQ971" s="28"/>
    </row>
    <row r="972">
      <c r="J972" s="28"/>
      <c r="K972" s="28"/>
      <c r="L972" s="28"/>
      <c r="M972" s="28"/>
      <c r="T972" s="28"/>
      <c r="U972" s="28"/>
      <c r="V972" s="28"/>
      <c r="W972" s="28"/>
      <c r="AD972" s="28"/>
      <c r="AE972" s="28"/>
      <c r="AF972" s="28"/>
      <c r="AG972" s="28"/>
      <c r="AN972" s="28"/>
      <c r="AO972" s="28"/>
      <c r="AP972" s="28"/>
      <c r="AQ972" s="28"/>
    </row>
    <row r="973">
      <c r="J973" s="28"/>
      <c r="K973" s="28"/>
      <c r="L973" s="28"/>
      <c r="M973" s="28"/>
      <c r="T973" s="28"/>
      <c r="U973" s="28"/>
      <c r="V973" s="28"/>
      <c r="W973" s="28"/>
      <c r="AD973" s="28"/>
      <c r="AE973" s="28"/>
      <c r="AF973" s="28"/>
      <c r="AG973" s="28"/>
      <c r="AN973" s="28"/>
      <c r="AO973" s="28"/>
      <c r="AP973" s="28"/>
      <c r="AQ973" s="28"/>
    </row>
    <row r="974">
      <c r="J974" s="28"/>
      <c r="K974" s="28"/>
      <c r="L974" s="28"/>
      <c r="M974" s="28"/>
      <c r="T974" s="28"/>
      <c r="U974" s="28"/>
      <c r="V974" s="28"/>
      <c r="W974" s="28"/>
      <c r="AD974" s="28"/>
      <c r="AE974" s="28"/>
      <c r="AF974" s="28"/>
      <c r="AG974" s="28"/>
      <c r="AN974" s="28"/>
      <c r="AO974" s="28"/>
      <c r="AP974" s="28"/>
      <c r="AQ974" s="28"/>
    </row>
    <row r="975">
      <c r="J975" s="28"/>
      <c r="K975" s="28"/>
      <c r="L975" s="28"/>
      <c r="M975" s="28"/>
      <c r="T975" s="28"/>
      <c r="U975" s="28"/>
      <c r="V975" s="28"/>
      <c r="W975" s="28"/>
      <c r="AD975" s="28"/>
      <c r="AE975" s="28"/>
      <c r="AF975" s="28"/>
      <c r="AG975" s="28"/>
      <c r="AN975" s="28"/>
      <c r="AO975" s="28"/>
      <c r="AP975" s="28"/>
      <c r="AQ975" s="28"/>
    </row>
    <row r="976">
      <c r="J976" s="28"/>
      <c r="K976" s="28"/>
      <c r="L976" s="28"/>
      <c r="M976" s="28"/>
      <c r="T976" s="28"/>
      <c r="U976" s="28"/>
      <c r="V976" s="28"/>
      <c r="W976" s="28"/>
      <c r="AD976" s="28"/>
      <c r="AE976" s="28"/>
      <c r="AF976" s="28"/>
      <c r="AG976" s="28"/>
      <c r="AN976" s="28"/>
      <c r="AO976" s="28"/>
      <c r="AP976" s="28"/>
      <c r="AQ976" s="28"/>
    </row>
    <row r="977">
      <c r="J977" s="28"/>
      <c r="K977" s="28"/>
      <c r="L977" s="28"/>
      <c r="M977" s="28"/>
      <c r="T977" s="28"/>
      <c r="U977" s="28"/>
      <c r="V977" s="28"/>
      <c r="W977" s="28"/>
      <c r="AD977" s="28"/>
      <c r="AE977" s="28"/>
      <c r="AF977" s="28"/>
      <c r="AG977" s="28"/>
      <c r="AN977" s="28"/>
      <c r="AO977" s="28"/>
      <c r="AP977" s="28"/>
      <c r="AQ977" s="28"/>
    </row>
    <row r="978">
      <c r="J978" s="28"/>
      <c r="K978" s="28"/>
      <c r="L978" s="28"/>
      <c r="M978" s="28"/>
      <c r="T978" s="28"/>
      <c r="U978" s="28"/>
      <c r="V978" s="28"/>
      <c r="W978" s="28"/>
      <c r="AD978" s="28"/>
      <c r="AE978" s="28"/>
      <c r="AF978" s="28"/>
      <c r="AG978" s="28"/>
      <c r="AN978" s="28"/>
      <c r="AO978" s="28"/>
      <c r="AP978" s="28"/>
      <c r="AQ978" s="28"/>
    </row>
    <row r="979">
      <c r="J979" s="28"/>
      <c r="K979" s="28"/>
      <c r="L979" s="28"/>
      <c r="M979" s="28"/>
      <c r="T979" s="28"/>
      <c r="U979" s="28"/>
      <c r="V979" s="28"/>
      <c r="W979" s="28"/>
      <c r="AD979" s="28"/>
      <c r="AE979" s="28"/>
      <c r="AF979" s="28"/>
      <c r="AG979" s="28"/>
      <c r="AN979" s="28"/>
      <c r="AO979" s="28"/>
      <c r="AP979" s="28"/>
      <c r="AQ979" s="28"/>
    </row>
    <row r="980">
      <c r="J980" s="28"/>
      <c r="K980" s="28"/>
      <c r="L980" s="28"/>
      <c r="M980" s="28"/>
      <c r="T980" s="28"/>
      <c r="U980" s="28"/>
      <c r="V980" s="28"/>
      <c r="W980" s="28"/>
      <c r="AD980" s="28"/>
      <c r="AE980" s="28"/>
      <c r="AF980" s="28"/>
      <c r="AG980" s="28"/>
      <c r="AN980" s="28"/>
      <c r="AO980" s="28"/>
      <c r="AP980" s="28"/>
      <c r="AQ980" s="28"/>
    </row>
    <row r="981">
      <c r="J981" s="28"/>
      <c r="K981" s="28"/>
      <c r="L981" s="28"/>
      <c r="M981" s="28"/>
      <c r="T981" s="28"/>
      <c r="U981" s="28"/>
      <c r="V981" s="28"/>
      <c r="W981" s="28"/>
      <c r="AD981" s="28"/>
      <c r="AE981" s="28"/>
      <c r="AF981" s="28"/>
      <c r="AG981" s="28"/>
      <c r="AN981" s="28"/>
      <c r="AO981" s="28"/>
      <c r="AP981" s="28"/>
      <c r="AQ981" s="28"/>
    </row>
    <row r="982">
      <c r="J982" s="28"/>
      <c r="K982" s="28"/>
      <c r="L982" s="28"/>
      <c r="M982" s="28"/>
      <c r="T982" s="28"/>
      <c r="U982" s="28"/>
      <c r="V982" s="28"/>
      <c r="W982" s="28"/>
      <c r="AD982" s="28"/>
      <c r="AE982" s="28"/>
      <c r="AF982" s="28"/>
      <c r="AG982" s="28"/>
      <c r="AN982" s="28"/>
      <c r="AO982" s="28"/>
      <c r="AP982" s="28"/>
      <c r="AQ982" s="28"/>
    </row>
    <row r="983">
      <c r="J983" s="28"/>
      <c r="K983" s="28"/>
      <c r="L983" s="28"/>
      <c r="M983" s="28"/>
      <c r="T983" s="28"/>
      <c r="U983" s="28"/>
      <c r="V983" s="28"/>
      <c r="W983" s="28"/>
      <c r="AD983" s="28"/>
      <c r="AE983" s="28"/>
      <c r="AF983" s="28"/>
      <c r="AG983" s="28"/>
      <c r="AN983" s="28"/>
      <c r="AO983" s="28"/>
      <c r="AP983" s="28"/>
      <c r="AQ983" s="28"/>
    </row>
    <row r="984">
      <c r="J984" s="28"/>
      <c r="K984" s="28"/>
      <c r="L984" s="28"/>
      <c r="M984" s="28"/>
      <c r="T984" s="28"/>
      <c r="U984" s="28"/>
      <c r="V984" s="28"/>
      <c r="W984" s="28"/>
      <c r="AD984" s="28"/>
      <c r="AE984" s="28"/>
      <c r="AF984" s="28"/>
      <c r="AG984" s="28"/>
      <c r="AN984" s="28"/>
      <c r="AO984" s="28"/>
      <c r="AP984" s="28"/>
      <c r="AQ984" s="28"/>
    </row>
    <row r="985">
      <c r="J985" s="28"/>
      <c r="K985" s="28"/>
      <c r="L985" s="28"/>
      <c r="M985" s="28"/>
      <c r="T985" s="28"/>
      <c r="U985" s="28"/>
      <c r="V985" s="28"/>
      <c r="W985" s="28"/>
      <c r="AD985" s="28"/>
      <c r="AE985" s="28"/>
      <c r="AF985" s="28"/>
      <c r="AG985" s="28"/>
      <c r="AN985" s="28"/>
      <c r="AO985" s="28"/>
      <c r="AP985" s="28"/>
      <c r="AQ985" s="28"/>
    </row>
    <row r="986">
      <c r="J986" s="28"/>
      <c r="K986" s="28"/>
      <c r="L986" s="28"/>
      <c r="M986" s="28"/>
      <c r="T986" s="28"/>
      <c r="U986" s="28"/>
      <c r="V986" s="28"/>
      <c r="W986" s="28"/>
      <c r="AD986" s="28"/>
      <c r="AE986" s="28"/>
      <c r="AF986" s="28"/>
      <c r="AG986" s="28"/>
      <c r="AN986" s="28"/>
      <c r="AO986" s="28"/>
      <c r="AP986" s="28"/>
      <c r="AQ986" s="28"/>
    </row>
    <row r="987">
      <c r="J987" s="28"/>
      <c r="K987" s="28"/>
      <c r="L987" s="28"/>
      <c r="M987" s="28"/>
      <c r="T987" s="28"/>
      <c r="U987" s="28"/>
      <c r="V987" s="28"/>
      <c r="W987" s="28"/>
      <c r="AD987" s="28"/>
      <c r="AE987" s="28"/>
      <c r="AF987" s="28"/>
      <c r="AG987" s="28"/>
      <c r="AN987" s="28"/>
      <c r="AO987" s="28"/>
      <c r="AP987" s="28"/>
      <c r="AQ987" s="28"/>
    </row>
    <row r="988">
      <c r="J988" s="28"/>
      <c r="K988" s="28"/>
      <c r="L988" s="28"/>
      <c r="M988" s="28"/>
      <c r="T988" s="28"/>
      <c r="U988" s="28"/>
      <c r="V988" s="28"/>
      <c r="W988" s="28"/>
      <c r="AD988" s="28"/>
      <c r="AE988" s="28"/>
      <c r="AF988" s="28"/>
      <c r="AG988" s="28"/>
      <c r="AN988" s="28"/>
      <c r="AO988" s="28"/>
      <c r="AP988" s="28"/>
      <c r="AQ988" s="28"/>
    </row>
    <row r="989">
      <c r="J989" s="28"/>
      <c r="K989" s="28"/>
      <c r="L989" s="28"/>
      <c r="M989" s="28"/>
      <c r="T989" s="28"/>
      <c r="U989" s="28"/>
      <c r="V989" s="28"/>
      <c r="W989" s="28"/>
      <c r="AD989" s="28"/>
      <c r="AE989" s="28"/>
      <c r="AF989" s="28"/>
      <c r="AG989" s="28"/>
      <c r="AN989" s="28"/>
      <c r="AO989" s="28"/>
      <c r="AP989" s="28"/>
      <c r="AQ989" s="28"/>
    </row>
    <row r="990">
      <c r="J990" s="28"/>
      <c r="K990" s="28"/>
      <c r="L990" s="28"/>
      <c r="M990" s="28"/>
      <c r="T990" s="28"/>
      <c r="U990" s="28"/>
      <c r="V990" s="28"/>
      <c r="W990" s="28"/>
      <c r="AD990" s="28"/>
      <c r="AE990" s="28"/>
      <c r="AF990" s="28"/>
      <c r="AG990" s="28"/>
      <c r="AN990" s="28"/>
      <c r="AO990" s="28"/>
      <c r="AP990" s="28"/>
      <c r="AQ990" s="28"/>
    </row>
    <row r="991">
      <c r="J991" s="28"/>
      <c r="K991" s="28"/>
      <c r="L991" s="28"/>
      <c r="M991" s="28"/>
      <c r="T991" s="28"/>
      <c r="U991" s="28"/>
      <c r="V991" s="28"/>
      <c r="W991" s="28"/>
      <c r="AD991" s="28"/>
      <c r="AE991" s="28"/>
      <c r="AF991" s="28"/>
      <c r="AG991" s="28"/>
      <c r="AN991" s="28"/>
      <c r="AO991" s="28"/>
      <c r="AP991" s="28"/>
      <c r="AQ991" s="28"/>
    </row>
    <row r="992">
      <c r="J992" s="28"/>
      <c r="K992" s="28"/>
      <c r="L992" s="28"/>
      <c r="M992" s="28"/>
      <c r="T992" s="28"/>
      <c r="U992" s="28"/>
      <c r="V992" s="28"/>
      <c r="W992" s="28"/>
      <c r="AD992" s="28"/>
      <c r="AE992" s="28"/>
      <c r="AF992" s="28"/>
      <c r="AG992" s="28"/>
      <c r="AN992" s="28"/>
      <c r="AO992" s="28"/>
      <c r="AP992" s="28"/>
      <c r="AQ992" s="28"/>
    </row>
    <row r="993">
      <c r="J993" s="28"/>
      <c r="K993" s="28"/>
      <c r="L993" s="28"/>
      <c r="M993" s="28"/>
      <c r="T993" s="28"/>
      <c r="U993" s="28"/>
      <c r="V993" s="28"/>
      <c r="W993" s="28"/>
      <c r="AD993" s="28"/>
      <c r="AE993" s="28"/>
      <c r="AF993" s="28"/>
      <c r="AG993" s="28"/>
      <c r="AN993" s="28"/>
      <c r="AO993" s="28"/>
      <c r="AP993" s="28"/>
      <c r="AQ993" s="28"/>
    </row>
    <row r="994">
      <c r="J994" s="28"/>
      <c r="K994" s="28"/>
      <c r="L994" s="28"/>
      <c r="M994" s="28"/>
      <c r="T994" s="28"/>
      <c r="U994" s="28"/>
      <c r="V994" s="28"/>
      <c r="W994" s="28"/>
      <c r="AD994" s="28"/>
      <c r="AE994" s="28"/>
      <c r="AF994" s="28"/>
      <c r="AG994" s="28"/>
      <c r="AN994" s="28"/>
      <c r="AO994" s="28"/>
      <c r="AP994" s="28"/>
      <c r="AQ994" s="28"/>
    </row>
    <row r="995">
      <c r="J995" s="28"/>
      <c r="K995" s="28"/>
      <c r="L995" s="28"/>
      <c r="M995" s="28"/>
      <c r="T995" s="28"/>
      <c r="U995" s="28"/>
      <c r="V995" s="28"/>
      <c r="W995" s="28"/>
      <c r="AD995" s="28"/>
      <c r="AE995" s="28"/>
      <c r="AF995" s="28"/>
      <c r="AG995" s="28"/>
      <c r="AN995" s="28"/>
      <c r="AO995" s="28"/>
      <c r="AP995" s="28"/>
      <c r="AQ995" s="28"/>
    </row>
    <row r="996">
      <c r="J996" s="28"/>
      <c r="K996" s="28"/>
      <c r="L996" s="28"/>
      <c r="M996" s="28"/>
      <c r="T996" s="28"/>
      <c r="U996" s="28"/>
      <c r="V996" s="28"/>
      <c r="W996" s="28"/>
      <c r="AD996" s="28"/>
      <c r="AE996" s="28"/>
      <c r="AF996" s="28"/>
      <c r="AG996" s="28"/>
      <c r="AN996" s="28"/>
      <c r="AO996" s="28"/>
      <c r="AP996" s="28"/>
      <c r="AQ996" s="28"/>
    </row>
    <row r="997">
      <c r="J997" s="28"/>
      <c r="K997" s="28"/>
      <c r="L997" s="28"/>
      <c r="M997" s="28"/>
      <c r="T997" s="28"/>
      <c r="U997" s="28"/>
      <c r="V997" s="28"/>
      <c r="W997" s="28"/>
      <c r="AD997" s="28"/>
      <c r="AE997" s="28"/>
      <c r="AF997" s="28"/>
      <c r="AG997" s="28"/>
      <c r="AN997" s="28"/>
      <c r="AO997" s="28"/>
      <c r="AP997" s="28"/>
      <c r="AQ997" s="28"/>
    </row>
    <row r="998">
      <c r="J998" s="28"/>
      <c r="K998" s="28"/>
      <c r="L998" s="28"/>
      <c r="M998" s="28"/>
      <c r="T998" s="28"/>
      <c r="U998" s="28"/>
      <c r="V998" s="28"/>
      <c r="W998" s="28"/>
      <c r="AD998" s="28"/>
      <c r="AE998" s="28"/>
      <c r="AF998" s="28"/>
      <c r="AG998" s="28"/>
      <c r="AN998" s="28"/>
      <c r="AO998" s="28"/>
      <c r="AP998" s="28"/>
      <c r="AQ998" s="28"/>
    </row>
    <row r="999">
      <c r="J999" s="28"/>
      <c r="K999" s="28"/>
      <c r="L999" s="28"/>
      <c r="M999" s="28"/>
      <c r="T999" s="28"/>
      <c r="U999" s="28"/>
      <c r="V999" s="28"/>
      <c r="W999" s="28"/>
      <c r="AD999" s="28"/>
      <c r="AE999" s="28"/>
      <c r="AF999" s="28"/>
      <c r="AG999" s="28"/>
      <c r="AN999" s="28"/>
      <c r="AO999" s="28"/>
      <c r="AP999" s="28"/>
      <c r="AQ999" s="28"/>
    </row>
    <row r="1000">
      <c r="J1000" s="28"/>
      <c r="K1000" s="28"/>
      <c r="L1000" s="28"/>
      <c r="M1000" s="28"/>
      <c r="T1000" s="28"/>
      <c r="U1000" s="28"/>
      <c r="V1000" s="28"/>
      <c r="W1000" s="28"/>
      <c r="AD1000" s="28"/>
      <c r="AE1000" s="28"/>
      <c r="AF1000" s="28"/>
      <c r="AG1000" s="28"/>
      <c r="AN1000" s="28"/>
      <c r="AO1000" s="28"/>
      <c r="AP1000" s="28"/>
      <c r="AQ1000" s="28"/>
    </row>
    <row r="1001">
      <c r="J1001" s="28"/>
      <c r="K1001" s="28"/>
      <c r="L1001" s="28"/>
      <c r="M1001" s="28"/>
      <c r="T1001" s="28"/>
      <c r="U1001" s="28"/>
      <c r="V1001" s="28"/>
      <c r="W1001" s="28"/>
      <c r="AD1001" s="28"/>
      <c r="AE1001" s="28"/>
      <c r="AF1001" s="28"/>
      <c r="AG1001" s="28"/>
      <c r="AN1001" s="28"/>
      <c r="AO1001" s="28"/>
      <c r="AP1001" s="28"/>
      <c r="AQ1001" s="28"/>
    </row>
    <row r="1002">
      <c r="J1002" s="28"/>
      <c r="K1002" s="28"/>
      <c r="L1002" s="28"/>
      <c r="M1002" s="28"/>
      <c r="T1002" s="28"/>
      <c r="U1002" s="28"/>
      <c r="V1002" s="28"/>
      <c r="W1002" s="28"/>
      <c r="AD1002" s="28"/>
      <c r="AE1002" s="28"/>
      <c r="AF1002" s="28"/>
      <c r="AG1002" s="28"/>
      <c r="AN1002" s="28"/>
      <c r="AO1002" s="28"/>
      <c r="AP1002" s="28"/>
      <c r="AQ1002" s="28"/>
    </row>
    <row r="1003">
      <c r="J1003" s="28"/>
      <c r="K1003" s="28"/>
      <c r="L1003" s="28"/>
      <c r="M1003" s="28"/>
      <c r="T1003" s="28"/>
      <c r="U1003" s="28"/>
      <c r="V1003" s="28"/>
      <c r="W1003" s="28"/>
      <c r="AD1003" s="28"/>
      <c r="AE1003" s="28"/>
      <c r="AF1003" s="28"/>
      <c r="AG1003" s="28"/>
      <c r="AN1003" s="28"/>
      <c r="AO1003" s="28"/>
      <c r="AP1003" s="28"/>
      <c r="AQ1003" s="28"/>
    </row>
    <row r="1004">
      <c r="J1004" s="28"/>
      <c r="K1004" s="28"/>
      <c r="L1004" s="28"/>
      <c r="M1004" s="28"/>
      <c r="T1004" s="28"/>
      <c r="U1004" s="28"/>
      <c r="V1004" s="28"/>
      <c r="W1004" s="28"/>
      <c r="AD1004" s="28"/>
      <c r="AE1004" s="28"/>
      <c r="AF1004" s="28"/>
      <c r="AG1004" s="28"/>
      <c r="AN1004" s="28"/>
      <c r="AO1004" s="28"/>
      <c r="AP1004" s="28"/>
      <c r="AQ1004" s="28"/>
    </row>
    <row r="1005">
      <c r="J1005" s="28"/>
      <c r="K1005" s="28"/>
      <c r="L1005" s="28"/>
      <c r="M1005" s="28"/>
      <c r="T1005" s="28"/>
      <c r="U1005" s="28"/>
      <c r="V1005" s="28"/>
      <c r="W1005" s="28"/>
      <c r="AD1005" s="28"/>
      <c r="AE1005" s="28"/>
      <c r="AF1005" s="28"/>
      <c r="AG1005" s="28"/>
      <c r="AN1005" s="28"/>
      <c r="AO1005" s="28"/>
      <c r="AP1005" s="28"/>
      <c r="AQ1005" s="28"/>
    </row>
    <row r="1006">
      <c r="J1006" s="28"/>
      <c r="K1006" s="28"/>
      <c r="L1006" s="28"/>
      <c r="M1006" s="28"/>
      <c r="T1006" s="28"/>
      <c r="U1006" s="28"/>
      <c r="V1006" s="28"/>
      <c r="W1006" s="28"/>
      <c r="AD1006" s="28"/>
      <c r="AE1006" s="28"/>
      <c r="AF1006" s="28"/>
      <c r="AG1006" s="28"/>
      <c r="AN1006" s="28"/>
      <c r="AO1006" s="28"/>
      <c r="AP1006" s="28"/>
      <c r="AQ1006" s="28"/>
    </row>
    <row r="1007">
      <c r="J1007" s="28"/>
      <c r="K1007" s="28"/>
      <c r="L1007" s="28"/>
      <c r="M1007" s="28"/>
      <c r="T1007" s="28"/>
      <c r="U1007" s="28"/>
      <c r="V1007" s="28"/>
      <c r="W1007" s="28"/>
      <c r="AD1007" s="28"/>
      <c r="AE1007" s="28"/>
      <c r="AF1007" s="28"/>
      <c r="AG1007" s="28"/>
      <c r="AN1007" s="28"/>
      <c r="AO1007" s="28"/>
      <c r="AP1007" s="28"/>
      <c r="AQ1007" s="28"/>
    </row>
    <row r="1008">
      <c r="J1008" s="28"/>
      <c r="K1008" s="28"/>
      <c r="L1008" s="28"/>
      <c r="M1008" s="28"/>
      <c r="T1008" s="28"/>
      <c r="U1008" s="28"/>
      <c r="V1008" s="28"/>
      <c r="W1008" s="28"/>
      <c r="AD1008" s="28"/>
      <c r="AE1008" s="28"/>
      <c r="AF1008" s="28"/>
      <c r="AG1008" s="28"/>
      <c r="AN1008" s="28"/>
      <c r="AO1008" s="28"/>
      <c r="AP1008" s="28"/>
      <c r="AQ1008" s="28"/>
    </row>
    <row r="1009">
      <c r="J1009" s="28"/>
      <c r="K1009" s="28"/>
      <c r="L1009" s="28"/>
      <c r="M1009" s="28"/>
      <c r="T1009" s="28"/>
      <c r="U1009" s="28"/>
      <c r="V1009" s="28"/>
      <c r="W1009" s="28"/>
      <c r="AD1009" s="28"/>
      <c r="AE1009" s="28"/>
      <c r="AF1009" s="28"/>
      <c r="AG1009" s="28"/>
      <c r="AN1009" s="28"/>
      <c r="AO1009" s="28"/>
      <c r="AP1009" s="28"/>
      <c r="AQ1009" s="28"/>
    </row>
    <row r="1010">
      <c r="J1010" s="28"/>
      <c r="K1010" s="28"/>
      <c r="L1010" s="28"/>
      <c r="M1010" s="28"/>
      <c r="T1010" s="28"/>
      <c r="U1010" s="28"/>
      <c r="V1010" s="28"/>
      <c r="W1010" s="28"/>
      <c r="AD1010" s="28"/>
      <c r="AE1010" s="28"/>
      <c r="AF1010" s="28"/>
      <c r="AG1010" s="28"/>
      <c r="AN1010" s="28"/>
      <c r="AO1010" s="28"/>
      <c r="AP1010" s="28"/>
      <c r="AQ1010" s="28"/>
    </row>
    <row r="1011">
      <c r="J1011" s="28"/>
      <c r="K1011" s="28"/>
      <c r="L1011" s="28"/>
      <c r="M1011" s="28"/>
      <c r="T1011" s="28"/>
      <c r="U1011" s="28"/>
      <c r="V1011" s="28"/>
      <c r="W1011" s="28"/>
      <c r="AD1011" s="28"/>
      <c r="AE1011" s="28"/>
      <c r="AF1011" s="28"/>
      <c r="AG1011" s="28"/>
      <c r="AN1011" s="28"/>
      <c r="AO1011" s="28"/>
      <c r="AP1011" s="28"/>
      <c r="AQ1011"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23.38"/>
    <col customWidth="1" min="10" max="10" width="22.0"/>
    <col customWidth="1" min="11" max="11" width="20.13"/>
    <col customWidth="1" min="12" max="13" width="24.0"/>
    <col customWidth="1" min="20" max="20" width="22.0"/>
    <col customWidth="1" min="21" max="21" width="20.13"/>
    <col customWidth="1" min="22" max="23" width="24.0"/>
    <col customWidth="1" min="30" max="30" width="22.0"/>
    <col customWidth="1" min="31" max="31" width="20.13"/>
    <col customWidth="1" min="32" max="33" width="24.0"/>
    <col customWidth="1" min="40" max="40" width="22.0"/>
    <col customWidth="1" min="41" max="41" width="20.13"/>
    <col customWidth="1" min="42" max="43" width="24.0"/>
  </cols>
  <sheetData>
    <row r="1">
      <c r="A1" s="1" t="s">
        <v>0</v>
      </c>
      <c r="B1" s="1" t="s">
        <v>1</v>
      </c>
      <c r="C1" s="1" t="s">
        <v>296</v>
      </c>
      <c r="D1" s="2" t="s">
        <v>3</v>
      </c>
      <c r="E1" s="3" t="s">
        <v>297</v>
      </c>
      <c r="F1" s="1" t="s">
        <v>298</v>
      </c>
      <c r="G1" s="3" t="s">
        <v>3</v>
      </c>
      <c r="H1" s="3" t="s">
        <v>299</v>
      </c>
      <c r="I1" s="3" t="s">
        <v>15</v>
      </c>
      <c r="J1" s="3" t="s">
        <v>7</v>
      </c>
      <c r="K1" s="3" t="s">
        <v>8</v>
      </c>
      <c r="L1" s="3" t="s">
        <v>9</v>
      </c>
      <c r="M1" s="3" t="s">
        <v>10</v>
      </c>
      <c r="N1" s="1" t="s">
        <v>11</v>
      </c>
      <c r="O1" s="4" t="s">
        <v>3</v>
      </c>
      <c r="P1" s="3" t="s">
        <v>301</v>
      </c>
      <c r="Q1" s="1" t="s">
        <v>13</v>
      </c>
      <c r="R1" s="4" t="s">
        <v>3</v>
      </c>
      <c r="S1" s="3" t="s">
        <v>489</v>
      </c>
      <c r="T1" s="3" t="s">
        <v>490</v>
      </c>
      <c r="U1" s="3" t="s">
        <v>491</v>
      </c>
      <c r="V1" s="3" t="s">
        <v>492</v>
      </c>
      <c r="W1" s="3" t="s">
        <v>493</v>
      </c>
      <c r="X1" s="1" t="s">
        <v>16</v>
      </c>
      <c r="Y1" s="4" t="s">
        <v>3</v>
      </c>
      <c r="Z1" s="3" t="s">
        <v>494</v>
      </c>
      <c r="AA1" s="1" t="s">
        <v>17</v>
      </c>
      <c r="AB1" s="4" t="s">
        <v>3</v>
      </c>
      <c r="AC1" s="3" t="s">
        <v>495</v>
      </c>
      <c r="AD1" s="3" t="s">
        <v>309</v>
      </c>
      <c r="AE1" s="3" t="s">
        <v>310</v>
      </c>
      <c r="AF1" s="3" t="s">
        <v>311</v>
      </c>
      <c r="AG1" s="3" t="s">
        <v>312</v>
      </c>
      <c r="AH1" s="1" t="s">
        <v>18</v>
      </c>
      <c r="AI1" s="4" t="s">
        <v>3</v>
      </c>
      <c r="AJ1" s="3" t="s">
        <v>496</v>
      </c>
      <c r="AK1" s="1" t="s">
        <v>19</v>
      </c>
      <c r="AL1" s="4" t="s">
        <v>3</v>
      </c>
      <c r="AM1" s="3" t="s">
        <v>497</v>
      </c>
      <c r="AN1" s="3" t="s">
        <v>498</v>
      </c>
      <c r="AO1" s="3" t="s">
        <v>499</v>
      </c>
      <c r="AP1" s="3" t="s">
        <v>500</v>
      </c>
      <c r="AQ1" s="3" t="s">
        <v>501</v>
      </c>
      <c r="AR1" s="7" t="s">
        <v>319</v>
      </c>
      <c r="AS1" s="6"/>
      <c r="AT1" s="6"/>
      <c r="AU1" s="6"/>
      <c r="AV1" s="6"/>
      <c r="AW1" s="6"/>
      <c r="AX1" s="6"/>
      <c r="AY1" s="6"/>
      <c r="AZ1" s="6"/>
    </row>
    <row r="2" ht="75.75" customHeight="1">
      <c r="A2" s="30">
        <v>1.0</v>
      </c>
      <c r="B2" s="31" t="s">
        <v>502</v>
      </c>
      <c r="C2" s="30" t="s">
        <v>503</v>
      </c>
      <c r="D2" s="26"/>
      <c r="E2" s="26">
        <f>IFERROR(__xludf.DUMMYFUNCTION("IF(C2="""","""",COUNTA(SPLIT(C2,"" "")))"),136.0)</f>
        <v>136</v>
      </c>
      <c r="F2" s="30" t="s">
        <v>504</v>
      </c>
      <c r="G2" s="26"/>
      <c r="H2" s="26">
        <f>IFERROR(__xludf.DUMMYFUNCTION("IF(F2="""","""",COUNTA(SPLIT(F2,"" "")))"),131.0)</f>
        <v>131</v>
      </c>
      <c r="I2" s="26">
        <f t="shared" ref="I2:I6" si="1">compararRespostas(C2, F2)</f>
        <v>0.598119859</v>
      </c>
      <c r="J2" s="9">
        <f t="shared" ref="J2:J6" si="2">(E2+H2)/2</f>
        <v>133.5</v>
      </c>
      <c r="K2" s="9">
        <f t="shared" ref="K2:K6" si="3">(H2-E2)</f>
        <v>-5</v>
      </c>
      <c r="L2" s="9">
        <f t="shared" ref="L2:L6" si="4">RANK(K2, K$2:K$30, 1)</f>
        <v>3</v>
      </c>
      <c r="M2" s="9">
        <f t="shared" ref="M2:M6" si="5">IF(K2 &gt; 0, L2, -L2)</f>
        <v>-3</v>
      </c>
      <c r="N2" s="30" t="s">
        <v>505</v>
      </c>
      <c r="O2" s="26"/>
      <c r="P2" s="26">
        <f>IFERROR(__xludf.DUMMYFUNCTION("IF(N2="""","""",COUNTA(SPLIT(N2,"" "")))"),103.0)</f>
        <v>103</v>
      </c>
      <c r="Q2" s="30" t="s">
        <v>506</v>
      </c>
      <c r="R2" s="26"/>
      <c r="S2" s="26">
        <f>IFERROR(__xludf.DUMMYFUNCTION("IF(Q2="""","""",COUNTA(SPLIT(Q2,"" "")))"),73.0)</f>
        <v>73</v>
      </c>
      <c r="T2" s="9">
        <f t="shared" ref="T2:T6" si="6">(S2+R2)/2</f>
        <v>36.5</v>
      </c>
      <c r="U2" s="9">
        <f t="shared" ref="U2:U6" si="7">(S2-P2)</f>
        <v>-30</v>
      </c>
      <c r="V2" s="9">
        <f t="shared" ref="V2:V6" si="8">RANK(U2, U$2:U$30, 1)</f>
        <v>2</v>
      </c>
      <c r="W2" s="9">
        <f t="shared" ref="W2:W6" si="9">IF(U2 &gt; 0, V2, -V2)</f>
        <v>-2</v>
      </c>
      <c r="X2" s="30" t="s">
        <v>507</v>
      </c>
      <c r="Y2" s="26"/>
      <c r="Z2" s="26">
        <f>IFERROR(__xludf.DUMMYFUNCTION("IF(X2="""","""",COUNTA(SPLIT(X2,"" "")))"),258.0)</f>
        <v>258</v>
      </c>
      <c r="AA2" s="30" t="s">
        <v>508</v>
      </c>
      <c r="AB2" s="26"/>
      <c r="AC2" s="26">
        <f>IFERROR(__xludf.DUMMYFUNCTION("IF(AA2="""","""",COUNTA(SPLIT(AA2,"" "")))"),414.0)</f>
        <v>414</v>
      </c>
      <c r="AD2" s="9">
        <f t="shared" ref="AD2:AD6" si="10">(AC2+AB2)/2</f>
        <v>207</v>
      </c>
      <c r="AE2" s="9">
        <f t="shared" ref="AE2:AE6" si="11">(AC2-Z2)</f>
        <v>156</v>
      </c>
      <c r="AF2" s="9">
        <f t="shared" ref="AF2:AF6" si="12">RANK(AE2, AE$2:AE$30, 1)</f>
        <v>5</v>
      </c>
      <c r="AG2" s="9">
        <f t="shared" ref="AG2:AG6" si="13">IF(AE2 &gt; 0, AF2, -AF2)</f>
        <v>5</v>
      </c>
      <c r="AH2" s="30" t="s">
        <v>509</v>
      </c>
      <c r="AI2" s="26"/>
      <c r="AJ2" s="26">
        <f>IFERROR(__xludf.DUMMYFUNCTION("IF(AH2="""","""",COUNTA(SPLIT(AH2,"" "")))"),101.0)</f>
        <v>101</v>
      </c>
      <c r="AK2" s="30" t="s">
        <v>510</v>
      </c>
      <c r="AL2" s="26"/>
      <c r="AM2" s="26">
        <f>IFERROR(__xludf.DUMMYFUNCTION("IF(AK2="""","""",COUNTA(SPLIT(AK2,"" "")))"),125.0)</f>
        <v>125</v>
      </c>
      <c r="AN2" s="9">
        <f t="shared" ref="AN2:AN6" si="14">(AM2+AL2)/2</f>
        <v>62.5</v>
      </c>
      <c r="AO2" s="9">
        <f t="shared" ref="AO2:AO6" si="15">(AM2-AJ2)</f>
        <v>24</v>
      </c>
      <c r="AP2" s="9">
        <f t="shared" ref="AP2:AP6" si="16">RANK(AO2, AO$2:AO$30, 1)</f>
        <v>4</v>
      </c>
      <c r="AQ2" s="9">
        <f t="shared" ref="AQ2:AQ6" si="17">IF(AO2 &gt; 0, AP2, -AP2)</f>
        <v>4</v>
      </c>
      <c r="AR2" s="30" t="s">
        <v>511</v>
      </c>
      <c r="AS2" s="26"/>
      <c r="AT2" s="26"/>
      <c r="AU2" s="26"/>
      <c r="AV2" s="26"/>
      <c r="AW2" s="26"/>
      <c r="AX2" s="26"/>
      <c r="AY2" s="26"/>
      <c r="AZ2" s="26"/>
    </row>
    <row r="3" ht="51.75" customHeight="1">
      <c r="A3" s="30">
        <v>2.0</v>
      </c>
      <c r="B3" s="31" t="s">
        <v>512</v>
      </c>
      <c r="C3" s="30" t="s">
        <v>513</v>
      </c>
      <c r="D3" s="26"/>
      <c r="E3" s="26">
        <f>IFERROR(__xludf.DUMMYFUNCTION("IF(C3="""","""",COUNTA(SPLIT(C3,"" "")))"),84.0)</f>
        <v>84</v>
      </c>
      <c r="F3" s="30" t="s">
        <v>514</v>
      </c>
      <c r="G3" s="26"/>
      <c r="H3" s="26">
        <f>IFERROR(__xludf.DUMMYFUNCTION("IF(F3="""","""",COUNTA(SPLIT(F3,"" "")))"),217.0)</f>
        <v>217</v>
      </c>
      <c r="I3" s="26">
        <f t="shared" si="1"/>
        <v>0.3262273902</v>
      </c>
      <c r="J3" s="9">
        <f t="shared" si="2"/>
        <v>150.5</v>
      </c>
      <c r="K3" s="9">
        <f t="shared" si="3"/>
        <v>133</v>
      </c>
      <c r="L3" s="9">
        <f t="shared" si="4"/>
        <v>5</v>
      </c>
      <c r="M3" s="9">
        <f t="shared" si="5"/>
        <v>5</v>
      </c>
      <c r="N3" s="30" t="s">
        <v>515</v>
      </c>
      <c r="O3" s="26"/>
      <c r="P3" s="26">
        <f>IFERROR(__xludf.DUMMYFUNCTION("IF(N3="""","""",COUNTA(SPLIT(N3,"" "")))"),73.0)</f>
        <v>73</v>
      </c>
      <c r="Q3" s="30" t="s">
        <v>516</v>
      </c>
      <c r="R3" s="26"/>
      <c r="S3" s="26">
        <f>IFERROR(__xludf.DUMMYFUNCTION("IF(Q3="""","""",COUNTA(SPLIT(Q3,"" "")))"),104.0)</f>
        <v>104</v>
      </c>
      <c r="T3" s="9">
        <f t="shared" si="6"/>
        <v>52</v>
      </c>
      <c r="U3" s="9">
        <f t="shared" si="7"/>
        <v>31</v>
      </c>
      <c r="V3" s="9">
        <f t="shared" si="8"/>
        <v>4</v>
      </c>
      <c r="W3" s="9">
        <f t="shared" si="9"/>
        <v>4</v>
      </c>
      <c r="X3" s="30" t="s">
        <v>517</v>
      </c>
      <c r="Y3" s="26"/>
      <c r="Z3" s="26">
        <f>IFERROR(__xludf.DUMMYFUNCTION("IF(X3="""","""",COUNTA(SPLIT(X3,"" "")))"),326.0)</f>
        <v>326</v>
      </c>
      <c r="AA3" s="30" t="s">
        <v>518</v>
      </c>
      <c r="AB3" s="26"/>
      <c r="AC3" s="26">
        <f>IFERROR(__xludf.DUMMYFUNCTION("IF(AA3="""","""",COUNTA(SPLIT(AA3,"" "")))"),369.0)</f>
        <v>369</v>
      </c>
      <c r="AD3" s="9">
        <f t="shared" si="10"/>
        <v>184.5</v>
      </c>
      <c r="AE3" s="9">
        <f t="shared" si="11"/>
        <v>43</v>
      </c>
      <c r="AF3" s="9">
        <f t="shared" si="12"/>
        <v>4</v>
      </c>
      <c r="AG3" s="9">
        <f t="shared" si="13"/>
        <v>4</v>
      </c>
      <c r="AH3" s="30" t="s">
        <v>519</v>
      </c>
      <c r="AI3" s="26"/>
      <c r="AJ3" s="26">
        <f>IFERROR(__xludf.DUMMYFUNCTION("IF(AH3="""","""",COUNTA(SPLIT(AH3,"" "")))"),146.0)</f>
        <v>146</v>
      </c>
      <c r="AK3" s="30" t="s">
        <v>520</v>
      </c>
      <c r="AL3" s="26"/>
      <c r="AM3" s="26">
        <f>IFERROR(__xludf.DUMMYFUNCTION("IF(AK3="""","""",COUNTA(SPLIT(AK3,"" "")))"),138.0)</f>
        <v>138</v>
      </c>
      <c r="AN3" s="9">
        <f t="shared" si="14"/>
        <v>69</v>
      </c>
      <c r="AO3" s="9">
        <f t="shared" si="15"/>
        <v>-8</v>
      </c>
      <c r="AP3" s="9">
        <f t="shared" si="16"/>
        <v>3</v>
      </c>
      <c r="AQ3" s="9">
        <f t="shared" si="17"/>
        <v>-3</v>
      </c>
      <c r="AR3" s="30" t="s">
        <v>521</v>
      </c>
      <c r="AS3" s="26"/>
      <c r="AT3" s="26"/>
      <c r="AU3" s="26"/>
      <c r="AV3" s="26"/>
      <c r="AW3" s="26"/>
      <c r="AX3" s="26"/>
      <c r="AY3" s="26"/>
      <c r="AZ3" s="26"/>
    </row>
    <row r="4" ht="50.25" customHeight="1">
      <c r="A4" s="30">
        <v>3.0</v>
      </c>
      <c r="B4" s="31" t="s">
        <v>522</v>
      </c>
      <c r="C4" s="30" t="s">
        <v>523</v>
      </c>
      <c r="D4" s="26"/>
      <c r="E4" s="26">
        <f>IFERROR(__xludf.DUMMYFUNCTION("IF(C4="""","""",COUNTA(SPLIT(C4,"" "")))"),196.0)</f>
        <v>196</v>
      </c>
      <c r="F4" s="30" t="s">
        <v>524</v>
      </c>
      <c r="G4" s="26"/>
      <c r="H4" s="26">
        <f>IFERROR(__xludf.DUMMYFUNCTION("IF(F4="""","""",COUNTA(SPLIT(F4,"" "")))"),161.0)</f>
        <v>161</v>
      </c>
      <c r="I4" s="26">
        <f t="shared" si="1"/>
        <v>0.539407086</v>
      </c>
      <c r="J4" s="9">
        <f t="shared" si="2"/>
        <v>178.5</v>
      </c>
      <c r="K4" s="9">
        <f t="shared" si="3"/>
        <v>-35</v>
      </c>
      <c r="L4" s="9">
        <f t="shared" si="4"/>
        <v>1</v>
      </c>
      <c r="M4" s="9">
        <f t="shared" si="5"/>
        <v>-1</v>
      </c>
      <c r="N4" s="30" t="s">
        <v>525</v>
      </c>
      <c r="O4" s="26"/>
      <c r="P4" s="26">
        <f>IFERROR(__xludf.DUMMYFUNCTION("IF(N4="""","""",COUNTA(SPLIT(N4,"" "")))"),96.0)</f>
        <v>96</v>
      </c>
      <c r="Q4" s="30" t="s">
        <v>526</v>
      </c>
      <c r="R4" s="26"/>
      <c r="S4" s="26">
        <f>IFERROR(__xludf.DUMMYFUNCTION("IF(Q4="""","""",COUNTA(SPLIT(Q4,"" "")))"),139.0)</f>
        <v>139</v>
      </c>
      <c r="T4" s="9">
        <f t="shared" si="6"/>
        <v>69.5</v>
      </c>
      <c r="U4" s="9">
        <f t="shared" si="7"/>
        <v>43</v>
      </c>
      <c r="V4" s="9">
        <f t="shared" si="8"/>
        <v>5</v>
      </c>
      <c r="W4" s="9">
        <f t="shared" si="9"/>
        <v>5</v>
      </c>
      <c r="X4" s="30" t="s">
        <v>527</v>
      </c>
      <c r="Y4" s="26"/>
      <c r="Z4" s="26">
        <f>IFERROR(__xludf.DUMMYFUNCTION("IF(X4="""","""",COUNTA(SPLIT(X4,"" "")))"),238.0)</f>
        <v>238</v>
      </c>
      <c r="AA4" s="30" t="s">
        <v>528</v>
      </c>
      <c r="AB4" s="26"/>
      <c r="AC4" s="26">
        <f>IFERROR(__xludf.DUMMYFUNCTION("IF(AA4="""","""",COUNTA(SPLIT(AA4,"" "")))"),237.0)</f>
        <v>237</v>
      </c>
      <c r="AD4" s="9">
        <f t="shared" si="10"/>
        <v>118.5</v>
      </c>
      <c r="AE4" s="9">
        <f t="shared" si="11"/>
        <v>-1</v>
      </c>
      <c r="AF4" s="9">
        <f t="shared" si="12"/>
        <v>2</v>
      </c>
      <c r="AG4" s="9">
        <f t="shared" si="13"/>
        <v>-2</v>
      </c>
      <c r="AH4" s="30" t="s">
        <v>529</v>
      </c>
      <c r="AI4" s="26"/>
      <c r="AJ4" s="26">
        <f>IFERROR(__xludf.DUMMYFUNCTION("IF(AH4="""","""",COUNTA(SPLIT(AH4,"" "")))"),155.0)</f>
        <v>155</v>
      </c>
      <c r="AK4" s="30" t="s">
        <v>530</v>
      </c>
      <c r="AL4" s="26"/>
      <c r="AM4" s="26">
        <f>IFERROR(__xludf.DUMMYFUNCTION("IF(AK4="""","""",COUNTA(SPLIT(AK4,"" "")))"),132.0)</f>
        <v>132</v>
      </c>
      <c r="AN4" s="9">
        <f t="shared" si="14"/>
        <v>66</v>
      </c>
      <c r="AO4" s="9">
        <f t="shared" si="15"/>
        <v>-23</v>
      </c>
      <c r="AP4" s="9">
        <f t="shared" si="16"/>
        <v>1</v>
      </c>
      <c r="AQ4" s="9">
        <f t="shared" si="17"/>
        <v>-1</v>
      </c>
      <c r="AR4" s="30" t="s">
        <v>531</v>
      </c>
      <c r="AS4" s="26"/>
      <c r="AT4" s="26"/>
      <c r="AU4" s="26"/>
      <c r="AV4" s="26"/>
      <c r="AW4" s="26"/>
      <c r="AX4" s="26"/>
      <c r="AY4" s="26"/>
      <c r="AZ4" s="26"/>
    </row>
    <row r="5" ht="44.25" customHeight="1">
      <c r="A5" s="30">
        <v>4.0</v>
      </c>
      <c r="B5" s="30" t="s">
        <v>532</v>
      </c>
      <c r="C5" s="30" t="s">
        <v>533</v>
      </c>
      <c r="D5" s="26"/>
      <c r="E5" s="26">
        <f>IFERROR(__xludf.DUMMYFUNCTION("IF(C5="""","""",COUNTA(SPLIT(C5,"" "")))"),86.0)</f>
        <v>86</v>
      </c>
      <c r="F5" s="30" t="s">
        <v>534</v>
      </c>
      <c r="G5" s="26"/>
      <c r="H5" s="26">
        <f>IFERROR(__xludf.DUMMYFUNCTION("IF(F5="""","""",COUNTA(SPLIT(F5,"" "")))"),92.0)</f>
        <v>92</v>
      </c>
      <c r="I5" s="26">
        <f t="shared" si="1"/>
        <v>0.5142857143</v>
      </c>
      <c r="J5" s="9">
        <f t="shared" si="2"/>
        <v>89</v>
      </c>
      <c r="K5" s="9">
        <f t="shared" si="3"/>
        <v>6</v>
      </c>
      <c r="L5" s="9">
        <f t="shared" si="4"/>
        <v>4</v>
      </c>
      <c r="M5" s="9">
        <f t="shared" si="5"/>
        <v>4</v>
      </c>
      <c r="N5" s="30" t="s">
        <v>535</v>
      </c>
      <c r="O5" s="26"/>
      <c r="P5" s="26">
        <f>IFERROR(__xludf.DUMMYFUNCTION("IF(N5="""","""",COUNTA(SPLIT(N5,"" "")))"),122.0)</f>
        <v>122</v>
      </c>
      <c r="Q5" s="30" t="s">
        <v>536</v>
      </c>
      <c r="R5" s="26"/>
      <c r="S5" s="26">
        <f>IFERROR(__xludf.DUMMYFUNCTION("IF(Q5="""","""",COUNTA(SPLIT(Q5,"" "")))"),68.0)</f>
        <v>68</v>
      </c>
      <c r="T5" s="9">
        <f t="shared" si="6"/>
        <v>34</v>
      </c>
      <c r="U5" s="9">
        <f t="shared" si="7"/>
        <v>-54</v>
      </c>
      <c r="V5" s="9">
        <f t="shared" si="8"/>
        <v>1</v>
      </c>
      <c r="W5" s="9">
        <f t="shared" si="9"/>
        <v>-1</v>
      </c>
      <c r="X5" s="30" t="s">
        <v>537</v>
      </c>
      <c r="Y5" s="26"/>
      <c r="Z5" s="26">
        <f>IFERROR(__xludf.DUMMYFUNCTION("IF(X5="""","""",COUNTA(SPLIT(X5,"" "")))"),209.0)</f>
        <v>209</v>
      </c>
      <c r="AA5" s="30" t="s">
        <v>538</v>
      </c>
      <c r="AB5" s="26"/>
      <c r="AC5" s="26">
        <f>IFERROR(__xludf.DUMMYFUNCTION("IF(AA5="""","""",COUNTA(SPLIT(AA5,"" "")))"),213.0)</f>
        <v>213</v>
      </c>
      <c r="AD5" s="9">
        <f t="shared" si="10"/>
        <v>106.5</v>
      </c>
      <c r="AE5" s="9">
        <f t="shared" si="11"/>
        <v>4</v>
      </c>
      <c r="AF5" s="9">
        <f t="shared" si="12"/>
        <v>3</v>
      </c>
      <c r="AG5" s="9">
        <f t="shared" si="13"/>
        <v>3</v>
      </c>
      <c r="AH5" s="30" t="s">
        <v>539</v>
      </c>
      <c r="AI5" s="26"/>
      <c r="AJ5" s="26">
        <f>IFERROR(__xludf.DUMMYFUNCTION("IF(AH5="""","""",COUNTA(SPLIT(AH5,"" "")))"),106.0)</f>
        <v>106</v>
      </c>
      <c r="AK5" s="30" t="s">
        <v>540</v>
      </c>
      <c r="AL5" s="26"/>
      <c r="AM5" s="26">
        <f>IFERROR(__xludf.DUMMYFUNCTION("IF(AK5="""","""",COUNTA(SPLIT(AK5,"" "")))"),86.0)</f>
        <v>86</v>
      </c>
      <c r="AN5" s="9">
        <f t="shared" si="14"/>
        <v>43</v>
      </c>
      <c r="AO5" s="9">
        <f t="shared" si="15"/>
        <v>-20</v>
      </c>
      <c r="AP5" s="9">
        <f t="shared" si="16"/>
        <v>2</v>
      </c>
      <c r="AQ5" s="9">
        <f t="shared" si="17"/>
        <v>-2</v>
      </c>
      <c r="AR5" s="30" t="s">
        <v>541</v>
      </c>
      <c r="AS5" s="26"/>
      <c r="AT5" s="26"/>
      <c r="AU5" s="26"/>
      <c r="AV5" s="26"/>
      <c r="AW5" s="26"/>
      <c r="AX5" s="26"/>
      <c r="AY5" s="26"/>
      <c r="AZ5" s="26"/>
    </row>
    <row r="6" ht="48.75" customHeight="1">
      <c r="A6" s="30">
        <v>5.0</v>
      </c>
      <c r="B6" s="30" t="s">
        <v>542</v>
      </c>
      <c r="C6" s="30" t="s">
        <v>543</v>
      </c>
      <c r="D6" s="26"/>
      <c r="E6" s="26">
        <f>IFERROR(__xludf.DUMMYFUNCTION("IF(C6="""","""",COUNTA(SPLIT(C6,"" "")))"),99.0)</f>
        <v>99</v>
      </c>
      <c r="F6" s="30" t="s">
        <v>544</v>
      </c>
      <c r="G6" s="26"/>
      <c r="H6" s="26">
        <f>IFERROR(__xludf.DUMMYFUNCTION("IF(F6="""","""",COUNTA(SPLIT(F6,"" "")))"),80.0)</f>
        <v>80</v>
      </c>
      <c r="I6" s="26">
        <f t="shared" si="1"/>
        <v>0.4579901153</v>
      </c>
      <c r="J6" s="9">
        <f t="shared" si="2"/>
        <v>89.5</v>
      </c>
      <c r="K6" s="9">
        <f t="shared" si="3"/>
        <v>-19</v>
      </c>
      <c r="L6" s="9">
        <f t="shared" si="4"/>
        <v>2</v>
      </c>
      <c r="M6" s="9">
        <f t="shared" si="5"/>
        <v>-2</v>
      </c>
      <c r="N6" s="30" t="s">
        <v>545</v>
      </c>
      <c r="O6" s="26"/>
      <c r="P6" s="26">
        <f>IFERROR(__xludf.DUMMYFUNCTION("IF(N6="""","""",COUNTA(SPLIT(N6,"" "")))"),66.0)</f>
        <v>66</v>
      </c>
      <c r="Q6" s="30" t="s">
        <v>546</v>
      </c>
      <c r="R6" s="26"/>
      <c r="S6" s="26">
        <f>IFERROR(__xludf.DUMMYFUNCTION("IF(Q6="""","""",COUNTA(SPLIT(Q6,"" "")))"),75.0)</f>
        <v>75</v>
      </c>
      <c r="T6" s="9">
        <f t="shared" si="6"/>
        <v>37.5</v>
      </c>
      <c r="U6" s="9">
        <f t="shared" si="7"/>
        <v>9</v>
      </c>
      <c r="V6" s="9">
        <f t="shared" si="8"/>
        <v>3</v>
      </c>
      <c r="W6" s="9">
        <f t="shared" si="9"/>
        <v>3</v>
      </c>
      <c r="X6" s="30" t="s">
        <v>547</v>
      </c>
      <c r="Y6" s="26"/>
      <c r="Z6" s="26">
        <f>IFERROR(__xludf.DUMMYFUNCTION("IF(X6="""","""",COUNTA(SPLIT(X6,"" "")))"),335.0)</f>
        <v>335</v>
      </c>
      <c r="AA6" s="30" t="s">
        <v>548</v>
      </c>
      <c r="AB6" s="26"/>
      <c r="AC6" s="26">
        <f>IFERROR(__xludf.DUMMYFUNCTION("IF(AA6="""","""",COUNTA(SPLIT(AA6,"" "")))"),263.0)</f>
        <v>263</v>
      </c>
      <c r="AD6" s="9">
        <f t="shared" si="10"/>
        <v>131.5</v>
      </c>
      <c r="AE6" s="9">
        <f t="shared" si="11"/>
        <v>-72</v>
      </c>
      <c r="AF6" s="9">
        <f t="shared" si="12"/>
        <v>1</v>
      </c>
      <c r="AG6" s="9">
        <f t="shared" si="13"/>
        <v>-1</v>
      </c>
      <c r="AH6" s="30" t="s">
        <v>549</v>
      </c>
      <c r="AI6" s="26"/>
      <c r="AJ6" s="26">
        <f>IFERROR(__xludf.DUMMYFUNCTION("IF(AH6="""","""",COUNTA(SPLIT(AH6,"" "")))"),86.0)</f>
        <v>86</v>
      </c>
      <c r="AK6" s="30" t="s">
        <v>550</v>
      </c>
      <c r="AL6" s="26"/>
      <c r="AM6" s="26">
        <f>IFERROR(__xludf.DUMMYFUNCTION("IF(AK6="""","""",COUNTA(SPLIT(AK6,"" "")))"),113.0)</f>
        <v>113</v>
      </c>
      <c r="AN6" s="9">
        <f t="shared" si="14"/>
        <v>56.5</v>
      </c>
      <c r="AO6" s="9">
        <f t="shared" si="15"/>
        <v>27</v>
      </c>
      <c r="AP6" s="9">
        <f t="shared" si="16"/>
        <v>5</v>
      </c>
      <c r="AQ6" s="9">
        <f t="shared" si="17"/>
        <v>5</v>
      </c>
      <c r="AR6" s="30" t="s">
        <v>551</v>
      </c>
      <c r="AS6" s="26"/>
      <c r="AT6" s="26"/>
      <c r="AU6" s="26"/>
      <c r="AV6" s="26"/>
      <c r="AW6" s="26"/>
      <c r="AX6" s="26"/>
      <c r="AY6" s="26"/>
      <c r="AZ6" s="26"/>
    </row>
    <row r="7">
      <c r="A7" s="26"/>
      <c r="B7" s="30"/>
      <c r="C7" s="26"/>
      <c r="D7" s="26"/>
      <c r="E7" s="26" t="str">
        <f>IFERROR(__xludf.DUMMYFUNCTION("IF(C7="""","""",COUNTA(SPLIT(C7,"" "")))"),"")</f>
        <v/>
      </c>
      <c r="F7" s="26"/>
      <c r="G7" s="26"/>
      <c r="H7" s="26" t="str">
        <f>IFERROR(__xludf.DUMMYFUNCTION("IF(F7="""","""",COUNTA(SPLIT(F7,"" "")))"),"")</f>
        <v/>
      </c>
      <c r="I7" s="26"/>
      <c r="J7" s="9"/>
      <c r="K7" s="9"/>
      <c r="L7" s="9"/>
      <c r="M7" s="9"/>
      <c r="N7" s="26"/>
      <c r="O7" s="26"/>
      <c r="P7" s="26" t="str">
        <f>IFERROR(__xludf.DUMMYFUNCTION("IF(N7="""","""",COUNTA(SPLIT(N7,"" "")))"),"")</f>
        <v/>
      </c>
      <c r="Q7" s="26"/>
      <c r="R7" s="26"/>
      <c r="S7" s="26" t="str">
        <f>IFERROR(__xludf.DUMMYFUNCTION("IF(Q7="""","""",COUNTA(SPLIT(Q7,"" "")))"),"")</f>
        <v/>
      </c>
      <c r="T7" s="9"/>
      <c r="U7" s="9"/>
      <c r="V7" s="9"/>
      <c r="W7" s="9"/>
      <c r="X7" s="26"/>
      <c r="Y7" s="26"/>
      <c r="Z7" s="26" t="str">
        <f>IFERROR(__xludf.DUMMYFUNCTION("IF(X7="""","""",COUNTA(SPLIT(X7,"" "")))"),"")</f>
        <v/>
      </c>
      <c r="AA7" s="26"/>
      <c r="AB7" s="26"/>
      <c r="AC7" s="26" t="str">
        <f>IFERROR(__xludf.DUMMYFUNCTION("IF(AA7="""","""",COUNTA(SPLIT(AA7,"" "")))"),"")</f>
        <v/>
      </c>
      <c r="AD7" s="9"/>
      <c r="AE7" s="9"/>
      <c r="AF7" s="9"/>
      <c r="AG7" s="9"/>
      <c r="AH7" s="26"/>
      <c r="AI7" s="26"/>
      <c r="AJ7" s="26" t="str">
        <f>IFERROR(__xludf.DUMMYFUNCTION("IF(AH7="""","""",COUNTA(SPLIT(AH7,"" "")))"),"")</f>
        <v/>
      </c>
      <c r="AK7" s="26"/>
      <c r="AL7" s="26"/>
      <c r="AM7" s="26" t="str">
        <f>IFERROR(__xludf.DUMMYFUNCTION("IF(AK7="""","""",COUNTA(SPLIT(AK7,"" "")))"),"")</f>
        <v/>
      </c>
      <c r="AN7" s="9"/>
      <c r="AO7" s="9"/>
      <c r="AP7" s="9"/>
      <c r="AQ7" s="9"/>
      <c r="AR7" s="26"/>
      <c r="AS7" s="26"/>
      <c r="AT7" s="26"/>
      <c r="AU7" s="26"/>
      <c r="AV7" s="26"/>
      <c r="AW7" s="26"/>
      <c r="AX7" s="26"/>
      <c r="AY7" s="26"/>
      <c r="AZ7" s="26"/>
    </row>
    <row r="8">
      <c r="A8" s="26"/>
      <c r="B8" s="26"/>
      <c r="C8" s="26"/>
      <c r="D8" s="26"/>
      <c r="E8" s="26" t="str">
        <f>IFERROR(__xludf.DUMMYFUNCTION("IF(C8="""","""",COUNTA(SPLIT(C8,"" "")))"),"")</f>
        <v/>
      </c>
      <c r="F8" s="26"/>
      <c r="G8" s="26"/>
      <c r="H8" s="26" t="str">
        <f>IFERROR(__xludf.DUMMYFUNCTION("IF(F8="""","""",COUNTA(SPLIT(F8,"" "")))"),"")</f>
        <v/>
      </c>
      <c r="I8" s="26"/>
      <c r="J8" s="9"/>
      <c r="K8" s="9"/>
      <c r="L8" s="9"/>
      <c r="M8" s="9"/>
      <c r="N8" s="26"/>
      <c r="O8" s="26"/>
      <c r="P8" s="26" t="str">
        <f>IFERROR(__xludf.DUMMYFUNCTION("IF(N8="""","""",COUNTA(SPLIT(N8,"" "")))"),"")</f>
        <v/>
      </c>
      <c r="Q8" s="26"/>
      <c r="R8" s="26"/>
      <c r="S8" s="26" t="str">
        <f>IFERROR(__xludf.DUMMYFUNCTION("IF(Q8="""","""",COUNTA(SPLIT(Q8,"" "")))"),"")</f>
        <v/>
      </c>
      <c r="T8" s="9"/>
      <c r="U8" s="9"/>
      <c r="V8" s="9"/>
      <c r="W8" s="9"/>
      <c r="X8" s="26"/>
      <c r="Y8" s="26"/>
      <c r="Z8" s="26" t="str">
        <f>IFERROR(__xludf.DUMMYFUNCTION("IF(X8="""","""",COUNTA(SPLIT(X8,"" "")))"),"")</f>
        <v/>
      </c>
      <c r="AA8" s="26"/>
      <c r="AB8" s="26"/>
      <c r="AC8" s="26" t="str">
        <f>IFERROR(__xludf.DUMMYFUNCTION("IF(AA8="""","""",COUNTA(SPLIT(AA8,"" "")))"),"")</f>
        <v/>
      </c>
      <c r="AD8" s="9"/>
      <c r="AE8" s="9"/>
      <c r="AF8" s="9"/>
      <c r="AG8" s="9"/>
      <c r="AH8" s="26"/>
      <c r="AI8" s="26"/>
      <c r="AJ8" s="26" t="str">
        <f>IFERROR(__xludf.DUMMYFUNCTION("IF(AH8="""","""",COUNTA(SPLIT(AH8,"" "")))"),"")</f>
        <v/>
      </c>
      <c r="AK8" s="26"/>
      <c r="AL8" s="26"/>
      <c r="AM8" s="26" t="str">
        <f>IFERROR(__xludf.DUMMYFUNCTION("IF(AK8="""","""",COUNTA(SPLIT(AK8,"" "")))"),"")</f>
        <v/>
      </c>
      <c r="AN8" s="9"/>
      <c r="AO8" s="9"/>
      <c r="AP8" s="9"/>
      <c r="AQ8" s="9"/>
      <c r="AR8" s="26"/>
      <c r="AS8" s="26"/>
      <c r="AT8" s="26"/>
      <c r="AU8" s="26"/>
      <c r="AV8" s="26"/>
      <c r="AW8" s="26"/>
      <c r="AX8" s="26"/>
      <c r="AY8" s="26"/>
      <c r="AZ8" s="26"/>
    </row>
    <row r="9">
      <c r="A9" s="26"/>
      <c r="B9" s="26"/>
      <c r="C9" s="26"/>
      <c r="D9" s="26"/>
      <c r="E9" s="26" t="str">
        <f>IFERROR(__xludf.DUMMYFUNCTION("IF(C9="""","""",COUNTA(SPLIT(C9,"" "")))"),"")</f>
        <v/>
      </c>
      <c r="F9" s="26"/>
      <c r="G9" s="26"/>
      <c r="H9" s="26" t="str">
        <f>IFERROR(__xludf.DUMMYFUNCTION("IF(F9="""","""",COUNTA(SPLIT(F9,"" "")))"),"")</f>
        <v/>
      </c>
      <c r="I9" s="26"/>
      <c r="J9" s="9"/>
      <c r="K9" s="9"/>
      <c r="L9" s="9"/>
      <c r="M9" s="9"/>
      <c r="N9" s="26"/>
      <c r="O9" s="26"/>
      <c r="P9" s="26" t="str">
        <f>IFERROR(__xludf.DUMMYFUNCTION("IF(N9="""","""",COUNTA(SPLIT(N9,"" "")))"),"")</f>
        <v/>
      </c>
      <c r="Q9" s="26"/>
      <c r="R9" s="26"/>
      <c r="S9" s="26" t="str">
        <f>IFERROR(__xludf.DUMMYFUNCTION("IF(Q9="""","""",COUNTA(SPLIT(Q9,"" "")))"),"")</f>
        <v/>
      </c>
      <c r="T9" s="9"/>
      <c r="U9" s="9"/>
      <c r="V9" s="9"/>
      <c r="W9" s="9"/>
      <c r="X9" s="26"/>
      <c r="Y9" s="26"/>
      <c r="Z9" s="26" t="str">
        <f>IFERROR(__xludf.DUMMYFUNCTION("IF(X9="""","""",COUNTA(SPLIT(X9,"" "")))"),"")</f>
        <v/>
      </c>
      <c r="AA9" s="26"/>
      <c r="AB9" s="26"/>
      <c r="AC9" s="26" t="str">
        <f>IFERROR(__xludf.DUMMYFUNCTION("IF(AA9="""","""",COUNTA(SPLIT(AA9,"" "")))"),"")</f>
        <v/>
      </c>
      <c r="AD9" s="9"/>
      <c r="AE9" s="9"/>
      <c r="AF9" s="9"/>
      <c r="AG9" s="9"/>
      <c r="AH9" s="26"/>
      <c r="AI9" s="26"/>
      <c r="AJ9" s="26" t="str">
        <f>IFERROR(__xludf.DUMMYFUNCTION("IF(AH9="""","""",COUNTA(SPLIT(AH9,"" "")))"),"")</f>
        <v/>
      </c>
      <c r="AK9" s="26"/>
      <c r="AL9" s="26"/>
      <c r="AM9" s="26" t="str">
        <f>IFERROR(__xludf.DUMMYFUNCTION("IF(AK9="""","""",COUNTA(SPLIT(AK9,"" "")))"),"")</f>
        <v/>
      </c>
      <c r="AN9" s="9"/>
      <c r="AO9" s="9"/>
      <c r="AP9" s="9"/>
      <c r="AQ9" s="9"/>
      <c r="AR9" s="26"/>
      <c r="AS9" s="26"/>
      <c r="AT9" s="26"/>
      <c r="AU9" s="26"/>
      <c r="AV9" s="26"/>
      <c r="AW9" s="26"/>
      <c r="AX9" s="26"/>
      <c r="AY9" s="26"/>
      <c r="AZ9" s="26"/>
    </row>
    <row r="10">
      <c r="A10" s="26"/>
      <c r="B10" s="26"/>
      <c r="C10" s="26"/>
      <c r="D10" s="26"/>
      <c r="E10" s="26" t="str">
        <f>IFERROR(__xludf.DUMMYFUNCTION("IF(C10="""","""",COUNTA(SPLIT(C10,"" "")))"),"")</f>
        <v/>
      </c>
      <c r="F10" s="26"/>
      <c r="G10" s="26"/>
      <c r="H10" s="26" t="str">
        <f>IFERROR(__xludf.DUMMYFUNCTION("IF(F10="""","""",COUNTA(SPLIT(F10,"" "")))"),"")</f>
        <v/>
      </c>
      <c r="I10" s="26"/>
      <c r="J10" s="9"/>
      <c r="K10" s="9"/>
      <c r="L10" s="9"/>
      <c r="M10" s="9"/>
      <c r="N10" s="26"/>
      <c r="O10" s="26"/>
      <c r="P10" s="26" t="str">
        <f>IFERROR(__xludf.DUMMYFUNCTION("IF(N10="""","""",COUNTA(SPLIT(N10,"" "")))"),"")</f>
        <v/>
      </c>
      <c r="Q10" s="26"/>
      <c r="R10" s="26"/>
      <c r="S10" s="26" t="str">
        <f>IFERROR(__xludf.DUMMYFUNCTION("IF(Q10="""","""",COUNTA(SPLIT(Q10,"" "")))"),"")</f>
        <v/>
      </c>
      <c r="T10" s="9"/>
      <c r="U10" s="9"/>
      <c r="V10" s="9"/>
      <c r="W10" s="9"/>
      <c r="X10" s="26"/>
      <c r="Y10" s="26"/>
      <c r="Z10" s="26" t="str">
        <f>IFERROR(__xludf.DUMMYFUNCTION("IF(X10="""","""",COUNTA(SPLIT(X10,"" "")))"),"")</f>
        <v/>
      </c>
      <c r="AA10" s="26"/>
      <c r="AB10" s="26"/>
      <c r="AC10" s="26" t="str">
        <f>IFERROR(__xludf.DUMMYFUNCTION("IF(AA10="""","""",COUNTA(SPLIT(AA10,"" "")))"),"")</f>
        <v/>
      </c>
      <c r="AD10" s="9"/>
      <c r="AE10" s="9"/>
      <c r="AF10" s="9"/>
      <c r="AG10" s="9"/>
      <c r="AH10" s="26"/>
      <c r="AI10" s="26"/>
      <c r="AJ10" s="26" t="str">
        <f>IFERROR(__xludf.DUMMYFUNCTION("IF(AH10="""","""",COUNTA(SPLIT(AH10,"" "")))"),"")</f>
        <v/>
      </c>
      <c r="AK10" s="26"/>
      <c r="AL10" s="26"/>
      <c r="AM10" s="26" t="str">
        <f>IFERROR(__xludf.DUMMYFUNCTION("IF(AK10="""","""",COUNTA(SPLIT(AK10,"" "")))"),"")</f>
        <v/>
      </c>
      <c r="AN10" s="9"/>
      <c r="AO10" s="9"/>
      <c r="AP10" s="9"/>
      <c r="AQ10" s="9"/>
      <c r="AR10" s="26"/>
      <c r="AS10" s="26"/>
      <c r="AT10" s="26"/>
      <c r="AU10" s="26"/>
      <c r="AV10" s="26"/>
      <c r="AW10" s="26"/>
      <c r="AX10" s="26"/>
      <c r="AY10" s="26"/>
      <c r="AZ10" s="26"/>
    </row>
    <row r="11">
      <c r="A11" s="26"/>
      <c r="B11" s="26"/>
      <c r="C11" s="26"/>
      <c r="D11" s="26"/>
      <c r="E11" s="26" t="str">
        <f>IFERROR(__xludf.DUMMYFUNCTION("IF(C11="""","""",COUNTA(SPLIT(C11,"" "")))"),"")</f>
        <v/>
      </c>
      <c r="F11" s="26"/>
      <c r="G11" s="26"/>
      <c r="H11" s="26" t="str">
        <f>IFERROR(__xludf.DUMMYFUNCTION("IF(F11="""","""",COUNTA(SPLIT(F11,"" "")))"),"")</f>
        <v/>
      </c>
      <c r="I11" s="26"/>
      <c r="J11" s="9"/>
      <c r="K11" s="9"/>
      <c r="L11" s="9"/>
      <c r="M11" s="9"/>
      <c r="N11" s="26"/>
      <c r="O11" s="26"/>
      <c r="P11" s="26" t="str">
        <f>IFERROR(__xludf.DUMMYFUNCTION("IF(N11="""","""",COUNTA(SPLIT(N11,"" "")))"),"")</f>
        <v/>
      </c>
      <c r="Q11" s="26"/>
      <c r="R11" s="26"/>
      <c r="S11" s="26" t="str">
        <f>IFERROR(__xludf.DUMMYFUNCTION("IF(Q11="""","""",COUNTA(SPLIT(Q11,"" "")))"),"")</f>
        <v/>
      </c>
      <c r="T11" s="9"/>
      <c r="U11" s="9"/>
      <c r="V11" s="9"/>
      <c r="W11" s="9"/>
      <c r="X11" s="26"/>
      <c r="Y11" s="26"/>
      <c r="Z11" s="26" t="str">
        <f>IFERROR(__xludf.DUMMYFUNCTION("IF(X11="""","""",COUNTA(SPLIT(X11,"" "")))"),"")</f>
        <v/>
      </c>
      <c r="AA11" s="26"/>
      <c r="AB11" s="26"/>
      <c r="AC11" s="26" t="str">
        <f>IFERROR(__xludf.DUMMYFUNCTION("IF(AA11="""","""",COUNTA(SPLIT(AA11,"" "")))"),"")</f>
        <v/>
      </c>
      <c r="AD11" s="9"/>
      <c r="AE11" s="9"/>
      <c r="AF11" s="9"/>
      <c r="AG11" s="9"/>
      <c r="AH11" s="26"/>
      <c r="AI11" s="26"/>
      <c r="AJ11" s="26" t="str">
        <f>IFERROR(__xludf.DUMMYFUNCTION("IF(AH11="""","""",COUNTA(SPLIT(AH11,"" "")))"),"")</f>
        <v/>
      </c>
      <c r="AK11" s="26"/>
      <c r="AL11" s="26"/>
      <c r="AM11" s="26" t="str">
        <f>IFERROR(__xludf.DUMMYFUNCTION("IF(AK11="""","""",COUNTA(SPLIT(AK11,"" "")))"),"")</f>
        <v/>
      </c>
      <c r="AN11" s="9"/>
      <c r="AO11" s="9"/>
      <c r="AP11" s="9"/>
      <c r="AQ11" s="9"/>
      <c r="AR11" s="26"/>
      <c r="AS11" s="26"/>
      <c r="AT11" s="26"/>
      <c r="AU11" s="26"/>
      <c r="AV11" s="26"/>
      <c r="AW11" s="26"/>
      <c r="AX11" s="26"/>
      <c r="AY11" s="26"/>
      <c r="AZ11" s="26"/>
    </row>
    <row r="12">
      <c r="A12" s="26"/>
      <c r="B12" s="26"/>
      <c r="C12" s="26"/>
      <c r="D12" s="26"/>
      <c r="E12" s="26" t="str">
        <f>IFERROR(__xludf.DUMMYFUNCTION("IF(C12="""","""",COUNTA(SPLIT(C12,"" "")))"),"")</f>
        <v/>
      </c>
      <c r="F12" s="26"/>
      <c r="G12" s="26"/>
      <c r="H12" s="26" t="str">
        <f>IFERROR(__xludf.DUMMYFUNCTION("IF(F12="""","""",COUNTA(SPLIT(F12,"" "")))"),"")</f>
        <v/>
      </c>
      <c r="I12" s="26"/>
      <c r="J12" s="9"/>
      <c r="K12" s="9"/>
      <c r="L12" s="9"/>
      <c r="M12" s="9"/>
      <c r="N12" s="26"/>
      <c r="O12" s="26"/>
      <c r="P12" s="26" t="str">
        <f>IFERROR(__xludf.DUMMYFUNCTION("IF(N12="""","""",COUNTA(SPLIT(N12,"" "")))"),"")</f>
        <v/>
      </c>
      <c r="Q12" s="26"/>
      <c r="R12" s="26"/>
      <c r="S12" s="26" t="str">
        <f>IFERROR(__xludf.DUMMYFUNCTION("IF(Q12="""","""",COUNTA(SPLIT(Q12,"" "")))"),"")</f>
        <v/>
      </c>
      <c r="T12" s="9"/>
      <c r="U12" s="9"/>
      <c r="V12" s="9"/>
      <c r="W12" s="9"/>
      <c r="X12" s="26"/>
      <c r="Y12" s="26"/>
      <c r="Z12" s="26" t="str">
        <f>IFERROR(__xludf.DUMMYFUNCTION("IF(X12="""","""",COUNTA(SPLIT(X12,"" "")))"),"")</f>
        <v/>
      </c>
      <c r="AA12" s="26"/>
      <c r="AB12" s="26"/>
      <c r="AC12" s="26" t="str">
        <f>IFERROR(__xludf.DUMMYFUNCTION("IF(AA12="""","""",COUNTA(SPLIT(AA12,"" "")))"),"")</f>
        <v/>
      </c>
      <c r="AD12" s="9"/>
      <c r="AE12" s="9"/>
      <c r="AF12" s="9"/>
      <c r="AG12" s="9"/>
      <c r="AH12" s="26"/>
      <c r="AI12" s="26"/>
      <c r="AJ12" s="26" t="str">
        <f>IFERROR(__xludf.DUMMYFUNCTION("IF(AH12="""","""",COUNTA(SPLIT(AH12,"" "")))"),"")</f>
        <v/>
      </c>
      <c r="AK12" s="26"/>
      <c r="AL12" s="26"/>
      <c r="AM12" s="26" t="str">
        <f>IFERROR(__xludf.DUMMYFUNCTION("IF(AK12="""","""",COUNTA(SPLIT(AK12,"" "")))"),"")</f>
        <v/>
      </c>
      <c r="AN12" s="9"/>
      <c r="AO12" s="9"/>
      <c r="AP12" s="9"/>
      <c r="AQ12" s="9"/>
      <c r="AR12" s="26"/>
      <c r="AS12" s="26"/>
      <c r="AT12" s="26"/>
      <c r="AU12" s="26"/>
      <c r="AV12" s="26"/>
      <c r="AW12" s="26"/>
      <c r="AX12" s="26"/>
      <c r="AY12" s="26"/>
      <c r="AZ12" s="26"/>
    </row>
    <row r="13">
      <c r="A13" s="26"/>
      <c r="B13" s="26"/>
      <c r="C13" s="26"/>
      <c r="D13" s="26"/>
      <c r="E13" s="26" t="str">
        <f>IFERROR(__xludf.DUMMYFUNCTION("IF(C13="""","""",COUNTA(SPLIT(C13,"" "")))"),"")</f>
        <v/>
      </c>
      <c r="F13" s="26"/>
      <c r="G13" s="26"/>
      <c r="H13" s="26" t="str">
        <f>IFERROR(__xludf.DUMMYFUNCTION("IF(F13="""","""",COUNTA(SPLIT(F13,"" "")))"),"")</f>
        <v/>
      </c>
      <c r="I13" s="26"/>
      <c r="J13" s="9"/>
      <c r="K13" s="9"/>
      <c r="L13" s="9"/>
      <c r="M13" s="9"/>
      <c r="N13" s="26"/>
      <c r="O13" s="26"/>
      <c r="P13" s="26" t="str">
        <f>IFERROR(__xludf.DUMMYFUNCTION("IF(N13="""","""",COUNTA(SPLIT(N13,"" "")))"),"")</f>
        <v/>
      </c>
      <c r="Q13" s="26"/>
      <c r="R13" s="26"/>
      <c r="S13" s="26" t="str">
        <f>IFERROR(__xludf.DUMMYFUNCTION("IF(Q13="""","""",COUNTA(SPLIT(Q13,"" "")))"),"")</f>
        <v/>
      </c>
      <c r="T13" s="9"/>
      <c r="U13" s="9"/>
      <c r="V13" s="9"/>
      <c r="W13" s="9"/>
      <c r="X13" s="26"/>
      <c r="Y13" s="26"/>
      <c r="Z13" s="26" t="str">
        <f>IFERROR(__xludf.DUMMYFUNCTION("IF(X13="""","""",COUNTA(SPLIT(X13,"" "")))"),"")</f>
        <v/>
      </c>
      <c r="AA13" s="26"/>
      <c r="AB13" s="26"/>
      <c r="AC13" s="26" t="str">
        <f>IFERROR(__xludf.DUMMYFUNCTION("IF(AA13="""","""",COUNTA(SPLIT(AA13,"" "")))"),"")</f>
        <v/>
      </c>
      <c r="AD13" s="9"/>
      <c r="AE13" s="9"/>
      <c r="AF13" s="9"/>
      <c r="AG13" s="9"/>
      <c r="AH13" s="26"/>
      <c r="AI13" s="26"/>
      <c r="AJ13" s="26" t="str">
        <f>IFERROR(__xludf.DUMMYFUNCTION("IF(AH13="""","""",COUNTA(SPLIT(AH13,"" "")))"),"")</f>
        <v/>
      </c>
      <c r="AK13" s="26"/>
      <c r="AL13" s="26"/>
      <c r="AM13" s="26" t="str">
        <f>IFERROR(__xludf.DUMMYFUNCTION("IF(AK13="""","""",COUNTA(SPLIT(AK13,"" "")))"),"")</f>
        <v/>
      </c>
      <c r="AN13" s="9"/>
      <c r="AO13" s="9"/>
      <c r="AP13" s="9"/>
      <c r="AQ13" s="9"/>
      <c r="AR13" s="26"/>
      <c r="AS13" s="26"/>
      <c r="AT13" s="26"/>
      <c r="AU13" s="26"/>
      <c r="AV13" s="26"/>
      <c r="AW13" s="26"/>
      <c r="AX13" s="26"/>
      <c r="AY13" s="26"/>
      <c r="AZ13" s="26"/>
    </row>
    <row r="14">
      <c r="A14" s="26"/>
      <c r="B14" s="26"/>
      <c r="C14" s="26"/>
      <c r="D14" s="26"/>
      <c r="E14" s="26" t="str">
        <f>IFERROR(__xludf.DUMMYFUNCTION("IF(C14="""","""",COUNTA(SPLIT(C14,"" "")))"),"")</f>
        <v/>
      </c>
      <c r="F14" s="26"/>
      <c r="G14" s="26"/>
      <c r="H14" s="26" t="str">
        <f>IFERROR(__xludf.DUMMYFUNCTION("IF(F14="""","""",COUNTA(SPLIT(F14,"" "")))"),"")</f>
        <v/>
      </c>
      <c r="I14" s="26"/>
      <c r="J14" s="9"/>
      <c r="K14" s="9"/>
      <c r="L14" s="9"/>
      <c r="M14" s="9"/>
      <c r="N14" s="26"/>
      <c r="O14" s="26"/>
      <c r="P14" s="26" t="str">
        <f>IFERROR(__xludf.DUMMYFUNCTION("IF(N14="""","""",COUNTA(SPLIT(N14,"" "")))"),"")</f>
        <v/>
      </c>
      <c r="Q14" s="26"/>
      <c r="R14" s="26"/>
      <c r="S14" s="26" t="str">
        <f>IFERROR(__xludf.DUMMYFUNCTION("IF(Q14="""","""",COUNTA(SPLIT(Q14,"" "")))"),"")</f>
        <v/>
      </c>
      <c r="T14" s="9"/>
      <c r="U14" s="9"/>
      <c r="V14" s="9"/>
      <c r="W14" s="9"/>
      <c r="X14" s="26"/>
      <c r="Y14" s="26"/>
      <c r="Z14" s="26" t="str">
        <f>IFERROR(__xludf.DUMMYFUNCTION("IF(X14="""","""",COUNTA(SPLIT(X14,"" "")))"),"")</f>
        <v/>
      </c>
      <c r="AA14" s="26"/>
      <c r="AB14" s="26"/>
      <c r="AC14" s="26" t="str">
        <f>IFERROR(__xludf.DUMMYFUNCTION("IF(AA14="""","""",COUNTA(SPLIT(AA14,"" "")))"),"")</f>
        <v/>
      </c>
      <c r="AD14" s="9"/>
      <c r="AE14" s="9"/>
      <c r="AF14" s="9"/>
      <c r="AG14" s="9"/>
      <c r="AH14" s="26"/>
      <c r="AI14" s="26"/>
      <c r="AJ14" s="26" t="str">
        <f>IFERROR(__xludf.DUMMYFUNCTION("IF(AH14="""","""",COUNTA(SPLIT(AH14,"" "")))"),"")</f>
        <v/>
      </c>
      <c r="AK14" s="26"/>
      <c r="AL14" s="26"/>
      <c r="AM14" s="26" t="str">
        <f>IFERROR(__xludf.DUMMYFUNCTION("IF(AK14="""","""",COUNTA(SPLIT(AK14,"" "")))"),"")</f>
        <v/>
      </c>
      <c r="AN14" s="9"/>
      <c r="AO14" s="9"/>
      <c r="AP14" s="9"/>
      <c r="AQ14" s="9"/>
      <c r="AR14" s="26"/>
      <c r="AS14" s="26"/>
      <c r="AT14" s="26"/>
      <c r="AU14" s="26"/>
      <c r="AV14" s="26"/>
      <c r="AW14" s="26"/>
      <c r="AX14" s="26"/>
      <c r="AY14" s="26"/>
      <c r="AZ14" s="26"/>
    </row>
    <row r="15">
      <c r="A15" s="26"/>
      <c r="B15" s="26"/>
      <c r="C15" s="26"/>
      <c r="D15" s="26"/>
      <c r="E15" s="26" t="str">
        <f>IFERROR(__xludf.DUMMYFUNCTION("IF(C15="""","""",COUNTA(SPLIT(C15,"" "")))"),"")</f>
        <v/>
      </c>
      <c r="F15" s="26"/>
      <c r="G15" s="26"/>
      <c r="H15" s="26" t="str">
        <f>IFERROR(__xludf.DUMMYFUNCTION("IF(F15="""","""",COUNTA(SPLIT(F15,"" "")))"),"")</f>
        <v/>
      </c>
      <c r="I15" s="26"/>
      <c r="J15" s="9"/>
      <c r="K15" s="9"/>
      <c r="L15" s="9"/>
      <c r="M15" s="9"/>
      <c r="N15" s="26"/>
      <c r="O15" s="26"/>
      <c r="P15" s="26" t="str">
        <f>IFERROR(__xludf.DUMMYFUNCTION("IF(N15="""","""",COUNTA(SPLIT(N15,"" "")))"),"")</f>
        <v/>
      </c>
      <c r="Q15" s="26"/>
      <c r="R15" s="26"/>
      <c r="S15" s="26" t="str">
        <f>IFERROR(__xludf.DUMMYFUNCTION("IF(Q15="""","""",COUNTA(SPLIT(Q15,"" "")))"),"")</f>
        <v/>
      </c>
      <c r="T15" s="9"/>
      <c r="U15" s="9"/>
      <c r="V15" s="9"/>
      <c r="W15" s="9"/>
      <c r="X15" s="26"/>
      <c r="Y15" s="26"/>
      <c r="Z15" s="26" t="str">
        <f>IFERROR(__xludf.DUMMYFUNCTION("IF(X15="""","""",COUNTA(SPLIT(X15,"" "")))"),"")</f>
        <v/>
      </c>
      <c r="AA15" s="26"/>
      <c r="AB15" s="26"/>
      <c r="AC15" s="26" t="str">
        <f>IFERROR(__xludf.DUMMYFUNCTION("IF(AA15="""","""",COUNTA(SPLIT(AA15,"" "")))"),"")</f>
        <v/>
      </c>
      <c r="AD15" s="9"/>
      <c r="AE15" s="9"/>
      <c r="AF15" s="9"/>
      <c r="AG15" s="9"/>
      <c r="AH15" s="26"/>
      <c r="AI15" s="26"/>
      <c r="AJ15" s="26" t="str">
        <f>IFERROR(__xludf.DUMMYFUNCTION("IF(AH15="""","""",COUNTA(SPLIT(AH15,"" "")))"),"")</f>
        <v/>
      </c>
      <c r="AK15" s="26"/>
      <c r="AL15" s="26"/>
      <c r="AM15" s="26" t="str">
        <f>IFERROR(__xludf.DUMMYFUNCTION("IF(AK15="""","""",COUNTA(SPLIT(AK15,"" "")))"),"")</f>
        <v/>
      </c>
      <c r="AN15" s="9"/>
      <c r="AO15" s="9"/>
      <c r="AP15" s="9"/>
      <c r="AQ15" s="9"/>
      <c r="AR15" s="26"/>
      <c r="AS15" s="26"/>
      <c r="AT15" s="26"/>
      <c r="AU15" s="26"/>
      <c r="AV15" s="26"/>
      <c r="AW15" s="26"/>
      <c r="AX15" s="26"/>
      <c r="AY15" s="26"/>
      <c r="AZ15" s="26"/>
    </row>
    <row r="16">
      <c r="A16" s="26"/>
      <c r="B16" s="26"/>
      <c r="C16" s="26"/>
      <c r="D16" s="26"/>
      <c r="E16" s="26" t="str">
        <f>IFERROR(__xludf.DUMMYFUNCTION("IF(C16="""","""",COUNTA(SPLIT(C16,"" "")))"),"")</f>
        <v/>
      </c>
      <c r="F16" s="26"/>
      <c r="G16" s="26"/>
      <c r="H16" s="26" t="str">
        <f>IFERROR(__xludf.DUMMYFUNCTION("IF(F16="""","""",COUNTA(SPLIT(F16,"" "")))"),"")</f>
        <v/>
      </c>
      <c r="I16" s="26"/>
      <c r="J16" s="9"/>
      <c r="K16" s="9"/>
      <c r="L16" s="9"/>
      <c r="M16" s="9"/>
      <c r="N16" s="26"/>
      <c r="O16" s="26"/>
      <c r="P16" s="26" t="str">
        <f>IFERROR(__xludf.DUMMYFUNCTION("IF(N16="""","""",COUNTA(SPLIT(N16,"" "")))"),"")</f>
        <v/>
      </c>
      <c r="Q16" s="26"/>
      <c r="R16" s="26"/>
      <c r="S16" s="26" t="str">
        <f>IFERROR(__xludf.DUMMYFUNCTION("IF(Q16="""","""",COUNTA(SPLIT(Q16,"" "")))"),"")</f>
        <v/>
      </c>
      <c r="T16" s="9"/>
      <c r="U16" s="9"/>
      <c r="V16" s="9"/>
      <c r="W16" s="9"/>
      <c r="X16" s="26"/>
      <c r="Y16" s="26"/>
      <c r="Z16" s="26" t="str">
        <f>IFERROR(__xludf.DUMMYFUNCTION("IF(X16="""","""",COUNTA(SPLIT(X16,"" "")))"),"")</f>
        <v/>
      </c>
      <c r="AA16" s="26"/>
      <c r="AB16" s="26"/>
      <c r="AC16" s="26" t="str">
        <f>IFERROR(__xludf.DUMMYFUNCTION("IF(AA16="""","""",COUNTA(SPLIT(AA16,"" "")))"),"")</f>
        <v/>
      </c>
      <c r="AD16" s="9"/>
      <c r="AE16" s="9"/>
      <c r="AF16" s="9"/>
      <c r="AG16" s="9"/>
      <c r="AH16" s="26"/>
      <c r="AI16" s="26"/>
      <c r="AJ16" s="26" t="str">
        <f>IFERROR(__xludf.DUMMYFUNCTION("IF(AH16="""","""",COUNTA(SPLIT(AH16,"" "")))"),"")</f>
        <v/>
      </c>
      <c r="AK16" s="26"/>
      <c r="AL16" s="26"/>
      <c r="AM16" s="26" t="str">
        <f>IFERROR(__xludf.DUMMYFUNCTION("IF(AK16="""","""",COUNTA(SPLIT(AK16,"" "")))"),"")</f>
        <v/>
      </c>
      <c r="AN16" s="9"/>
      <c r="AO16" s="9"/>
      <c r="AP16" s="9"/>
      <c r="AQ16" s="9"/>
      <c r="AR16" s="26"/>
      <c r="AS16" s="26"/>
      <c r="AT16" s="26"/>
      <c r="AU16" s="26"/>
      <c r="AV16" s="26"/>
      <c r="AW16" s="26"/>
      <c r="AX16" s="26"/>
      <c r="AY16" s="26"/>
      <c r="AZ16" s="26"/>
    </row>
    <row r="17">
      <c r="A17" s="26"/>
      <c r="B17" s="26"/>
      <c r="C17" s="26"/>
      <c r="D17" s="26"/>
      <c r="E17" s="26" t="str">
        <f>IFERROR(__xludf.DUMMYFUNCTION("IF(C17="""","""",COUNTA(SPLIT(C17,"" "")))"),"")</f>
        <v/>
      </c>
      <c r="F17" s="26"/>
      <c r="G17" s="26"/>
      <c r="H17" s="26" t="str">
        <f>IFERROR(__xludf.DUMMYFUNCTION("IF(F17="""","""",COUNTA(SPLIT(F17,"" "")))"),"")</f>
        <v/>
      </c>
      <c r="I17" s="26"/>
      <c r="J17" s="9"/>
      <c r="K17" s="9"/>
      <c r="L17" s="9"/>
      <c r="M17" s="9"/>
      <c r="N17" s="26"/>
      <c r="O17" s="26"/>
      <c r="P17" s="26" t="str">
        <f>IFERROR(__xludf.DUMMYFUNCTION("IF(N17="""","""",COUNTA(SPLIT(N17,"" "")))"),"")</f>
        <v/>
      </c>
      <c r="Q17" s="26"/>
      <c r="R17" s="26"/>
      <c r="S17" s="26" t="str">
        <f>IFERROR(__xludf.DUMMYFUNCTION("IF(Q17="""","""",COUNTA(SPLIT(Q17,"" "")))"),"")</f>
        <v/>
      </c>
      <c r="T17" s="9"/>
      <c r="U17" s="9"/>
      <c r="V17" s="9"/>
      <c r="W17" s="9"/>
      <c r="X17" s="26"/>
      <c r="Y17" s="26"/>
      <c r="Z17" s="26" t="str">
        <f>IFERROR(__xludf.DUMMYFUNCTION("IF(X17="""","""",COUNTA(SPLIT(X17,"" "")))"),"")</f>
        <v/>
      </c>
      <c r="AA17" s="26"/>
      <c r="AB17" s="26"/>
      <c r="AC17" s="26" t="str">
        <f>IFERROR(__xludf.DUMMYFUNCTION("IF(AA17="""","""",COUNTA(SPLIT(AA17,"" "")))"),"")</f>
        <v/>
      </c>
      <c r="AD17" s="9"/>
      <c r="AE17" s="9"/>
      <c r="AF17" s="9"/>
      <c r="AG17" s="9"/>
      <c r="AH17" s="26"/>
      <c r="AI17" s="26"/>
      <c r="AJ17" s="26" t="str">
        <f>IFERROR(__xludf.DUMMYFUNCTION("IF(AH17="""","""",COUNTA(SPLIT(AH17,"" "")))"),"")</f>
        <v/>
      </c>
      <c r="AK17" s="26"/>
      <c r="AL17" s="26"/>
      <c r="AM17" s="26" t="str">
        <f>IFERROR(__xludf.DUMMYFUNCTION("IF(AK17="""","""",COUNTA(SPLIT(AK17,"" "")))"),"")</f>
        <v/>
      </c>
      <c r="AN17" s="9"/>
      <c r="AO17" s="9"/>
      <c r="AP17" s="9"/>
      <c r="AQ17" s="9"/>
      <c r="AR17" s="26"/>
      <c r="AS17" s="26"/>
      <c r="AT17" s="26"/>
      <c r="AU17" s="26"/>
      <c r="AV17" s="26"/>
      <c r="AW17" s="26"/>
      <c r="AX17" s="26"/>
      <c r="AY17" s="26"/>
      <c r="AZ17" s="26"/>
    </row>
    <row r="18">
      <c r="A18" s="26"/>
      <c r="B18" s="26"/>
      <c r="C18" s="26"/>
      <c r="D18" s="26"/>
      <c r="E18" s="26" t="str">
        <f>IFERROR(__xludf.DUMMYFUNCTION("IF(C18="""","""",COUNTA(SPLIT(C18,"" "")))"),"")</f>
        <v/>
      </c>
      <c r="F18" s="26"/>
      <c r="G18" s="26"/>
      <c r="H18" s="26" t="str">
        <f>IFERROR(__xludf.DUMMYFUNCTION("IF(F18="""","""",COUNTA(SPLIT(F18,"" "")))"),"")</f>
        <v/>
      </c>
      <c r="I18" s="26"/>
      <c r="J18" s="9"/>
      <c r="K18" s="9"/>
      <c r="L18" s="9"/>
      <c r="M18" s="9"/>
      <c r="N18" s="26"/>
      <c r="O18" s="26"/>
      <c r="P18" s="26" t="str">
        <f>IFERROR(__xludf.DUMMYFUNCTION("IF(N18="""","""",COUNTA(SPLIT(N18,"" "")))"),"")</f>
        <v/>
      </c>
      <c r="Q18" s="26"/>
      <c r="R18" s="26"/>
      <c r="S18" s="26" t="str">
        <f>IFERROR(__xludf.DUMMYFUNCTION("IF(Q18="""","""",COUNTA(SPLIT(Q18,"" "")))"),"")</f>
        <v/>
      </c>
      <c r="T18" s="9"/>
      <c r="U18" s="9"/>
      <c r="V18" s="9"/>
      <c r="W18" s="9"/>
      <c r="X18" s="26"/>
      <c r="Y18" s="26"/>
      <c r="Z18" s="26" t="str">
        <f>IFERROR(__xludf.DUMMYFUNCTION("IF(X18="""","""",COUNTA(SPLIT(X18,"" "")))"),"")</f>
        <v/>
      </c>
      <c r="AA18" s="26"/>
      <c r="AB18" s="26"/>
      <c r="AC18" s="26" t="str">
        <f>IFERROR(__xludf.DUMMYFUNCTION("IF(AA18="""","""",COUNTA(SPLIT(AA18,"" "")))"),"")</f>
        <v/>
      </c>
      <c r="AD18" s="9"/>
      <c r="AE18" s="9"/>
      <c r="AF18" s="9"/>
      <c r="AG18" s="9"/>
      <c r="AH18" s="26"/>
      <c r="AI18" s="26"/>
      <c r="AJ18" s="26" t="str">
        <f>IFERROR(__xludf.DUMMYFUNCTION("IF(AH18="""","""",COUNTA(SPLIT(AH18,"" "")))"),"")</f>
        <v/>
      </c>
      <c r="AK18" s="26"/>
      <c r="AL18" s="26"/>
      <c r="AM18" s="26" t="str">
        <f>IFERROR(__xludf.DUMMYFUNCTION("IF(AK18="""","""",COUNTA(SPLIT(AK18,"" "")))"),"")</f>
        <v/>
      </c>
      <c r="AN18" s="9"/>
      <c r="AO18" s="9"/>
      <c r="AP18" s="9"/>
      <c r="AQ18" s="9"/>
      <c r="AR18" s="26"/>
      <c r="AS18" s="26"/>
      <c r="AT18" s="26"/>
      <c r="AU18" s="26"/>
      <c r="AV18" s="26"/>
      <c r="AW18" s="26"/>
      <c r="AX18" s="26"/>
      <c r="AY18" s="26"/>
      <c r="AZ18" s="26"/>
    </row>
    <row r="19">
      <c r="A19" s="26"/>
      <c r="B19" s="26"/>
      <c r="C19" s="26"/>
      <c r="D19" s="26"/>
      <c r="E19" s="26"/>
      <c r="F19" s="26"/>
      <c r="G19" s="26"/>
      <c r="H19" s="26"/>
      <c r="I19" s="26"/>
      <c r="J19" s="9"/>
      <c r="K19" s="9"/>
      <c r="L19" s="9"/>
      <c r="M19" s="9"/>
      <c r="N19" s="26"/>
      <c r="O19" s="26"/>
      <c r="P19" s="26"/>
      <c r="Q19" s="26"/>
      <c r="R19" s="26"/>
      <c r="S19" s="26"/>
      <c r="T19" s="9"/>
      <c r="U19" s="9"/>
      <c r="V19" s="9"/>
      <c r="W19" s="9"/>
      <c r="X19" s="26"/>
      <c r="Y19" s="26"/>
      <c r="Z19" s="26"/>
      <c r="AA19" s="26"/>
      <c r="AB19" s="26"/>
      <c r="AC19" s="26"/>
      <c r="AD19" s="9"/>
      <c r="AE19" s="9"/>
      <c r="AF19" s="9"/>
      <c r="AG19" s="9"/>
      <c r="AH19" s="26"/>
      <c r="AI19" s="26"/>
      <c r="AJ19" s="26"/>
      <c r="AK19" s="26"/>
      <c r="AL19" s="26"/>
      <c r="AM19" s="26"/>
      <c r="AN19" s="9"/>
      <c r="AO19" s="9"/>
      <c r="AP19" s="9"/>
      <c r="AQ19" s="9"/>
      <c r="AR19" s="26"/>
      <c r="AS19" s="26"/>
      <c r="AT19" s="26"/>
      <c r="AU19" s="26"/>
      <c r="AV19" s="26"/>
      <c r="AW19" s="26"/>
      <c r="AX19" s="26"/>
      <c r="AY19" s="26"/>
      <c r="AZ19" s="26"/>
    </row>
    <row r="20">
      <c r="A20" s="26"/>
      <c r="B20" s="26"/>
      <c r="C20" s="26"/>
      <c r="D20" s="26"/>
      <c r="E20" s="26"/>
      <c r="F20" s="26"/>
      <c r="G20" s="26"/>
      <c r="H20" s="26"/>
      <c r="I20" s="26"/>
      <c r="J20" s="9"/>
      <c r="K20" s="9"/>
      <c r="L20" s="9"/>
      <c r="M20" s="9"/>
      <c r="N20" s="26"/>
      <c r="O20" s="26"/>
      <c r="P20" s="26"/>
      <c r="Q20" s="26"/>
      <c r="R20" s="26"/>
      <c r="S20" s="26"/>
      <c r="T20" s="9"/>
      <c r="U20" s="9"/>
      <c r="V20" s="9"/>
      <c r="W20" s="9"/>
      <c r="X20" s="26"/>
      <c r="Y20" s="26"/>
      <c r="Z20" s="26"/>
      <c r="AA20" s="26"/>
      <c r="AB20" s="26"/>
      <c r="AC20" s="26"/>
      <c r="AD20" s="9"/>
      <c r="AE20" s="9"/>
      <c r="AF20" s="9"/>
      <c r="AG20" s="9"/>
      <c r="AH20" s="26"/>
      <c r="AI20" s="26"/>
      <c r="AJ20" s="26"/>
      <c r="AK20" s="26"/>
      <c r="AL20" s="26"/>
      <c r="AM20" s="26"/>
      <c r="AN20" s="9"/>
      <c r="AO20" s="9"/>
      <c r="AP20" s="9"/>
      <c r="AQ20" s="9"/>
      <c r="AR20" s="26"/>
      <c r="AS20" s="26"/>
      <c r="AT20" s="26"/>
      <c r="AU20" s="26"/>
      <c r="AV20" s="26"/>
      <c r="AW20" s="26"/>
      <c r="AX20" s="26"/>
      <c r="AY20" s="26"/>
      <c r="AZ20" s="26"/>
    </row>
    <row r="21">
      <c r="A21" s="26"/>
      <c r="B21" s="26"/>
      <c r="C21" s="26"/>
      <c r="D21" s="26"/>
      <c r="E21" s="26"/>
      <c r="F21" s="26"/>
      <c r="G21" s="26"/>
      <c r="H21" s="26"/>
      <c r="I21" s="26"/>
      <c r="J21" s="9"/>
      <c r="K21" s="9"/>
      <c r="L21" s="9"/>
      <c r="M21" s="9"/>
      <c r="N21" s="26"/>
      <c r="O21" s="26"/>
      <c r="P21" s="26"/>
      <c r="Q21" s="26"/>
      <c r="R21" s="26"/>
      <c r="S21" s="26"/>
      <c r="T21" s="9"/>
      <c r="U21" s="9"/>
      <c r="V21" s="9"/>
      <c r="W21" s="9"/>
      <c r="X21" s="26"/>
      <c r="Y21" s="26"/>
      <c r="Z21" s="26"/>
      <c r="AA21" s="26"/>
      <c r="AB21" s="26"/>
      <c r="AC21" s="26"/>
      <c r="AD21" s="9"/>
      <c r="AE21" s="9"/>
      <c r="AF21" s="9"/>
      <c r="AG21" s="9"/>
      <c r="AH21" s="26"/>
      <c r="AI21" s="26"/>
      <c r="AJ21" s="26"/>
      <c r="AK21" s="26"/>
      <c r="AL21" s="26"/>
      <c r="AM21" s="26"/>
      <c r="AN21" s="9"/>
      <c r="AO21" s="9"/>
      <c r="AP21" s="9"/>
      <c r="AQ21" s="9"/>
      <c r="AR21" s="26"/>
      <c r="AS21" s="26"/>
      <c r="AT21" s="26"/>
      <c r="AU21" s="26"/>
      <c r="AV21" s="26"/>
      <c r="AW21" s="26"/>
      <c r="AX21" s="26"/>
      <c r="AY21" s="26"/>
      <c r="AZ21" s="26"/>
    </row>
    <row r="22">
      <c r="A22" s="26"/>
      <c r="B22" s="26"/>
      <c r="C22" s="26"/>
      <c r="D22" s="26"/>
      <c r="E22" s="26"/>
      <c r="F22" s="26"/>
      <c r="G22" s="26"/>
      <c r="H22" s="26"/>
      <c r="I22" s="26"/>
      <c r="J22" s="9"/>
      <c r="K22" s="9"/>
      <c r="L22" s="9"/>
      <c r="M22" s="9"/>
      <c r="N22" s="26"/>
      <c r="O22" s="26"/>
      <c r="P22" s="26"/>
      <c r="Q22" s="26"/>
      <c r="R22" s="26"/>
      <c r="S22" s="26"/>
      <c r="T22" s="9"/>
      <c r="U22" s="9"/>
      <c r="V22" s="9"/>
      <c r="W22" s="9"/>
      <c r="X22" s="26"/>
      <c r="Y22" s="26"/>
      <c r="Z22" s="26"/>
      <c r="AA22" s="26"/>
      <c r="AB22" s="26"/>
      <c r="AC22" s="26"/>
      <c r="AD22" s="9"/>
      <c r="AE22" s="9"/>
      <c r="AF22" s="9"/>
      <c r="AG22" s="9"/>
      <c r="AH22" s="26"/>
      <c r="AI22" s="26"/>
      <c r="AJ22" s="26"/>
      <c r="AK22" s="26"/>
      <c r="AL22" s="26"/>
      <c r="AM22" s="26"/>
      <c r="AN22" s="9"/>
      <c r="AO22" s="9"/>
      <c r="AP22" s="9"/>
      <c r="AQ22" s="9"/>
      <c r="AR22" s="26"/>
      <c r="AS22" s="26"/>
      <c r="AT22" s="26"/>
      <c r="AU22" s="26"/>
      <c r="AV22" s="26"/>
      <c r="AW22" s="26"/>
      <c r="AX22" s="26"/>
      <c r="AY22" s="26"/>
      <c r="AZ22" s="26"/>
    </row>
    <row r="23">
      <c r="A23" s="26"/>
      <c r="B23" s="26"/>
      <c r="C23" s="26"/>
      <c r="D23" s="26"/>
      <c r="E23" s="26"/>
      <c r="F23" s="26"/>
      <c r="G23" s="26"/>
      <c r="H23" s="26"/>
      <c r="I23" s="26"/>
      <c r="J23" s="9"/>
      <c r="K23" s="9"/>
      <c r="L23" s="9"/>
      <c r="M23" s="9"/>
      <c r="N23" s="26"/>
      <c r="O23" s="26"/>
      <c r="P23" s="26"/>
      <c r="Q23" s="26"/>
      <c r="R23" s="26"/>
      <c r="S23" s="26"/>
      <c r="T23" s="9"/>
      <c r="U23" s="9"/>
      <c r="V23" s="9"/>
      <c r="W23" s="9"/>
      <c r="X23" s="26"/>
      <c r="Y23" s="26"/>
      <c r="Z23" s="26"/>
      <c r="AA23" s="26"/>
      <c r="AB23" s="26"/>
      <c r="AC23" s="26"/>
      <c r="AD23" s="9"/>
      <c r="AE23" s="9"/>
      <c r="AF23" s="9"/>
      <c r="AG23" s="9"/>
      <c r="AH23" s="26"/>
      <c r="AI23" s="26"/>
      <c r="AJ23" s="26"/>
      <c r="AK23" s="26"/>
      <c r="AL23" s="26"/>
      <c r="AM23" s="26"/>
      <c r="AN23" s="9"/>
      <c r="AO23" s="9"/>
      <c r="AP23" s="9"/>
      <c r="AQ23" s="9"/>
      <c r="AR23" s="26"/>
      <c r="AS23" s="26"/>
      <c r="AT23" s="26"/>
      <c r="AU23" s="26"/>
      <c r="AV23" s="26"/>
      <c r="AW23" s="26"/>
      <c r="AX23" s="26"/>
      <c r="AY23" s="26"/>
      <c r="AZ23" s="26"/>
    </row>
    <row r="24">
      <c r="A24" s="26"/>
      <c r="B24" s="26"/>
      <c r="C24" s="26"/>
      <c r="D24" s="26"/>
      <c r="E24" s="26"/>
      <c r="F24" s="26"/>
      <c r="G24" s="26"/>
      <c r="H24" s="26"/>
      <c r="I24" s="26"/>
      <c r="J24" s="9"/>
      <c r="K24" s="9"/>
      <c r="L24" s="9"/>
      <c r="M24" s="9"/>
      <c r="N24" s="26"/>
      <c r="O24" s="26"/>
      <c r="P24" s="26"/>
      <c r="Q24" s="26"/>
      <c r="R24" s="26"/>
      <c r="S24" s="26"/>
      <c r="T24" s="9"/>
      <c r="U24" s="9"/>
      <c r="V24" s="9"/>
      <c r="W24" s="9"/>
      <c r="X24" s="26"/>
      <c r="Y24" s="26"/>
      <c r="Z24" s="26"/>
      <c r="AA24" s="26"/>
      <c r="AB24" s="26"/>
      <c r="AC24" s="26"/>
      <c r="AD24" s="9"/>
      <c r="AE24" s="9"/>
      <c r="AF24" s="9"/>
      <c r="AG24" s="9"/>
      <c r="AH24" s="26"/>
      <c r="AI24" s="26"/>
      <c r="AJ24" s="26"/>
      <c r="AK24" s="26"/>
      <c r="AL24" s="26"/>
      <c r="AM24" s="26"/>
      <c r="AN24" s="9"/>
      <c r="AO24" s="9"/>
      <c r="AP24" s="9"/>
      <c r="AQ24" s="9"/>
      <c r="AR24" s="26"/>
      <c r="AS24" s="26"/>
      <c r="AT24" s="26"/>
      <c r="AU24" s="26"/>
      <c r="AV24" s="26"/>
      <c r="AW24" s="26"/>
      <c r="AX24" s="26"/>
      <c r="AY24" s="26"/>
      <c r="AZ24" s="26"/>
    </row>
    <row r="25">
      <c r="A25" s="26"/>
      <c r="B25" s="26"/>
      <c r="C25" s="26"/>
      <c r="D25" s="26"/>
      <c r="E25" s="26"/>
      <c r="F25" s="26"/>
      <c r="G25" s="26"/>
      <c r="H25" s="26"/>
      <c r="I25" s="26"/>
      <c r="J25" s="9"/>
      <c r="K25" s="9"/>
      <c r="L25" s="9"/>
      <c r="M25" s="9"/>
      <c r="N25" s="26"/>
      <c r="O25" s="26"/>
      <c r="P25" s="26"/>
      <c r="Q25" s="26"/>
      <c r="R25" s="26"/>
      <c r="S25" s="26"/>
      <c r="T25" s="9"/>
      <c r="U25" s="9"/>
      <c r="V25" s="9"/>
      <c r="W25" s="9"/>
      <c r="X25" s="26"/>
      <c r="Y25" s="26"/>
      <c r="Z25" s="26"/>
      <c r="AA25" s="26"/>
      <c r="AB25" s="26"/>
      <c r="AC25" s="26"/>
      <c r="AD25" s="9"/>
      <c r="AE25" s="9"/>
      <c r="AF25" s="9"/>
      <c r="AG25" s="9"/>
      <c r="AH25" s="26"/>
      <c r="AI25" s="26"/>
      <c r="AJ25" s="26"/>
      <c r="AK25" s="26"/>
      <c r="AL25" s="26"/>
      <c r="AM25" s="26"/>
      <c r="AN25" s="9"/>
      <c r="AO25" s="9"/>
      <c r="AP25" s="9"/>
      <c r="AQ25" s="9"/>
      <c r="AR25" s="26"/>
      <c r="AS25" s="26"/>
      <c r="AT25" s="26"/>
      <c r="AU25" s="26"/>
      <c r="AV25" s="26"/>
      <c r="AW25" s="26"/>
      <c r="AX25" s="26"/>
      <c r="AY25" s="26"/>
      <c r="AZ25" s="26"/>
    </row>
    <row r="26">
      <c r="E26" s="26"/>
      <c r="H26" s="26"/>
      <c r="J26" s="9"/>
      <c r="K26" s="9"/>
      <c r="L26" s="9"/>
      <c r="M26" s="9"/>
      <c r="P26" s="26"/>
      <c r="S26" s="26"/>
      <c r="T26" s="9"/>
      <c r="U26" s="9"/>
      <c r="V26" s="9"/>
      <c r="W26" s="9"/>
      <c r="Z26" s="26"/>
      <c r="AC26" s="26"/>
      <c r="AD26" s="9"/>
      <c r="AE26" s="9"/>
      <c r="AF26" s="9"/>
      <c r="AG26" s="9"/>
      <c r="AJ26" s="26"/>
      <c r="AM26" s="26"/>
      <c r="AN26" s="9"/>
      <c r="AO26" s="9"/>
      <c r="AP26" s="9"/>
      <c r="AQ26" s="9"/>
    </row>
    <row r="27">
      <c r="E27" s="26"/>
      <c r="H27" s="26"/>
      <c r="J27" s="9"/>
      <c r="K27" s="9"/>
      <c r="L27" s="9"/>
      <c r="M27" s="9"/>
      <c r="P27" s="26"/>
      <c r="S27" s="26"/>
      <c r="T27" s="9"/>
      <c r="U27" s="9"/>
      <c r="V27" s="9"/>
      <c r="W27" s="9"/>
      <c r="Z27" s="26"/>
      <c r="AC27" s="26"/>
      <c r="AD27" s="9"/>
      <c r="AE27" s="9"/>
      <c r="AF27" s="9"/>
      <c r="AG27" s="9"/>
      <c r="AJ27" s="26"/>
      <c r="AM27" s="26"/>
      <c r="AN27" s="9"/>
      <c r="AO27" s="9"/>
      <c r="AP27" s="9"/>
      <c r="AQ27" s="9"/>
    </row>
    <row r="28">
      <c r="E28" s="26"/>
      <c r="H28" s="26"/>
      <c r="J28" s="9"/>
      <c r="K28" s="9"/>
      <c r="L28" s="9"/>
      <c r="M28" s="9"/>
      <c r="P28" s="26"/>
      <c r="S28" s="26"/>
      <c r="T28" s="9"/>
      <c r="U28" s="9"/>
      <c r="V28" s="9"/>
      <c r="W28" s="9"/>
      <c r="Z28" s="26"/>
      <c r="AC28" s="26"/>
      <c r="AD28" s="9"/>
      <c r="AE28" s="9"/>
      <c r="AF28" s="9"/>
      <c r="AG28" s="9"/>
      <c r="AJ28" s="26"/>
      <c r="AM28" s="26"/>
      <c r="AN28" s="9"/>
      <c r="AO28" s="9"/>
      <c r="AP28" s="9"/>
      <c r="AQ28" s="9"/>
    </row>
    <row r="29">
      <c r="E29" s="26"/>
      <c r="H29" s="26"/>
      <c r="J29" s="9"/>
      <c r="K29" s="9"/>
      <c r="L29" s="9"/>
      <c r="M29" s="9"/>
      <c r="P29" s="26"/>
      <c r="S29" s="26"/>
      <c r="T29" s="9"/>
      <c r="U29" s="9"/>
      <c r="V29" s="9"/>
      <c r="W29" s="9"/>
      <c r="Z29" s="26"/>
      <c r="AC29" s="26"/>
      <c r="AD29" s="9"/>
      <c r="AE29" s="9"/>
      <c r="AF29" s="9"/>
      <c r="AG29" s="9"/>
      <c r="AJ29" s="26"/>
      <c r="AM29" s="26"/>
      <c r="AN29" s="9"/>
      <c r="AO29" s="9"/>
      <c r="AP29" s="9"/>
      <c r="AQ29" s="9"/>
    </row>
    <row r="30">
      <c r="E30" s="26"/>
      <c r="H30" s="26"/>
      <c r="J30" s="9"/>
      <c r="K30" s="9"/>
      <c r="L30" s="9"/>
      <c r="M30" s="9"/>
      <c r="P30" s="26"/>
      <c r="S30" s="26"/>
      <c r="T30" s="9"/>
      <c r="U30" s="9"/>
      <c r="V30" s="9"/>
      <c r="W30" s="9"/>
      <c r="Z30" s="26"/>
      <c r="AC30" s="26"/>
      <c r="AD30" s="9"/>
      <c r="AE30" s="9"/>
      <c r="AF30" s="9"/>
      <c r="AG30" s="9"/>
      <c r="AJ30" s="26"/>
      <c r="AM30" s="26"/>
      <c r="AN30" s="9"/>
      <c r="AO30" s="9"/>
      <c r="AP30" s="9"/>
      <c r="AQ30" s="9"/>
    </row>
    <row r="31">
      <c r="E31" s="26"/>
      <c r="H31" s="26"/>
      <c r="J31" s="14"/>
      <c r="K31" s="14"/>
      <c r="L31" s="14"/>
      <c r="M31" s="14"/>
      <c r="P31" s="26"/>
      <c r="S31" s="26"/>
      <c r="T31" s="14"/>
      <c r="U31" s="14"/>
      <c r="V31" s="14"/>
      <c r="W31" s="14"/>
      <c r="Z31" s="26"/>
      <c r="AC31" s="26"/>
      <c r="AD31" s="14"/>
      <c r="AE31" s="14"/>
      <c r="AF31" s="14"/>
      <c r="AG31" s="14"/>
      <c r="AJ31" s="26"/>
      <c r="AM31" s="26"/>
      <c r="AN31" s="14"/>
      <c r="AO31" s="14"/>
      <c r="AP31" s="14"/>
      <c r="AQ31" s="14"/>
    </row>
    <row r="32">
      <c r="E32" s="26"/>
      <c r="H32" s="26"/>
      <c r="J32" s="14"/>
      <c r="K32" s="14"/>
      <c r="L32" s="14"/>
      <c r="M32" s="14"/>
      <c r="P32" s="26"/>
      <c r="S32" s="26"/>
      <c r="T32" s="14"/>
      <c r="U32" s="14"/>
      <c r="V32" s="14"/>
      <c r="W32" s="14"/>
      <c r="Z32" s="26"/>
      <c r="AC32" s="26"/>
      <c r="AD32" s="14"/>
      <c r="AE32" s="14"/>
      <c r="AF32" s="14"/>
      <c r="AG32" s="14"/>
      <c r="AJ32" s="26"/>
      <c r="AM32" s="26"/>
      <c r="AN32" s="14"/>
      <c r="AO32" s="14"/>
      <c r="AP32" s="14"/>
      <c r="AQ32" s="14"/>
    </row>
    <row r="33">
      <c r="E33" s="26"/>
      <c r="H33" s="26"/>
      <c r="J33" s="14"/>
      <c r="K33" s="14"/>
      <c r="L33" s="14"/>
      <c r="M33" s="14"/>
      <c r="P33" s="26"/>
      <c r="S33" s="26"/>
      <c r="T33" s="14"/>
      <c r="U33" s="14"/>
      <c r="V33" s="14"/>
      <c r="W33" s="14"/>
      <c r="Z33" s="26"/>
      <c r="AC33" s="26"/>
      <c r="AD33" s="14"/>
      <c r="AE33" s="14"/>
      <c r="AF33" s="14"/>
      <c r="AG33" s="14"/>
      <c r="AJ33" s="26"/>
      <c r="AM33" s="26"/>
      <c r="AN33" s="14"/>
      <c r="AO33" s="14"/>
      <c r="AP33" s="14"/>
      <c r="AQ33" s="14"/>
    </row>
    <row r="34">
      <c r="E34" s="26"/>
      <c r="H34" s="26"/>
      <c r="J34" s="14"/>
      <c r="K34" s="14"/>
      <c r="L34" s="14"/>
      <c r="M34" s="14"/>
      <c r="P34" s="26"/>
      <c r="S34" s="26"/>
      <c r="T34" s="14"/>
      <c r="U34" s="14"/>
      <c r="V34" s="14"/>
      <c r="W34" s="14"/>
      <c r="Z34" s="26"/>
      <c r="AC34" s="26"/>
      <c r="AD34" s="14"/>
      <c r="AE34" s="14"/>
      <c r="AF34" s="14"/>
      <c r="AG34" s="14"/>
      <c r="AJ34" s="26"/>
      <c r="AM34" s="26"/>
      <c r="AN34" s="14"/>
      <c r="AO34" s="14"/>
      <c r="AP34" s="14"/>
      <c r="AQ34" s="14"/>
    </row>
    <row r="35">
      <c r="E35" s="26"/>
      <c r="H35" s="26"/>
      <c r="J35" s="14"/>
      <c r="K35" s="14"/>
      <c r="L35" s="14"/>
      <c r="M35" s="14"/>
      <c r="P35" s="26"/>
      <c r="S35" s="26"/>
      <c r="T35" s="14"/>
      <c r="U35" s="14"/>
      <c r="V35" s="14"/>
      <c r="W35" s="14"/>
      <c r="Z35" s="26"/>
      <c r="AC35" s="26"/>
      <c r="AD35" s="14"/>
      <c r="AE35" s="14"/>
      <c r="AF35" s="14"/>
      <c r="AG35" s="14"/>
      <c r="AJ35" s="26"/>
      <c r="AM35" s="26"/>
      <c r="AN35" s="14"/>
      <c r="AO35" s="14"/>
      <c r="AP35" s="14"/>
      <c r="AQ35" s="14"/>
    </row>
    <row r="36">
      <c r="E36" s="26"/>
      <c r="H36" s="26"/>
      <c r="J36" s="14"/>
      <c r="K36" s="14"/>
      <c r="L36" s="14"/>
      <c r="M36" s="14"/>
      <c r="P36" s="26"/>
      <c r="S36" s="26"/>
      <c r="T36" s="14"/>
      <c r="U36" s="14"/>
      <c r="V36" s="14"/>
      <c r="W36" s="14"/>
      <c r="Z36" s="26"/>
      <c r="AC36" s="26"/>
      <c r="AD36" s="14"/>
      <c r="AE36" s="14"/>
      <c r="AF36" s="14"/>
      <c r="AG36" s="14"/>
      <c r="AJ36" s="26"/>
      <c r="AM36" s="26"/>
      <c r="AN36" s="14"/>
      <c r="AO36" s="14"/>
      <c r="AP36" s="14"/>
      <c r="AQ36" s="14"/>
    </row>
    <row r="37">
      <c r="E37" s="26"/>
      <c r="H37" s="26"/>
      <c r="J37" s="14"/>
      <c r="K37" s="14"/>
      <c r="L37" s="14"/>
      <c r="M37" s="14"/>
      <c r="P37" s="26"/>
      <c r="S37" s="26"/>
      <c r="T37" s="14"/>
      <c r="U37" s="14"/>
      <c r="V37" s="14"/>
      <c r="W37" s="14"/>
      <c r="Z37" s="26"/>
      <c r="AC37" s="26"/>
      <c r="AD37" s="14"/>
      <c r="AE37" s="14"/>
      <c r="AF37" s="14"/>
      <c r="AG37" s="14"/>
      <c r="AJ37" s="26"/>
      <c r="AM37" s="26"/>
      <c r="AN37" s="14"/>
      <c r="AO37" s="14"/>
      <c r="AP37" s="14"/>
      <c r="AQ37" s="14"/>
    </row>
    <row r="38">
      <c r="E38" s="26"/>
      <c r="H38" s="26"/>
      <c r="J38" s="14"/>
      <c r="K38" s="14"/>
      <c r="L38" s="14"/>
      <c r="M38" s="14"/>
      <c r="P38" s="26"/>
      <c r="S38" s="26"/>
      <c r="T38" s="14"/>
      <c r="U38" s="14"/>
      <c r="V38" s="14"/>
      <c r="W38" s="14"/>
      <c r="Z38" s="26"/>
      <c r="AC38" s="26"/>
      <c r="AD38" s="14"/>
      <c r="AE38" s="14"/>
      <c r="AF38" s="14"/>
      <c r="AG38" s="14"/>
      <c r="AJ38" s="26"/>
      <c r="AM38" s="26"/>
      <c r="AN38" s="14"/>
      <c r="AO38" s="14"/>
      <c r="AP38" s="14"/>
      <c r="AQ38" s="14"/>
    </row>
    <row r="39">
      <c r="E39" s="26"/>
      <c r="H39" s="26"/>
      <c r="J39" s="14"/>
      <c r="K39" s="14"/>
      <c r="L39" s="14"/>
      <c r="M39" s="14"/>
      <c r="P39" s="26"/>
      <c r="S39" s="26"/>
      <c r="T39" s="14"/>
      <c r="U39" s="14"/>
      <c r="V39" s="14"/>
      <c r="W39" s="14"/>
      <c r="Z39" s="26"/>
      <c r="AC39" s="26"/>
      <c r="AD39" s="14"/>
      <c r="AE39" s="14"/>
      <c r="AF39" s="14"/>
      <c r="AG39" s="14"/>
      <c r="AJ39" s="26"/>
      <c r="AM39" s="26"/>
      <c r="AN39" s="14"/>
      <c r="AO39" s="14"/>
      <c r="AP39" s="14"/>
      <c r="AQ39" s="14"/>
    </row>
    <row r="40">
      <c r="E40" s="26"/>
      <c r="H40" s="26"/>
      <c r="J40" s="14"/>
      <c r="K40" s="14"/>
      <c r="L40" s="14"/>
      <c r="M40" s="14"/>
      <c r="P40" s="26"/>
      <c r="S40" s="26"/>
      <c r="T40" s="14"/>
      <c r="U40" s="14"/>
      <c r="V40" s="14"/>
      <c r="W40" s="14"/>
      <c r="Z40" s="26"/>
      <c r="AC40" s="26"/>
      <c r="AD40" s="14"/>
      <c r="AE40" s="14"/>
      <c r="AF40" s="14"/>
      <c r="AG40" s="14"/>
      <c r="AJ40" s="26"/>
      <c r="AM40" s="26"/>
      <c r="AN40" s="14"/>
      <c r="AO40" s="14"/>
      <c r="AP40" s="14"/>
      <c r="AQ40" s="14"/>
    </row>
    <row r="41">
      <c r="E41" s="26"/>
      <c r="H41" s="26"/>
      <c r="J41" s="14"/>
      <c r="K41" s="14"/>
      <c r="L41" s="14"/>
      <c r="M41" s="14"/>
      <c r="P41" s="26"/>
      <c r="S41" s="26"/>
      <c r="T41" s="14"/>
      <c r="U41" s="14"/>
      <c r="V41" s="14"/>
      <c r="W41" s="14"/>
      <c r="Z41" s="26"/>
      <c r="AC41" s="26"/>
      <c r="AD41" s="14"/>
      <c r="AE41" s="14"/>
      <c r="AF41" s="14"/>
      <c r="AG41" s="14"/>
      <c r="AJ41" s="26"/>
      <c r="AM41" s="26"/>
      <c r="AN41" s="14"/>
      <c r="AO41" s="14"/>
      <c r="AP41" s="14"/>
      <c r="AQ41" s="14"/>
    </row>
    <row r="42">
      <c r="E42" s="26"/>
      <c r="H42" s="26"/>
      <c r="J42" s="14"/>
      <c r="K42" s="14"/>
      <c r="L42" s="14"/>
      <c r="M42" s="14"/>
      <c r="P42" s="26"/>
      <c r="S42" s="26"/>
      <c r="T42" s="14"/>
      <c r="U42" s="14"/>
      <c r="V42" s="14"/>
      <c r="W42" s="14"/>
      <c r="Z42" s="26"/>
      <c r="AC42" s="26"/>
      <c r="AD42" s="14"/>
      <c r="AE42" s="14"/>
      <c r="AF42" s="14"/>
      <c r="AG42" s="14"/>
      <c r="AJ42" s="26"/>
      <c r="AM42" s="26"/>
      <c r="AN42" s="14"/>
      <c r="AO42" s="14"/>
      <c r="AP42" s="14"/>
      <c r="AQ42" s="14"/>
    </row>
    <row r="43">
      <c r="E43" s="26"/>
      <c r="H43" s="26"/>
      <c r="J43" s="14"/>
      <c r="K43" s="14"/>
      <c r="L43" s="14"/>
      <c r="M43" s="14"/>
      <c r="P43" s="26"/>
      <c r="S43" s="26"/>
      <c r="T43" s="14"/>
      <c r="U43" s="14"/>
      <c r="V43" s="14"/>
      <c r="W43" s="14"/>
      <c r="Z43" s="26"/>
      <c r="AC43" s="26"/>
      <c r="AD43" s="14"/>
      <c r="AE43" s="14"/>
      <c r="AF43" s="14"/>
      <c r="AG43" s="14"/>
      <c r="AJ43" s="26"/>
      <c r="AM43" s="26"/>
      <c r="AN43" s="14"/>
      <c r="AO43" s="14"/>
      <c r="AP43" s="14"/>
      <c r="AQ43" s="14"/>
    </row>
    <row r="44">
      <c r="E44" s="26"/>
      <c r="H44" s="26"/>
      <c r="J44" s="14"/>
      <c r="K44" s="14"/>
      <c r="L44" s="14"/>
      <c r="M44" s="14"/>
      <c r="P44" s="26"/>
      <c r="S44" s="26"/>
      <c r="T44" s="14"/>
      <c r="U44" s="14"/>
      <c r="V44" s="14"/>
      <c r="W44" s="14"/>
      <c r="Z44" s="26"/>
      <c r="AC44" s="26"/>
      <c r="AD44" s="14"/>
      <c r="AE44" s="14"/>
      <c r="AF44" s="14"/>
      <c r="AG44" s="14"/>
      <c r="AJ44" s="26"/>
      <c r="AM44" s="26"/>
      <c r="AN44" s="14"/>
      <c r="AO44" s="14"/>
      <c r="AP44" s="14"/>
      <c r="AQ44" s="14"/>
    </row>
    <row r="45">
      <c r="E45" s="26"/>
      <c r="H45" s="26"/>
      <c r="J45" s="14"/>
      <c r="K45" s="14"/>
      <c r="L45" s="14"/>
      <c r="M45" s="14"/>
      <c r="P45" s="26"/>
      <c r="S45" s="26"/>
      <c r="T45" s="14"/>
      <c r="U45" s="14"/>
      <c r="V45" s="14"/>
      <c r="W45" s="14"/>
      <c r="Z45" s="26"/>
      <c r="AC45" s="26"/>
      <c r="AD45" s="14"/>
      <c r="AE45" s="14"/>
      <c r="AF45" s="14"/>
      <c r="AG45" s="14"/>
      <c r="AJ45" s="26"/>
      <c r="AM45" s="26"/>
      <c r="AN45" s="14"/>
      <c r="AO45" s="14"/>
      <c r="AP45" s="14"/>
      <c r="AQ45" s="14"/>
    </row>
    <row r="46">
      <c r="E46" s="26"/>
      <c r="H46" s="26"/>
      <c r="J46" s="14"/>
      <c r="K46" s="14"/>
      <c r="L46" s="14"/>
      <c r="M46" s="14"/>
      <c r="P46" s="26"/>
      <c r="S46" s="26"/>
      <c r="T46" s="14"/>
      <c r="U46" s="14"/>
      <c r="V46" s="14"/>
      <c r="W46" s="14"/>
      <c r="Z46" s="26"/>
      <c r="AC46" s="26"/>
      <c r="AD46" s="14"/>
      <c r="AE46" s="14"/>
      <c r="AF46" s="14"/>
      <c r="AG46" s="14"/>
      <c r="AJ46" s="26"/>
      <c r="AM46" s="26"/>
      <c r="AN46" s="14"/>
      <c r="AO46" s="14"/>
      <c r="AP46" s="14"/>
      <c r="AQ46" s="14"/>
    </row>
    <row r="47">
      <c r="E47" s="26"/>
      <c r="H47" s="26"/>
      <c r="J47" s="14"/>
      <c r="K47" s="14"/>
      <c r="L47" s="14"/>
      <c r="M47" s="14"/>
      <c r="P47" s="26"/>
      <c r="S47" s="26"/>
      <c r="T47" s="14"/>
      <c r="U47" s="14"/>
      <c r="V47" s="14"/>
      <c r="W47" s="14"/>
      <c r="Z47" s="26"/>
      <c r="AC47" s="26"/>
      <c r="AD47" s="14"/>
      <c r="AE47" s="14"/>
      <c r="AF47" s="14"/>
      <c r="AG47" s="14"/>
      <c r="AJ47" s="26"/>
      <c r="AM47" s="26"/>
      <c r="AN47" s="14"/>
      <c r="AO47" s="14"/>
      <c r="AP47" s="14"/>
      <c r="AQ47" s="14"/>
    </row>
    <row r="48">
      <c r="E48" s="26"/>
      <c r="H48" s="26"/>
      <c r="J48" s="14"/>
      <c r="K48" s="14"/>
      <c r="L48" s="14"/>
      <c r="M48" s="14"/>
      <c r="P48" s="26"/>
      <c r="S48" s="26"/>
      <c r="T48" s="14"/>
      <c r="U48" s="14"/>
      <c r="V48" s="14"/>
      <c r="W48" s="14"/>
      <c r="Z48" s="26"/>
      <c r="AC48" s="26"/>
      <c r="AD48" s="14"/>
      <c r="AE48" s="14"/>
      <c r="AF48" s="14"/>
      <c r="AG48" s="14"/>
      <c r="AJ48" s="26"/>
      <c r="AM48" s="26"/>
      <c r="AN48" s="14"/>
      <c r="AO48" s="14"/>
      <c r="AP48" s="14"/>
      <c r="AQ48" s="14"/>
    </row>
    <row r="49">
      <c r="E49" s="26"/>
      <c r="H49" s="26"/>
      <c r="J49" s="14"/>
      <c r="K49" s="14"/>
      <c r="L49" s="14"/>
      <c r="M49" s="14"/>
      <c r="P49" s="26"/>
      <c r="S49" s="26"/>
      <c r="T49" s="14"/>
      <c r="U49" s="14"/>
      <c r="V49" s="14"/>
      <c r="W49" s="14"/>
      <c r="Z49" s="26"/>
      <c r="AC49" s="26"/>
      <c r="AD49" s="14"/>
      <c r="AE49" s="14"/>
      <c r="AF49" s="14"/>
      <c r="AG49" s="14"/>
      <c r="AJ49" s="26"/>
      <c r="AM49" s="26"/>
      <c r="AN49" s="14"/>
      <c r="AO49" s="14"/>
      <c r="AP49" s="14"/>
      <c r="AQ49" s="14"/>
    </row>
    <row r="50">
      <c r="E50" s="26"/>
      <c r="H50" s="26"/>
      <c r="J50" s="14"/>
      <c r="K50" s="14"/>
      <c r="L50" s="14"/>
      <c r="M50" s="14"/>
      <c r="P50" s="26"/>
      <c r="S50" s="26"/>
      <c r="T50" s="14"/>
      <c r="U50" s="14"/>
      <c r="V50" s="14"/>
      <c r="W50" s="14"/>
      <c r="Z50" s="26"/>
      <c r="AC50" s="26"/>
      <c r="AD50" s="14"/>
      <c r="AE50" s="14"/>
      <c r="AF50" s="14"/>
      <c r="AG50" s="14"/>
      <c r="AJ50" s="26"/>
      <c r="AM50" s="26"/>
      <c r="AN50" s="14"/>
      <c r="AO50" s="14"/>
      <c r="AP50" s="14"/>
      <c r="AQ50" s="14"/>
    </row>
    <row r="51">
      <c r="J51" s="14"/>
      <c r="K51" s="14"/>
      <c r="L51" s="14"/>
      <c r="M51" s="14"/>
      <c r="T51" s="14"/>
      <c r="U51" s="14"/>
      <c r="V51" s="14"/>
      <c r="W51" s="14"/>
      <c r="AD51" s="14"/>
      <c r="AE51" s="14"/>
      <c r="AF51" s="14"/>
      <c r="AG51" s="14"/>
      <c r="AN51" s="14"/>
      <c r="AO51" s="14"/>
      <c r="AP51" s="14"/>
      <c r="AQ51" s="14"/>
    </row>
    <row r="52">
      <c r="J52" s="14"/>
      <c r="K52" s="14"/>
      <c r="L52" s="14"/>
      <c r="M52" s="14"/>
      <c r="T52" s="14"/>
      <c r="U52" s="14"/>
      <c r="V52" s="14"/>
      <c r="W52" s="14"/>
      <c r="AD52" s="14"/>
      <c r="AE52" s="14"/>
      <c r="AF52" s="14"/>
      <c r="AG52" s="14"/>
      <c r="AN52" s="14"/>
      <c r="AO52" s="14"/>
      <c r="AP52" s="14"/>
      <c r="AQ52" s="14"/>
    </row>
    <row r="53">
      <c r="J53" s="14"/>
      <c r="K53" s="14"/>
      <c r="L53" s="14"/>
      <c r="M53" s="14"/>
      <c r="T53" s="14"/>
      <c r="U53" s="14"/>
      <c r="V53" s="14"/>
      <c r="W53" s="14"/>
      <c r="AD53" s="14"/>
      <c r="AE53" s="14"/>
      <c r="AF53" s="14"/>
      <c r="AG53" s="14"/>
      <c r="AN53" s="14"/>
      <c r="AO53" s="14"/>
      <c r="AP53" s="14"/>
      <c r="AQ53" s="14"/>
    </row>
    <row r="54">
      <c r="J54" s="14"/>
      <c r="K54" s="14"/>
      <c r="L54" s="14"/>
      <c r="M54" s="14"/>
      <c r="T54" s="14"/>
      <c r="U54" s="14"/>
      <c r="V54" s="14"/>
      <c r="W54" s="14"/>
      <c r="AD54" s="14"/>
      <c r="AE54" s="14"/>
      <c r="AF54" s="14"/>
      <c r="AG54" s="14"/>
      <c r="AN54" s="14"/>
      <c r="AO54" s="14"/>
      <c r="AP54" s="14"/>
      <c r="AQ54" s="14"/>
    </row>
    <row r="55">
      <c r="J55" s="14"/>
      <c r="K55" s="14"/>
      <c r="L55" s="14"/>
      <c r="M55" s="14"/>
      <c r="T55" s="14"/>
      <c r="U55" s="14"/>
      <c r="V55" s="14"/>
      <c r="W55" s="14"/>
      <c r="AD55" s="14"/>
      <c r="AE55" s="14"/>
      <c r="AF55" s="14"/>
      <c r="AG55" s="14"/>
      <c r="AN55" s="14"/>
      <c r="AO55" s="14"/>
      <c r="AP55" s="14"/>
      <c r="AQ55" s="14"/>
    </row>
    <row r="56">
      <c r="J56" s="14"/>
      <c r="K56" s="14"/>
      <c r="L56" s="14"/>
      <c r="M56" s="14"/>
      <c r="T56" s="14"/>
      <c r="U56" s="14"/>
      <c r="V56" s="14"/>
      <c r="W56" s="14"/>
      <c r="AD56" s="14"/>
      <c r="AE56" s="14"/>
      <c r="AF56" s="14"/>
      <c r="AG56" s="14"/>
      <c r="AN56" s="14"/>
      <c r="AO56" s="14"/>
      <c r="AP56" s="14"/>
      <c r="AQ56" s="14"/>
    </row>
    <row r="57">
      <c r="J57" s="14"/>
      <c r="K57" s="14"/>
      <c r="L57" s="14"/>
      <c r="M57" s="14"/>
      <c r="T57" s="14"/>
      <c r="U57" s="14"/>
      <c r="V57" s="14"/>
      <c r="W57" s="14"/>
      <c r="AD57" s="14"/>
      <c r="AE57" s="14"/>
      <c r="AF57" s="14"/>
      <c r="AG57" s="14"/>
      <c r="AN57" s="14"/>
      <c r="AO57" s="14"/>
      <c r="AP57" s="14"/>
      <c r="AQ57" s="14"/>
    </row>
    <row r="58">
      <c r="J58" s="14"/>
      <c r="K58" s="14"/>
      <c r="L58" s="14"/>
      <c r="M58" s="14"/>
      <c r="T58" s="14"/>
      <c r="U58" s="14"/>
      <c r="V58" s="14"/>
      <c r="W58" s="14"/>
      <c r="AD58" s="14"/>
      <c r="AE58" s="14"/>
      <c r="AF58" s="14"/>
      <c r="AG58" s="14"/>
      <c r="AN58" s="14"/>
      <c r="AO58" s="14"/>
      <c r="AP58" s="14"/>
      <c r="AQ58" s="14"/>
    </row>
    <row r="59">
      <c r="J59" s="14"/>
      <c r="K59" s="14"/>
      <c r="L59" s="14"/>
      <c r="M59" s="14"/>
      <c r="T59" s="14"/>
      <c r="U59" s="14"/>
      <c r="V59" s="14"/>
      <c r="W59" s="14"/>
      <c r="AD59" s="14"/>
      <c r="AE59" s="14"/>
      <c r="AF59" s="14"/>
      <c r="AG59" s="14"/>
      <c r="AN59" s="14"/>
      <c r="AO59" s="14"/>
      <c r="AP59" s="14"/>
      <c r="AQ59" s="14"/>
    </row>
    <row r="60">
      <c r="J60" s="14"/>
      <c r="K60" s="14"/>
      <c r="L60" s="14"/>
      <c r="M60" s="14"/>
      <c r="T60" s="14"/>
      <c r="U60" s="14"/>
      <c r="V60" s="14"/>
      <c r="W60" s="14"/>
      <c r="AD60" s="14"/>
      <c r="AE60" s="14"/>
      <c r="AF60" s="14"/>
      <c r="AG60" s="14"/>
      <c r="AN60" s="14"/>
      <c r="AO60" s="14"/>
      <c r="AP60" s="14"/>
      <c r="AQ60" s="14"/>
    </row>
    <row r="61">
      <c r="J61" s="14"/>
      <c r="K61" s="14"/>
      <c r="L61" s="14"/>
      <c r="M61" s="14"/>
      <c r="T61" s="14"/>
      <c r="U61" s="14"/>
      <c r="V61" s="14"/>
      <c r="W61" s="14"/>
      <c r="AD61" s="14"/>
      <c r="AE61" s="14"/>
      <c r="AF61" s="14"/>
      <c r="AG61" s="14"/>
      <c r="AN61" s="14"/>
      <c r="AO61" s="14"/>
      <c r="AP61" s="14"/>
      <c r="AQ61" s="14"/>
    </row>
    <row r="62">
      <c r="J62" s="22"/>
      <c r="K62" s="22"/>
      <c r="L62" s="22"/>
      <c r="M62" s="22"/>
      <c r="T62" s="22"/>
      <c r="U62" s="22"/>
      <c r="V62" s="22"/>
      <c r="W62" s="22"/>
      <c r="AD62" s="22"/>
      <c r="AE62" s="22"/>
      <c r="AF62" s="22"/>
      <c r="AG62" s="22"/>
      <c r="AN62" s="22"/>
      <c r="AO62" s="22"/>
      <c r="AP62" s="22"/>
      <c r="AQ62" s="22"/>
    </row>
    <row r="63">
      <c r="J63" s="22"/>
      <c r="K63" s="22"/>
      <c r="L63" s="22"/>
      <c r="M63" s="22"/>
      <c r="T63" s="22"/>
      <c r="U63" s="22"/>
      <c r="V63" s="22"/>
      <c r="W63" s="22"/>
      <c r="AD63" s="22"/>
      <c r="AE63" s="22"/>
      <c r="AF63" s="22"/>
      <c r="AG63" s="22"/>
      <c r="AN63" s="22"/>
      <c r="AO63" s="22"/>
      <c r="AP63" s="22"/>
      <c r="AQ63" s="22"/>
    </row>
    <row r="64">
      <c r="J64" s="22"/>
      <c r="K64" s="22"/>
      <c r="L64" s="22"/>
      <c r="M64" s="22"/>
      <c r="T64" s="22"/>
      <c r="U64" s="22"/>
      <c r="V64" s="22"/>
      <c r="W64" s="22"/>
      <c r="AD64" s="22"/>
      <c r="AE64" s="22"/>
      <c r="AF64" s="22"/>
      <c r="AG64" s="22"/>
      <c r="AN64" s="22"/>
      <c r="AO64" s="22"/>
      <c r="AP64" s="22"/>
      <c r="AQ64" s="22"/>
    </row>
    <row r="65">
      <c r="J65" s="22"/>
      <c r="K65" s="22"/>
      <c r="L65" s="22"/>
      <c r="M65" s="22"/>
      <c r="T65" s="22"/>
      <c r="U65" s="22"/>
      <c r="V65" s="22"/>
      <c r="W65" s="22"/>
      <c r="AD65" s="22"/>
      <c r="AE65" s="22"/>
      <c r="AF65" s="22"/>
      <c r="AG65" s="22"/>
      <c r="AN65" s="22"/>
      <c r="AO65" s="22"/>
      <c r="AP65" s="22"/>
      <c r="AQ65" s="22"/>
    </row>
    <row r="66">
      <c r="J66" s="22"/>
      <c r="K66" s="22"/>
      <c r="L66" s="22"/>
      <c r="M66" s="22"/>
      <c r="T66" s="22"/>
      <c r="U66" s="22"/>
      <c r="V66" s="22"/>
      <c r="W66" s="22"/>
      <c r="AD66" s="22"/>
      <c r="AE66" s="22"/>
      <c r="AF66" s="22"/>
      <c r="AG66" s="22"/>
      <c r="AN66" s="22"/>
      <c r="AO66" s="22"/>
      <c r="AP66" s="22"/>
      <c r="AQ66" s="22"/>
    </row>
    <row r="67">
      <c r="J67" s="22"/>
      <c r="K67" s="22"/>
      <c r="L67" s="22"/>
      <c r="M67" s="22"/>
      <c r="T67" s="22"/>
      <c r="U67" s="22"/>
      <c r="V67" s="22"/>
      <c r="W67" s="22"/>
      <c r="AD67" s="22"/>
      <c r="AE67" s="22"/>
      <c r="AF67" s="22"/>
      <c r="AG67" s="22"/>
      <c r="AN67" s="22"/>
      <c r="AO67" s="22"/>
      <c r="AP67" s="22"/>
      <c r="AQ67" s="22"/>
    </row>
    <row r="68">
      <c r="J68" s="22"/>
      <c r="K68" s="22"/>
      <c r="L68" s="22"/>
      <c r="M68" s="22"/>
      <c r="T68" s="22"/>
      <c r="U68" s="22"/>
      <c r="V68" s="22"/>
      <c r="W68" s="22"/>
      <c r="AD68" s="22"/>
      <c r="AE68" s="22"/>
      <c r="AF68" s="22"/>
      <c r="AG68" s="22"/>
      <c r="AN68" s="22"/>
      <c r="AO68" s="22"/>
      <c r="AP68" s="22"/>
      <c r="AQ68" s="22"/>
    </row>
    <row r="69">
      <c r="J69" s="22"/>
      <c r="K69" s="22"/>
      <c r="L69" s="22"/>
      <c r="M69" s="22"/>
      <c r="T69" s="22"/>
      <c r="U69" s="22"/>
      <c r="V69" s="22"/>
      <c r="W69" s="22"/>
      <c r="AD69" s="22"/>
      <c r="AE69" s="22"/>
      <c r="AF69" s="22"/>
      <c r="AG69" s="22"/>
      <c r="AN69" s="22"/>
      <c r="AO69" s="22"/>
      <c r="AP69" s="22"/>
      <c r="AQ69" s="22"/>
    </row>
    <row r="70">
      <c r="J70" s="22"/>
      <c r="K70" s="22"/>
      <c r="L70" s="22"/>
      <c r="M70" s="22"/>
      <c r="T70" s="22"/>
      <c r="U70" s="22"/>
      <c r="V70" s="22"/>
      <c r="W70" s="22"/>
      <c r="AD70" s="22"/>
      <c r="AE70" s="22"/>
      <c r="AF70" s="22"/>
      <c r="AG70" s="22"/>
      <c r="AN70" s="22"/>
      <c r="AO70" s="22"/>
      <c r="AP70" s="22"/>
      <c r="AQ70" s="22"/>
    </row>
    <row r="71">
      <c r="J71" s="22"/>
      <c r="K71" s="22"/>
      <c r="L71" s="22"/>
      <c r="M71" s="22"/>
      <c r="T71" s="22"/>
      <c r="U71" s="22"/>
      <c r="V71" s="22"/>
      <c r="W71" s="22"/>
      <c r="AD71" s="22"/>
      <c r="AE71" s="22"/>
      <c r="AF71" s="22"/>
      <c r="AG71" s="22"/>
      <c r="AN71" s="22"/>
      <c r="AO71" s="22"/>
      <c r="AP71" s="22"/>
      <c r="AQ71" s="22"/>
    </row>
    <row r="72">
      <c r="J72" s="22"/>
      <c r="K72" s="22"/>
      <c r="L72" s="22"/>
      <c r="M72" s="22"/>
      <c r="T72" s="22"/>
      <c r="U72" s="22"/>
      <c r="V72" s="22"/>
      <c r="W72" s="22"/>
      <c r="AD72" s="22"/>
      <c r="AE72" s="22"/>
      <c r="AF72" s="22"/>
      <c r="AG72" s="22"/>
      <c r="AN72" s="22"/>
      <c r="AO72" s="22"/>
      <c r="AP72" s="22"/>
      <c r="AQ72" s="22"/>
    </row>
    <row r="73">
      <c r="J73" s="22"/>
      <c r="K73" s="22"/>
      <c r="L73" s="22"/>
      <c r="M73" s="22"/>
      <c r="T73" s="22"/>
      <c r="U73" s="22"/>
      <c r="V73" s="22"/>
      <c r="W73" s="22"/>
      <c r="AD73" s="22"/>
      <c r="AE73" s="22"/>
      <c r="AF73" s="22"/>
      <c r="AG73" s="22"/>
      <c r="AN73" s="22"/>
      <c r="AO73" s="22"/>
      <c r="AP73" s="22"/>
      <c r="AQ73" s="22"/>
    </row>
    <row r="74">
      <c r="J74" s="22"/>
      <c r="K74" s="22"/>
      <c r="L74" s="22"/>
      <c r="M74" s="22"/>
      <c r="T74" s="22"/>
      <c r="U74" s="22"/>
      <c r="V74" s="22"/>
      <c r="W74" s="22"/>
      <c r="AD74" s="22"/>
      <c r="AE74" s="22"/>
      <c r="AF74" s="22"/>
      <c r="AG74" s="22"/>
      <c r="AN74" s="22"/>
      <c r="AO74" s="22"/>
      <c r="AP74" s="22"/>
      <c r="AQ74" s="22"/>
    </row>
    <row r="75">
      <c r="J75" s="22"/>
      <c r="K75" s="22"/>
      <c r="L75" s="22"/>
      <c r="M75" s="22"/>
      <c r="T75" s="22"/>
      <c r="U75" s="22"/>
      <c r="V75" s="22"/>
      <c r="W75" s="22"/>
      <c r="AD75" s="22"/>
      <c r="AE75" s="22"/>
      <c r="AF75" s="22"/>
      <c r="AG75" s="22"/>
      <c r="AN75" s="22"/>
      <c r="AO75" s="22"/>
      <c r="AP75" s="22"/>
      <c r="AQ75" s="22"/>
    </row>
    <row r="76">
      <c r="J76" s="22"/>
      <c r="K76" s="22"/>
      <c r="L76" s="22"/>
      <c r="M76" s="22"/>
      <c r="T76" s="22"/>
      <c r="U76" s="22"/>
      <c r="V76" s="22"/>
      <c r="W76" s="22"/>
      <c r="AD76" s="22"/>
      <c r="AE76" s="22"/>
      <c r="AF76" s="22"/>
      <c r="AG76" s="22"/>
      <c r="AN76" s="22"/>
      <c r="AO76" s="22"/>
      <c r="AP76" s="22"/>
      <c r="AQ76" s="22"/>
    </row>
    <row r="77">
      <c r="J77" s="22"/>
      <c r="K77" s="22"/>
      <c r="L77" s="22"/>
      <c r="M77" s="22"/>
      <c r="T77" s="22"/>
      <c r="U77" s="22"/>
      <c r="V77" s="22"/>
      <c r="W77" s="22"/>
      <c r="AD77" s="22"/>
      <c r="AE77" s="22"/>
      <c r="AF77" s="22"/>
      <c r="AG77" s="22"/>
      <c r="AN77" s="22"/>
      <c r="AO77" s="22"/>
      <c r="AP77" s="22"/>
      <c r="AQ77" s="22"/>
    </row>
    <row r="78">
      <c r="J78" s="22"/>
      <c r="K78" s="22"/>
      <c r="L78" s="22"/>
      <c r="M78" s="22"/>
      <c r="T78" s="22"/>
      <c r="U78" s="22"/>
      <c r="V78" s="22"/>
      <c r="W78" s="22"/>
      <c r="AD78" s="22"/>
      <c r="AE78" s="22"/>
      <c r="AF78" s="22"/>
      <c r="AG78" s="22"/>
      <c r="AN78" s="22"/>
      <c r="AO78" s="22"/>
      <c r="AP78" s="22"/>
      <c r="AQ78" s="22"/>
    </row>
    <row r="79">
      <c r="J79" s="22"/>
      <c r="K79" s="22"/>
      <c r="L79" s="22"/>
      <c r="M79" s="22"/>
      <c r="T79" s="22"/>
      <c r="U79" s="22"/>
      <c r="V79" s="22"/>
      <c r="W79" s="22"/>
      <c r="AD79" s="22"/>
      <c r="AE79" s="22"/>
      <c r="AF79" s="22"/>
      <c r="AG79" s="22"/>
      <c r="AN79" s="22"/>
      <c r="AO79" s="22"/>
      <c r="AP79" s="22"/>
      <c r="AQ79" s="22"/>
    </row>
    <row r="80">
      <c r="J80" s="22"/>
      <c r="K80" s="22"/>
      <c r="L80" s="22"/>
      <c r="M80" s="22"/>
      <c r="T80" s="22"/>
      <c r="U80" s="22"/>
      <c r="V80" s="22"/>
      <c r="W80" s="22"/>
      <c r="AD80" s="22"/>
      <c r="AE80" s="22"/>
      <c r="AF80" s="22"/>
      <c r="AG80" s="22"/>
      <c r="AN80" s="22"/>
      <c r="AO80" s="22"/>
      <c r="AP80" s="22"/>
      <c r="AQ80" s="22"/>
    </row>
    <row r="81">
      <c r="J81" s="22"/>
      <c r="K81" s="22"/>
      <c r="L81" s="22"/>
      <c r="M81" s="22"/>
      <c r="T81" s="22"/>
      <c r="U81" s="22"/>
      <c r="V81" s="22"/>
      <c r="W81" s="22"/>
      <c r="AD81" s="22"/>
      <c r="AE81" s="22"/>
      <c r="AF81" s="22"/>
      <c r="AG81" s="22"/>
      <c r="AN81" s="22"/>
      <c r="AO81" s="22"/>
      <c r="AP81" s="22"/>
      <c r="AQ81" s="22"/>
    </row>
    <row r="82">
      <c r="J82" s="22"/>
      <c r="K82" s="22"/>
      <c r="L82" s="22"/>
      <c r="M82" s="22"/>
      <c r="T82" s="22"/>
      <c r="U82" s="22"/>
      <c r="V82" s="22"/>
      <c r="W82" s="22"/>
      <c r="AD82" s="22"/>
      <c r="AE82" s="22"/>
      <c r="AF82" s="22"/>
      <c r="AG82" s="22"/>
      <c r="AN82" s="22"/>
      <c r="AO82" s="22"/>
      <c r="AP82" s="22"/>
      <c r="AQ82" s="22"/>
    </row>
    <row r="83">
      <c r="J83" s="22"/>
      <c r="K83" s="22"/>
      <c r="L83" s="22"/>
      <c r="M83" s="22"/>
      <c r="T83" s="22"/>
      <c r="U83" s="22"/>
      <c r="V83" s="22"/>
      <c r="W83" s="22"/>
      <c r="AD83" s="22"/>
      <c r="AE83" s="22"/>
      <c r="AF83" s="22"/>
      <c r="AG83" s="22"/>
      <c r="AN83" s="22"/>
      <c r="AO83" s="22"/>
      <c r="AP83" s="22"/>
      <c r="AQ83" s="22"/>
    </row>
    <row r="84">
      <c r="J84" s="22"/>
      <c r="K84" s="22"/>
      <c r="L84" s="22"/>
      <c r="M84" s="22"/>
      <c r="T84" s="22"/>
      <c r="U84" s="22"/>
      <c r="V84" s="22"/>
      <c r="W84" s="22"/>
      <c r="AD84" s="22"/>
      <c r="AE84" s="22"/>
      <c r="AF84" s="22"/>
      <c r="AG84" s="22"/>
      <c r="AN84" s="22"/>
      <c r="AO84" s="22"/>
      <c r="AP84" s="22"/>
      <c r="AQ84" s="22"/>
    </row>
    <row r="85">
      <c r="J85" s="22"/>
      <c r="K85" s="22"/>
      <c r="L85" s="22"/>
      <c r="M85" s="22"/>
      <c r="T85" s="22"/>
      <c r="U85" s="22"/>
      <c r="V85" s="22"/>
      <c r="W85" s="22"/>
      <c r="AD85" s="22"/>
      <c r="AE85" s="22"/>
      <c r="AF85" s="22"/>
      <c r="AG85" s="22"/>
      <c r="AN85" s="22"/>
      <c r="AO85" s="22"/>
      <c r="AP85" s="22"/>
      <c r="AQ85" s="22"/>
    </row>
    <row r="86">
      <c r="J86" s="22"/>
      <c r="K86" s="22"/>
      <c r="L86" s="22"/>
      <c r="M86" s="22"/>
      <c r="T86" s="22"/>
      <c r="U86" s="22"/>
      <c r="V86" s="22"/>
      <c r="W86" s="22"/>
      <c r="AD86" s="22"/>
      <c r="AE86" s="22"/>
      <c r="AF86" s="22"/>
      <c r="AG86" s="22"/>
      <c r="AN86" s="22"/>
      <c r="AO86" s="22"/>
      <c r="AP86" s="22"/>
      <c r="AQ86" s="22"/>
    </row>
    <row r="87">
      <c r="J87" s="22"/>
      <c r="K87" s="22"/>
      <c r="L87" s="22"/>
      <c r="M87" s="22"/>
      <c r="T87" s="22"/>
      <c r="U87" s="22"/>
      <c r="V87" s="22"/>
      <c r="W87" s="22"/>
      <c r="AD87" s="22"/>
      <c r="AE87" s="22"/>
      <c r="AF87" s="22"/>
      <c r="AG87" s="22"/>
      <c r="AN87" s="22"/>
      <c r="AO87" s="22"/>
      <c r="AP87" s="22"/>
      <c r="AQ87" s="22"/>
    </row>
    <row r="88">
      <c r="J88" s="22"/>
      <c r="K88" s="22"/>
      <c r="L88" s="22"/>
      <c r="M88" s="22"/>
      <c r="T88" s="22"/>
      <c r="U88" s="22"/>
      <c r="V88" s="22"/>
      <c r="W88" s="22"/>
      <c r="AD88" s="22"/>
      <c r="AE88" s="22"/>
      <c r="AF88" s="22"/>
      <c r="AG88" s="22"/>
      <c r="AN88" s="22"/>
      <c r="AO88" s="22"/>
      <c r="AP88" s="22"/>
      <c r="AQ88" s="22"/>
    </row>
    <row r="89">
      <c r="J89" s="22"/>
      <c r="K89" s="22"/>
      <c r="L89" s="22"/>
      <c r="M89" s="22"/>
      <c r="T89" s="22"/>
      <c r="U89" s="22"/>
      <c r="V89" s="22"/>
      <c r="W89" s="22"/>
      <c r="AD89" s="22"/>
      <c r="AE89" s="22"/>
      <c r="AF89" s="22"/>
      <c r="AG89" s="22"/>
      <c r="AN89" s="22"/>
      <c r="AO89" s="22"/>
      <c r="AP89" s="22"/>
      <c r="AQ89" s="22"/>
    </row>
    <row r="90">
      <c r="J90" s="22"/>
      <c r="K90" s="22"/>
      <c r="L90" s="22"/>
      <c r="M90" s="22"/>
      <c r="T90" s="22"/>
      <c r="U90" s="22"/>
      <c r="V90" s="22"/>
      <c r="W90" s="22"/>
      <c r="AD90" s="22"/>
      <c r="AE90" s="22"/>
      <c r="AF90" s="22"/>
      <c r="AG90" s="22"/>
      <c r="AN90" s="22"/>
      <c r="AO90" s="22"/>
      <c r="AP90" s="22"/>
      <c r="AQ90" s="22"/>
    </row>
    <row r="91">
      <c r="J91" s="22"/>
      <c r="K91" s="22"/>
      <c r="L91" s="22"/>
      <c r="M91" s="22"/>
      <c r="T91" s="22"/>
      <c r="U91" s="22"/>
      <c r="V91" s="22"/>
      <c r="W91" s="22"/>
      <c r="AD91" s="22"/>
      <c r="AE91" s="22"/>
      <c r="AF91" s="22"/>
      <c r="AG91" s="22"/>
      <c r="AN91" s="22"/>
      <c r="AO91" s="22"/>
      <c r="AP91" s="22"/>
      <c r="AQ91" s="22"/>
    </row>
    <row r="92">
      <c r="J92" s="22"/>
      <c r="K92" s="22"/>
      <c r="L92" s="22"/>
      <c r="M92" s="22"/>
      <c r="T92" s="22"/>
      <c r="U92" s="22"/>
      <c r="V92" s="22"/>
      <c r="W92" s="22"/>
      <c r="AD92" s="22"/>
      <c r="AE92" s="22"/>
      <c r="AF92" s="22"/>
      <c r="AG92" s="22"/>
      <c r="AN92" s="22"/>
      <c r="AO92" s="22"/>
      <c r="AP92" s="22"/>
      <c r="AQ92" s="22"/>
    </row>
    <row r="93">
      <c r="J93" s="22"/>
      <c r="K93" s="22"/>
      <c r="L93" s="22"/>
      <c r="M93" s="22"/>
      <c r="T93" s="22"/>
      <c r="U93" s="22"/>
      <c r="V93" s="22"/>
      <c r="W93" s="22"/>
      <c r="AD93" s="22"/>
      <c r="AE93" s="22"/>
      <c r="AF93" s="22"/>
      <c r="AG93" s="22"/>
      <c r="AN93" s="22"/>
      <c r="AO93" s="22"/>
      <c r="AP93" s="22"/>
      <c r="AQ93" s="22"/>
    </row>
    <row r="94">
      <c r="J94" s="22"/>
      <c r="K94" s="22"/>
      <c r="L94" s="22"/>
      <c r="M94" s="22"/>
      <c r="T94" s="22"/>
      <c r="U94" s="22"/>
      <c r="V94" s="22"/>
      <c r="W94" s="22"/>
      <c r="AD94" s="22"/>
      <c r="AE94" s="22"/>
      <c r="AF94" s="22"/>
      <c r="AG94" s="22"/>
      <c r="AN94" s="22"/>
      <c r="AO94" s="22"/>
      <c r="AP94" s="22"/>
      <c r="AQ94" s="22"/>
    </row>
    <row r="95">
      <c r="J95" s="22"/>
      <c r="K95" s="22"/>
      <c r="L95" s="22"/>
      <c r="M95" s="22"/>
      <c r="T95" s="22"/>
      <c r="U95" s="22"/>
      <c r="V95" s="22"/>
      <c r="W95" s="22"/>
      <c r="AD95" s="22"/>
      <c r="AE95" s="22"/>
      <c r="AF95" s="22"/>
      <c r="AG95" s="22"/>
      <c r="AN95" s="22"/>
      <c r="AO95" s="22"/>
      <c r="AP95" s="22"/>
      <c r="AQ95" s="22"/>
    </row>
    <row r="96">
      <c r="J96" s="22"/>
      <c r="K96" s="22"/>
      <c r="L96" s="22"/>
      <c r="M96" s="22"/>
      <c r="T96" s="22"/>
      <c r="U96" s="22"/>
      <c r="V96" s="22"/>
      <c r="W96" s="22"/>
      <c r="AD96" s="22"/>
      <c r="AE96" s="22"/>
      <c r="AF96" s="22"/>
      <c r="AG96" s="22"/>
      <c r="AN96" s="22"/>
      <c r="AO96" s="22"/>
      <c r="AP96" s="22"/>
      <c r="AQ96" s="22"/>
    </row>
    <row r="97">
      <c r="J97" s="22"/>
      <c r="K97" s="22"/>
      <c r="L97" s="22"/>
      <c r="M97" s="22"/>
      <c r="T97" s="22"/>
      <c r="U97" s="22"/>
      <c r="V97" s="22"/>
      <c r="W97" s="22"/>
      <c r="AD97" s="22"/>
      <c r="AE97" s="22"/>
      <c r="AF97" s="22"/>
      <c r="AG97" s="22"/>
      <c r="AN97" s="22"/>
      <c r="AO97" s="22"/>
      <c r="AP97" s="22"/>
      <c r="AQ97" s="22"/>
    </row>
    <row r="98">
      <c r="J98" s="22"/>
      <c r="K98" s="22"/>
      <c r="L98" s="22"/>
      <c r="M98" s="22"/>
      <c r="T98" s="22"/>
      <c r="U98" s="22"/>
      <c r="V98" s="22"/>
      <c r="W98" s="22"/>
      <c r="AD98" s="22"/>
      <c r="AE98" s="22"/>
      <c r="AF98" s="22"/>
      <c r="AG98" s="22"/>
      <c r="AN98" s="22"/>
      <c r="AO98" s="22"/>
      <c r="AP98" s="22"/>
      <c r="AQ98" s="22"/>
    </row>
    <row r="99">
      <c r="J99" s="22"/>
      <c r="K99" s="22"/>
      <c r="L99" s="22"/>
      <c r="M99" s="22"/>
      <c r="T99" s="22"/>
      <c r="U99" s="22"/>
      <c r="V99" s="22"/>
      <c r="W99" s="22"/>
      <c r="AD99" s="22"/>
      <c r="AE99" s="22"/>
      <c r="AF99" s="22"/>
      <c r="AG99" s="22"/>
      <c r="AN99" s="22"/>
      <c r="AO99" s="22"/>
      <c r="AP99" s="22"/>
      <c r="AQ99" s="22"/>
    </row>
    <row r="100">
      <c r="J100" s="22"/>
      <c r="K100" s="22"/>
      <c r="L100" s="22"/>
      <c r="M100" s="22"/>
      <c r="T100" s="22"/>
      <c r="U100" s="22"/>
      <c r="V100" s="22"/>
      <c r="W100" s="22"/>
      <c r="AD100" s="22"/>
      <c r="AE100" s="22"/>
      <c r="AF100" s="22"/>
      <c r="AG100" s="22"/>
      <c r="AN100" s="22"/>
      <c r="AO100" s="22"/>
      <c r="AP100" s="22"/>
      <c r="AQ100" s="22"/>
    </row>
    <row r="101">
      <c r="J101" s="22"/>
      <c r="K101" s="22"/>
      <c r="L101" s="22"/>
      <c r="M101" s="22"/>
      <c r="T101" s="22"/>
      <c r="U101" s="22"/>
      <c r="V101" s="22"/>
      <c r="W101" s="22"/>
      <c r="AD101" s="22"/>
      <c r="AE101" s="22"/>
      <c r="AF101" s="22"/>
      <c r="AG101" s="22"/>
      <c r="AN101" s="22"/>
      <c r="AO101" s="22"/>
      <c r="AP101" s="22"/>
      <c r="AQ101" s="22"/>
    </row>
    <row r="102">
      <c r="J102" s="22"/>
      <c r="K102" s="22"/>
      <c r="L102" s="22"/>
      <c r="M102" s="22"/>
      <c r="T102" s="22"/>
      <c r="U102" s="22"/>
      <c r="V102" s="22"/>
      <c r="W102" s="22"/>
      <c r="AD102" s="22"/>
      <c r="AE102" s="22"/>
      <c r="AF102" s="22"/>
      <c r="AG102" s="22"/>
      <c r="AN102" s="22"/>
      <c r="AO102" s="22"/>
      <c r="AP102" s="22"/>
      <c r="AQ102" s="22"/>
    </row>
    <row r="103">
      <c r="J103" s="22"/>
      <c r="K103" s="22"/>
      <c r="L103" s="22"/>
      <c r="M103" s="22"/>
      <c r="T103" s="22"/>
      <c r="U103" s="22"/>
      <c r="V103" s="22"/>
      <c r="W103" s="22"/>
      <c r="AD103" s="22"/>
      <c r="AE103" s="22"/>
      <c r="AF103" s="22"/>
      <c r="AG103" s="22"/>
      <c r="AN103" s="22"/>
      <c r="AO103" s="22"/>
      <c r="AP103" s="22"/>
      <c r="AQ103" s="22"/>
    </row>
    <row r="104">
      <c r="J104" s="22"/>
      <c r="K104" s="22"/>
      <c r="L104" s="22"/>
      <c r="M104" s="22"/>
      <c r="T104" s="22"/>
      <c r="U104" s="22"/>
      <c r="V104" s="22"/>
      <c r="W104" s="22"/>
      <c r="AD104" s="22"/>
      <c r="AE104" s="22"/>
      <c r="AF104" s="22"/>
      <c r="AG104" s="22"/>
      <c r="AN104" s="22"/>
      <c r="AO104" s="22"/>
      <c r="AP104" s="22"/>
      <c r="AQ104" s="22"/>
    </row>
    <row r="105">
      <c r="J105" s="22"/>
      <c r="K105" s="22"/>
      <c r="L105" s="22"/>
      <c r="M105" s="22"/>
      <c r="T105" s="22"/>
      <c r="U105" s="22"/>
      <c r="V105" s="22"/>
      <c r="W105" s="22"/>
      <c r="AD105" s="22"/>
      <c r="AE105" s="22"/>
      <c r="AF105" s="22"/>
      <c r="AG105" s="22"/>
      <c r="AN105" s="22"/>
      <c r="AO105" s="22"/>
      <c r="AP105" s="22"/>
      <c r="AQ105" s="22"/>
    </row>
    <row r="106">
      <c r="J106" s="22"/>
      <c r="K106" s="22"/>
      <c r="L106" s="22"/>
      <c r="M106" s="22"/>
      <c r="T106" s="22"/>
      <c r="U106" s="22"/>
      <c r="V106" s="22"/>
      <c r="W106" s="22"/>
      <c r="AD106" s="22"/>
      <c r="AE106" s="22"/>
      <c r="AF106" s="22"/>
      <c r="AG106" s="22"/>
      <c r="AN106" s="22"/>
      <c r="AO106" s="22"/>
      <c r="AP106" s="22"/>
      <c r="AQ106" s="22"/>
    </row>
    <row r="107">
      <c r="J107" s="22"/>
      <c r="K107" s="22"/>
      <c r="L107" s="22"/>
      <c r="M107" s="22"/>
      <c r="T107" s="22"/>
      <c r="U107" s="22"/>
      <c r="V107" s="22"/>
      <c r="W107" s="22"/>
      <c r="AD107" s="22"/>
      <c r="AE107" s="22"/>
      <c r="AF107" s="22"/>
      <c r="AG107" s="22"/>
      <c r="AN107" s="22"/>
      <c r="AO107" s="22"/>
      <c r="AP107" s="22"/>
      <c r="AQ107" s="22"/>
    </row>
    <row r="108">
      <c r="J108" s="22"/>
      <c r="K108" s="22"/>
      <c r="L108" s="22"/>
      <c r="M108" s="22"/>
      <c r="T108" s="22"/>
      <c r="U108" s="22"/>
      <c r="V108" s="22"/>
      <c r="W108" s="22"/>
      <c r="AD108" s="22"/>
      <c r="AE108" s="22"/>
      <c r="AF108" s="22"/>
      <c r="AG108" s="22"/>
      <c r="AN108" s="22"/>
      <c r="AO108" s="22"/>
      <c r="AP108" s="22"/>
      <c r="AQ108" s="22"/>
    </row>
    <row r="109">
      <c r="J109" s="22"/>
      <c r="K109" s="22"/>
      <c r="L109" s="22"/>
      <c r="M109" s="22"/>
      <c r="T109" s="22"/>
      <c r="U109" s="22"/>
      <c r="V109" s="22"/>
      <c r="W109" s="22"/>
      <c r="AD109" s="22"/>
      <c r="AE109" s="22"/>
      <c r="AF109" s="22"/>
      <c r="AG109" s="22"/>
      <c r="AN109" s="22"/>
      <c r="AO109" s="22"/>
      <c r="AP109" s="22"/>
      <c r="AQ109" s="22"/>
    </row>
    <row r="110">
      <c r="J110" s="22"/>
      <c r="K110" s="22"/>
      <c r="L110" s="22"/>
      <c r="M110" s="22"/>
      <c r="T110" s="22"/>
      <c r="U110" s="22"/>
      <c r="V110" s="22"/>
      <c r="W110" s="22"/>
      <c r="AD110" s="22"/>
      <c r="AE110" s="22"/>
      <c r="AF110" s="22"/>
      <c r="AG110" s="22"/>
      <c r="AN110" s="22"/>
      <c r="AO110" s="22"/>
      <c r="AP110" s="22"/>
      <c r="AQ110" s="22"/>
    </row>
    <row r="111">
      <c r="J111" s="22"/>
      <c r="K111" s="22"/>
      <c r="L111" s="22"/>
      <c r="M111" s="22"/>
      <c r="T111" s="22"/>
      <c r="U111" s="22"/>
      <c r="V111" s="22"/>
      <c r="W111" s="22"/>
      <c r="AD111" s="22"/>
      <c r="AE111" s="22"/>
      <c r="AF111" s="22"/>
      <c r="AG111" s="22"/>
      <c r="AN111" s="22"/>
      <c r="AO111" s="22"/>
      <c r="AP111" s="22"/>
      <c r="AQ111" s="22"/>
    </row>
    <row r="112">
      <c r="J112" s="22"/>
      <c r="K112" s="22"/>
      <c r="L112" s="22"/>
      <c r="M112" s="22"/>
      <c r="T112" s="22"/>
      <c r="U112" s="22"/>
      <c r="V112" s="22"/>
      <c r="W112" s="22"/>
      <c r="AD112" s="22"/>
      <c r="AE112" s="22"/>
      <c r="AF112" s="22"/>
      <c r="AG112" s="22"/>
      <c r="AN112" s="22"/>
      <c r="AO112" s="22"/>
      <c r="AP112" s="22"/>
      <c r="AQ112" s="22"/>
    </row>
    <row r="113">
      <c r="J113" s="22"/>
      <c r="K113" s="22"/>
      <c r="L113" s="22"/>
      <c r="M113" s="22"/>
      <c r="T113" s="22"/>
      <c r="U113" s="22"/>
      <c r="V113" s="22"/>
      <c r="W113" s="22"/>
      <c r="AD113" s="22"/>
      <c r="AE113" s="22"/>
      <c r="AF113" s="22"/>
      <c r="AG113" s="22"/>
      <c r="AN113" s="22"/>
      <c r="AO113" s="22"/>
      <c r="AP113" s="22"/>
      <c r="AQ113" s="22"/>
    </row>
    <row r="114">
      <c r="J114" s="22"/>
      <c r="K114" s="22"/>
      <c r="L114" s="22"/>
      <c r="M114" s="22"/>
      <c r="T114" s="22"/>
      <c r="U114" s="22"/>
      <c r="V114" s="22"/>
      <c r="W114" s="22"/>
      <c r="AD114" s="22"/>
      <c r="AE114" s="22"/>
      <c r="AF114" s="22"/>
      <c r="AG114" s="22"/>
      <c r="AN114" s="22"/>
      <c r="AO114" s="22"/>
      <c r="AP114" s="22"/>
      <c r="AQ114" s="22"/>
    </row>
    <row r="115">
      <c r="J115" s="22"/>
      <c r="K115" s="22"/>
      <c r="L115" s="22"/>
      <c r="M115" s="22"/>
      <c r="T115" s="22"/>
      <c r="U115" s="22"/>
      <c r="V115" s="22"/>
      <c r="W115" s="22"/>
      <c r="AD115" s="22"/>
      <c r="AE115" s="22"/>
      <c r="AF115" s="22"/>
      <c r="AG115" s="22"/>
      <c r="AN115" s="22"/>
      <c r="AO115" s="22"/>
      <c r="AP115" s="22"/>
      <c r="AQ115" s="22"/>
    </row>
    <row r="116">
      <c r="J116" s="22"/>
      <c r="K116" s="22"/>
      <c r="L116" s="22"/>
      <c r="M116" s="22"/>
      <c r="T116" s="22"/>
      <c r="U116" s="22"/>
      <c r="V116" s="22"/>
      <c r="W116" s="22"/>
      <c r="AD116" s="22"/>
      <c r="AE116" s="22"/>
      <c r="AF116" s="22"/>
      <c r="AG116" s="22"/>
      <c r="AN116" s="22"/>
      <c r="AO116" s="22"/>
      <c r="AP116" s="22"/>
      <c r="AQ116" s="22"/>
    </row>
    <row r="117">
      <c r="J117" s="22"/>
      <c r="K117" s="22"/>
      <c r="L117" s="22"/>
      <c r="M117" s="22"/>
      <c r="T117" s="22"/>
      <c r="U117" s="22"/>
      <c r="V117" s="22"/>
      <c r="W117" s="22"/>
      <c r="AD117" s="22"/>
      <c r="AE117" s="22"/>
      <c r="AF117" s="22"/>
      <c r="AG117" s="22"/>
      <c r="AN117" s="22"/>
      <c r="AO117" s="22"/>
      <c r="AP117" s="22"/>
      <c r="AQ117" s="22"/>
    </row>
    <row r="118">
      <c r="J118" s="22"/>
      <c r="K118" s="22"/>
      <c r="L118" s="22"/>
      <c r="M118" s="22"/>
      <c r="T118" s="22"/>
      <c r="U118" s="22"/>
      <c r="V118" s="22"/>
      <c r="W118" s="22"/>
      <c r="AD118" s="22"/>
      <c r="AE118" s="22"/>
      <c r="AF118" s="22"/>
      <c r="AG118" s="22"/>
      <c r="AN118" s="22"/>
      <c r="AO118" s="22"/>
      <c r="AP118" s="22"/>
      <c r="AQ118" s="22"/>
    </row>
    <row r="119">
      <c r="J119" s="22"/>
      <c r="K119" s="22"/>
      <c r="L119" s="22"/>
      <c r="M119" s="22"/>
      <c r="T119" s="22"/>
      <c r="U119" s="22"/>
      <c r="V119" s="22"/>
      <c r="W119" s="22"/>
      <c r="AD119" s="22"/>
      <c r="AE119" s="22"/>
      <c r="AF119" s="22"/>
      <c r="AG119" s="22"/>
      <c r="AN119" s="22"/>
      <c r="AO119" s="22"/>
      <c r="AP119" s="22"/>
      <c r="AQ119" s="22"/>
    </row>
    <row r="120">
      <c r="J120" s="22"/>
      <c r="K120" s="22"/>
      <c r="L120" s="22"/>
      <c r="M120" s="22"/>
      <c r="T120" s="22"/>
      <c r="U120" s="22"/>
      <c r="V120" s="22"/>
      <c r="W120" s="22"/>
      <c r="AD120" s="22"/>
      <c r="AE120" s="22"/>
      <c r="AF120" s="22"/>
      <c r="AG120" s="22"/>
      <c r="AN120" s="22"/>
      <c r="AO120" s="22"/>
      <c r="AP120" s="22"/>
      <c r="AQ120" s="22"/>
    </row>
    <row r="121">
      <c r="J121" s="22"/>
      <c r="K121" s="22"/>
      <c r="L121" s="22"/>
      <c r="M121" s="22"/>
      <c r="T121" s="22"/>
      <c r="U121" s="22"/>
      <c r="V121" s="22"/>
      <c r="W121" s="22"/>
      <c r="AD121" s="22"/>
      <c r="AE121" s="22"/>
      <c r="AF121" s="22"/>
      <c r="AG121" s="22"/>
      <c r="AN121" s="22"/>
      <c r="AO121" s="22"/>
      <c r="AP121" s="22"/>
      <c r="AQ121" s="22"/>
    </row>
    <row r="122">
      <c r="J122" s="22"/>
      <c r="K122" s="22"/>
      <c r="L122" s="22"/>
      <c r="M122" s="22"/>
      <c r="T122" s="22"/>
      <c r="U122" s="22"/>
      <c r="V122" s="22"/>
      <c r="W122" s="22"/>
      <c r="AD122" s="22"/>
      <c r="AE122" s="22"/>
      <c r="AF122" s="22"/>
      <c r="AG122" s="22"/>
      <c r="AN122" s="22"/>
      <c r="AO122" s="22"/>
      <c r="AP122" s="22"/>
      <c r="AQ122" s="22"/>
    </row>
    <row r="123">
      <c r="J123" s="22"/>
      <c r="K123" s="22"/>
      <c r="L123" s="22"/>
      <c r="M123" s="22"/>
      <c r="T123" s="22"/>
      <c r="U123" s="22"/>
      <c r="V123" s="22"/>
      <c r="W123" s="22"/>
      <c r="AD123" s="22"/>
      <c r="AE123" s="22"/>
      <c r="AF123" s="22"/>
      <c r="AG123" s="22"/>
      <c r="AN123" s="22"/>
      <c r="AO123" s="22"/>
      <c r="AP123" s="22"/>
      <c r="AQ123" s="22"/>
    </row>
    <row r="124">
      <c r="J124" s="22"/>
      <c r="K124" s="22"/>
      <c r="L124" s="22"/>
      <c r="M124" s="22"/>
      <c r="T124" s="22"/>
      <c r="U124" s="22"/>
      <c r="V124" s="22"/>
      <c r="W124" s="22"/>
      <c r="AD124" s="22"/>
      <c r="AE124" s="22"/>
      <c r="AF124" s="22"/>
      <c r="AG124" s="22"/>
      <c r="AN124" s="22"/>
      <c r="AO124" s="22"/>
      <c r="AP124" s="22"/>
      <c r="AQ124" s="22"/>
    </row>
    <row r="125">
      <c r="J125" s="22"/>
      <c r="K125" s="22"/>
      <c r="L125" s="22"/>
      <c r="M125" s="22"/>
      <c r="T125" s="22"/>
      <c r="U125" s="22"/>
      <c r="V125" s="22"/>
      <c r="W125" s="22"/>
      <c r="AD125" s="22"/>
      <c r="AE125" s="22"/>
      <c r="AF125" s="22"/>
      <c r="AG125" s="22"/>
      <c r="AN125" s="22"/>
      <c r="AO125" s="22"/>
      <c r="AP125" s="22"/>
      <c r="AQ125" s="22"/>
    </row>
    <row r="126">
      <c r="J126" s="22"/>
      <c r="K126" s="22"/>
      <c r="L126" s="22"/>
      <c r="M126" s="22"/>
      <c r="T126" s="22"/>
      <c r="U126" s="22"/>
      <c r="V126" s="22"/>
      <c r="W126" s="22"/>
      <c r="AD126" s="22"/>
      <c r="AE126" s="22"/>
      <c r="AF126" s="22"/>
      <c r="AG126" s="22"/>
      <c r="AN126" s="22"/>
      <c r="AO126" s="22"/>
      <c r="AP126" s="22"/>
      <c r="AQ126" s="22"/>
    </row>
    <row r="127">
      <c r="J127" s="22"/>
      <c r="K127" s="22"/>
      <c r="L127" s="22"/>
      <c r="M127" s="22"/>
      <c r="T127" s="22"/>
      <c r="U127" s="22"/>
      <c r="V127" s="22"/>
      <c r="W127" s="22"/>
      <c r="AD127" s="22"/>
      <c r="AE127" s="22"/>
      <c r="AF127" s="22"/>
      <c r="AG127" s="22"/>
      <c r="AN127" s="22"/>
      <c r="AO127" s="22"/>
      <c r="AP127" s="22"/>
      <c r="AQ127" s="22"/>
    </row>
    <row r="128">
      <c r="J128" s="22"/>
      <c r="K128" s="22"/>
      <c r="L128" s="22"/>
      <c r="M128" s="22"/>
      <c r="T128" s="22"/>
      <c r="U128" s="22"/>
      <c r="V128" s="22"/>
      <c r="W128" s="22"/>
      <c r="AD128" s="22"/>
      <c r="AE128" s="22"/>
      <c r="AF128" s="22"/>
      <c r="AG128" s="22"/>
      <c r="AN128" s="22"/>
      <c r="AO128" s="22"/>
      <c r="AP128" s="22"/>
      <c r="AQ128" s="22"/>
    </row>
    <row r="129">
      <c r="J129" s="22"/>
      <c r="K129" s="22"/>
      <c r="L129" s="22"/>
      <c r="M129" s="22"/>
      <c r="T129" s="22"/>
      <c r="U129" s="22"/>
      <c r="V129" s="22"/>
      <c r="W129" s="22"/>
      <c r="AD129" s="22"/>
      <c r="AE129" s="22"/>
      <c r="AF129" s="22"/>
      <c r="AG129" s="22"/>
      <c r="AN129" s="22"/>
      <c r="AO129" s="22"/>
      <c r="AP129" s="22"/>
      <c r="AQ129" s="22"/>
    </row>
    <row r="130">
      <c r="J130" s="22"/>
      <c r="K130" s="22"/>
      <c r="L130" s="22"/>
      <c r="M130" s="22"/>
      <c r="T130" s="22"/>
      <c r="U130" s="22"/>
      <c r="V130" s="22"/>
      <c r="W130" s="22"/>
      <c r="AD130" s="22"/>
      <c r="AE130" s="22"/>
      <c r="AF130" s="22"/>
      <c r="AG130" s="22"/>
      <c r="AN130" s="22"/>
      <c r="AO130" s="22"/>
      <c r="AP130" s="22"/>
      <c r="AQ130" s="22"/>
    </row>
    <row r="131">
      <c r="J131" s="22"/>
      <c r="K131" s="22"/>
      <c r="L131" s="22"/>
      <c r="M131" s="22"/>
      <c r="T131" s="22"/>
      <c r="U131" s="22"/>
      <c r="V131" s="22"/>
      <c r="W131" s="22"/>
      <c r="AD131" s="22"/>
      <c r="AE131" s="22"/>
      <c r="AF131" s="22"/>
      <c r="AG131" s="22"/>
      <c r="AN131" s="22"/>
      <c r="AO131" s="22"/>
      <c r="AP131" s="22"/>
      <c r="AQ131" s="22"/>
    </row>
    <row r="132">
      <c r="J132" s="22"/>
      <c r="K132" s="22"/>
      <c r="L132" s="22"/>
      <c r="M132" s="22"/>
      <c r="T132" s="22"/>
      <c r="U132" s="22"/>
      <c r="V132" s="22"/>
      <c r="W132" s="22"/>
      <c r="AD132" s="22"/>
      <c r="AE132" s="22"/>
      <c r="AF132" s="22"/>
      <c r="AG132" s="22"/>
      <c r="AN132" s="22"/>
      <c r="AO132" s="22"/>
      <c r="AP132" s="22"/>
      <c r="AQ132" s="22"/>
    </row>
    <row r="133">
      <c r="J133" s="22"/>
      <c r="K133" s="22"/>
      <c r="L133" s="22"/>
      <c r="M133" s="22"/>
      <c r="T133" s="22"/>
      <c r="U133" s="22"/>
      <c r="V133" s="22"/>
      <c r="W133" s="22"/>
      <c r="AD133" s="22"/>
      <c r="AE133" s="22"/>
      <c r="AF133" s="22"/>
      <c r="AG133" s="22"/>
      <c r="AN133" s="22"/>
      <c r="AO133" s="22"/>
      <c r="AP133" s="22"/>
      <c r="AQ133" s="22"/>
    </row>
    <row r="134">
      <c r="J134" s="22"/>
      <c r="K134" s="22"/>
      <c r="L134" s="22"/>
      <c r="M134" s="22"/>
      <c r="T134" s="22"/>
      <c r="U134" s="22"/>
      <c r="V134" s="22"/>
      <c r="W134" s="22"/>
      <c r="AD134" s="22"/>
      <c r="AE134" s="22"/>
      <c r="AF134" s="22"/>
      <c r="AG134" s="22"/>
      <c r="AN134" s="22"/>
      <c r="AO134" s="22"/>
      <c r="AP134" s="22"/>
      <c r="AQ134" s="22"/>
    </row>
    <row r="135">
      <c r="J135" s="22"/>
      <c r="K135" s="22"/>
      <c r="L135" s="22"/>
      <c r="M135" s="22"/>
      <c r="T135" s="22"/>
      <c r="U135" s="22"/>
      <c r="V135" s="22"/>
      <c r="W135" s="22"/>
      <c r="AD135" s="22"/>
      <c r="AE135" s="22"/>
      <c r="AF135" s="22"/>
      <c r="AG135" s="22"/>
      <c r="AN135" s="22"/>
      <c r="AO135" s="22"/>
      <c r="AP135" s="22"/>
      <c r="AQ135" s="22"/>
    </row>
    <row r="136">
      <c r="J136" s="22"/>
      <c r="K136" s="22"/>
      <c r="L136" s="22"/>
      <c r="M136" s="22"/>
      <c r="T136" s="22"/>
      <c r="U136" s="22"/>
      <c r="V136" s="22"/>
      <c r="W136" s="22"/>
      <c r="AD136" s="22"/>
      <c r="AE136" s="22"/>
      <c r="AF136" s="22"/>
      <c r="AG136" s="22"/>
      <c r="AN136" s="22"/>
      <c r="AO136" s="22"/>
      <c r="AP136" s="22"/>
      <c r="AQ136" s="22"/>
    </row>
    <row r="137">
      <c r="J137" s="28"/>
      <c r="K137" s="28"/>
      <c r="L137" s="28"/>
      <c r="M137" s="28"/>
      <c r="T137" s="28"/>
      <c r="U137" s="28"/>
      <c r="V137" s="28"/>
      <c r="W137" s="28"/>
      <c r="AD137" s="28"/>
      <c r="AE137" s="28"/>
      <c r="AF137" s="28"/>
      <c r="AG137" s="28"/>
      <c r="AN137" s="28"/>
      <c r="AO137" s="28"/>
      <c r="AP137" s="28"/>
      <c r="AQ137" s="28"/>
    </row>
    <row r="138">
      <c r="J138" s="28"/>
      <c r="K138" s="28"/>
      <c r="L138" s="28"/>
      <c r="M138" s="28"/>
      <c r="T138" s="28"/>
      <c r="U138" s="28"/>
      <c r="V138" s="28"/>
      <c r="W138" s="28"/>
      <c r="AD138" s="28"/>
      <c r="AE138" s="28"/>
      <c r="AF138" s="28"/>
      <c r="AG138" s="28"/>
      <c r="AN138" s="28"/>
      <c r="AO138" s="28"/>
      <c r="AP138" s="28"/>
      <c r="AQ138" s="28"/>
    </row>
    <row r="139">
      <c r="J139" s="28"/>
      <c r="K139" s="28"/>
      <c r="L139" s="28"/>
      <c r="M139" s="28"/>
      <c r="T139" s="28"/>
      <c r="U139" s="28"/>
      <c r="V139" s="28"/>
      <c r="W139" s="28"/>
      <c r="AD139" s="28"/>
      <c r="AE139" s="28"/>
      <c r="AF139" s="28"/>
      <c r="AG139" s="28"/>
      <c r="AN139" s="28"/>
      <c r="AO139" s="28"/>
      <c r="AP139" s="28"/>
      <c r="AQ139" s="28"/>
    </row>
    <row r="140">
      <c r="J140" s="28"/>
      <c r="K140" s="28"/>
      <c r="L140" s="28"/>
      <c r="M140" s="28"/>
      <c r="T140" s="28"/>
      <c r="U140" s="28"/>
      <c r="V140" s="28"/>
      <c r="W140" s="28"/>
      <c r="AD140" s="28"/>
      <c r="AE140" s="28"/>
      <c r="AF140" s="28"/>
      <c r="AG140" s="28"/>
      <c r="AN140" s="28"/>
      <c r="AO140" s="28"/>
      <c r="AP140" s="28"/>
      <c r="AQ140" s="28"/>
    </row>
    <row r="141">
      <c r="J141" s="28"/>
      <c r="K141" s="28"/>
      <c r="L141" s="28"/>
      <c r="M141" s="28"/>
      <c r="T141" s="28"/>
      <c r="U141" s="28"/>
      <c r="V141" s="28"/>
      <c r="W141" s="28"/>
      <c r="AD141" s="28"/>
      <c r="AE141" s="28"/>
      <c r="AF141" s="28"/>
      <c r="AG141" s="28"/>
      <c r="AN141" s="28"/>
      <c r="AO141" s="28"/>
      <c r="AP141" s="28"/>
      <c r="AQ141" s="28"/>
    </row>
    <row r="142">
      <c r="J142" s="28"/>
      <c r="K142" s="28"/>
      <c r="L142" s="28"/>
      <c r="M142" s="28"/>
      <c r="T142" s="28"/>
      <c r="U142" s="28"/>
      <c r="V142" s="28"/>
      <c r="W142" s="28"/>
      <c r="AD142" s="28"/>
      <c r="AE142" s="28"/>
      <c r="AF142" s="28"/>
      <c r="AG142" s="28"/>
      <c r="AN142" s="28"/>
      <c r="AO142" s="28"/>
      <c r="AP142" s="28"/>
      <c r="AQ142" s="28"/>
    </row>
    <row r="143">
      <c r="J143" s="28"/>
      <c r="K143" s="28"/>
      <c r="L143" s="28"/>
      <c r="M143" s="28"/>
      <c r="T143" s="28"/>
      <c r="U143" s="28"/>
      <c r="V143" s="28"/>
      <c r="W143" s="28"/>
      <c r="AD143" s="28"/>
      <c r="AE143" s="28"/>
      <c r="AF143" s="28"/>
      <c r="AG143" s="28"/>
      <c r="AN143" s="28"/>
      <c r="AO143" s="28"/>
      <c r="AP143" s="28"/>
      <c r="AQ143" s="28"/>
    </row>
    <row r="144">
      <c r="J144" s="28"/>
      <c r="K144" s="28"/>
      <c r="L144" s="28"/>
      <c r="M144" s="28"/>
      <c r="T144" s="28"/>
      <c r="U144" s="28"/>
      <c r="V144" s="28"/>
      <c r="W144" s="28"/>
      <c r="AD144" s="28"/>
      <c r="AE144" s="28"/>
      <c r="AF144" s="28"/>
      <c r="AG144" s="28"/>
      <c r="AN144" s="28"/>
      <c r="AO144" s="28"/>
      <c r="AP144" s="28"/>
      <c r="AQ144" s="28"/>
    </row>
    <row r="145">
      <c r="J145" s="28"/>
      <c r="K145" s="28"/>
      <c r="L145" s="28"/>
      <c r="M145" s="28"/>
      <c r="T145" s="28"/>
      <c r="U145" s="28"/>
      <c r="V145" s="28"/>
      <c r="W145" s="28"/>
      <c r="AD145" s="28"/>
      <c r="AE145" s="28"/>
      <c r="AF145" s="28"/>
      <c r="AG145" s="28"/>
      <c r="AN145" s="28"/>
      <c r="AO145" s="28"/>
      <c r="AP145" s="28"/>
      <c r="AQ145" s="28"/>
    </row>
    <row r="146">
      <c r="J146" s="28"/>
      <c r="K146" s="28"/>
      <c r="L146" s="28"/>
      <c r="M146" s="28"/>
      <c r="T146" s="28"/>
      <c r="U146" s="28"/>
      <c r="V146" s="28"/>
      <c r="W146" s="28"/>
      <c r="AD146" s="28"/>
      <c r="AE146" s="28"/>
      <c r="AF146" s="28"/>
      <c r="AG146" s="28"/>
      <c r="AN146" s="28"/>
      <c r="AO146" s="28"/>
      <c r="AP146" s="28"/>
      <c r="AQ146" s="28"/>
    </row>
    <row r="147">
      <c r="J147" s="28"/>
      <c r="K147" s="28"/>
      <c r="L147" s="28"/>
      <c r="M147" s="28"/>
      <c r="T147" s="28"/>
      <c r="U147" s="28"/>
      <c r="V147" s="28"/>
      <c r="W147" s="28"/>
      <c r="AD147" s="28"/>
      <c r="AE147" s="28"/>
      <c r="AF147" s="28"/>
      <c r="AG147" s="28"/>
      <c r="AN147" s="28"/>
      <c r="AO147" s="28"/>
      <c r="AP147" s="28"/>
      <c r="AQ147" s="28"/>
    </row>
    <row r="148">
      <c r="J148" s="28"/>
      <c r="K148" s="28"/>
      <c r="L148" s="28"/>
      <c r="M148" s="28"/>
      <c r="T148" s="28"/>
      <c r="U148" s="28"/>
      <c r="V148" s="28"/>
      <c r="W148" s="28"/>
      <c r="AD148" s="28"/>
      <c r="AE148" s="28"/>
      <c r="AF148" s="28"/>
      <c r="AG148" s="28"/>
      <c r="AN148" s="28"/>
      <c r="AO148" s="28"/>
      <c r="AP148" s="28"/>
      <c r="AQ148" s="28"/>
    </row>
    <row r="149">
      <c r="J149" s="28"/>
      <c r="K149" s="28"/>
      <c r="L149" s="28"/>
      <c r="M149" s="28"/>
      <c r="T149" s="28"/>
      <c r="U149" s="28"/>
      <c r="V149" s="28"/>
      <c r="W149" s="28"/>
      <c r="AD149" s="28"/>
      <c r="AE149" s="28"/>
      <c r="AF149" s="28"/>
      <c r="AG149" s="28"/>
      <c r="AN149" s="28"/>
      <c r="AO149" s="28"/>
      <c r="AP149" s="28"/>
      <c r="AQ149" s="28"/>
    </row>
    <row r="150">
      <c r="J150" s="28"/>
      <c r="K150" s="28"/>
      <c r="L150" s="28"/>
      <c r="M150" s="28"/>
      <c r="T150" s="28"/>
      <c r="U150" s="28"/>
      <c r="V150" s="28"/>
      <c r="W150" s="28"/>
      <c r="AD150" s="28"/>
      <c r="AE150" s="28"/>
      <c r="AF150" s="28"/>
      <c r="AG150" s="28"/>
      <c r="AN150" s="28"/>
      <c r="AO150" s="28"/>
      <c r="AP150" s="28"/>
      <c r="AQ150" s="28"/>
    </row>
    <row r="151">
      <c r="J151" s="28"/>
      <c r="K151" s="28"/>
      <c r="L151" s="28"/>
      <c r="M151" s="28"/>
      <c r="T151" s="28"/>
      <c r="U151" s="28"/>
      <c r="V151" s="28"/>
      <c r="W151" s="28"/>
      <c r="AD151" s="28"/>
      <c r="AE151" s="28"/>
      <c r="AF151" s="28"/>
      <c r="AG151" s="28"/>
      <c r="AN151" s="28"/>
      <c r="AO151" s="28"/>
      <c r="AP151" s="28"/>
      <c r="AQ151" s="28"/>
    </row>
    <row r="152">
      <c r="J152" s="28"/>
      <c r="K152" s="28"/>
      <c r="L152" s="28"/>
      <c r="M152" s="28"/>
      <c r="T152" s="28"/>
      <c r="U152" s="28"/>
      <c r="V152" s="28"/>
      <c r="W152" s="28"/>
      <c r="AD152" s="28"/>
      <c r="AE152" s="28"/>
      <c r="AF152" s="28"/>
      <c r="AG152" s="28"/>
      <c r="AN152" s="28"/>
      <c r="AO152" s="28"/>
      <c r="AP152" s="28"/>
      <c r="AQ152" s="28"/>
    </row>
    <row r="153">
      <c r="J153" s="28"/>
      <c r="K153" s="28"/>
      <c r="L153" s="28"/>
      <c r="M153" s="28"/>
      <c r="T153" s="28"/>
      <c r="U153" s="28"/>
      <c r="V153" s="28"/>
      <c r="W153" s="28"/>
      <c r="AD153" s="28"/>
      <c r="AE153" s="28"/>
      <c r="AF153" s="28"/>
      <c r="AG153" s="28"/>
      <c r="AN153" s="28"/>
      <c r="AO153" s="28"/>
      <c r="AP153" s="28"/>
      <c r="AQ153" s="28"/>
    </row>
    <row r="154">
      <c r="J154" s="28"/>
      <c r="K154" s="28"/>
      <c r="L154" s="28"/>
      <c r="M154" s="28"/>
      <c r="T154" s="28"/>
      <c r="U154" s="28"/>
      <c r="V154" s="28"/>
      <c r="W154" s="28"/>
      <c r="AD154" s="28"/>
      <c r="AE154" s="28"/>
      <c r="AF154" s="28"/>
      <c r="AG154" s="28"/>
      <c r="AN154" s="28"/>
      <c r="AO154" s="28"/>
      <c r="AP154" s="28"/>
      <c r="AQ154" s="28"/>
    </row>
    <row r="155">
      <c r="J155" s="28"/>
      <c r="K155" s="28"/>
      <c r="L155" s="28"/>
      <c r="M155" s="28"/>
      <c r="T155" s="28"/>
      <c r="U155" s="28"/>
      <c r="V155" s="28"/>
      <c r="W155" s="28"/>
      <c r="AD155" s="28"/>
      <c r="AE155" s="28"/>
      <c r="AF155" s="28"/>
      <c r="AG155" s="28"/>
      <c r="AN155" s="28"/>
      <c r="AO155" s="28"/>
      <c r="AP155" s="28"/>
      <c r="AQ155" s="28"/>
    </row>
    <row r="156">
      <c r="J156" s="28"/>
      <c r="K156" s="28"/>
      <c r="L156" s="28"/>
      <c r="M156" s="28"/>
      <c r="T156" s="28"/>
      <c r="U156" s="28"/>
      <c r="V156" s="28"/>
      <c r="W156" s="28"/>
      <c r="AD156" s="28"/>
      <c r="AE156" s="28"/>
      <c r="AF156" s="28"/>
      <c r="AG156" s="28"/>
      <c r="AN156" s="28"/>
      <c r="AO156" s="28"/>
      <c r="AP156" s="28"/>
      <c r="AQ156" s="28"/>
    </row>
    <row r="157">
      <c r="J157" s="28"/>
      <c r="K157" s="28"/>
      <c r="L157" s="28"/>
      <c r="M157" s="28"/>
      <c r="T157" s="28"/>
      <c r="U157" s="28"/>
      <c r="V157" s="28"/>
      <c r="W157" s="28"/>
      <c r="AD157" s="28"/>
      <c r="AE157" s="28"/>
      <c r="AF157" s="28"/>
      <c r="AG157" s="28"/>
      <c r="AN157" s="28"/>
      <c r="AO157" s="28"/>
      <c r="AP157" s="28"/>
      <c r="AQ157" s="28"/>
    </row>
    <row r="158">
      <c r="J158" s="28"/>
      <c r="K158" s="28"/>
      <c r="L158" s="28"/>
      <c r="M158" s="28"/>
      <c r="T158" s="28"/>
      <c r="U158" s="28"/>
      <c r="V158" s="28"/>
      <c r="W158" s="28"/>
      <c r="AD158" s="28"/>
      <c r="AE158" s="28"/>
      <c r="AF158" s="28"/>
      <c r="AG158" s="28"/>
      <c r="AN158" s="28"/>
      <c r="AO158" s="28"/>
      <c r="AP158" s="28"/>
      <c r="AQ158" s="28"/>
    </row>
    <row r="159">
      <c r="J159" s="28"/>
      <c r="K159" s="28"/>
      <c r="L159" s="28"/>
      <c r="M159" s="28"/>
      <c r="T159" s="28"/>
      <c r="U159" s="28"/>
      <c r="V159" s="28"/>
      <c r="W159" s="28"/>
      <c r="AD159" s="28"/>
      <c r="AE159" s="28"/>
      <c r="AF159" s="28"/>
      <c r="AG159" s="28"/>
      <c r="AN159" s="28"/>
      <c r="AO159" s="28"/>
      <c r="AP159" s="28"/>
      <c r="AQ159" s="28"/>
    </row>
    <row r="160">
      <c r="J160" s="28"/>
      <c r="K160" s="28"/>
      <c r="L160" s="28"/>
      <c r="M160" s="28"/>
      <c r="T160" s="28"/>
      <c r="U160" s="28"/>
      <c r="V160" s="28"/>
      <c r="W160" s="28"/>
      <c r="AD160" s="28"/>
      <c r="AE160" s="28"/>
      <c r="AF160" s="28"/>
      <c r="AG160" s="28"/>
      <c r="AN160" s="28"/>
      <c r="AO160" s="28"/>
      <c r="AP160" s="28"/>
      <c r="AQ160" s="28"/>
    </row>
    <row r="161">
      <c r="J161" s="28"/>
      <c r="K161" s="28"/>
      <c r="L161" s="28"/>
      <c r="M161" s="28"/>
      <c r="T161" s="28"/>
      <c r="U161" s="28"/>
      <c r="V161" s="28"/>
      <c r="W161" s="28"/>
      <c r="AD161" s="28"/>
      <c r="AE161" s="28"/>
      <c r="AF161" s="28"/>
      <c r="AG161" s="28"/>
      <c r="AN161" s="28"/>
      <c r="AO161" s="28"/>
      <c r="AP161" s="28"/>
      <c r="AQ161" s="28"/>
    </row>
    <row r="162">
      <c r="J162" s="28"/>
      <c r="K162" s="28"/>
      <c r="L162" s="28"/>
      <c r="M162" s="28"/>
      <c r="T162" s="28"/>
      <c r="U162" s="28"/>
      <c r="V162" s="28"/>
      <c r="W162" s="28"/>
      <c r="AD162" s="28"/>
      <c r="AE162" s="28"/>
      <c r="AF162" s="28"/>
      <c r="AG162" s="28"/>
      <c r="AN162" s="28"/>
      <c r="AO162" s="28"/>
      <c r="AP162" s="28"/>
      <c r="AQ162" s="28"/>
    </row>
    <row r="163">
      <c r="J163" s="28"/>
      <c r="K163" s="28"/>
      <c r="L163" s="28"/>
      <c r="M163" s="28"/>
      <c r="T163" s="28"/>
      <c r="U163" s="28"/>
      <c r="V163" s="28"/>
      <c r="W163" s="28"/>
      <c r="AD163" s="28"/>
      <c r="AE163" s="28"/>
      <c r="AF163" s="28"/>
      <c r="AG163" s="28"/>
      <c r="AN163" s="28"/>
      <c r="AO163" s="28"/>
      <c r="AP163" s="28"/>
      <c r="AQ163" s="28"/>
    </row>
    <row r="164">
      <c r="J164" s="28"/>
      <c r="K164" s="28"/>
      <c r="L164" s="28"/>
      <c r="M164" s="28"/>
      <c r="T164" s="28"/>
      <c r="U164" s="28"/>
      <c r="V164" s="28"/>
      <c r="W164" s="28"/>
      <c r="AD164" s="28"/>
      <c r="AE164" s="28"/>
      <c r="AF164" s="28"/>
      <c r="AG164" s="28"/>
      <c r="AN164" s="28"/>
      <c r="AO164" s="28"/>
      <c r="AP164" s="28"/>
      <c r="AQ164" s="28"/>
    </row>
    <row r="165">
      <c r="J165" s="28"/>
      <c r="K165" s="28"/>
      <c r="L165" s="28"/>
      <c r="M165" s="28"/>
      <c r="T165" s="28"/>
      <c r="U165" s="28"/>
      <c r="V165" s="28"/>
      <c r="W165" s="28"/>
      <c r="AD165" s="28"/>
      <c r="AE165" s="28"/>
      <c r="AF165" s="28"/>
      <c r="AG165" s="28"/>
      <c r="AN165" s="28"/>
      <c r="AO165" s="28"/>
      <c r="AP165" s="28"/>
      <c r="AQ165" s="28"/>
    </row>
    <row r="166">
      <c r="J166" s="28"/>
      <c r="K166" s="28"/>
      <c r="L166" s="28"/>
      <c r="M166" s="28"/>
      <c r="T166" s="28"/>
      <c r="U166" s="28"/>
      <c r="V166" s="28"/>
      <c r="W166" s="28"/>
      <c r="AD166" s="28"/>
      <c r="AE166" s="28"/>
      <c r="AF166" s="28"/>
      <c r="AG166" s="28"/>
      <c r="AN166" s="28"/>
      <c r="AO166" s="28"/>
      <c r="AP166" s="28"/>
      <c r="AQ166" s="28"/>
    </row>
    <row r="167">
      <c r="J167" s="28"/>
      <c r="K167" s="28"/>
      <c r="L167" s="28"/>
      <c r="M167" s="28"/>
      <c r="T167" s="28"/>
      <c r="U167" s="28"/>
      <c r="V167" s="28"/>
      <c r="W167" s="28"/>
      <c r="AD167" s="28"/>
      <c r="AE167" s="28"/>
      <c r="AF167" s="28"/>
      <c r="AG167" s="28"/>
      <c r="AN167" s="28"/>
      <c r="AO167" s="28"/>
      <c r="AP167" s="28"/>
      <c r="AQ167" s="28"/>
    </row>
    <row r="168">
      <c r="J168" s="28"/>
      <c r="K168" s="28"/>
      <c r="L168" s="28"/>
      <c r="M168" s="28"/>
      <c r="T168" s="28"/>
      <c r="U168" s="28"/>
      <c r="V168" s="28"/>
      <c r="W168" s="28"/>
      <c r="AD168" s="28"/>
      <c r="AE168" s="28"/>
      <c r="AF168" s="28"/>
      <c r="AG168" s="28"/>
      <c r="AN168" s="28"/>
      <c r="AO168" s="28"/>
      <c r="AP168" s="28"/>
      <c r="AQ168" s="28"/>
    </row>
    <row r="169">
      <c r="J169" s="28"/>
      <c r="K169" s="28"/>
      <c r="L169" s="28"/>
      <c r="M169" s="28"/>
      <c r="T169" s="28"/>
      <c r="U169" s="28"/>
      <c r="V169" s="28"/>
      <c r="W169" s="28"/>
      <c r="AD169" s="28"/>
      <c r="AE169" s="28"/>
      <c r="AF169" s="28"/>
      <c r="AG169" s="28"/>
      <c r="AN169" s="28"/>
      <c r="AO169" s="28"/>
      <c r="AP169" s="28"/>
      <c r="AQ169" s="28"/>
    </row>
    <row r="170">
      <c r="J170" s="28"/>
      <c r="K170" s="28"/>
      <c r="L170" s="28"/>
      <c r="M170" s="28"/>
      <c r="T170" s="28"/>
      <c r="U170" s="28"/>
      <c r="V170" s="28"/>
      <c r="W170" s="28"/>
      <c r="AD170" s="28"/>
      <c r="AE170" s="28"/>
      <c r="AF170" s="28"/>
      <c r="AG170" s="28"/>
      <c r="AN170" s="28"/>
      <c r="AO170" s="28"/>
      <c r="AP170" s="28"/>
      <c r="AQ170" s="28"/>
    </row>
    <row r="171">
      <c r="J171" s="28"/>
      <c r="K171" s="28"/>
      <c r="L171" s="28"/>
      <c r="M171" s="28"/>
      <c r="T171" s="28"/>
      <c r="U171" s="28"/>
      <c r="V171" s="28"/>
      <c r="W171" s="28"/>
      <c r="AD171" s="28"/>
      <c r="AE171" s="28"/>
      <c r="AF171" s="28"/>
      <c r="AG171" s="28"/>
      <c r="AN171" s="28"/>
      <c r="AO171" s="28"/>
      <c r="AP171" s="28"/>
      <c r="AQ171" s="28"/>
    </row>
    <row r="172">
      <c r="J172" s="28"/>
      <c r="K172" s="28"/>
      <c r="L172" s="28"/>
      <c r="M172" s="28"/>
      <c r="T172" s="28"/>
      <c r="U172" s="28"/>
      <c r="V172" s="28"/>
      <c r="W172" s="28"/>
      <c r="AD172" s="28"/>
      <c r="AE172" s="28"/>
      <c r="AF172" s="28"/>
      <c r="AG172" s="28"/>
      <c r="AN172" s="28"/>
      <c r="AO172" s="28"/>
      <c r="AP172" s="28"/>
      <c r="AQ172" s="28"/>
    </row>
    <row r="173">
      <c r="J173" s="28"/>
      <c r="K173" s="28"/>
      <c r="L173" s="28"/>
      <c r="M173" s="28"/>
      <c r="T173" s="28"/>
      <c r="U173" s="28"/>
      <c r="V173" s="28"/>
      <c r="W173" s="28"/>
      <c r="AD173" s="28"/>
      <c r="AE173" s="28"/>
      <c r="AF173" s="28"/>
      <c r="AG173" s="28"/>
      <c r="AN173" s="28"/>
      <c r="AO173" s="28"/>
      <c r="AP173" s="28"/>
      <c r="AQ173" s="28"/>
    </row>
    <row r="174">
      <c r="J174" s="28"/>
      <c r="K174" s="28"/>
      <c r="L174" s="28"/>
      <c r="M174" s="28"/>
      <c r="T174" s="28"/>
      <c r="U174" s="28"/>
      <c r="V174" s="28"/>
      <c r="W174" s="28"/>
      <c r="AD174" s="28"/>
      <c r="AE174" s="28"/>
      <c r="AF174" s="28"/>
      <c r="AG174" s="28"/>
      <c r="AN174" s="28"/>
      <c r="AO174" s="28"/>
      <c r="AP174" s="28"/>
      <c r="AQ174" s="28"/>
    </row>
    <row r="175">
      <c r="J175" s="28"/>
      <c r="K175" s="28"/>
      <c r="L175" s="28"/>
      <c r="M175" s="28"/>
      <c r="T175" s="28"/>
      <c r="U175" s="28"/>
      <c r="V175" s="28"/>
      <c r="W175" s="28"/>
      <c r="AD175" s="28"/>
      <c r="AE175" s="28"/>
      <c r="AF175" s="28"/>
      <c r="AG175" s="28"/>
      <c r="AN175" s="28"/>
      <c r="AO175" s="28"/>
      <c r="AP175" s="28"/>
      <c r="AQ175" s="28"/>
    </row>
    <row r="176">
      <c r="J176" s="28"/>
      <c r="K176" s="28"/>
      <c r="L176" s="28"/>
      <c r="M176" s="28"/>
      <c r="T176" s="28"/>
      <c r="U176" s="28"/>
      <c r="V176" s="28"/>
      <c r="W176" s="28"/>
      <c r="AD176" s="28"/>
      <c r="AE176" s="28"/>
      <c r="AF176" s="28"/>
      <c r="AG176" s="28"/>
      <c r="AN176" s="28"/>
      <c r="AO176" s="28"/>
      <c r="AP176" s="28"/>
      <c r="AQ176" s="28"/>
    </row>
    <row r="177">
      <c r="J177" s="28"/>
      <c r="K177" s="28"/>
      <c r="L177" s="28"/>
      <c r="M177" s="28"/>
      <c r="T177" s="28"/>
      <c r="U177" s="28"/>
      <c r="V177" s="28"/>
      <c r="W177" s="28"/>
      <c r="AD177" s="28"/>
      <c r="AE177" s="28"/>
      <c r="AF177" s="28"/>
      <c r="AG177" s="28"/>
      <c r="AN177" s="28"/>
      <c r="AO177" s="28"/>
      <c r="AP177" s="28"/>
      <c r="AQ177" s="28"/>
    </row>
    <row r="178">
      <c r="J178" s="28"/>
      <c r="K178" s="28"/>
      <c r="L178" s="28"/>
      <c r="M178" s="28"/>
      <c r="T178" s="28"/>
      <c r="U178" s="28"/>
      <c r="V178" s="28"/>
      <c r="W178" s="28"/>
      <c r="AD178" s="28"/>
      <c r="AE178" s="28"/>
      <c r="AF178" s="28"/>
      <c r="AG178" s="28"/>
      <c r="AN178" s="28"/>
      <c r="AO178" s="28"/>
      <c r="AP178" s="28"/>
      <c r="AQ178" s="28"/>
    </row>
    <row r="179">
      <c r="J179" s="28"/>
      <c r="K179" s="28"/>
      <c r="L179" s="28"/>
      <c r="M179" s="28"/>
      <c r="T179" s="28"/>
      <c r="U179" s="28"/>
      <c r="V179" s="28"/>
      <c r="W179" s="28"/>
      <c r="AD179" s="28"/>
      <c r="AE179" s="28"/>
      <c r="AF179" s="28"/>
      <c r="AG179" s="28"/>
      <c r="AN179" s="28"/>
      <c r="AO179" s="28"/>
      <c r="AP179" s="28"/>
      <c r="AQ179" s="28"/>
    </row>
    <row r="180">
      <c r="J180" s="28"/>
      <c r="K180" s="28"/>
      <c r="L180" s="28"/>
      <c r="M180" s="28"/>
      <c r="T180" s="28"/>
      <c r="U180" s="28"/>
      <c r="V180" s="28"/>
      <c r="W180" s="28"/>
      <c r="AD180" s="28"/>
      <c r="AE180" s="28"/>
      <c r="AF180" s="28"/>
      <c r="AG180" s="28"/>
      <c r="AN180" s="28"/>
      <c r="AO180" s="28"/>
      <c r="AP180" s="28"/>
      <c r="AQ180" s="28"/>
    </row>
    <row r="181">
      <c r="J181" s="28"/>
      <c r="K181" s="28"/>
      <c r="L181" s="28"/>
      <c r="M181" s="28"/>
      <c r="T181" s="28"/>
      <c r="U181" s="28"/>
      <c r="V181" s="28"/>
      <c r="W181" s="28"/>
      <c r="AD181" s="28"/>
      <c r="AE181" s="28"/>
      <c r="AF181" s="28"/>
      <c r="AG181" s="28"/>
      <c r="AN181" s="28"/>
      <c r="AO181" s="28"/>
      <c r="AP181" s="28"/>
      <c r="AQ181" s="28"/>
    </row>
    <row r="182">
      <c r="J182" s="28"/>
      <c r="K182" s="28"/>
      <c r="L182" s="28"/>
      <c r="M182" s="28"/>
      <c r="T182" s="28"/>
      <c r="U182" s="28"/>
      <c r="V182" s="28"/>
      <c r="W182" s="28"/>
      <c r="AD182" s="28"/>
      <c r="AE182" s="28"/>
      <c r="AF182" s="28"/>
      <c r="AG182" s="28"/>
      <c r="AN182" s="28"/>
      <c r="AO182" s="28"/>
      <c r="AP182" s="28"/>
      <c r="AQ182" s="28"/>
    </row>
    <row r="183">
      <c r="J183" s="28"/>
      <c r="K183" s="28"/>
      <c r="L183" s="28"/>
      <c r="M183" s="28"/>
      <c r="T183" s="28"/>
      <c r="U183" s="28"/>
      <c r="V183" s="28"/>
      <c r="W183" s="28"/>
      <c r="AD183" s="28"/>
      <c r="AE183" s="28"/>
      <c r="AF183" s="28"/>
      <c r="AG183" s="28"/>
      <c r="AN183" s="28"/>
      <c r="AO183" s="28"/>
      <c r="AP183" s="28"/>
      <c r="AQ183" s="28"/>
    </row>
    <row r="184">
      <c r="J184" s="28"/>
      <c r="K184" s="28"/>
      <c r="L184" s="28"/>
      <c r="M184" s="28"/>
      <c r="T184" s="28"/>
      <c r="U184" s="28"/>
      <c r="V184" s="28"/>
      <c r="W184" s="28"/>
      <c r="AD184" s="28"/>
      <c r="AE184" s="28"/>
      <c r="AF184" s="28"/>
      <c r="AG184" s="28"/>
      <c r="AN184" s="28"/>
      <c r="AO184" s="28"/>
      <c r="AP184" s="28"/>
      <c r="AQ184" s="28"/>
    </row>
    <row r="185">
      <c r="J185" s="28"/>
      <c r="K185" s="28"/>
      <c r="L185" s="28"/>
      <c r="M185" s="28"/>
      <c r="T185" s="28"/>
      <c r="U185" s="28"/>
      <c r="V185" s="28"/>
      <c r="W185" s="28"/>
      <c r="AD185" s="28"/>
      <c r="AE185" s="28"/>
      <c r="AF185" s="28"/>
      <c r="AG185" s="28"/>
      <c r="AN185" s="28"/>
      <c r="AO185" s="28"/>
      <c r="AP185" s="28"/>
      <c r="AQ185" s="28"/>
    </row>
    <row r="186">
      <c r="J186" s="28"/>
      <c r="K186" s="28"/>
      <c r="L186" s="28"/>
      <c r="M186" s="28"/>
      <c r="T186" s="28"/>
      <c r="U186" s="28"/>
      <c r="V186" s="28"/>
      <c r="W186" s="28"/>
      <c r="AD186" s="28"/>
      <c r="AE186" s="28"/>
      <c r="AF186" s="28"/>
      <c r="AG186" s="28"/>
      <c r="AN186" s="28"/>
      <c r="AO186" s="28"/>
      <c r="AP186" s="28"/>
      <c r="AQ186" s="28"/>
    </row>
    <row r="187">
      <c r="J187" s="28"/>
      <c r="K187" s="28"/>
      <c r="L187" s="28"/>
      <c r="M187" s="28"/>
      <c r="T187" s="28"/>
      <c r="U187" s="28"/>
      <c r="V187" s="28"/>
      <c r="W187" s="28"/>
      <c r="AD187" s="28"/>
      <c r="AE187" s="28"/>
      <c r="AF187" s="28"/>
      <c r="AG187" s="28"/>
      <c r="AN187" s="28"/>
      <c r="AO187" s="28"/>
      <c r="AP187" s="28"/>
      <c r="AQ187" s="28"/>
    </row>
    <row r="188">
      <c r="J188" s="28"/>
      <c r="K188" s="28"/>
      <c r="L188" s="28"/>
      <c r="M188" s="28"/>
      <c r="T188" s="28"/>
      <c r="U188" s="28"/>
      <c r="V188" s="28"/>
      <c r="W188" s="28"/>
      <c r="AD188" s="28"/>
      <c r="AE188" s="28"/>
      <c r="AF188" s="28"/>
      <c r="AG188" s="28"/>
      <c r="AN188" s="28"/>
      <c r="AO188" s="28"/>
      <c r="AP188" s="28"/>
      <c r="AQ188" s="28"/>
    </row>
    <row r="189">
      <c r="J189" s="28"/>
      <c r="K189" s="28"/>
      <c r="L189" s="28"/>
      <c r="M189" s="28"/>
      <c r="T189" s="28"/>
      <c r="U189" s="28"/>
      <c r="V189" s="28"/>
      <c r="W189" s="28"/>
      <c r="AD189" s="28"/>
      <c r="AE189" s="28"/>
      <c r="AF189" s="28"/>
      <c r="AG189" s="28"/>
      <c r="AN189" s="28"/>
      <c r="AO189" s="28"/>
      <c r="AP189" s="28"/>
      <c r="AQ189" s="28"/>
    </row>
    <row r="190">
      <c r="J190" s="28"/>
      <c r="K190" s="28"/>
      <c r="L190" s="28"/>
      <c r="M190" s="28"/>
      <c r="T190" s="28"/>
      <c r="U190" s="28"/>
      <c r="V190" s="28"/>
      <c r="W190" s="28"/>
      <c r="AD190" s="28"/>
      <c r="AE190" s="28"/>
      <c r="AF190" s="28"/>
      <c r="AG190" s="28"/>
      <c r="AN190" s="28"/>
      <c r="AO190" s="28"/>
      <c r="AP190" s="28"/>
      <c r="AQ190" s="28"/>
    </row>
    <row r="191">
      <c r="J191" s="28"/>
      <c r="K191" s="28"/>
      <c r="L191" s="28"/>
      <c r="M191" s="28"/>
      <c r="T191" s="28"/>
      <c r="U191" s="28"/>
      <c r="V191" s="28"/>
      <c r="W191" s="28"/>
      <c r="AD191" s="28"/>
      <c r="AE191" s="28"/>
      <c r="AF191" s="28"/>
      <c r="AG191" s="28"/>
      <c r="AN191" s="28"/>
      <c r="AO191" s="28"/>
      <c r="AP191" s="28"/>
      <c r="AQ191" s="28"/>
    </row>
    <row r="192">
      <c r="J192" s="28"/>
      <c r="K192" s="28"/>
      <c r="L192" s="28"/>
      <c r="M192" s="28"/>
      <c r="T192" s="28"/>
      <c r="U192" s="28"/>
      <c r="V192" s="28"/>
      <c r="W192" s="28"/>
      <c r="AD192" s="28"/>
      <c r="AE192" s="28"/>
      <c r="AF192" s="28"/>
      <c r="AG192" s="28"/>
      <c r="AN192" s="28"/>
      <c r="AO192" s="28"/>
      <c r="AP192" s="28"/>
      <c r="AQ192" s="28"/>
    </row>
    <row r="193">
      <c r="J193" s="28"/>
      <c r="K193" s="28"/>
      <c r="L193" s="28"/>
      <c r="M193" s="28"/>
      <c r="T193" s="28"/>
      <c r="U193" s="28"/>
      <c r="V193" s="28"/>
      <c r="W193" s="28"/>
      <c r="AD193" s="28"/>
      <c r="AE193" s="28"/>
      <c r="AF193" s="28"/>
      <c r="AG193" s="28"/>
      <c r="AN193" s="28"/>
      <c r="AO193" s="28"/>
      <c r="AP193" s="28"/>
      <c r="AQ193" s="28"/>
    </row>
    <row r="194">
      <c r="J194" s="28"/>
      <c r="K194" s="28"/>
      <c r="L194" s="28"/>
      <c r="M194" s="28"/>
      <c r="T194" s="28"/>
      <c r="U194" s="28"/>
      <c r="V194" s="28"/>
      <c r="W194" s="28"/>
      <c r="AD194" s="28"/>
      <c r="AE194" s="28"/>
      <c r="AF194" s="28"/>
      <c r="AG194" s="28"/>
      <c r="AN194" s="28"/>
      <c r="AO194" s="28"/>
      <c r="AP194" s="28"/>
      <c r="AQ194" s="28"/>
    </row>
    <row r="195">
      <c r="J195" s="28"/>
      <c r="K195" s="28"/>
      <c r="L195" s="28"/>
      <c r="M195" s="28"/>
      <c r="T195" s="28"/>
      <c r="U195" s="28"/>
      <c r="V195" s="28"/>
      <c r="W195" s="28"/>
      <c r="AD195" s="28"/>
      <c r="AE195" s="28"/>
      <c r="AF195" s="28"/>
      <c r="AG195" s="28"/>
      <c r="AN195" s="28"/>
      <c r="AO195" s="28"/>
      <c r="AP195" s="28"/>
      <c r="AQ195" s="28"/>
    </row>
    <row r="196">
      <c r="J196" s="28"/>
      <c r="K196" s="28"/>
      <c r="L196" s="28"/>
      <c r="M196" s="28"/>
      <c r="T196" s="28"/>
      <c r="U196" s="28"/>
      <c r="V196" s="28"/>
      <c r="W196" s="28"/>
      <c r="AD196" s="28"/>
      <c r="AE196" s="28"/>
      <c r="AF196" s="28"/>
      <c r="AG196" s="28"/>
      <c r="AN196" s="28"/>
      <c r="AO196" s="28"/>
      <c r="AP196" s="28"/>
      <c r="AQ196" s="28"/>
    </row>
    <row r="197">
      <c r="J197" s="28"/>
      <c r="K197" s="28"/>
      <c r="L197" s="28"/>
      <c r="M197" s="28"/>
      <c r="T197" s="28"/>
      <c r="U197" s="28"/>
      <c r="V197" s="28"/>
      <c r="W197" s="28"/>
      <c r="AD197" s="28"/>
      <c r="AE197" s="28"/>
      <c r="AF197" s="28"/>
      <c r="AG197" s="28"/>
      <c r="AN197" s="28"/>
      <c r="AO197" s="28"/>
      <c r="AP197" s="28"/>
      <c r="AQ197" s="28"/>
    </row>
    <row r="198">
      <c r="J198" s="28"/>
      <c r="K198" s="28"/>
      <c r="L198" s="28"/>
      <c r="M198" s="28"/>
      <c r="T198" s="28"/>
      <c r="U198" s="28"/>
      <c r="V198" s="28"/>
      <c r="W198" s="28"/>
      <c r="AD198" s="28"/>
      <c r="AE198" s="28"/>
      <c r="AF198" s="28"/>
      <c r="AG198" s="28"/>
      <c r="AN198" s="28"/>
      <c r="AO198" s="28"/>
      <c r="AP198" s="28"/>
      <c r="AQ198" s="28"/>
    </row>
    <row r="199">
      <c r="J199" s="28"/>
      <c r="K199" s="28"/>
      <c r="L199" s="28"/>
      <c r="M199" s="28"/>
      <c r="T199" s="28"/>
      <c r="U199" s="28"/>
      <c r="V199" s="28"/>
      <c r="W199" s="28"/>
      <c r="AD199" s="28"/>
      <c r="AE199" s="28"/>
      <c r="AF199" s="28"/>
      <c r="AG199" s="28"/>
      <c r="AN199" s="28"/>
      <c r="AO199" s="28"/>
      <c r="AP199" s="28"/>
      <c r="AQ199" s="28"/>
    </row>
    <row r="200">
      <c r="J200" s="28"/>
      <c r="K200" s="28"/>
      <c r="L200" s="28"/>
      <c r="M200" s="28"/>
      <c r="T200" s="28"/>
      <c r="U200" s="28"/>
      <c r="V200" s="28"/>
      <c r="W200" s="28"/>
      <c r="AD200" s="28"/>
      <c r="AE200" s="28"/>
      <c r="AF200" s="28"/>
      <c r="AG200" s="28"/>
      <c r="AN200" s="28"/>
      <c r="AO200" s="28"/>
      <c r="AP200" s="28"/>
      <c r="AQ200" s="28"/>
    </row>
    <row r="201">
      <c r="J201" s="28"/>
      <c r="K201" s="28"/>
      <c r="L201" s="28"/>
      <c r="M201" s="28"/>
      <c r="T201" s="28"/>
      <c r="U201" s="28"/>
      <c r="V201" s="28"/>
      <c r="W201" s="28"/>
      <c r="AD201" s="28"/>
      <c r="AE201" s="28"/>
      <c r="AF201" s="28"/>
      <c r="AG201" s="28"/>
      <c r="AN201" s="28"/>
      <c r="AO201" s="28"/>
      <c r="AP201" s="28"/>
      <c r="AQ201" s="28"/>
    </row>
    <row r="202">
      <c r="J202" s="28"/>
      <c r="K202" s="28"/>
      <c r="L202" s="28"/>
      <c r="M202" s="28"/>
      <c r="T202" s="28"/>
      <c r="U202" s="28"/>
      <c r="V202" s="28"/>
      <c r="W202" s="28"/>
      <c r="AD202" s="28"/>
      <c r="AE202" s="28"/>
      <c r="AF202" s="28"/>
      <c r="AG202" s="28"/>
      <c r="AN202" s="28"/>
      <c r="AO202" s="28"/>
      <c r="AP202" s="28"/>
      <c r="AQ202" s="28"/>
    </row>
    <row r="203">
      <c r="J203" s="28"/>
      <c r="K203" s="28"/>
      <c r="L203" s="28"/>
      <c r="M203" s="28"/>
      <c r="T203" s="28"/>
      <c r="U203" s="28"/>
      <c r="V203" s="28"/>
      <c r="W203" s="28"/>
      <c r="AD203" s="28"/>
      <c r="AE203" s="28"/>
      <c r="AF203" s="28"/>
      <c r="AG203" s="28"/>
      <c r="AN203" s="28"/>
      <c r="AO203" s="28"/>
      <c r="AP203" s="28"/>
      <c r="AQ203" s="28"/>
    </row>
    <row r="204">
      <c r="J204" s="28"/>
      <c r="K204" s="28"/>
      <c r="L204" s="28"/>
      <c r="M204" s="28"/>
      <c r="T204" s="28"/>
      <c r="U204" s="28"/>
      <c r="V204" s="28"/>
      <c r="W204" s="28"/>
      <c r="AD204" s="28"/>
      <c r="AE204" s="28"/>
      <c r="AF204" s="28"/>
      <c r="AG204" s="28"/>
      <c r="AN204" s="28"/>
      <c r="AO204" s="28"/>
      <c r="AP204" s="28"/>
      <c r="AQ204" s="28"/>
    </row>
    <row r="205">
      <c r="J205" s="28"/>
      <c r="K205" s="28"/>
      <c r="L205" s="28"/>
      <c r="M205" s="28"/>
      <c r="T205" s="28"/>
      <c r="U205" s="28"/>
      <c r="V205" s="28"/>
      <c r="W205" s="28"/>
      <c r="AD205" s="28"/>
      <c r="AE205" s="28"/>
      <c r="AF205" s="28"/>
      <c r="AG205" s="28"/>
      <c r="AN205" s="28"/>
      <c r="AO205" s="28"/>
      <c r="AP205" s="28"/>
      <c r="AQ205" s="28"/>
    </row>
    <row r="206">
      <c r="J206" s="28"/>
      <c r="K206" s="28"/>
      <c r="L206" s="28"/>
      <c r="M206" s="28"/>
      <c r="T206" s="28"/>
      <c r="U206" s="28"/>
      <c r="V206" s="28"/>
      <c r="W206" s="28"/>
      <c r="AD206" s="28"/>
      <c r="AE206" s="28"/>
      <c r="AF206" s="28"/>
      <c r="AG206" s="28"/>
      <c r="AN206" s="28"/>
      <c r="AO206" s="28"/>
      <c r="AP206" s="28"/>
      <c r="AQ206" s="28"/>
    </row>
    <row r="207">
      <c r="J207" s="28"/>
      <c r="K207" s="28"/>
      <c r="L207" s="28"/>
      <c r="M207" s="28"/>
      <c r="T207" s="28"/>
      <c r="U207" s="28"/>
      <c r="V207" s="28"/>
      <c r="W207" s="28"/>
      <c r="AD207" s="28"/>
      <c r="AE207" s="28"/>
      <c r="AF207" s="28"/>
      <c r="AG207" s="28"/>
      <c r="AN207" s="28"/>
      <c r="AO207" s="28"/>
      <c r="AP207" s="28"/>
      <c r="AQ207" s="28"/>
    </row>
    <row r="208">
      <c r="J208" s="28"/>
      <c r="K208" s="28"/>
      <c r="L208" s="28"/>
      <c r="M208" s="28"/>
      <c r="T208" s="28"/>
      <c r="U208" s="28"/>
      <c r="V208" s="28"/>
      <c r="W208" s="28"/>
      <c r="AD208" s="28"/>
      <c r="AE208" s="28"/>
      <c r="AF208" s="28"/>
      <c r="AG208" s="28"/>
      <c r="AN208" s="28"/>
      <c r="AO208" s="28"/>
      <c r="AP208" s="28"/>
      <c r="AQ208" s="28"/>
    </row>
    <row r="209">
      <c r="J209" s="28"/>
      <c r="K209" s="28"/>
      <c r="L209" s="28"/>
      <c r="M209" s="28"/>
      <c r="T209" s="28"/>
      <c r="U209" s="28"/>
      <c r="V209" s="28"/>
      <c r="W209" s="28"/>
      <c r="AD209" s="28"/>
      <c r="AE209" s="28"/>
      <c r="AF209" s="28"/>
      <c r="AG209" s="28"/>
      <c r="AN209" s="28"/>
      <c r="AO209" s="28"/>
      <c r="AP209" s="28"/>
      <c r="AQ209" s="28"/>
    </row>
    <row r="210">
      <c r="J210" s="28"/>
      <c r="K210" s="28"/>
      <c r="L210" s="28"/>
      <c r="M210" s="28"/>
      <c r="T210" s="28"/>
      <c r="U210" s="28"/>
      <c r="V210" s="28"/>
      <c r="W210" s="28"/>
      <c r="AD210" s="28"/>
      <c r="AE210" s="28"/>
      <c r="AF210" s="28"/>
      <c r="AG210" s="28"/>
      <c r="AN210" s="28"/>
      <c r="AO210" s="28"/>
      <c r="AP210" s="28"/>
      <c r="AQ210" s="28"/>
    </row>
    <row r="211">
      <c r="J211" s="28"/>
      <c r="K211" s="28"/>
      <c r="L211" s="28"/>
      <c r="M211" s="28"/>
      <c r="T211" s="28"/>
      <c r="U211" s="28"/>
      <c r="V211" s="28"/>
      <c r="W211" s="28"/>
      <c r="AD211" s="28"/>
      <c r="AE211" s="28"/>
      <c r="AF211" s="28"/>
      <c r="AG211" s="28"/>
      <c r="AN211" s="28"/>
      <c r="AO211" s="28"/>
      <c r="AP211" s="28"/>
      <c r="AQ211" s="28"/>
    </row>
    <row r="212">
      <c r="J212" s="28"/>
      <c r="K212" s="28"/>
      <c r="L212" s="28"/>
      <c r="M212" s="28"/>
      <c r="T212" s="28"/>
      <c r="U212" s="28"/>
      <c r="V212" s="28"/>
      <c r="W212" s="28"/>
      <c r="AD212" s="28"/>
      <c r="AE212" s="28"/>
      <c r="AF212" s="28"/>
      <c r="AG212" s="28"/>
      <c r="AN212" s="28"/>
      <c r="AO212" s="28"/>
      <c r="AP212" s="28"/>
      <c r="AQ212" s="28"/>
    </row>
    <row r="213">
      <c r="J213" s="28"/>
      <c r="K213" s="28"/>
      <c r="L213" s="28"/>
      <c r="M213" s="28"/>
      <c r="T213" s="28"/>
      <c r="U213" s="28"/>
      <c r="V213" s="28"/>
      <c r="W213" s="28"/>
      <c r="AD213" s="28"/>
      <c r="AE213" s="28"/>
      <c r="AF213" s="28"/>
      <c r="AG213" s="28"/>
      <c r="AN213" s="28"/>
      <c r="AO213" s="28"/>
      <c r="AP213" s="28"/>
      <c r="AQ213" s="28"/>
    </row>
    <row r="214">
      <c r="J214" s="28"/>
      <c r="K214" s="28"/>
      <c r="L214" s="28"/>
      <c r="M214" s="28"/>
      <c r="T214" s="28"/>
      <c r="U214" s="28"/>
      <c r="V214" s="28"/>
      <c r="W214" s="28"/>
      <c r="AD214" s="28"/>
      <c r="AE214" s="28"/>
      <c r="AF214" s="28"/>
      <c r="AG214" s="28"/>
      <c r="AN214" s="28"/>
      <c r="AO214" s="28"/>
      <c r="AP214" s="28"/>
      <c r="AQ214" s="28"/>
    </row>
    <row r="215">
      <c r="J215" s="28"/>
      <c r="K215" s="28"/>
      <c r="L215" s="28"/>
      <c r="M215" s="28"/>
      <c r="T215" s="28"/>
      <c r="U215" s="28"/>
      <c r="V215" s="28"/>
      <c r="W215" s="28"/>
      <c r="AD215" s="28"/>
      <c r="AE215" s="28"/>
      <c r="AF215" s="28"/>
      <c r="AG215" s="28"/>
      <c r="AN215" s="28"/>
      <c r="AO215" s="28"/>
      <c r="AP215" s="28"/>
      <c r="AQ215" s="28"/>
    </row>
    <row r="216">
      <c r="J216" s="28"/>
      <c r="K216" s="28"/>
      <c r="L216" s="28"/>
      <c r="M216" s="28"/>
      <c r="T216" s="28"/>
      <c r="U216" s="28"/>
      <c r="V216" s="28"/>
      <c r="W216" s="28"/>
      <c r="AD216" s="28"/>
      <c r="AE216" s="28"/>
      <c r="AF216" s="28"/>
      <c r="AG216" s="28"/>
      <c r="AN216" s="28"/>
      <c r="AO216" s="28"/>
      <c r="AP216" s="28"/>
      <c r="AQ216" s="28"/>
    </row>
    <row r="217">
      <c r="J217" s="28"/>
      <c r="K217" s="28"/>
      <c r="L217" s="28"/>
      <c r="M217" s="28"/>
      <c r="T217" s="28"/>
      <c r="U217" s="28"/>
      <c r="V217" s="28"/>
      <c r="W217" s="28"/>
      <c r="AD217" s="28"/>
      <c r="AE217" s="28"/>
      <c r="AF217" s="28"/>
      <c r="AG217" s="28"/>
      <c r="AN217" s="28"/>
      <c r="AO217" s="28"/>
      <c r="AP217" s="28"/>
      <c r="AQ217" s="28"/>
    </row>
    <row r="218">
      <c r="J218" s="28"/>
      <c r="K218" s="28"/>
      <c r="L218" s="28"/>
      <c r="M218" s="28"/>
      <c r="T218" s="28"/>
      <c r="U218" s="28"/>
      <c r="V218" s="28"/>
      <c r="W218" s="28"/>
      <c r="AD218" s="28"/>
      <c r="AE218" s="28"/>
      <c r="AF218" s="28"/>
      <c r="AG218" s="28"/>
      <c r="AN218" s="28"/>
      <c r="AO218" s="28"/>
      <c r="AP218" s="28"/>
      <c r="AQ218" s="28"/>
    </row>
    <row r="219">
      <c r="J219" s="28"/>
      <c r="K219" s="28"/>
      <c r="L219" s="28"/>
      <c r="M219" s="28"/>
      <c r="T219" s="28"/>
      <c r="U219" s="28"/>
      <c r="V219" s="28"/>
      <c r="W219" s="28"/>
      <c r="AD219" s="28"/>
      <c r="AE219" s="28"/>
      <c r="AF219" s="28"/>
      <c r="AG219" s="28"/>
      <c r="AN219" s="28"/>
      <c r="AO219" s="28"/>
      <c r="AP219" s="28"/>
      <c r="AQ219" s="28"/>
    </row>
    <row r="220">
      <c r="J220" s="28"/>
      <c r="K220" s="28"/>
      <c r="L220" s="28"/>
      <c r="M220" s="28"/>
      <c r="T220" s="28"/>
      <c r="U220" s="28"/>
      <c r="V220" s="28"/>
      <c r="W220" s="28"/>
      <c r="AD220" s="28"/>
      <c r="AE220" s="28"/>
      <c r="AF220" s="28"/>
      <c r="AG220" s="28"/>
      <c r="AN220" s="28"/>
      <c r="AO220" s="28"/>
      <c r="AP220" s="28"/>
      <c r="AQ220" s="28"/>
    </row>
    <row r="221">
      <c r="J221" s="28"/>
      <c r="K221" s="28"/>
      <c r="L221" s="28"/>
      <c r="M221" s="28"/>
      <c r="T221" s="28"/>
      <c r="U221" s="28"/>
      <c r="V221" s="28"/>
      <c r="W221" s="28"/>
      <c r="AD221" s="28"/>
      <c r="AE221" s="28"/>
      <c r="AF221" s="28"/>
      <c r="AG221" s="28"/>
      <c r="AN221" s="28"/>
      <c r="AO221" s="28"/>
      <c r="AP221" s="28"/>
      <c r="AQ221" s="28"/>
    </row>
    <row r="222">
      <c r="J222" s="28"/>
      <c r="K222" s="28"/>
      <c r="L222" s="28"/>
      <c r="M222" s="28"/>
      <c r="T222" s="28"/>
      <c r="U222" s="28"/>
      <c r="V222" s="28"/>
      <c r="W222" s="28"/>
      <c r="AD222" s="28"/>
      <c r="AE222" s="28"/>
      <c r="AF222" s="28"/>
      <c r="AG222" s="28"/>
      <c r="AN222" s="28"/>
      <c r="AO222" s="28"/>
      <c r="AP222" s="28"/>
      <c r="AQ222" s="28"/>
    </row>
    <row r="223">
      <c r="J223" s="28"/>
      <c r="K223" s="28"/>
      <c r="L223" s="28"/>
      <c r="M223" s="28"/>
      <c r="T223" s="28"/>
      <c r="U223" s="28"/>
      <c r="V223" s="28"/>
      <c r="W223" s="28"/>
      <c r="AD223" s="28"/>
      <c r="AE223" s="28"/>
      <c r="AF223" s="28"/>
      <c r="AG223" s="28"/>
      <c r="AN223" s="28"/>
      <c r="AO223" s="28"/>
      <c r="AP223" s="28"/>
      <c r="AQ223" s="28"/>
    </row>
    <row r="224">
      <c r="J224" s="28"/>
      <c r="K224" s="28"/>
      <c r="L224" s="28"/>
      <c r="M224" s="28"/>
      <c r="T224" s="28"/>
      <c r="U224" s="28"/>
      <c r="V224" s="28"/>
      <c r="W224" s="28"/>
      <c r="AD224" s="28"/>
      <c r="AE224" s="28"/>
      <c r="AF224" s="28"/>
      <c r="AG224" s="28"/>
      <c r="AN224" s="28"/>
      <c r="AO224" s="28"/>
      <c r="AP224" s="28"/>
      <c r="AQ224" s="28"/>
    </row>
    <row r="225">
      <c r="J225" s="28"/>
      <c r="K225" s="28"/>
      <c r="L225" s="28"/>
      <c r="M225" s="28"/>
      <c r="T225" s="28"/>
      <c r="U225" s="28"/>
      <c r="V225" s="28"/>
      <c r="W225" s="28"/>
      <c r="AD225" s="28"/>
      <c r="AE225" s="28"/>
      <c r="AF225" s="28"/>
      <c r="AG225" s="28"/>
      <c r="AN225" s="28"/>
      <c r="AO225" s="28"/>
      <c r="AP225" s="28"/>
      <c r="AQ225" s="28"/>
    </row>
    <row r="226">
      <c r="J226" s="28"/>
      <c r="K226" s="28"/>
      <c r="L226" s="28"/>
      <c r="M226" s="28"/>
      <c r="T226" s="28"/>
      <c r="U226" s="28"/>
      <c r="V226" s="28"/>
      <c r="W226" s="28"/>
      <c r="AD226" s="28"/>
      <c r="AE226" s="28"/>
      <c r="AF226" s="28"/>
      <c r="AG226" s="28"/>
      <c r="AN226" s="28"/>
      <c r="AO226" s="28"/>
      <c r="AP226" s="28"/>
      <c r="AQ226" s="28"/>
    </row>
    <row r="227">
      <c r="J227" s="28"/>
      <c r="K227" s="28"/>
      <c r="L227" s="28"/>
      <c r="M227" s="28"/>
      <c r="T227" s="28"/>
      <c r="U227" s="28"/>
      <c r="V227" s="28"/>
      <c r="W227" s="28"/>
      <c r="AD227" s="28"/>
      <c r="AE227" s="28"/>
      <c r="AF227" s="28"/>
      <c r="AG227" s="28"/>
      <c r="AN227" s="28"/>
      <c r="AO227" s="28"/>
      <c r="AP227" s="28"/>
      <c r="AQ227" s="28"/>
    </row>
    <row r="228">
      <c r="J228" s="28"/>
      <c r="K228" s="28"/>
      <c r="L228" s="28"/>
      <c r="M228" s="28"/>
      <c r="T228" s="28"/>
      <c r="U228" s="28"/>
      <c r="V228" s="28"/>
      <c r="W228" s="28"/>
      <c r="AD228" s="28"/>
      <c r="AE228" s="28"/>
      <c r="AF228" s="28"/>
      <c r="AG228" s="28"/>
      <c r="AN228" s="28"/>
      <c r="AO228" s="28"/>
      <c r="AP228" s="28"/>
      <c r="AQ228" s="28"/>
    </row>
    <row r="229">
      <c r="J229" s="28"/>
      <c r="K229" s="28"/>
      <c r="L229" s="28"/>
      <c r="M229" s="28"/>
      <c r="T229" s="28"/>
      <c r="U229" s="28"/>
      <c r="V229" s="28"/>
      <c r="W229" s="28"/>
      <c r="AD229" s="28"/>
      <c r="AE229" s="28"/>
      <c r="AF229" s="28"/>
      <c r="AG229" s="28"/>
      <c r="AN229" s="28"/>
      <c r="AO229" s="28"/>
      <c r="AP229" s="28"/>
      <c r="AQ229" s="28"/>
    </row>
    <row r="230">
      <c r="J230" s="28"/>
      <c r="K230" s="28"/>
      <c r="L230" s="28"/>
      <c r="M230" s="28"/>
      <c r="T230" s="28"/>
      <c r="U230" s="28"/>
      <c r="V230" s="28"/>
      <c r="W230" s="28"/>
      <c r="AD230" s="28"/>
      <c r="AE230" s="28"/>
      <c r="AF230" s="28"/>
      <c r="AG230" s="28"/>
      <c r="AN230" s="28"/>
      <c r="AO230" s="28"/>
      <c r="AP230" s="28"/>
      <c r="AQ230" s="28"/>
    </row>
    <row r="231">
      <c r="J231" s="28"/>
      <c r="K231" s="28"/>
      <c r="L231" s="28"/>
      <c r="M231" s="28"/>
      <c r="T231" s="28"/>
      <c r="U231" s="28"/>
      <c r="V231" s="28"/>
      <c r="W231" s="28"/>
      <c r="AD231" s="28"/>
      <c r="AE231" s="28"/>
      <c r="AF231" s="28"/>
      <c r="AG231" s="28"/>
      <c r="AN231" s="28"/>
      <c r="AO231" s="28"/>
      <c r="AP231" s="28"/>
      <c r="AQ231" s="28"/>
    </row>
    <row r="232">
      <c r="J232" s="28"/>
      <c r="K232" s="28"/>
      <c r="L232" s="28"/>
      <c r="M232" s="28"/>
      <c r="T232" s="28"/>
      <c r="U232" s="28"/>
      <c r="V232" s="28"/>
      <c r="W232" s="28"/>
      <c r="AD232" s="28"/>
      <c r="AE232" s="28"/>
      <c r="AF232" s="28"/>
      <c r="AG232" s="28"/>
      <c r="AN232" s="28"/>
      <c r="AO232" s="28"/>
      <c r="AP232" s="28"/>
      <c r="AQ232" s="28"/>
    </row>
    <row r="233">
      <c r="J233" s="28"/>
      <c r="K233" s="28"/>
      <c r="L233" s="28"/>
      <c r="M233" s="28"/>
      <c r="T233" s="28"/>
      <c r="U233" s="28"/>
      <c r="V233" s="28"/>
      <c r="W233" s="28"/>
      <c r="AD233" s="28"/>
      <c r="AE233" s="28"/>
      <c r="AF233" s="28"/>
      <c r="AG233" s="28"/>
      <c r="AN233" s="28"/>
      <c r="AO233" s="28"/>
      <c r="AP233" s="28"/>
      <c r="AQ233" s="28"/>
    </row>
    <row r="234">
      <c r="J234" s="28"/>
      <c r="K234" s="28"/>
      <c r="L234" s="28"/>
      <c r="M234" s="28"/>
      <c r="T234" s="28"/>
      <c r="U234" s="28"/>
      <c r="V234" s="28"/>
      <c r="W234" s="28"/>
      <c r="AD234" s="28"/>
      <c r="AE234" s="28"/>
      <c r="AF234" s="28"/>
      <c r="AG234" s="28"/>
      <c r="AN234" s="28"/>
      <c r="AO234" s="28"/>
      <c r="AP234" s="28"/>
      <c r="AQ234" s="28"/>
    </row>
    <row r="235">
      <c r="J235" s="28"/>
      <c r="K235" s="28"/>
      <c r="L235" s="28"/>
      <c r="M235" s="28"/>
      <c r="T235" s="28"/>
      <c r="U235" s="28"/>
      <c r="V235" s="28"/>
      <c r="W235" s="28"/>
      <c r="AD235" s="28"/>
      <c r="AE235" s="28"/>
      <c r="AF235" s="28"/>
      <c r="AG235" s="28"/>
      <c r="AN235" s="28"/>
      <c r="AO235" s="28"/>
      <c r="AP235" s="28"/>
      <c r="AQ235" s="28"/>
    </row>
    <row r="236">
      <c r="J236" s="28"/>
      <c r="K236" s="28"/>
      <c r="L236" s="28"/>
      <c r="M236" s="28"/>
      <c r="T236" s="28"/>
      <c r="U236" s="28"/>
      <c r="V236" s="28"/>
      <c r="W236" s="28"/>
      <c r="AD236" s="28"/>
      <c r="AE236" s="28"/>
      <c r="AF236" s="28"/>
      <c r="AG236" s="28"/>
      <c r="AN236" s="28"/>
      <c r="AO236" s="28"/>
      <c r="AP236" s="28"/>
      <c r="AQ236" s="28"/>
    </row>
    <row r="237">
      <c r="J237" s="28"/>
      <c r="K237" s="28"/>
      <c r="L237" s="28"/>
      <c r="M237" s="28"/>
      <c r="T237" s="28"/>
      <c r="U237" s="28"/>
      <c r="V237" s="28"/>
      <c r="W237" s="28"/>
      <c r="AD237" s="28"/>
      <c r="AE237" s="28"/>
      <c r="AF237" s="28"/>
      <c r="AG237" s="28"/>
      <c r="AN237" s="28"/>
      <c r="AO237" s="28"/>
      <c r="AP237" s="28"/>
      <c r="AQ237" s="28"/>
    </row>
    <row r="238">
      <c r="J238" s="28"/>
      <c r="K238" s="28"/>
      <c r="L238" s="28"/>
      <c r="M238" s="28"/>
      <c r="T238" s="28"/>
      <c r="U238" s="28"/>
      <c r="V238" s="28"/>
      <c r="W238" s="28"/>
      <c r="AD238" s="28"/>
      <c r="AE238" s="28"/>
      <c r="AF238" s="28"/>
      <c r="AG238" s="28"/>
      <c r="AN238" s="28"/>
      <c r="AO238" s="28"/>
      <c r="AP238" s="28"/>
      <c r="AQ238" s="28"/>
    </row>
    <row r="239">
      <c r="J239" s="28"/>
      <c r="K239" s="28"/>
      <c r="L239" s="28"/>
      <c r="M239" s="28"/>
      <c r="T239" s="28"/>
      <c r="U239" s="28"/>
      <c r="V239" s="28"/>
      <c r="W239" s="28"/>
      <c r="AD239" s="28"/>
      <c r="AE239" s="28"/>
      <c r="AF239" s="28"/>
      <c r="AG239" s="28"/>
      <c r="AN239" s="28"/>
      <c r="AO239" s="28"/>
      <c r="AP239" s="28"/>
      <c r="AQ239" s="28"/>
    </row>
    <row r="240">
      <c r="J240" s="28"/>
      <c r="K240" s="28"/>
      <c r="L240" s="28"/>
      <c r="M240" s="28"/>
      <c r="T240" s="28"/>
      <c r="U240" s="28"/>
      <c r="V240" s="28"/>
      <c r="W240" s="28"/>
      <c r="AD240" s="28"/>
      <c r="AE240" s="28"/>
      <c r="AF240" s="28"/>
      <c r="AG240" s="28"/>
      <c r="AN240" s="28"/>
      <c r="AO240" s="28"/>
      <c r="AP240" s="28"/>
      <c r="AQ240" s="28"/>
    </row>
    <row r="241">
      <c r="J241" s="28"/>
      <c r="K241" s="28"/>
      <c r="L241" s="28"/>
      <c r="M241" s="28"/>
      <c r="T241" s="28"/>
      <c r="U241" s="28"/>
      <c r="V241" s="28"/>
      <c r="W241" s="28"/>
      <c r="AD241" s="28"/>
      <c r="AE241" s="28"/>
      <c r="AF241" s="28"/>
      <c r="AG241" s="28"/>
      <c r="AN241" s="28"/>
      <c r="AO241" s="28"/>
      <c r="AP241" s="28"/>
      <c r="AQ241" s="28"/>
    </row>
    <row r="242">
      <c r="J242" s="28"/>
      <c r="K242" s="28"/>
      <c r="L242" s="28"/>
      <c r="M242" s="28"/>
      <c r="T242" s="28"/>
      <c r="U242" s="28"/>
      <c r="V242" s="28"/>
      <c r="W242" s="28"/>
      <c r="AD242" s="28"/>
      <c r="AE242" s="28"/>
      <c r="AF242" s="28"/>
      <c r="AG242" s="28"/>
      <c r="AN242" s="28"/>
      <c r="AO242" s="28"/>
      <c r="AP242" s="28"/>
      <c r="AQ242" s="28"/>
    </row>
    <row r="243">
      <c r="J243" s="28"/>
      <c r="K243" s="28"/>
      <c r="L243" s="28"/>
      <c r="M243" s="28"/>
      <c r="T243" s="28"/>
      <c r="U243" s="28"/>
      <c r="V243" s="28"/>
      <c r="W243" s="28"/>
      <c r="AD243" s="28"/>
      <c r="AE243" s="28"/>
      <c r="AF243" s="28"/>
      <c r="AG243" s="28"/>
      <c r="AN243" s="28"/>
      <c r="AO243" s="28"/>
      <c r="AP243" s="28"/>
      <c r="AQ243" s="28"/>
    </row>
    <row r="244">
      <c r="J244" s="28"/>
      <c r="K244" s="28"/>
      <c r="L244" s="28"/>
      <c r="M244" s="28"/>
      <c r="T244" s="28"/>
      <c r="U244" s="28"/>
      <c r="V244" s="28"/>
      <c r="W244" s="28"/>
      <c r="AD244" s="28"/>
      <c r="AE244" s="28"/>
      <c r="AF244" s="28"/>
      <c r="AG244" s="28"/>
      <c r="AN244" s="28"/>
      <c r="AO244" s="28"/>
      <c r="AP244" s="28"/>
      <c r="AQ244" s="28"/>
    </row>
    <row r="245">
      <c r="J245" s="28"/>
      <c r="K245" s="28"/>
      <c r="L245" s="28"/>
      <c r="M245" s="28"/>
      <c r="T245" s="28"/>
      <c r="U245" s="28"/>
      <c r="V245" s="28"/>
      <c r="W245" s="28"/>
      <c r="AD245" s="28"/>
      <c r="AE245" s="28"/>
      <c r="AF245" s="28"/>
      <c r="AG245" s="28"/>
      <c r="AN245" s="28"/>
      <c r="AO245" s="28"/>
      <c r="AP245" s="28"/>
      <c r="AQ245" s="28"/>
    </row>
    <row r="246">
      <c r="J246" s="28"/>
      <c r="K246" s="28"/>
      <c r="L246" s="28"/>
      <c r="M246" s="28"/>
      <c r="T246" s="28"/>
      <c r="U246" s="28"/>
      <c r="V246" s="28"/>
      <c r="W246" s="28"/>
      <c r="AD246" s="28"/>
      <c r="AE246" s="28"/>
      <c r="AF246" s="28"/>
      <c r="AG246" s="28"/>
      <c r="AN246" s="28"/>
      <c r="AO246" s="28"/>
      <c r="AP246" s="28"/>
      <c r="AQ246" s="28"/>
    </row>
    <row r="247">
      <c r="J247" s="28"/>
      <c r="K247" s="28"/>
      <c r="L247" s="28"/>
      <c r="M247" s="28"/>
      <c r="T247" s="28"/>
      <c r="U247" s="28"/>
      <c r="V247" s="28"/>
      <c r="W247" s="28"/>
      <c r="AD247" s="28"/>
      <c r="AE247" s="28"/>
      <c r="AF247" s="28"/>
      <c r="AG247" s="28"/>
      <c r="AN247" s="28"/>
      <c r="AO247" s="28"/>
      <c r="AP247" s="28"/>
      <c r="AQ247" s="28"/>
    </row>
    <row r="248">
      <c r="J248" s="28"/>
      <c r="K248" s="28"/>
      <c r="L248" s="28"/>
      <c r="M248" s="28"/>
      <c r="T248" s="28"/>
      <c r="U248" s="28"/>
      <c r="V248" s="28"/>
      <c r="W248" s="28"/>
      <c r="AD248" s="28"/>
      <c r="AE248" s="28"/>
      <c r="AF248" s="28"/>
      <c r="AG248" s="28"/>
      <c r="AN248" s="28"/>
      <c r="AO248" s="28"/>
      <c r="AP248" s="28"/>
      <c r="AQ248" s="28"/>
    </row>
    <row r="249">
      <c r="J249" s="28"/>
      <c r="K249" s="28"/>
      <c r="L249" s="28"/>
      <c r="M249" s="28"/>
      <c r="T249" s="28"/>
      <c r="U249" s="28"/>
      <c r="V249" s="28"/>
      <c r="W249" s="28"/>
      <c r="AD249" s="28"/>
      <c r="AE249" s="28"/>
      <c r="AF249" s="28"/>
      <c r="AG249" s="28"/>
      <c r="AN249" s="28"/>
      <c r="AO249" s="28"/>
      <c r="AP249" s="28"/>
      <c r="AQ249" s="28"/>
    </row>
    <row r="250">
      <c r="J250" s="28"/>
      <c r="K250" s="28"/>
      <c r="L250" s="28"/>
      <c r="M250" s="28"/>
      <c r="T250" s="28"/>
      <c r="U250" s="28"/>
      <c r="V250" s="28"/>
      <c r="W250" s="28"/>
      <c r="AD250" s="28"/>
      <c r="AE250" s="28"/>
      <c r="AF250" s="28"/>
      <c r="AG250" s="28"/>
      <c r="AN250" s="28"/>
      <c r="AO250" s="28"/>
      <c r="AP250" s="28"/>
      <c r="AQ250" s="28"/>
    </row>
    <row r="251">
      <c r="J251" s="28"/>
      <c r="K251" s="28"/>
      <c r="L251" s="28"/>
      <c r="M251" s="28"/>
      <c r="T251" s="28"/>
      <c r="U251" s="28"/>
      <c r="V251" s="28"/>
      <c r="W251" s="28"/>
      <c r="AD251" s="28"/>
      <c r="AE251" s="28"/>
      <c r="AF251" s="28"/>
      <c r="AG251" s="28"/>
      <c r="AN251" s="28"/>
      <c r="AO251" s="28"/>
      <c r="AP251" s="28"/>
      <c r="AQ251" s="28"/>
    </row>
    <row r="252">
      <c r="J252" s="28"/>
      <c r="K252" s="28"/>
      <c r="L252" s="28"/>
      <c r="M252" s="28"/>
      <c r="T252" s="28"/>
      <c r="U252" s="28"/>
      <c r="V252" s="28"/>
      <c r="W252" s="28"/>
      <c r="AD252" s="28"/>
      <c r="AE252" s="28"/>
      <c r="AF252" s="28"/>
      <c r="AG252" s="28"/>
      <c r="AN252" s="28"/>
      <c r="AO252" s="28"/>
      <c r="AP252" s="28"/>
      <c r="AQ252" s="28"/>
    </row>
    <row r="253">
      <c r="J253" s="28"/>
      <c r="K253" s="28"/>
      <c r="L253" s="28"/>
      <c r="M253" s="28"/>
      <c r="T253" s="28"/>
      <c r="U253" s="28"/>
      <c r="V253" s="28"/>
      <c r="W253" s="28"/>
      <c r="AD253" s="28"/>
      <c r="AE253" s="28"/>
      <c r="AF253" s="28"/>
      <c r="AG253" s="28"/>
      <c r="AN253" s="28"/>
      <c r="AO253" s="28"/>
      <c r="AP253" s="28"/>
      <c r="AQ253" s="28"/>
    </row>
    <row r="254">
      <c r="J254" s="28"/>
      <c r="K254" s="28"/>
      <c r="L254" s="28"/>
      <c r="M254" s="28"/>
      <c r="T254" s="28"/>
      <c r="U254" s="28"/>
      <c r="V254" s="28"/>
      <c r="W254" s="28"/>
      <c r="AD254" s="28"/>
      <c r="AE254" s="28"/>
      <c r="AF254" s="28"/>
      <c r="AG254" s="28"/>
      <c r="AN254" s="28"/>
      <c r="AO254" s="28"/>
      <c r="AP254" s="28"/>
      <c r="AQ254" s="28"/>
    </row>
    <row r="255">
      <c r="J255" s="28"/>
      <c r="K255" s="28"/>
      <c r="L255" s="28"/>
      <c r="M255" s="28"/>
      <c r="T255" s="28"/>
      <c r="U255" s="28"/>
      <c r="V255" s="28"/>
      <c r="W255" s="28"/>
      <c r="AD255" s="28"/>
      <c r="AE255" s="28"/>
      <c r="AF255" s="28"/>
      <c r="AG255" s="28"/>
      <c r="AN255" s="28"/>
      <c r="AO255" s="28"/>
      <c r="AP255" s="28"/>
      <c r="AQ255" s="28"/>
    </row>
    <row r="256">
      <c r="J256" s="28"/>
      <c r="K256" s="28"/>
      <c r="L256" s="28"/>
      <c r="M256" s="28"/>
      <c r="T256" s="28"/>
      <c r="U256" s="28"/>
      <c r="V256" s="28"/>
      <c r="W256" s="28"/>
      <c r="AD256" s="28"/>
      <c r="AE256" s="28"/>
      <c r="AF256" s="28"/>
      <c r="AG256" s="28"/>
      <c r="AN256" s="28"/>
      <c r="AO256" s="28"/>
      <c r="AP256" s="28"/>
      <c r="AQ256" s="28"/>
    </row>
    <row r="257">
      <c r="J257" s="28"/>
      <c r="K257" s="28"/>
      <c r="L257" s="28"/>
      <c r="M257" s="28"/>
      <c r="T257" s="28"/>
      <c r="U257" s="28"/>
      <c r="V257" s="28"/>
      <c r="W257" s="28"/>
      <c r="AD257" s="28"/>
      <c r="AE257" s="28"/>
      <c r="AF257" s="28"/>
      <c r="AG257" s="28"/>
      <c r="AN257" s="28"/>
      <c r="AO257" s="28"/>
      <c r="AP257" s="28"/>
      <c r="AQ257" s="28"/>
    </row>
    <row r="258">
      <c r="J258" s="28"/>
      <c r="K258" s="28"/>
      <c r="L258" s="28"/>
      <c r="M258" s="28"/>
      <c r="T258" s="28"/>
      <c r="U258" s="28"/>
      <c r="V258" s="28"/>
      <c r="W258" s="28"/>
      <c r="AD258" s="28"/>
      <c r="AE258" s="28"/>
      <c r="AF258" s="28"/>
      <c r="AG258" s="28"/>
      <c r="AN258" s="28"/>
      <c r="AO258" s="28"/>
      <c r="AP258" s="28"/>
      <c r="AQ258" s="28"/>
    </row>
    <row r="259">
      <c r="J259" s="28"/>
      <c r="K259" s="28"/>
      <c r="L259" s="28"/>
      <c r="M259" s="28"/>
      <c r="T259" s="28"/>
      <c r="U259" s="28"/>
      <c r="V259" s="28"/>
      <c r="W259" s="28"/>
      <c r="AD259" s="28"/>
      <c r="AE259" s="28"/>
      <c r="AF259" s="28"/>
      <c r="AG259" s="28"/>
      <c r="AN259" s="28"/>
      <c r="AO259" s="28"/>
      <c r="AP259" s="28"/>
      <c r="AQ259" s="28"/>
    </row>
    <row r="260">
      <c r="J260" s="28"/>
      <c r="K260" s="28"/>
      <c r="L260" s="28"/>
      <c r="M260" s="28"/>
      <c r="T260" s="28"/>
      <c r="U260" s="28"/>
      <c r="V260" s="28"/>
      <c r="W260" s="28"/>
      <c r="AD260" s="28"/>
      <c r="AE260" s="28"/>
      <c r="AF260" s="28"/>
      <c r="AG260" s="28"/>
      <c r="AN260" s="28"/>
      <c r="AO260" s="28"/>
      <c r="AP260" s="28"/>
      <c r="AQ260" s="28"/>
    </row>
    <row r="261">
      <c r="J261" s="28"/>
      <c r="K261" s="28"/>
      <c r="L261" s="28"/>
      <c r="M261" s="28"/>
      <c r="T261" s="28"/>
      <c r="U261" s="28"/>
      <c r="V261" s="28"/>
      <c r="W261" s="28"/>
      <c r="AD261" s="28"/>
      <c r="AE261" s="28"/>
      <c r="AF261" s="28"/>
      <c r="AG261" s="28"/>
      <c r="AN261" s="28"/>
      <c r="AO261" s="28"/>
      <c r="AP261" s="28"/>
      <c r="AQ261" s="28"/>
    </row>
    <row r="262">
      <c r="J262" s="28"/>
      <c r="K262" s="28"/>
      <c r="L262" s="28"/>
      <c r="M262" s="28"/>
      <c r="T262" s="28"/>
      <c r="U262" s="28"/>
      <c r="V262" s="28"/>
      <c r="W262" s="28"/>
      <c r="AD262" s="28"/>
      <c r="AE262" s="28"/>
      <c r="AF262" s="28"/>
      <c r="AG262" s="28"/>
      <c r="AN262" s="28"/>
      <c r="AO262" s="28"/>
      <c r="AP262" s="28"/>
      <c r="AQ262" s="28"/>
    </row>
    <row r="263">
      <c r="J263" s="28"/>
      <c r="K263" s="28"/>
      <c r="L263" s="28"/>
      <c r="M263" s="28"/>
      <c r="T263" s="28"/>
      <c r="U263" s="28"/>
      <c r="V263" s="28"/>
      <c r="W263" s="28"/>
      <c r="AD263" s="28"/>
      <c r="AE263" s="28"/>
      <c r="AF263" s="28"/>
      <c r="AG263" s="28"/>
      <c r="AN263" s="28"/>
      <c r="AO263" s="28"/>
      <c r="AP263" s="28"/>
      <c r="AQ263" s="28"/>
    </row>
    <row r="264">
      <c r="J264" s="28"/>
      <c r="K264" s="28"/>
      <c r="L264" s="28"/>
      <c r="M264" s="28"/>
      <c r="T264" s="28"/>
      <c r="U264" s="28"/>
      <c r="V264" s="28"/>
      <c r="W264" s="28"/>
      <c r="AD264" s="28"/>
      <c r="AE264" s="28"/>
      <c r="AF264" s="28"/>
      <c r="AG264" s="28"/>
      <c r="AN264" s="28"/>
      <c r="AO264" s="28"/>
      <c r="AP264" s="28"/>
      <c r="AQ264" s="28"/>
    </row>
    <row r="265">
      <c r="J265" s="28"/>
      <c r="K265" s="28"/>
      <c r="L265" s="28"/>
      <c r="M265" s="28"/>
      <c r="T265" s="28"/>
      <c r="U265" s="28"/>
      <c r="V265" s="28"/>
      <c r="W265" s="28"/>
      <c r="AD265" s="28"/>
      <c r="AE265" s="28"/>
      <c r="AF265" s="28"/>
      <c r="AG265" s="28"/>
      <c r="AN265" s="28"/>
      <c r="AO265" s="28"/>
      <c r="AP265" s="28"/>
      <c r="AQ265" s="28"/>
    </row>
    <row r="266">
      <c r="J266" s="28"/>
      <c r="K266" s="28"/>
      <c r="L266" s="28"/>
      <c r="M266" s="28"/>
      <c r="T266" s="28"/>
      <c r="U266" s="28"/>
      <c r="V266" s="28"/>
      <c r="W266" s="28"/>
      <c r="AD266" s="28"/>
      <c r="AE266" s="28"/>
      <c r="AF266" s="28"/>
      <c r="AG266" s="28"/>
      <c r="AN266" s="28"/>
      <c r="AO266" s="28"/>
      <c r="AP266" s="28"/>
      <c r="AQ266" s="28"/>
    </row>
    <row r="267">
      <c r="J267" s="28"/>
      <c r="K267" s="28"/>
      <c r="L267" s="28"/>
      <c r="M267" s="28"/>
      <c r="T267" s="28"/>
      <c r="U267" s="28"/>
      <c r="V267" s="28"/>
      <c r="W267" s="28"/>
      <c r="AD267" s="28"/>
      <c r="AE267" s="28"/>
      <c r="AF267" s="28"/>
      <c r="AG267" s="28"/>
      <c r="AN267" s="28"/>
      <c r="AO267" s="28"/>
      <c r="AP267" s="28"/>
      <c r="AQ267" s="28"/>
    </row>
    <row r="268">
      <c r="J268" s="28"/>
      <c r="K268" s="28"/>
      <c r="L268" s="28"/>
      <c r="M268" s="28"/>
      <c r="T268" s="28"/>
      <c r="U268" s="28"/>
      <c r="V268" s="28"/>
      <c r="W268" s="28"/>
      <c r="AD268" s="28"/>
      <c r="AE268" s="28"/>
      <c r="AF268" s="28"/>
      <c r="AG268" s="28"/>
      <c r="AN268" s="28"/>
      <c r="AO268" s="28"/>
      <c r="AP268" s="28"/>
      <c r="AQ268" s="28"/>
    </row>
    <row r="269">
      <c r="J269" s="28"/>
      <c r="K269" s="28"/>
      <c r="L269" s="28"/>
      <c r="M269" s="28"/>
      <c r="T269" s="28"/>
      <c r="U269" s="28"/>
      <c r="V269" s="28"/>
      <c r="W269" s="28"/>
      <c r="AD269" s="28"/>
      <c r="AE269" s="28"/>
      <c r="AF269" s="28"/>
      <c r="AG269" s="28"/>
      <c r="AN269" s="28"/>
      <c r="AO269" s="28"/>
      <c r="AP269" s="28"/>
      <c r="AQ269" s="28"/>
    </row>
    <row r="270">
      <c r="J270" s="28"/>
      <c r="K270" s="28"/>
      <c r="L270" s="28"/>
      <c r="M270" s="28"/>
      <c r="T270" s="28"/>
      <c r="U270" s="28"/>
      <c r="V270" s="28"/>
      <c r="W270" s="28"/>
      <c r="AD270" s="28"/>
      <c r="AE270" s="28"/>
      <c r="AF270" s="28"/>
      <c r="AG270" s="28"/>
      <c r="AN270" s="28"/>
      <c r="AO270" s="28"/>
      <c r="AP270" s="28"/>
      <c r="AQ270" s="28"/>
    </row>
    <row r="271">
      <c r="J271" s="28"/>
      <c r="K271" s="28"/>
      <c r="L271" s="28"/>
      <c r="M271" s="28"/>
      <c r="T271" s="28"/>
      <c r="U271" s="28"/>
      <c r="V271" s="28"/>
      <c r="W271" s="28"/>
      <c r="AD271" s="28"/>
      <c r="AE271" s="28"/>
      <c r="AF271" s="28"/>
      <c r="AG271" s="28"/>
      <c r="AN271" s="28"/>
      <c r="AO271" s="28"/>
      <c r="AP271" s="28"/>
      <c r="AQ271" s="28"/>
    </row>
    <row r="272">
      <c r="J272" s="28"/>
      <c r="K272" s="28"/>
      <c r="L272" s="28"/>
      <c r="M272" s="28"/>
      <c r="T272" s="28"/>
      <c r="U272" s="28"/>
      <c r="V272" s="28"/>
      <c r="W272" s="28"/>
      <c r="AD272" s="28"/>
      <c r="AE272" s="28"/>
      <c r="AF272" s="28"/>
      <c r="AG272" s="28"/>
      <c r="AN272" s="28"/>
      <c r="AO272" s="28"/>
      <c r="AP272" s="28"/>
      <c r="AQ272" s="28"/>
    </row>
    <row r="273">
      <c r="J273" s="28"/>
      <c r="K273" s="28"/>
      <c r="L273" s="28"/>
      <c r="M273" s="28"/>
      <c r="T273" s="28"/>
      <c r="U273" s="28"/>
      <c r="V273" s="28"/>
      <c r="W273" s="28"/>
      <c r="AD273" s="28"/>
      <c r="AE273" s="28"/>
      <c r="AF273" s="28"/>
      <c r="AG273" s="28"/>
      <c r="AN273" s="28"/>
      <c r="AO273" s="28"/>
      <c r="AP273" s="28"/>
      <c r="AQ273" s="28"/>
    </row>
    <row r="274">
      <c r="J274" s="28"/>
      <c r="K274" s="28"/>
      <c r="L274" s="28"/>
      <c r="M274" s="28"/>
      <c r="T274" s="28"/>
      <c r="U274" s="28"/>
      <c r="V274" s="28"/>
      <c r="W274" s="28"/>
      <c r="AD274" s="28"/>
      <c r="AE274" s="28"/>
      <c r="AF274" s="28"/>
      <c r="AG274" s="28"/>
      <c r="AN274" s="28"/>
      <c r="AO274" s="28"/>
      <c r="AP274" s="28"/>
      <c r="AQ274" s="28"/>
    </row>
    <row r="275">
      <c r="J275" s="28"/>
      <c r="K275" s="28"/>
      <c r="L275" s="28"/>
      <c r="M275" s="28"/>
      <c r="T275" s="28"/>
      <c r="U275" s="28"/>
      <c r="V275" s="28"/>
      <c r="W275" s="28"/>
      <c r="AD275" s="28"/>
      <c r="AE275" s="28"/>
      <c r="AF275" s="28"/>
      <c r="AG275" s="28"/>
      <c r="AN275" s="28"/>
      <c r="AO275" s="28"/>
      <c r="AP275" s="28"/>
      <c r="AQ275" s="28"/>
    </row>
    <row r="276">
      <c r="J276" s="28"/>
      <c r="K276" s="28"/>
      <c r="L276" s="28"/>
      <c r="M276" s="28"/>
      <c r="T276" s="28"/>
      <c r="U276" s="28"/>
      <c r="V276" s="28"/>
      <c r="W276" s="28"/>
      <c r="AD276" s="28"/>
      <c r="AE276" s="28"/>
      <c r="AF276" s="28"/>
      <c r="AG276" s="28"/>
      <c r="AN276" s="28"/>
      <c r="AO276" s="28"/>
      <c r="AP276" s="28"/>
      <c r="AQ276" s="28"/>
    </row>
    <row r="277">
      <c r="J277" s="28"/>
      <c r="K277" s="28"/>
      <c r="L277" s="28"/>
      <c r="M277" s="28"/>
      <c r="T277" s="28"/>
      <c r="U277" s="28"/>
      <c r="V277" s="28"/>
      <c r="W277" s="28"/>
      <c r="AD277" s="28"/>
      <c r="AE277" s="28"/>
      <c r="AF277" s="28"/>
      <c r="AG277" s="28"/>
      <c r="AN277" s="28"/>
      <c r="AO277" s="28"/>
      <c r="AP277" s="28"/>
      <c r="AQ277" s="28"/>
    </row>
    <row r="278">
      <c r="J278" s="28"/>
      <c r="K278" s="28"/>
      <c r="L278" s="28"/>
      <c r="M278" s="28"/>
      <c r="T278" s="28"/>
      <c r="U278" s="28"/>
      <c r="V278" s="28"/>
      <c r="W278" s="28"/>
      <c r="AD278" s="28"/>
      <c r="AE278" s="28"/>
      <c r="AF278" s="28"/>
      <c r="AG278" s="28"/>
      <c r="AN278" s="28"/>
      <c r="AO278" s="28"/>
      <c r="AP278" s="28"/>
      <c r="AQ278" s="28"/>
    </row>
    <row r="279">
      <c r="J279" s="28"/>
      <c r="K279" s="28"/>
      <c r="L279" s="28"/>
      <c r="M279" s="28"/>
      <c r="T279" s="28"/>
      <c r="U279" s="28"/>
      <c r="V279" s="28"/>
      <c r="W279" s="28"/>
      <c r="AD279" s="28"/>
      <c r="AE279" s="28"/>
      <c r="AF279" s="28"/>
      <c r="AG279" s="28"/>
      <c r="AN279" s="28"/>
      <c r="AO279" s="28"/>
      <c r="AP279" s="28"/>
      <c r="AQ279" s="28"/>
    </row>
    <row r="280">
      <c r="J280" s="28"/>
      <c r="K280" s="28"/>
      <c r="L280" s="28"/>
      <c r="M280" s="28"/>
      <c r="T280" s="28"/>
      <c r="U280" s="28"/>
      <c r="V280" s="28"/>
      <c r="W280" s="28"/>
      <c r="AD280" s="28"/>
      <c r="AE280" s="28"/>
      <c r="AF280" s="28"/>
      <c r="AG280" s="28"/>
      <c r="AN280" s="28"/>
      <c r="AO280" s="28"/>
      <c r="AP280" s="28"/>
      <c r="AQ280" s="28"/>
    </row>
    <row r="281">
      <c r="J281" s="28"/>
      <c r="K281" s="28"/>
      <c r="L281" s="28"/>
      <c r="M281" s="28"/>
      <c r="T281" s="28"/>
      <c r="U281" s="28"/>
      <c r="V281" s="28"/>
      <c r="W281" s="28"/>
      <c r="AD281" s="28"/>
      <c r="AE281" s="28"/>
      <c r="AF281" s="28"/>
      <c r="AG281" s="28"/>
      <c r="AN281" s="28"/>
      <c r="AO281" s="28"/>
      <c r="AP281" s="28"/>
      <c r="AQ281" s="28"/>
    </row>
    <row r="282">
      <c r="J282" s="28"/>
      <c r="K282" s="28"/>
      <c r="L282" s="28"/>
      <c r="M282" s="28"/>
      <c r="T282" s="28"/>
      <c r="U282" s="28"/>
      <c r="V282" s="28"/>
      <c r="W282" s="28"/>
      <c r="AD282" s="28"/>
      <c r="AE282" s="28"/>
      <c r="AF282" s="28"/>
      <c r="AG282" s="28"/>
      <c r="AN282" s="28"/>
      <c r="AO282" s="28"/>
      <c r="AP282" s="28"/>
      <c r="AQ282" s="28"/>
    </row>
    <row r="283">
      <c r="J283" s="28"/>
      <c r="K283" s="28"/>
      <c r="L283" s="28"/>
      <c r="M283" s="28"/>
      <c r="T283" s="28"/>
      <c r="U283" s="28"/>
      <c r="V283" s="28"/>
      <c r="W283" s="28"/>
      <c r="AD283" s="28"/>
      <c r="AE283" s="28"/>
      <c r="AF283" s="28"/>
      <c r="AG283" s="28"/>
      <c r="AN283" s="28"/>
      <c r="AO283" s="28"/>
      <c r="AP283" s="28"/>
      <c r="AQ283" s="28"/>
    </row>
    <row r="284">
      <c r="J284" s="28"/>
      <c r="K284" s="28"/>
      <c r="L284" s="28"/>
      <c r="M284" s="28"/>
      <c r="T284" s="28"/>
      <c r="U284" s="28"/>
      <c r="V284" s="28"/>
      <c r="W284" s="28"/>
      <c r="AD284" s="28"/>
      <c r="AE284" s="28"/>
      <c r="AF284" s="28"/>
      <c r="AG284" s="28"/>
      <c r="AN284" s="28"/>
      <c r="AO284" s="28"/>
      <c r="AP284" s="28"/>
      <c r="AQ284" s="28"/>
    </row>
    <row r="285">
      <c r="J285" s="28"/>
      <c r="K285" s="28"/>
      <c r="L285" s="28"/>
      <c r="M285" s="28"/>
      <c r="T285" s="28"/>
      <c r="U285" s="28"/>
      <c r="V285" s="28"/>
      <c r="W285" s="28"/>
      <c r="AD285" s="28"/>
      <c r="AE285" s="28"/>
      <c r="AF285" s="28"/>
      <c r="AG285" s="28"/>
      <c r="AN285" s="28"/>
      <c r="AO285" s="28"/>
      <c r="AP285" s="28"/>
      <c r="AQ285" s="28"/>
    </row>
    <row r="286">
      <c r="J286" s="28"/>
      <c r="K286" s="28"/>
      <c r="L286" s="28"/>
      <c r="M286" s="28"/>
      <c r="T286" s="28"/>
      <c r="U286" s="28"/>
      <c r="V286" s="28"/>
      <c r="W286" s="28"/>
      <c r="AD286" s="28"/>
      <c r="AE286" s="28"/>
      <c r="AF286" s="28"/>
      <c r="AG286" s="28"/>
      <c r="AN286" s="28"/>
      <c r="AO286" s="28"/>
      <c r="AP286" s="28"/>
      <c r="AQ286" s="28"/>
    </row>
    <row r="287">
      <c r="J287" s="28"/>
      <c r="K287" s="28"/>
      <c r="L287" s="28"/>
      <c r="M287" s="28"/>
      <c r="T287" s="28"/>
      <c r="U287" s="28"/>
      <c r="V287" s="28"/>
      <c r="W287" s="28"/>
      <c r="AD287" s="28"/>
      <c r="AE287" s="28"/>
      <c r="AF287" s="28"/>
      <c r="AG287" s="28"/>
      <c r="AN287" s="28"/>
      <c r="AO287" s="28"/>
      <c r="AP287" s="28"/>
      <c r="AQ287" s="28"/>
    </row>
    <row r="288">
      <c r="J288" s="28"/>
      <c r="K288" s="28"/>
      <c r="L288" s="28"/>
      <c r="M288" s="28"/>
      <c r="T288" s="28"/>
      <c r="U288" s="28"/>
      <c r="V288" s="28"/>
      <c r="W288" s="28"/>
      <c r="AD288" s="28"/>
      <c r="AE288" s="28"/>
      <c r="AF288" s="28"/>
      <c r="AG288" s="28"/>
      <c r="AN288" s="28"/>
      <c r="AO288" s="28"/>
      <c r="AP288" s="28"/>
      <c r="AQ288" s="28"/>
    </row>
    <row r="289">
      <c r="J289" s="28"/>
      <c r="K289" s="28"/>
      <c r="L289" s="28"/>
      <c r="M289" s="28"/>
      <c r="T289" s="28"/>
      <c r="U289" s="28"/>
      <c r="V289" s="28"/>
      <c r="W289" s="28"/>
      <c r="AD289" s="28"/>
      <c r="AE289" s="28"/>
      <c r="AF289" s="28"/>
      <c r="AG289" s="28"/>
      <c r="AN289" s="28"/>
      <c r="AO289" s="28"/>
      <c r="AP289" s="28"/>
      <c r="AQ289" s="28"/>
    </row>
    <row r="290">
      <c r="J290" s="28"/>
      <c r="K290" s="28"/>
      <c r="L290" s="28"/>
      <c r="M290" s="28"/>
      <c r="T290" s="28"/>
      <c r="U290" s="28"/>
      <c r="V290" s="28"/>
      <c r="W290" s="28"/>
      <c r="AD290" s="28"/>
      <c r="AE290" s="28"/>
      <c r="AF290" s="28"/>
      <c r="AG290" s="28"/>
      <c r="AN290" s="28"/>
      <c r="AO290" s="28"/>
      <c r="AP290" s="28"/>
      <c r="AQ290" s="28"/>
    </row>
    <row r="291">
      <c r="J291" s="28"/>
      <c r="K291" s="28"/>
      <c r="L291" s="28"/>
      <c r="M291" s="28"/>
      <c r="T291" s="28"/>
      <c r="U291" s="28"/>
      <c r="V291" s="28"/>
      <c r="W291" s="28"/>
      <c r="AD291" s="28"/>
      <c r="AE291" s="28"/>
      <c r="AF291" s="28"/>
      <c r="AG291" s="28"/>
      <c r="AN291" s="28"/>
      <c r="AO291" s="28"/>
      <c r="AP291" s="28"/>
      <c r="AQ291" s="28"/>
    </row>
    <row r="292">
      <c r="J292" s="28"/>
      <c r="K292" s="28"/>
      <c r="L292" s="28"/>
      <c r="M292" s="28"/>
      <c r="T292" s="28"/>
      <c r="U292" s="28"/>
      <c r="V292" s="28"/>
      <c r="W292" s="28"/>
      <c r="AD292" s="28"/>
      <c r="AE292" s="28"/>
      <c r="AF292" s="28"/>
      <c r="AG292" s="28"/>
      <c r="AN292" s="28"/>
      <c r="AO292" s="28"/>
      <c r="AP292" s="28"/>
      <c r="AQ292" s="28"/>
    </row>
    <row r="293">
      <c r="J293" s="28"/>
      <c r="K293" s="28"/>
      <c r="L293" s="28"/>
      <c r="M293" s="28"/>
      <c r="T293" s="28"/>
      <c r="U293" s="28"/>
      <c r="V293" s="28"/>
      <c r="W293" s="28"/>
      <c r="AD293" s="28"/>
      <c r="AE293" s="28"/>
      <c r="AF293" s="28"/>
      <c r="AG293" s="28"/>
      <c r="AN293" s="28"/>
      <c r="AO293" s="28"/>
      <c r="AP293" s="28"/>
      <c r="AQ293" s="28"/>
    </row>
    <row r="294">
      <c r="J294" s="28"/>
      <c r="K294" s="28"/>
      <c r="L294" s="28"/>
      <c r="M294" s="28"/>
      <c r="T294" s="28"/>
      <c r="U294" s="28"/>
      <c r="V294" s="28"/>
      <c r="W294" s="28"/>
      <c r="AD294" s="28"/>
      <c r="AE294" s="28"/>
      <c r="AF294" s="28"/>
      <c r="AG294" s="28"/>
      <c r="AN294" s="28"/>
      <c r="AO294" s="28"/>
      <c r="AP294" s="28"/>
      <c r="AQ294" s="28"/>
    </row>
    <row r="295">
      <c r="J295" s="28"/>
      <c r="K295" s="28"/>
      <c r="L295" s="28"/>
      <c r="M295" s="28"/>
      <c r="T295" s="28"/>
      <c r="U295" s="28"/>
      <c r="V295" s="28"/>
      <c r="W295" s="28"/>
      <c r="AD295" s="28"/>
      <c r="AE295" s="28"/>
      <c r="AF295" s="28"/>
      <c r="AG295" s="28"/>
      <c r="AN295" s="28"/>
      <c r="AO295" s="28"/>
      <c r="AP295" s="28"/>
      <c r="AQ295" s="28"/>
    </row>
    <row r="296">
      <c r="J296" s="28"/>
      <c r="K296" s="28"/>
      <c r="L296" s="28"/>
      <c r="M296" s="28"/>
      <c r="T296" s="28"/>
      <c r="U296" s="28"/>
      <c r="V296" s="28"/>
      <c r="W296" s="28"/>
      <c r="AD296" s="28"/>
      <c r="AE296" s="28"/>
      <c r="AF296" s="28"/>
      <c r="AG296" s="28"/>
      <c r="AN296" s="28"/>
      <c r="AO296" s="28"/>
      <c r="AP296" s="28"/>
      <c r="AQ296" s="28"/>
    </row>
    <row r="297">
      <c r="J297" s="28"/>
      <c r="K297" s="28"/>
      <c r="L297" s="28"/>
      <c r="M297" s="28"/>
      <c r="T297" s="28"/>
      <c r="U297" s="28"/>
      <c r="V297" s="28"/>
      <c r="W297" s="28"/>
      <c r="AD297" s="28"/>
      <c r="AE297" s="28"/>
      <c r="AF297" s="28"/>
      <c r="AG297" s="28"/>
      <c r="AN297" s="28"/>
      <c r="AO297" s="28"/>
      <c r="AP297" s="28"/>
      <c r="AQ297" s="28"/>
    </row>
    <row r="298">
      <c r="J298" s="28"/>
      <c r="K298" s="28"/>
      <c r="L298" s="28"/>
      <c r="M298" s="28"/>
      <c r="T298" s="28"/>
      <c r="U298" s="28"/>
      <c r="V298" s="28"/>
      <c r="W298" s="28"/>
      <c r="AD298" s="28"/>
      <c r="AE298" s="28"/>
      <c r="AF298" s="28"/>
      <c r="AG298" s="28"/>
      <c r="AN298" s="28"/>
      <c r="AO298" s="28"/>
      <c r="AP298" s="28"/>
      <c r="AQ298" s="28"/>
    </row>
    <row r="299">
      <c r="J299" s="28"/>
      <c r="K299" s="28"/>
      <c r="L299" s="28"/>
      <c r="M299" s="28"/>
      <c r="T299" s="28"/>
      <c r="U299" s="28"/>
      <c r="V299" s="28"/>
      <c r="W299" s="28"/>
      <c r="AD299" s="28"/>
      <c r="AE299" s="28"/>
      <c r="AF299" s="28"/>
      <c r="AG299" s="28"/>
      <c r="AN299" s="28"/>
      <c r="AO299" s="28"/>
      <c r="AP299" s="28"/>
      <c r="AQ299" s="28"/>
    </row>
    <row r="300">
      <c r="J300" s="28"/>
      <c r="K300" s="28"/>
      <c r="L300" s="28"/>
      <c r="M300" s="28"/>
      <c r="T300" s="28"/>
      <c r="U300" s="28"/>
      <c r="V300" s="28"/>
      <c r="W300" s="28"/>
      <c r="AD300" s="28"/>
      <c r="AE300" s="28"/>
      <c r="AF300" s="28"/>
      <c r="AG300" s="28"/>
      <c r="AN300" s="28"/>
      <c r="AO300" s="28"/>
      <c r="AP300" s="28"/>
      <c r="AQ300" s="28"/>
    </row>
    <row r="301">
      <c r="J301" s="28"/>
      <c r="K301" s="28"/>
      <c r="L301" s="28"/>
      <c r="M301" s="28"/>
      <c r="T301" s="28"/>
      <c r="U301" s="28"/>
      <c r="V301" s="28"/>
      <c r="W301" s="28"/>
      <c r="AD301" s="28"/>
      <c r="AE301" s="28"/>
      <c r="AF301" s="28"/>
      <c r="AG301" s="28"/>
      <c r="AN301" s="28"/>
      <c r="AO301" s="28"/>
      <c r="AP301" s="28"/>
      <c r="AQ301" s="28"/>
    </row>
    <row r="302">
      <c r="J302" s="28"/>
      <c r="K302" s="28"/>
      <c r="L302" s="28"/>
      <c r="M302" s="28"/>
      <c r="T302" s="28"/>
      <c r="U302" s="28"/>
      <c r="V302" s="28"/>
      <c r="W302" s="28"/>
      <c r="AD302" s="28"/>
      <c r="AE302" s="28"/>
      <c r="AF302" s="28"/>
      <c r="AG302" s="28"/>
      <c r="AN302" s="28"/>
      <c r="AO302" s="28"/>
      <c r="AP302" s="28"/>
      <c r="AQ302" s="28"/>
    </row>
    <row r="303">
      <c r="J303" s="28"/>
      <c r="K303" s="28"/>
      <c r="L303" s="28"/>
      <c r="M303" s="28"/>
      <c r="T303" s="28"/>
      <c r="U303" s="28"/>
      <c r="V303" s="28"/>
      <c r="W303" s="28"/>
      <c r="AD303" s="28"/>
      <c r="AE303" s="28"/>
      <c r="AF303" s="28"/>
      <c r="AG303" s="28"/>
      <c r="AN303" s="28"/>
      <c r="AO303" s="28"/>
      <c r="AP303" s="28"/>
      <c r="AQ303" s="28"/>
    </row>
    <row r="304">
      <c r="J304" s="28"/>
      <c r="K304" s="28"/>
      <c r="L304" s="28"/>
      <c r="M304" s="28"/>
      <c r="T304" s="28"/>
      <c r="U304" s="28"/>
      <c r="V304" s="28"/>
      <c r="W304" s="28"/>
      <c r="AD304" s="28"/>
      <c r="AE304" s="28"/>
      <c r="AF304" s="28"/>
      <c r="AG304" s="28"/>
      <c r="AN304" s="28"/>
      <c r="AO304" s="28"/>
      <c r="AP304" s="28"/>
      <c r="AQ304" s="28"/>
    </row>
    <row r="305">
      <c r="J305" s="28"/>
      <c r="K305" s="28"/>
      <c r="L305" s="28"/>
      <c r="M305" s="28"/>
      <c r="T305" s="28"/>
      <c r="U305" s="28"/>
      <c r="V305" s="28"/>
      <c r="W305" s="28"/>
      <c r="AD305" s="28"/>
      <c r="AE305" s="28"/>
      <c r="AF305" s="28"/>
      <c r="AG305" s="28"/>
      <c r="AN305" s="28"/>
      <c r="AO305" s="28"/>
      <c r="AP305" s="28"/>
      <c r="AQ305" s="28"/>
    </row>
    <row r="306">
      <c r="J306" s="28"/>
      <c r="K306" s="28"/>
      <c r="L306" s="28"/>
      <c r="M306" s="28"/>
      <c r="T306" s="28"/>
      <c r="U306" s="28"/>
      <c r="V306" s="28"/>
      <c r="W306" s="28"/>
      <c r="AD306" s="28"/>
      <c r="AE306" s="28"/>
      <c r="AF306" s="28"/>
      <c r="AG306" s="28"/>
      <c r="AN306" s="28"/>
      <c r="AO306" s="28"/>
      <c r="AP306" s="28"/>
      <c r="AQ306" s="28"/>
    </row>
    <row r="307">
      <c r="J307" s="28"/>
      <c r="K307" s="28"/>
      <c r="L307" s="28"/>
      <c r="M307" s="28"/>
      <c r="T307" s="28"/>
      <c r="U307" s="28"/>
      <c r="V307" s="28"/>
      <c r="W307" s="28"/>
      <c r="AD307" s="28"/>
      <c r="AE307" s="28"/>
      <c r="AF307" s="28"/>
      <c r="AG307" s="28"/>
      <c r="AN307" s="28"/>
      <c r="AO307" s="28"/>
      <c r="AP307" s="28"/>
      <c r="AQ307" s="28"/>
    </row>
    <row r="308">
      <c r="J308" s="28"/>
      <c r="K308" s="28"/>
      <c r="L308" s="28"/>
      <c r="M308" s="28"/>
      <c r="T308" s="28"/>
      <c r="U308" s="28"/>
      <c r="V308" s="28"/>
      <c r="W308" s="28"/>
      <c r="AD308" s="28"/>
      <c r="AE308" s="28"/>
      <c r="AF308" s="28"/>
      <c r="AG308" s="28"/>
      <c r="AN308" s="28"/>
      <c r="AO308" s="28"/>
      <c r="AP308" s="28"/>
      <c r="AQ308" s="28"/>
    </row>
    <row r="309">
      <c r="J309" s="28"/>
      <c r="K309" s="28"/>
      <c r="L309" s="28"/>
      <c r="M309" s="28"/>
      <c r="T309" s="28"/>
      <c r="U309" s="28"/>
      <c r="V309" s="28"/>
      <c r="W309" s="28"/>
      <c r="AD309" s="28"/>
      <c r="AE309" s="28"/>
      <c r="AF309" s="28"/>
      <c r="AG309" s="28"/>
      <c r="AN309" s="28"/>
      <c r="AO309" s="28"/>
      <c r="AP309" s="28"/>
      <c r="AQ309" s="28"/>
    </row>
    <row r="310">
      <c r="J310" s="28"/>
      <c r="K310" s="28"/>
      <c r="L310" s="28"/>
      <c r="M310" s="28"/>
      <c r="T310" s="28"/>
      <c r="U310" s="28"/>
      <c r="V310" s="28"/>
      <c r="W310" s="28"/>
      <c r="AD310" s="28"/>
      <c r="AE310" s="28"/>
      <c r="AF310" s="28"/>
      <c r="AG310" s="28"/>
      <c r="AN310" s="28"/>
      <c r="AO310" s="28"/>
      <c r="AP310" s="28"/>
      <c r="AQ310" s="28"/>
    </row>
    <row r="311">
      <c r="J311" s="28"/>
      <c r="K311" s="28"/>
      <c r="L311" s="28"/>
      <c r="M311" s="28"/>
      <c r="T311" s="28"/>
      <c r="U311" s="28"/>
      <c r="V311" s="28"/>
      <c r="W311" s="28"/>
      <c r="AD311" s="28"/>
      <c r="AE311" s="28"/>
      <c r="AF311" s="28"/>
      <c r="AG311" s="28"/>
      <c r="AN311" s="28"/>
      <c r="AO311" s="28"/>
      <c r="AP311" s="28"/>
      <c r="AQ311" s="28"/>
    </row>
    <row r="312">
      <c r="J312" s="28"/>
      <c r="K312" s="28"/>
      <c r="L312" s="28"/>
      <c r="M312" s="28"/>
      <c r="T312" s="28"/>
      <c r="U312" s="28"/>
      <c r="V312" s="28"/>
      <c r="W312" s="28"/>
      <c r="AD312" s="28"/>
      <c r="AE312" s="28"/>
      <c r="AF312" s="28"/>
      <c r="AG312" s="28"/>
      <c r="AN312" s="28"/>
      <c r="AO312" s="28"/>
      <c r="AP312" s="28"/>
      <c r="AQ312" s="28"/>
    </row>
    <row r="313">
      <c r="J313" s="28"/>
      <c r="K313" s="28"/>
      <c r="L313" s="28"/>
      <c r="M313" s="28"/>
      <c r="T313" s="28"/>
      <c r="U313" s="28"/>
      <c r="V313" s="28"/>
      <c r="W313" s="28"/>
      <c r="AD313" s="28"/>
      <c r="AE313" s="28"/>
      <c r="AF313" s="28"/>
      <c r="AG313" s="28"/>
      <c r="AN313" s="28"/>
      <c r="AO313" s="28"/>
      <c r="AP313" s="28"/>
      <c r="AQ313" s="28"/>
    </row>
    <row r="314">
      <c r="J314" s="28"/>
      <c r="K314" s="28"/>
      <c r="L314" s="28"/>
      <c r="M314" s="28"/>
      <c r="T314" s="28"/>
      <c r="U314" s="28"/>
      <c r="V314" s="28"/>
      <c r="W314" s="28"/>
      <c r="AD314" s="28"/>
      <c r="AE314" s="28"/>
      <c r="AF314" s="28"/>
      <c r="AG314" s="28"/>
      <c r="AN314" s="28"/>
      <c r="AO314" s="28"/>
      <c r="AP314" s="28"/>
      <c r="AQ314" s="28"/>
    </row>
    <row r="315">
      <c r="J315" s="28"/>
      <c r="K315" s="28"/>
      <c r="L315" s="28"/>
      <c r="M315" s="28"/>
      <c r="T315" s="28"/>
      <c r="U315" s="28"/>
      <c r="V315" s="28"/>
      <c r="W315" s="28"/>
      <c r="AD315" s="28"/>
      <c r="AE315" s="28"/>
      <c r="AF315" s="28"/>
      <c r="AG315" s="28"/>
      <c r="AN315" s="28"/>
      <c r="AO315" s="28"/>
      <c r="AP315" s="28"/>
      <c r="AQ315" s="28"/>
    </row>
    <row r="316">
      <c r="J316" s="28"/>
      <c r="K316" s="28"/>
      <c r="L316" s="28"/>
      <c r="M316" s="28"/>
      <c r="T316" s="28"/>
      <c r="U316" s="28"/>
      <c r="V316" s="28"/>
      <c r="W316" s="28"/>
      <c r="AD316" s="28"/>
      <c r="AE316" s="28"/>
      <c r="AF316" s="28"/>
      <c r="AG316" s="28"/>
      <c r="AN316" s="28"/>
      <c r="AO316" s="28"/>
      <c r="AP316" s="28"/>
      <c r="AQ316" s="28"/>
    </row>
    <row r="317">
      <c r="J317" s="28"/>
      <c r="K317" s="28"/>
      <c r="L317" s="28"/>
      <c r="M317" s="28"/>
      <c r="T317" s="28"/>
      <c r="U317" s="28"/>
      <c r="V317" s="28"/>
      <c r="W317" s="28"/>
      <c r="AD317" s="28"/>
      <c r="AE317" s="28"/>
      <c r="AF317" s="28"/>
      <c r="AG317" s="28"/>
      <c r="AN317" s="28"/>
      <c r="AO317" s="28"/>
      <c r="AP317" s="28"/>
      <c r="AQ317" s="28"/>
    </row>
    <row r="318">
      <c r="J318" s="28"/>
      <c r="K318" s="28"/>
      <c r="L318" s="28"/>
      <c r="M318" s="28"/>
      <c r="T318" s="28"/>
      <c r="U318" s="28"/>
      <c r="V318" s="28"/>
      <c r="W318" s="28"/>
      <c r="AD318" s="28"/>
      <c r="AE318" s="28"/>
      <c r="AF318" s="28"/>
      <c r="AG318" s="28"/>
      <c r="AN318" s="28"/>
      <c r="AO318" s="28"/>
      <c r="AP318" s="28"/>
      <c r="AQ318" s="28"/>
    </row>
    <row r="319">
      <c r="J319" s="28"/>
      <c r="K319" s="28"/>
      <c r="L319" s="28"/>
      <c r="M319" s="28"/>
      <c r="T319" s="28"/>
      <c r="U319" s="28"/>
      <c r="V319" s="28"/>
      <c r="W319" s="28"/>
      <c r="AD319" s="28"/>
      <c r="AE319" s="28"/>
      <c r="AF319" s="28"/>
      <c r="AG319" s="28"/>
      <c r="AN319" s="28"/>
      <c r="AO319" s="28"/>
      <c r="AP319" s="28"/>
      <c r="AQ319" s="28"/>
    </row>
    <row r="320">
      <c r="J320" s="28"/>
      <c r="K320" s="28"/>
      <c r="L320" s="28"/>
      <c r="M320" s="28"/>
      <c r="T320" s="28"/>
      <c r="U320" s="28"/>
      <c r="V320" s="28"/>
      <c r="W320" s="28"/>
      <c r="AD320" s="28"/>
      <c r="AE320" s="28"/>
      <c r="AF320" s="28"/>
      <c r="AG320" s="28"/>
      <c r="AN320" s="28"/>
      <c r="AO320" s="28"/>
      <c r="AP320" s="28"/>
      <c r="AQ320" s="28"/>
    </row>
    <row r="321">
      <c r="J321" s="28"/>
      <c r="K321" s="28"/>
      <c r="L321" s="28"/>
      <c r="M321" s="28"/>
      <c r="T321" s="28"/>
      <c r="U321" s="28"/>
      <c r="V321" s="28"/>
      <c r="W321" s="28"/>
      <c r="AD321" s="28"/>
      <c r="AE321" s="28"/>
      <c r="AF321" s="28"/>
      <c r="AG321" s="28"/>
      <c r="AN321" s="28"/>
      <c r="AO321" s="28"/>
      <c r="AP321" s="28"/>
      <c r="AQ321" s="28"/>
    </row>
    <row r="322">
      <c r="J322" s="28"/>
      <c r="K322" s="28"/>
      <c r="L322" s="28"/>
      <c r="M322" s="28"/>
      <c r="T322" s="28"/>
      <c r="U322" s="28"/>
      <c r="V322" s="28"/>
      <c r="W322" s="28"/>
      <c r="AD322" s="28"/>
      <c r="AE322" s="28"/>
      <c r="AF322" s="28"/>
      <c r="AG322" s="28"/>
      <c r="AN322" s="28"/>
      <c r="AO322" s="28"/>
      <c r="AP322" s="28"/>
      <c r="AQ322" s="28"/>
    </row>
    <row r="323">
      <c r="J323" s="28"/>
      <c r="K323" s="28"/>
      <c r="L323" s="28"/>
      <c r="M323" s="28"/>
      <c r="T323" s="28"/>
      <c r="U323" s="28"/>
      <c r="V323" s="28"/>
      <c r="W323" s="28"/>
      <c r="AD323" s="28"/>
      <c r="AE323" s="28"/>
      <c r="AF323" s="28"/>
      <c r="AG323" s="28"/>
      <c r="AN323" s="28"/>
      <c r="AO323" s="28"/>
      <c r="AP323" s="28"/>
      <c r="AQ323" s="28"/>
    </row>
    <row r="324">
      <c r="J324" s="28"/>
      <c r="K324" s="28"/>
      <c r="L324" s="28"/>
      <c r="M324" s="28"/>
      <c r="T324" s="28"/>
      <c r="U324" s="28"/>
      <c r="V324" s="28"/>
      <c r="W324" s="28"/>
      <c r="AD324" s="28"/>
      <c r="AE324" s="28"/>
      <c r="AF324" s="28"/>
      <c r="AG324" s="28"/>
      <c r="AN324" s="28"/>
      <c r="AO324" s="28"/>
      <c r="AP324" s="28"/>
      <c r="AQ324" s="28"/>
    </row>
    <row r="325">
      <c r="J325" s="28"/>
      <c r="K325" s="28"/>
      <c r="L325" s="28"/>
      <c r="M325" s="28"/>
      <c r="T325" s="28"/>
      <c r="U325" s="28"/>
      <c r="V325" s="28"/>
      <c r="W325" s="28"/>
      <c r="AD325" s="28"/>
      <c r="AE325" s="28"/>
      <c r="AF325" s="28"/>
      <c r="AG325" s="28"/>
      <c r="AN325" s="28"/>
      <c r="AO325" s="28"/>
      <c r="AP325" s="28"/>
      <c r="AQ325" s="28"/>
    </row>
    <row r="326">
      <c r="J326" s="28"/>
      <c r="K326" s="28"/>
      <c r="L326" s="28"/>
      <c r="M326" s="28"/>
      <c r="T326" s="28"/>
      <c r="U326" s="28"/>
      <c r="V326" s="28"/>
      <c r="W326" s="28"/>
      <c r="AD326" s="28"/>
      <c r="AE326" s="28"/>
      <c r="AF326" s="28"/>
      <c r="AG326" s="28"/>
      <c r="AN326" s="28"/>
      <c r="AO326" s="28"/>
      <c r="AP326" s="28"/>
      <c r="AQ326" s="28"/>
    </row>
    <row r="327">
      <c r="J327" s="28"/>
      <c r="K327" s="28"/>
      <c r="L327" s="28"/>
      <c r="M327" s="28"/>
      <c r="T327" s="28"/>
      <c r="U327" s="28"/>
      <c r="V327" s="28"/>
      <c r="W327" s="28"/>
      <c r="AD327" s="28"/>
      <c r="AE327" s="28"/>
      <c r="AF327" s="28"/>
      <c r="AG327" s="28"/>
      <c r="AN327" s="28"/>
      <c r="AO327" s="28"/>
      <c r="AP327" s="28"/>
      <c r="AQ327" s="28"/>
    </row>
    <row r="328">
      <c r="J328" s="28"/>
      <c r="K328" s="28"/>
      <c r="L328" s="28"/>
      <c r="M328" s="28"/>
      <c r="T328" s="28"/>
      <c r="U328" s="28"/>
      <c r="V328" s="28"/>
      <c r="W328" s="28"/>
      <c r="AD328" s="28"/>
      <c r="AE328" s="28"/>
      <c r="AF328" s="28"/>
      <c r="AG328" s="28"/>
      <c r="AN328" s="28"/>
      <c r="AO328" s="28"/>
      <c r="AP328" s="28"/>
      <c r="AQ328" s="28"/>
    </row>
    <row r="329">
      <c r="J329" s="28"/>
      <c r="K329" s="28"/>
      <c r="L329" s="28"/>
      <c r="M329" s="28"/>
      <c r="T329" s="28"/>
      <c r="U329" s="28"/>
      <c r="V329" s="28"/>
      <c r="W329" s="28"/>
      <c r="AD329" s="28"/>
      <c r="AE329" s="28"/>
      <c r="AF329" s="28"/>
      <c r="AG329" s="28"/>
      <c r="AN329" s="28"/>
      <c r="AO329" s="28"/>
      <c r="AP329" s="28"/>
      <c r="AQ329" s="28"/>
    </row>
    <row r="330">
      <c r="J330" s="28"/>
      <c r="K330" s="28"/>
      <c r="L330" s="28"/>
      <c r="M330" s="28"/>
      <c r="T330" s="28"/>
      <c r="U330" s="28"/>
      <c r="V330" s="28"/>
      <c r="W330" s="28"/>
      <c r="AD330" s="28"/>
      <c r="AE330" s="28"/>
      <c r="AF330" s="28"/>
      <c r="AG330" s="28"/>
      <c r="AN330" s="28"/>
      <c r="AO330" s="28"/>
      <c r="AP330" s="28"/>
      <c r="AQ330" s="28"/>
    </row>
    <row r="331">
      <c r="J331" s="28"/>
      <c r="K331" s="28"/>
      <c r="L331" s="28"/>
      <c r="M331" s="28"/>
      <c r="T331" s="28"/>
      <c r="U331" s="28"/>
      <c r="V331" s="28"/>
      <c r="W331" s="28"/>
      <c r="AD331" s="28"/>
      <c r="AE331" s="28"/>
      <c r="AF331" s="28"/>
      <c r="AG331" s="28"/>
      <c r="AN331" s="28"/>
      <c r="AO331" s="28"/>
      <c r="AP331" s="28"/>
      <c r="AQ331" s="28"/>
    </row>
    <row r="332">
      <c r="J332" s="28"/>
      <c r="K332" s="28"/>
      <c r="L332" s="28"/>
      <c r="M332" s="28"/>
      <c r="T332" s="28"/>
      <c r="U332" s="28"/>
      <c r="V332" s="28"/>
      <c r="W332" s="28"/>
      <c r="AD332" s="28"/>
      <c r="AE332" s="28"/>
      <c r="AF332" s="28"/>
      <c r="AG332" s="28"/>
      <c r="AN332" s="28"/>
      <c r="AO332" s="28"/>
      <c r="AP332" s="28"/>
      <c r="AQ332" s="28"/>
    </row>
    <row r="333">
      <c r="J333" s="28"/>
      <c r="K333" s="28"/>
      <c r="L333" s="28"/>
      <c r="M333" s="28"/>
      <c r="T333" s="28"/>
      <c r="U333" s="28"/>
      <c r="V333" s="28"/>
      <c r="W333" s="28"/>
      <c r="AD333" s="28"/>
      <c r="AE333" s="28"/>
      <c r="AF333" s="28"/>
      <c r="AG333" s="28"/>
      <c r="AN333" s="28"/>
      <c r="AO333" s="28"/>
      <c r="AP333" s="28"/>
      <c r="AQ333" s="28"/>
    </row>
    <row r="334">
      <c r="J334" s="28"/>
      <c r="K334" s="28"/>
      <c r="L334" s="28"/>
      <c r="M334" s="28"/>
      <c r="T334" s="28"/>
      <c r="U334" s="28"/>
      <c r="V334" s="28"/>
      <c r="W334" s="28"/>
      <c r="AD334" s="28"/>
      <c r="AE334" s="28"/>
      <c r="AF334" s="28"/>
      <c r="AG334" s="28"/>
      <c r="AN334" s="28"/>
      <c r="AO334" s="28"/>
      <c r="AP334" s="28"/>
      <c r="AQ334" s="28"/>
    </row>
    <row r="335">
      <c r="J335" s="28"/>
      <c r="K335" s="28"/>
      <c r="L335" s="28"/>
      <c r="M335" s="28"/>
      <c r="T335" s="28"/>
      <c r="U335" s="28"/>
      <c r="V335" s="28"/>
      <c r="W335" s="28"/>
      <c r="AD335" s="28"/>
      <c r="AE335" s="28"/>
      <c r="AF335" s="28"/>
      <c r="AG335" s="28"/>
      <c r="AN335" s="28"/>
      <c r="AO335" s="28"/>
      <c r="AP335" s="28"/>
      <c r="AQ335" s="28"/>
    </row>
    <row r="336">
      <c r="J336" s="28"/>
      <c r="K336" s="28"/>
      <c r="L336" s="28"/>
      <c r="M336" s="28"/>
      <c r="T336" s="28"/>
      <c r="U336" s="28"/>
      <c r="V336" s="28"/>
      <c r="W336" s="28"/>
      <c r="AD336" s="28"/>
      <c r="AE336" s="28"/>
      <c r="AF336" s="28"/>
      <c r="AG336" s="28"/>
      <c r="AN336" s="28"/>
      <c r="AO336" s="28"/>
      <c r="AP336" s="28"/>
      <c r="AQ336" s="28"/>
    </row>
    <row r="337">
      <c r="J337" s="28"/>
      <c r="K337" s="28"/>
      <c r="L337" s="28"/>
      <c r="M337" s="28"/>
      <c r="T337" s="28"/>
      <c r="U337" s="28"/>
      <c r="V337" s="28"/>
      <c r="W337" s="28"/>
      <c r="AD337" s="28"/>
      <c r="AE337" s="28"/>
      <c r="AF337" s="28"/>
      <c r="AG337" s="28"/>
      <c r="AN337" s="28"/>
      <c r="AO337" s="28"/>
      <c r="AP337" s="28"/>
      <c r="AQ337" s="28"/>
    </row>
    <row r="338">
      <c r="J338" s="28"/>
      <c r="K338" s="28"/>
      <c r="L338" s="28"/>
      <c r="M338" s="28"/>
      <c r="T338" s="28"/>
      <c r="U338" s="28"/>
      <c r="V338" s="28"/>
      <c r="W338" s="28"/>
      <c r="AD338" s="28"/>
      <c r="AE338" s="28"/>
      <c r="AF338" s="28"/>
      <c r="AG338" s="28"/>
      <c r="AN338" s="28"/>
      <c r="AO338" s="28"/>
      <c r="AP338" s="28"/>
      <c r="AQ338" s="28"/>
    </row>
    <row r="339">
      <c r="J339" s="28"/>
      <c r="K339" s="28"/>
      <c r="L339" s="28"/>
      <c r="M339" s="28"/>
      <c r="T339" s="28"/>
      <c r="U339" s="28"/>
      <c r="V339" s="28"/>
      <c r="W339" s="28"/>
      <c r="AD339" s="28"/>
      <c r="AE339" s="28"/>
      <c r="AF339" s="28"/>
      <c r="AG339" s="28"/>
      <c r="AN339" s="28"/>
      <c r="AO339" s="28"/>
      <c r="AP339" s="28"/>
      <c r="AQ339" s="28"/>
    </row>
    <row r="340">
      <c r="J340" s="28"/>
      <c r="K340" s="28"/>
      <c r="L340" s="28"/>
      <c r="M340" s="28"/>
      <c r="T340" s="28"/>
      <c r="U340" s="28"/>
      <c r="V340" s="28"/>
      <c r="W340" s="28"/>
      <c r="AD340" s="28"/>
      <c r="AE340" s="28"/>
      <c r="AF340" s="28"/>
      <c r="AG340" s="28"/>
      <c r="AN340" s="28"/>
      <c r="AO340" s="28"/>
      <c r="AP340" s="28"/>
      <c r="AQ340" s="28"/>
    </row>
    <row r="341">
      <c r="J341" s="28"/>
      <c r="K341" s="28"/>
      <c r="L341" s="28"/>
      <c r="M341" s="28"/>
      <c r="T341" s="28"/>
      <c r="U341" s="28"/>
      <c r="V341" s="28"/>
      <c r="W341" s="28"/>
      <c r="AD341" s="28"/>
      <c r="AE341" s="28"/>
      <c r="AF341" s="28"/>
      <c r="AG341" s="28"/>
      <c r="AN341" s="28"/>
      <c r="AO341" s="28"/>
      <c r="AP341" s="28"/>
      <c r="AQ341" s="28"/>
    </row>
    <row r="342">
      <c r="J342" s="28"/>
      <c r="K342" s="28"/>
      <c r="L342" s="28"/>
      <c r="M342" s="28"/>
      <c r="T342" s="28"/>
      <c r="U342" s="28"/>
      <c r="V342" s="28"/>
      <c r="W342" s="28"/>
      <c r="AD342" s="28"/>
      <c r="AE342" s="28"/>
      <c r="AF342" s="28"/>
      <c r="AG342" s="28"/>
      <c r="AN342" s="28"/>
      <c r="AO342" s="28"/>
      <c r="AP342" s="28"/>
      <c r="AQ342" s="28"/>
    </row>
    <row r="343">
      <c r="J343" s="28"/>
      <c r="K343" s="28"/>
      <c r="L343" s="28"/>
      <c r="M343" s="28"/>
      <c r="T343" s="28"/>
      <c r="U343" s="28"/>
      <c r="V343" s="28"/>
      <c r="W343" s="28"/>
      <c r="AD343" s="28"/>
      <c r="AE343" s="28"/>
      <c r="AF343" s="28"/>
      <c r="AG343" s="28"/>
      <c r="AN343" s="28"/>
      <c r="AO343" s="28"/>
      <c r="AP343" s="28"/>
      <c r="AQ343" s="28"/>
    </row>
    <row r="344">
      <c r="J344" s="28"/>
      <c r="K344" s="28"/>
      <c r="L344" s="28"/>
      <c r="M344" s="28"/>
      <c r="T344" s="28"/>
      <c r="U344" s="28"/>
      <c r="V344" s="28"/>
      <c r="W344" s="28"/>
      <c r="AD344" s="28"/>
      <c r="AE344" s="28"/>
      <c r="AF344" s="28"/>
      <c r="AG344" s="28"/>
      <c r="AN344" s="28"/>
      <c r="AO344" s="28"/>
      <c r="AP344" s="28"/>
      <c r="AQ344" s="28"/>
    </row>
    <row r="345">
      <c r="J345" s="28"/>
      <c r="K345" s="28"/>
      <c r="L345" s="28"/>
      <c r="M345" s="28"/>
      <c r="T345" s="28"/>
      <c r="U345" s="28"/>
      <c r="V345" s="28"/>
      <c r="W345" s="28"/>
      <c r="AD345" s="28"/>
      <c r="AE345" s="28"/>
      <c r="AF345" s="28"/>
      <c r="AG345" s="28"/>
      <c r="AN345" s="28"/>
      <c r="AO345" s="28"/>
      <c r="AP345" s="28"/>
      <c r="AQ345" s="28"/>
    </row>
    <row r="346">
      <c r="J346" s="28"/>
      <c r="K346" s="28"/>
      <c r="L346" s="28"/>
      <c r="M346" s="28"/>
      <c r="T346" s="28"/>
      <c r="U346" s="28"/>
      <c r="V346" s="28"/>
      <c r="W346" s="28"/>
      <c r="AD346" s="28"/>
      <c r="AE346" s="28"/>
      <c r="AF346" s="28"/>
      <c r="AG346" s="28"/>
      <c r="AN346" s="28"/>
      <c r="AO346" s="28"/>
      <c r="AP346" s="28"/>
      <c r="AQ346" s="28"/>
    </row>
    <row r="347">
      <c r="J347" s="28"/>
      <c r="K347" s="28"/>
      <c r="L347" s="28"/>
      <c r="M347" s="28"/>
      <c r="T347" s="28"/>
      <c r="U347" s="28"/>
      <c r="V347" s="28"/>
      <c r="W347" s="28"/>
      <c r="AD347" s="28"/>
      <c r="AE347" s="28"/>
      <c r="AF347" s="28"/>
      <c r="AG347" s="28"/>
      <c r="AN347" s="28"/>
      <c r="AO347" s="28"/>
      <c r="AP347" s="28"/>
      <c r="AQ347" s="28"/>
    </row>
    <row r="348">
      <c r="J348" s="28"/>
      <c r="K348" s="28"/>
      <c r="L348" s="28"/>
      <c r="M348" s="28"/>
      <c r="T348" s="28"/>
      <c r="U348" s="28"/>
      <c r="V348" s="28"/>
      <c r="W348" s="28"/>
      <c r="AD348" s="28"/>
      <c r="AE348" s="28"/>
      <c r="AF348" s="28"/>
      <c r="AG348" s="28"/>
      <c r="AN348" s="28"/>
      <c r="AO348" s="28"/>
      <c r="AP348" s="28"/>
      <c r="AQ348" s="28"/>
    </row>
    <row r="349">
      <c r="J349" s="28"/>
      <c r="K349" s="28"/>
      <c r="L349" s="28"/>
      <c r="M349" s="28"/>
      <c r="T349" s="28"/>
      <c r="U349" s="28"/>
      <c r="V349" s="28"/>
      <c r="W349" s="28"/>
      <c r="AD349" s="28"/>
      <c r="AE349" s="28"/>
      <c r="AF349" s="28"/>
      <c r="AG349" s="28"/>
      <c r="AN349" s="28"/>
      <c r="AO349" s="28"/>
      <c r="AP349" s="28"/>
      <c r="AQ349" s="28"/>
    </row>
    <row r="350">
      <c r="J350" s="28"/>
      <c r="K350" s="28"/>
      <c r="L350" s="28"/>
      <c r="M350" s="28"/>
      <c r="T350" s="28"/>
      <c r="U350" s="28"/>
      <c r="V350" s="28"/>
      <c r="W350" s="28"/>
      <c r="AD350" s="28"/>
      <c r="AE350" s="28"/>
      <c r="AF350" s="28"/>
      <c r="AG350" s="28"/>
      <c r="AN350" s="28"/>
      <c r="AO350" s="28"/>
      <c r="AP350" s="28"/>
      <c r="AQ350" s="28"/>
    </row>
    <row r="351">
      <c r="J351" s="28"/>
      <c r="K351" s="28"/>
      <c r="L351" s="28"/>
      <c r="M351" s="28"/>
      <c r="T351" s="28"/>
      <c r="U351" s="28"/>
      <c r="V351" s="28"/>
      <c r="W351" s="28"/>
      <c r="AD351" s="28"/>
      <c r="AE351" s="28"/>
      <c r="AF351" s="28"/>
      <c r="AG351" s="28"/>
      <c r="AN351" s="28"/>
      <c r="AO351" s="28"/>
      <c r="AP351" s="28"/>
      <c r="AQ351" s="28"/>
    </row>
    <row r="352">
      <c r="J352" s="28"/>
      <c r="K352" s="28"/>
      <c r="L352" s="28"/>
      <c r="M352" s="28"/>
      <c r="T352" s="28"/>
      <c r="U352" s="28"/>
      <c r="V352" s="28"/>
      <c r="W352" s="28"/>
      <c r="AD352" s="28"/>
      <c r="AE352" s="28"/>
      <c r="AF352" s="28"/>
      <c r="AG352" s="28"/>
      <c r="AN352" s="28"/>
      <c r="AO352" s="28"/>
      <c r="AP352" s="28"/>
      <c r="AQ352" s="28"/>
    </row>
    <row r="353">
      <c r="J353" s="28"/>
      <c r="K353" s="28"/>
      <c r="L353" s="28"/>
      <c r="M353" s="28"/>
      <c r="T353" s="28"/>
      <c r="U353" s="28"/>
      <c r="V353" s="28"/>
      <c r="W353" s="28"/>
      <c r="AD353" s="28"/>
      <c r="AE353" s="28"/>
      <c r="AF353" s="28"/>
      <c r="AG353" s="28"/>
      <c r="AN353" s="28"/>
      <c r="AO353" s="28"/>
      <c r="AP353" s="28"/>
      <c r="AQ353" s="28"/>
    </row>
    <row r="354">
      <c r="J354" s="28"/>
      <c r="K354" s="28"/>
      <c r="L354" s="28"/>
      <c r="M354" s="28"/>
      <c r="T354" s="28"/>
      <c r="U354" s="28"/>
      <c r="V354" s="28"/>
      <c r="W354" s="28"/>
      <c r="AD354" s="28"/>
      <c r="AE354" s="28"/>
      <c r="AF354" s="28"/>
      <c r="AG354" s="28"/>
      <c r="AN354" s="28"/>
      <c r="AO354" s="28"/>
      <c r="AP354" s="28"/>
      <c r="AQ354" s="28"/>
    </row>
    <row r="355">
      <c r="J355" s="28"/>
      <c r="K355" s="28"/>
      <c r="L355" s="28"/>
      <c r="M355" s="28"/>
      <c r="T355" s="28"/>
      <c r="U355" s="28"/>
      <c r="V355" s="28"/>
      <c r="W355" s="28"/>
      <c r="AD355" s="28"/>
      <c r="AE355" s="28"/>
      <c r="AF355" s="28"/>
      <c r="AG355" s="28"/>
      <c r="AN355" s="28"/>
      <c r="AO355" s="28"/>
      <c r="AP355" s="28"/>
      <c r="AQ355" s="28"/>
    </row>
    <row r="356">
      <c r="J356" s="28"/>
      <c r="K356" s="28"/>
      <c r="L356" s="28"/>
      <c r="M356" s="28"/>
      <c r="T356" s="28"/>
      <c r="U356" s="28"/>
      <c r="V356" s="28"/>
      <c r="W356" s="28"/>
      <c r="AD356" s="28"/>
      <c r="AE356" s="28"/>
      <c r="AF356" s="28"/>
      <c r="AG356" s="28"/>
      <c r="AN356" s="28"/>
      <c r="AO356" s="28"/>
      <c r="AP356" s="28"/>
      <c r="AQ356" s="28"/>
    </row>
    <row r="357">
      <c r="J357" s="28"/>
      <c r="K357" s="28"/>
      <c r="L357" s="28"/>
      <c r="M357" s="28"/>
      <c r="T357" s="28"/>
      <c r="U357" s="28"/>
      <c r="V357" s="28"/>
      <c r="W357" s="28"/>
      <c r="AD357" s="28"/>
      <c r="AE357" s="28"/>
      <c r="AF357" s="28"/>
      <c r="AG357" s="28"/>
      <c r="AN357" s="28"/>
      <c r="AO357" s="28"/>
      <c r="AP357" s="28"/>
      <c r="AQ357" s="28"/>
    </row>
    <row r="358">
      <c r="J358" s="28"/>
      <c r="K358" s="28"/>
      <c r="L358" s="28"/>
      <c r="M358" s="28"/>
      <c r="T358" s="28"/>
      <c r="U358" s="28"/>
      <c r="V358" s="28"/>
      <c r="W358" s="28"/>
      <c r="AD358" s="28"/>
      <c r="AE358" s="28"/>
      <c r="AF358" s="28"/>
      <c r="AG358" s="28"/>
      <c r="AN358" s="28"/>
      <c r="AO358" s="28"/>
      <c r="AP358" s="28"/>
      <c r="AQ358" s="28"/>
    </row>
    <row r="359">
      <c r="J359" s="28"/>
      <c r="K359" s="28"/>
      <c r="L359" s="28"/>
      <c r="M359" s="28"/>
      <c r="T359" s="28"/>
      <c r="U359" s="28"/>
      <c r="V359" s="28"/>
      <c r="W359" s="28"/>
      <c r="AD359" s="28"/>
      <c r="AE359" s="28"/>
      <c r="AF359" s="28"/>
      <c r="AG359" s="28"/>
      <c r="AN359" s="28"/>
      <c r="AO359" s="28"/>
      <c r="AP359" s="28"/>
      <c r="AQ359" s="28"/>
    </row>
    <row r="360">
      <c r="J360" s="28"/>
      <c r="K360" s="28"/>
      <c r="L360" s="28"/>
      <c r="M360" s="28"/>
      <c r="T360" s="28"/>
      <c r="U360" s="28"/>
      <c r="V360" s="28"/>
      <c r="W360" s="28"/>
      <c r="AD360" s="28"/>
      <c r="AE360" s="28"/>
      <c r="AF360" s="28"/>
      <c r="AG360" s="28"/>
      <c r="AN360" s="28"/>
      <c r="AO360" s="28"/>
      <c r="AP360" s="28"/>
      <c r="AQ360" s="28"/>
    </row>
    <row r="361">
      <c r="J361" s="28"/>
      <c r="K361" s="28"/>
      <c r="L361" s="28"/>
      <c r="M361" s="28"/>
      <c r="T361" s="28"/>
      <c r="U361" s="28"/>
      <c r="V361" s="28"/>
      <c r="W361" s="28"/>
      <c r="AD361" s="28"/>
      <c r="AE361" s="28"/>
      <c r="AF361" s="28"/>
      <c r="AG361" s="28"/>
      <c r="AN361" s="28"/>
      <c r="AO361" s="28"/>
      <c r="AP361" s="28"/>
      <c r="AQ361" s="28"/>
    </row>
    <row r="362">
      <c r="J362" s="28"/>
      <c r="K362" s="28"/>
      <c r="L362" s="28"/>
      <c r="M362" s="28"/>
      <c r="T362" s="28"/>
      <c r="U362" s="28"/>
      <c r="V362" s="28"/>
      <c r="W362" s="28"/>
      <c r="AD362" s="28"/>
      <c r="AE362" s="28"/>
      <c r="AF362" s="28"/>
      <c r="AG362" s="28"/>
      <c r="AN362" s="28"/>
      <c r="AO362" s="28"/>
      <c r="AP362" s="28"/>
      <c r="AQ362" s="28"/>
    </row>
    <row r="363">
      <c r="J363" s="28"/>
      <c r="K363" s="28"/>
      <c r="L363" s="28"/>
      <c r="M363" s="28"/>
      <c r="T363" s="28"/>
      <c r="U363" s="28"/>
      <c r="V363" s="28"/>
      <c r="W363" s="28"/>
      <c r="AD363" s="28"/>
      <c r="AE363" s="28"/>
      <c r="AF363" s="28"/>
      <c r="AG363" s="28"/>
      <c r="AN363" s="28"/>
      <c r="AO363" s="28"/>
      <c r="AP363" s="28"/>
      <c r="AQ363" s="28"/>
    </row>
    <row r="364">
      <c r="J364" s="28"/>
      <c r="K364" s="28"/>
      <c r="L364" s="28"/>
      <c r="M364" s="28"/>
      <c r="T364" s="28"/>
      <c r="U364" s="28"/>
      <c r="V364" s="28"/>
      <c r="W364" s="28"/>
      <c r="AD364" s="28"/>
      <c r="AE364" s="28"/>
      <c r="AF364" s="28"/>
      <c r="AG364" s="28"/>
      <c r="AN364" s="28"/>
      <c r="AO364" s="28"/>
      <c r="AP364" s="28"/>
      <c r="AQ364" s="28"/>
    </row>
    <row r="365">
      <c r="J365" s="28"/>
      <c r="K365" s="28"/>
      <c r="L365" s="28"/>
      <c r="M365" s="28"/>
      <c r="T365" s="28"/>
      <c r="U365" s="28"/>
      <c r="V365" s="28"/>
      <c r="W365" s="28"/>
      <c r="AD365" s="28"/>
      <c r="AE365" s="28"/>
      <c r="AF365" s="28"/>
      <c r="AG365" s="28"/>
      <c r="AN365" s="28"/>
      <c r="AO365" s="28"/>
      <c r="AP365" s="28"/>
      <c r="AQ365" s="28"/>
    </row>
    <row r="366">
      <c r="J366" s="28"/>
      <c r="K366" s="28"/>
      <c r="L366" s="28"/>
      <c r="M366" s="28"/>
      <c r="T366" s="28"/>
      <c r="U366" s="28"/>
      <c r="V366" s="28"/>
      <c r="W366" s="28"/>
      <c r="AD366" s="28"/>
      <c r="AE366" s="28"/>
      <c r="AF366" s="28"/>
      <c r="AG366" s="28"/>
      <c r="AN366" s="28"/>
      <c r="AO366" s="28"/>
      <c r="AP366" s="28"/>
      <c r="AQ366" s="28"/>
    </row>
    <row r="367">
      <c r="J367" s="28"/>
      <c r="K367" s="28"/>
      <c r="L367" s="28"/>
      <c r="M367" s="28"/>
      <c r="T367" s="28"/>
      <c r="U367" s="28"/>
      <c r="V367" s="28"/>
      <c r="W367" s="28"/>
      <c r="AD367" s="28"/>
      <c r="AE367" s="28"/>
      <c r="AF367" s="28"/>
      <c r="AG367" s="28"/>
      <c r="AN367" s="28"/>
      <c r="AO367" s="28"/>
      <c r="AP367" s="28"/>
      <c r="AQ367" s="28"/>
    </row>
    <row r="368">
      <c r="J368" s="28"/>
      <c r="K368" s="28"/>
      <c r="L368" s="28"/>
      <c r="M368" s="28"/>
      <c r="T368" s="28"/>
      <c r="U368" s="28"/>
      <c r="V368" s="28"/>
      <c r="W368" s="28"/>
      <c r="AD368" s="28"/>
      <c r="AE368" s="28"/>
      <c r="AF368" s="28"/>
      <c r="AG368" s="28"/>
      <c r="AN368" s="28"/>
      <c r="AO368" s="28"/>
      <c r="AP368" s="28"/>
      <c r="AQ368" s="28"/>
    </row>
    <row r="369">
      <c r="J369" s="28"/>
      <c r="K369" s="28"/>
      <c r="L369" s="28"/>
      <c r="M369" s="28"/>
      <c r="T369" s="28"/>
      <c r="U369" s="28"/>
      <c r="V369" s="28"/>
      <c r="W369" s="28"/>
      <c r="AD369" s="28"/>
      <c r="AE369" s="28"/>
      <c r="AF369" s="28"/>
      <c r="AG369" s="28"/>
      <c r="AN369" s="28"/>
      <c r="AO369" s="28"/>
      <c r="AP369" s="28"/>
      <c r="AQ369" s="28"/>
    </row>
    <row r="370">
      <c r="J370" s="28"/>
      <c r="K370" s="28"/>
      <c r="L370" s="28"/>
      <c r="M370" s="28"/>
      <c r="T370" s="28"/>
      <c r="U370" s="28"/>
      <c r="V370" s="28"/>
      <c r="W370" s="28"/>
      <c r="AD370" s="28"/>
      <c r="AE370" s="28"/>
      <c r="AF370" s="28"/>
      <c r="AG370" s="28"/>
      <c r="AN370" s="28"/>
      <c r="AO370" s="28"/>
      <c r="AP370" s="28"/>
      <c r="AQ370" s="28"/>
    </row>
    <row r="371">
      <c r="J371" s="28"/>
      <c r="K371" s="28"/>
      <c r="L371" s="28"/>
      <c r="M371" s="28"/>
      <c r="T371" s="28"/>
      <c r="U371" s="28"/>
      <c r="V371" s="28"/>
      <c r="W371" s="28"/>
      <c r="AD371" s="28"/>
      <c r="AE371" s="28"/>
      <c r="AF371" s="28"/>
      <c r="AG371" s="28"/>
      <c r="AN371" s="28"/>
      <c r="AO371" s="28"/>
      <c r="AP371" s="28"/>
      <c r="AQ371" s="28"/>
    </row>
    <row r="372">
      <c r="J372" s="28"/>
      <c r="K372" s="28"/>
      <c r="L372" s="28"/>
      <c r="M372" s="28"/>
      <c r="T372" s="28"/>
      <c r="U372" s="28"/>
      <c r="V372" s="28"/>
      <c r="W372" s="28"/>
      <c r="AD372" s="28"/>
      <c r="AE372" s="28"/>
      <c r="AF372" s="28"/>
      <c r="AG372" s="28"/>
      <c r="AN372" s="28"/>
      <c r="AO372" s="28"/>
      <c r="AP372" s="28"/>
      <c r="AQ372" s="28"/>
    </row>
    <row r="373">
      <c r="J373" s="28"/>
      <c r="K373" s="28"/>
      <c r="L373" s="28"/>
      <c r="M373" s="28"/>
      <c r="T373" s="28"/>
      <c r="U373" s="28"/>
      <c r="V373" s="28"/>
      <c r="W373" s="28"/>
      <c r="AD373" s="28"/>
      <c r="AE373" s="28"/>
      <c r="AF373" s="28"/>
      <c r="AG373" s="28"/>
      <c r="AN373" s="28"/>
      <c r="AO373" s="28"/>
      <c r="AP373" s="28"/>
      <c r="AQ373" s="28"/>
    </row>
    <row r="374">
      <c r="J374" s="28"/>
      <c r="K374" s="28"/>
      <c r="L374" s="28"/>
      <c r="M374" s="28"/>
      <c r="T374" s="28"/>
      <c r="U374" s="28"/>
      <c r="V374" s="28"/>
      <c r="W374" s="28"/>
      <c r="AD374" s="28"/>
      <c r="AE374" s="28"/>
      <c r="AF374" s="28"/>
      <c r="AG374" s="28"/>
      <c r="AN374" s="28"/>
      <c r="AO374" s="28"/>
      <c r="AP374" s="28"/>
      <c r="AQ374" s="28"/>
    </row>
    <row r="375">
      <c r="J375" s="28"/>
      <c r="K375" s="28"/>
      <c r="L375" s="28"/>
      <c r="M375" s="28"/>
      <c r="T375" s="28"/>
      <c r="U375" s="28"/>
      <c r="V375" s="28"/>
      <c r="W375" s="28"/>
      <c r="AD375" s="28"/>
      <c r="AE375" s="28"/>
      <c r="AF375" s="28"/>
      <c r="AG375" s="28"/>
      <c r="AN375" s="28"/>
      <c r="AO375" s="28"/>
      <c r="AP375" s="28"/>
      <c r="AQ375" s="28"/>
    </row>
    <row r="376">
      <c r="J376" s="28"/>
      <c r="K376" s="28"/>
      <c r="L376" s="28"/>
      <c r="M376" s="28"/>
      <c r="T376" s="28"/>
      <c r="U376" s="28"/>
      <c r="V376" s="28"/>
      <c r="W376" s="28"/>
      <c r="AD376" s="28"/>
      <c r="AE376" s="28"/>
      <c r="AF376" s="28"/>
      <c r="AG376" s="28"/>
      <c r="AN376" s="28"/>
      <c r="AO376" s="28"/>
      <c r="AP376" s="28"/>
      <c r="AQ376" s="28"/>
    </row>
    <row r="377">
      <c r="J377" s="28"/>
      <c r="K377" s="28"/>
      <c r="L377" s="28"/>
      <c r="M377" s="28"/>
      <c r="T377" s="28"/>
      <c r="U377" s="28"/>
      <c r="V377" s="28"/>
      <c r="W377" s="28"/>
      <c r="AD377" s="28"/>
      <c r="AE377" s="28"/>
      <c r="AF377" s="28"/>
      <c r="AG377" s="28"/>
      <c r="AN377" s="28"/>
      <c r="AO377" s="28"/>
      <c r="AP377" s="28"/>
      <c r="AQ377" s="28"/>
    </row>
    <row r="378">
      <c r="J378" s="28"/>
      <c r="K378" s="28"/>
      <c r="L378" s="28"/>
      <c r="M378" s="28"/>
      <c r="T378" s="28"/>
      <c r="U378" s="28"/>
      <c r="V378" s="28"/>
      <c r="W378" s="28"/>
      <c r="AD378" s="28"/>
      <c r="AE378" s="28"/>
      <c r="AF378" s="28"/>
      <c r="AG378" s="28"/>
      <c r="AN378" s="28"/>
      <c r="AO378" s="28"/>
      <c r="AP378" s="28"/>
      <c r="AQ378" s="28"/>
    </row>
    <row r="379">
      <c r="J379" s="28"/>
      <c r="K379" s="28"/>
      <c r="L379" s="28"/>
      <c r="M379" s="28"/>
      <c r="T379" s="28"/>
      <c r="U379" s="28"/>
      <c r="V379" s="28"/>
      <c r="W379" s="28"/>
      <c r="AD379" s="28"/>
      <c r="AE379" s="28"/>
      <c r="AF379" s="28"/>
      <c r="AG379" s="28"/>
      <c r="AN379" s="28"/>
      <c r="AO379" s="28"/>
      <c r="AP379" s="28"/>
      <c r="AQ379" s="28"/>
    </row>
    <row r="380">
      <c r="J380" s="28"/>
      <c r="K380" s="28"/>
      <c r="L380" s="28"/>
      <c r="M380" s="28"/>
      <c r="T380" s="28"/>
      <c r="U380" s="28"/>
      <c r="V380" s="28"/>
      <c r="W380" s="28"/>
      <c r="AD380" s="28"/>
      <c r="AE380" s="28"/>
      <c r="AF380" s="28"/>
      <c r="AG380" s="28"/>
      <c r="AN380" s="28"/>
      <c r="AO380" s="28"/>
      <c r="AP380" s="28"/>
      <c r="AQ380" s="28"/>
    </row>
    <row r="381">
      <c r="J381" s="28"/>
      <c r="K381" s="28"/>
      <c r="L381" s="28"/>
      <c r="M381" s="28"/>
      <c r="T381" s="28"/>
      <c r="U381" s="28"/>
      <c r="V381" s="28"/>
      <c r="W381" s="28"/>
      <c r="AD381" s="28"/>
      <c r="AE381" s="28"/>
      <c r="AF381" s="28"/>
      <c r="AG381" s="28"/>
      <c r="AN381" s="28"/>
      <c r="AO381" s="28"/>
      <c r="AP381" s="28"/>
      <c r="AQ381" s="28"/>
    </row>
    <row r="382">
      <c r="J382" s="28"/>
      <c r="K382" s="28"/>
      <c r="L382" s="28"/>
      <c r="M382" s="28"/>
      <c r="T382" s="28"/>
      <c r="U382" s="28"/>
      <c r="V382" s="28"/>
      <c r="W382" s="28"/>
      <c r="AD382" s="28"/>
      <c r="AE382" s="28"/>
      <c r="AF382" s="28"/>
      <c r="AG382" s="28"/>
      <c r="AN382" s="28"/>
      <c r="AO382" s="28"/>
      <c r="AP382" s="28"/>
      <c r="AQ382" s="28"/>
    </row>
    <row r="383">
      <c r="J383" s="28"/>
      <c r="K383" s="28"/>
      <c r="L383" s="28"/>
      <c r="M383" s="28"/>
      <c r="T383" s="28"/>
      <c r="U383" s="28"/>
      <c r="V383" s="28"/>
      <c r="W383" s="28"/>
      <c r="AD383" s="28"/>
      <c r="AE383" s="28"/>
      <c r="AF383" s="28"/>
      <c r="AG383" s="28"/>
      <c r="AN383" s="28"/>
      <c r="AO383" s="28"/>
      <c r="AP383" s="28"/>
      <c r="AQ383" s="28"/>
    </row>
    <row r="384">
      <c r="J384" s="28"/>
      <c r="K384" s="28"/>
      <c r="L384" s="28"/>
      <c r="M384" s="28"/>
      <c r="T384" s="28"/>
      <c r="U384" s="28"/>
      <c r="V384" s="28"/>
      <c r="W384" s="28"/>
      <c r="AD384" s="28"/>
      <c r="AE384" s="28"/>
      <c r="AF384" s="28"/>
      <c r="AG384" s="28"/>
      <c r="AN384" s="28"/>
      <c r="AO384" s="28"/>
      <c r="AP384" s="28"/>
      <c r="AQ384" s="28"/>
    </row>
    <row r="385">
      <c r="J385" s="28"/>
      <c r="K385" s="28"/>
      <c r="L385" s="28"/>
      <c r="M385" s="28"/>
      <c r="T385" s="28"/>
      <c r="U385" s="28"/>
      <c r="V385" s="28"/>
      <c r="W385" s="28"/>
      <c r="AD385" s="28"/>
      <c r="AE385" s="28"/>
      <c r="AF385" s="28"/>
      <c r="AG385" s="28"/>
      <c r="AN385" s="28"/>
      <c r="AO385" s="28"/>
      <c r="AP385" s="28"/>
      <c r="AQ385" s="28"/>
    </row>
    <row r="386">
      <c r="J386" s="28"/>
      <c r="K386" s="28"/>
      <c r="L386" s="28"/>
      <c r="M386" s="28"/>
      <c r="T386" s="28"/>
      <c r="U386" s="28"/>
      <c r="V386" s="28"/>
      <c r="W386" s="28"/>
      <c r="AD386" s="28"/>
      <c r="AE386" s="28"/>
      <c r="AF386" s="28"/>
      <c r="AG386" s="28"/>
      <c r="AN386" s="28"/>
      <c r="AO386" s="28"/>
      <c r="AP386" s="28"/>
      <c r="AQ386" s="28"/>
    </row>
    <row r="387">
      <c r="J387" s="28"/>
      <c r="K387" s="28"/>
      <c r="L387" s="28"/>
      <c r="M387" s="28"/>
      <c r="T387" s="28"/>
      <c r="U387" s="28"/>
      <c r="V387" s="28"/>
      <c r="W387" s="28"/>
      <c r="AD387" s="28"/>
      <c r="AE387" s="28"/>
      <c r="AF387" s="28"/>
      <c r="AG387" s="28"/>
      <c r="AN387" s="28"/>
      <c r="AO387" s="28"/>
      <c r="AP387" s="28"/>
      <c r="AQ387" s="28"/>
    </row>
    <row r="388">
      <c r="J388" s="28"/>
      <c r="K388" s="28"/>
      <c r="L388" s="28"/>
      <c r="M388" s="28"/>
      <c r="T388" s="28"/>
      <c r="U388" s="28"/>
      <c r="V388" s="28"/>
      <c r="W388" s="28"/>
      <c r="AD388" s="28"/>
      <c r="AE388" s="28"/>
      <c r="AF388" s="28"/>
      <c r="AG388" s="28"/>
      <c r="AN388" s="28"/>
      <c r="AO388" s="28"/>
      <c r="AP388" s="28"/>
      <c r="AQ388" s="28"/>
    </row>
    <row r="389">
      <c r="J389" s="28"/>
      <c r="K389" s="28"/>
      <c r="L389" s="28"/>
      <c r="M389" s="28"/>
      <c r="T389" s="28"/>
      <c r="U389" s="28"/>
      <c r="V389" s="28"/>
      <c r="W389" s="28"/>
      <c r="AD389" s="28"/>
      <c r="AE389" s="28"/>
      <c r="AF389" s="28"/>
      <c r="AG389" s="28"/>
      <c r="AN389" s="28"/>
      <c r="AO389" s="28"/>
      <c r="AP389" s="28"/>
      <c r="AQ389" s="28"/>
    </row>
    <row r="390">
      <c r="J390" s="28"/>
      <c r="K390" s="28"/>
      <c r="L390" s="28"/>
      <c r="M390" s="28"/>
      <c r="T390" s="28"/>
      <c r="U390" s="28"/>
      <c r="V390" s="28"/>
      <c r="W390" s="28"/>
      <c r="AD390" s="28"/>
      <c r="AE390" s="28"/>
      <c r="AF390" s="28"/>
      <c r="AG390" s="28"/>
      <c r="AN390" s="28"/>
      <c r="AO390" s="28"/>
      <c r="AP390" s="28"/>
      <c r="AQ390" s="28"/>
    </row>
    <row r="391">
      <c r="J391" s="28"/>
      <c r="K391" s="28"/>
      <c r="L391" s="28"/>
      <c r="M391" s="28"/>
      <c r="T391" s="28"/>
      <c r="U391" s="28"/>
      <c r="V391" s="28"/>
      <c r="W391" s="28"/>
      <c r="AD391" s="28"/>
      <c r="AE391" s="28"/>
      <c r="AF391" s="28"/>
      <c r="AG391" s="28"/>
      <c r="AN391" s="28"/>
      <c r="AO391" s="28"/>
      <c r="AP391" s="28"/>
      <c r="AQ391" s="28"/>
    </row>
    <row r="392">
      <c r="J392" s="28"/>
      <c r="K392" s="28"/>
      <c r="L392" s="28"/>
      <c r="M392" s="28"/>
      <c r="T392" s="28"/>
      <c r="U392" s="28"/>
      <c r="V392" s="28"/>
      <c r="W392" s="28"/>
      <c r="AD392" s="28"/>
      <c r="AE392" s="28"/>
      <c r="AF392" s="28"/>
      <c r="AG392" s="28"/>
      <c r="AN392" s="28"/>
      <c r="AO392" s="28"/>
      <c r="AP392" s="28"/>
      <c r="AQ392" s="28"/>
    </row>
    <row r="393">
      <c r="J393" s="28"/>
      <c r="K393" s="28"/>
      <c r="L393" s="28"/>
      <c r="M393" s="28"/>
      <c r="T393" s="28"/>
      <c r="U393" s="28"/>
      <c r="V393" s="28"/>
      <c r="W393" s="28"/>
      <c r="AD393" s="28"/>
      <c r="AE393" s="28"/>
      <c r="AF393" s="28"/>
      <c r="AG393" s="28"/>
      <c r="AN393" s="28"/>
      <c r="AO393" s="28"/>
      <c r="AP393" s="28"/>
      <c r="AQ393" s="28"/>
    </row>
    <row r="394">
      <c r="J394" s="28"/>
      <c r="K394" s="28"/>
      <c r="L394" s="28"/>
      <c r="M394" s="28"/>
      <c r="T394" s="28"/>
      <c r="U394" s="28"/>
      <c r="V394" s="28"/>
      <c r="W394" s="28"/>
      <c r="AD394" s="28"/>
      <c r="AE394" s="28"/>
      <c r="AF394" s="28"/>
      <c r="AG394" s="28"/>
      <c r="AN394" s="28"/>
      <c r="AO394" s="28"/>
      <c r="AP394" s="28"/>
      <c r="AQ394" s="28"/>
    </row>
    <row r="395">
      <c r="J395" s="28"/>
      <c r="K395" s="28"/>
      <c r="L395" s="28"/>
      <c r="M395" s="28"/>
      <c r="T395" s="28"/>
      <c r="U395" s="28"/>
      <c r="V395" s="28"/>
      <c r="W395" s="28"/>
      <c r="AD395" s="28"/>
      <c r="AE395" s="28"/>
      <c r="AF395" s="28"/>
      <c r="AG395" s="28"/>
      <c r="AN395" s="28"/>
      <c r="AO395" s="28"/>
      <c r="AP395" s="28"/>
      <c r="AQ395" s="28"/>
    </row>
    <row r="396">
      <c r="J396" s="28"/>
      <c r="K396" s="28"/>
      <c r="L396" s="28"/>
      <c r="M396" s="28"/>
      <c r="T396" s="28"/>
      <c r="U396" s="28"/>
      <c r="V396" s="28"/>
      <c r="W396" s="28"/>
      <c r="AD396" s="28"/>
      <c r="AE396" s="28"/>
      <c r="AF396" s="28"/>
      <c r="AG396" s="28"/>
      <c r="AN396" s="28"/>
      <c r="AO396" s="28"/>
      <c r="AP396" s="28"/>
      <c r="AQ396" s="28"/>
    </row>
    <row r="397">
      <c r="J397" s="28"/>
      <c r="K397" s="28"/>
      <c r="L397" s="28"/>
      <c r="M397" s="28"/>
      <c r="T397" s="28"/>
      <c r="U397" s="28"/>
      <c r="V397" s="28"/>
      <c r="W397" s="28"/>
      <c r="AD397" s="28"/>
      <c r="AE397" s="28"/>
      <c r="AF397" s="28"/>
      <c r="AG397" s="28"/>
      <c r="AN397" s="28"/>
      <c r="AO397" s="28"/>
      <c r="AP397" s="28"/>
      <c r="AQ397" s="28"/>
    </row>
    <row r="398">
      <c r="J398" s="28"/>
      <c r="K398" s="28"/>
      <c r="L398" s="28"/>
      <c r="M398" s="28"/>
      <c r="T398" s="28"/>
      <c r="U398" s="28"/>
      <c r="V398" s="28"/>
      <c r="W398" s="28"/>
      <c r="AD398" s="28"/>
      <c r="AE398" s="28"/>
      <c r="AF398" s="28"/>
      <c r="AG398" s="28"/>
      <c r="AN398" s="28"/>
      <c r="AO398" s="28"/>
      <c r="AP398" s="28"/>
      <c r="AQ398" s="28"/>
    </row>
    <row r="399">
      <c r="J399" s="28"/>
      <c r="K399" s="28"/>
      <c r="L399" s="28"/>
      <c r="M399" s="28"/>
      <c r="T399" s="28"/>
      <c r="U399" s="28"/>
      <c r="V399" s="28"/>
      <c r="W399" s="28"/>
      <c r="AD399" s="28"/>
      <c r="AE399" s="28"/>
      <c r="AF399" s="28"/>
      <c r="AG399" s="28"/>
      <c r="AN399" s="28"/>
      <c r="AO399" s="28"/>
      <c r="AP399" s="28"/>
      <c r="AQ399" s="28"/>
    </row>
    <row r="400">
      <c r="J400" s="28"/>
      <c r="K400" s="28"/>
      <c r="L400" s="28"/>
      <c r="M400" s="28"/>
      <c r="T400" s="28"/>
      <c r="U400" s="28"/>
      <c r="V400" s="28"/>
      <c r="W400" s="28"/>
      <c r="AD400" s="28"/>
      <c r="AE400" s="28"/>
      <c r="AF400" s="28"/>
      <c r="AG400" s="28"/>
      <c r="AN400" s="28"/>
      <c r="AO400" s="28"/>
      <c r="AP400" s="28"/>
      <c r="AQ400" s="28"/>
    </row>
    <row r="401">
      <c r="J401" s="28"/>
      <c r="K401" s="28"/>
      <c r="L401" s="28"/>
      <c r="M401" s="28"/>
      <c r="T401" s="28"/>
      <c r="U401" s="28"/>
      <c r="V401" s="28"/>
      <c r="W401" s="28"/>
      <c r="AD401" s="28"/>
      <c r="AE401" s="28"/>
      <c r="AF401" s="28"/>
      <c r="AG401" s="28"/>
      <c r="AN401" s="28"/>
      <c r="AO401" s="28"/>
      <c r="AP401" s="28"/>
      <c r="AQ401" s="28"/>
    </row>
    <row r="402">
      <c r="J402" s="28"/>
      <c r="K402" s="28"/>
      <c r="L402" s="28"/>
      <c r="M402" s="28"/>
      <c r="T402" s="28"/>
      <c r="U402" s="28"/>
      <c r="V402" s="28"/>
      <c r="W402" s="28"/>
      <c r="AD402" s="28"/>
      <c r="AE402" s="28"/>
      <c r="AF402" s="28"/>
      <c r="AG402" s="28"/>
      <c r="AN402" s="28"/>
      <c r="AO402" s="28"/>
      <c r="AP402" s="28"/>
      <c r="AQ402" s="28"/>
    </row>
    <row r="403">
      <c r="J403" s="28"/>
      <c r="K403" s="28"/>
      <c r="L403" s="28"/>
      <c r="M403" s="28"/>
      <c r="T403" s="28"/>
      <c r="U403" s="28"/>
      <c r="V403" s="28"/>
      <c r="W403" s="28"/>
      <c r="AD403" s="28"/>
      <c r="AE403" s="28"/>
      <c r="AF403" s="28"/>
      <c r="AG403" s="28"/>
      <c r="AN403" s="28"/>
      <c r="AO403" s="28"/>
      <c r="AP403" s="28"/>
      <c r="AQ403" s="28"/>
    </row>
    <row r="404">
      <c r="J404" s="28"/>
      <c r="K404" s="28"/>
      <c r="L404" s="28"/>
      <c r="M404" s="28"/>
      <c r="T404" s="28"/>
      <c r="U404" s="28"/>
      <c r="V404" s="28"/>
      <c r="W404" s="28"/>
      <c r="AD404" s="28"/>
      <c r="AE404" s="28"/>
      <c r="AF404" s="28"/>
      <c r="AG404" s="28"/>
      <c r="AN404" s="28"/>
      <c r="AO404" s="28"/>
      <c r="AP404" s="28"/>
      <c r="AQ404" s="28"/>
    </row>
    <row r="405">
      <c r="J405" s="28"/>
      <c r="K405" s="28"/>
      <c r="L405" s="28"/>
      <c r="M405" s="28"/>
      <c r="T405" s="28"/>
      <c r="U405" s="28"/>
      <c r="V405" s="28"/>
      <c r="W405" s="28"/>
      <c r="AD405" s="28"/>
      <c r="AE405" s="28"/>
      <c r="AF405" s="28"/>
      <c r="AG405" s="28"/>
      <c r="AN405" s="28"/>
      <c r="AO405" s="28"/>
      <c r="AP405" s="28"/>
      <c r="AQ405" s="28"/>
    </row>
    <row r="406">
      <c r="J406" s="28"/>
      <c r="K406" s="28"/>
      <c r="L406" s="28"/>
      <c r="M406" s="28"/>
      <c r="T406" s="28"/>
      <c r="U406" s="28"/>
      <c r="V406" s="28"/>
      <c r="W406" s="28"/>
      <c r="AD406" s="28"/>
      <c r="AE406" s="28"/>
      <c r="AF406" s="28"/>
      <c r="AG406" s="28"/>
      <c r="AN406" s="28"/>
      <c r="AO406" s="28"/>
      <c r="AP406" s="28"/>
      <c r="AQ406" s="28"/>
    </row>
    <row r="407">
      <c r="J407" s="28"/>
      <c r="K407" s="28"/>
      <c r="L407" s="28"/>
      <c r="M407" s="28"/>
      <c r="T407" s="28"/>
      <c r="U407" s="28"/>
      <c r="V407" s="28"/>
      <c r="W407" s="28"/>
      <c r="AD407" s="28"/>
      <c r="AE407" s="28"/>
      <c r="AF407" s="28"/>
      <c r="AG407" s="28"/>
      <c r="AN407" s="28"/>
      <c r="AO407" s="28"/>
      <c r="AP407" s="28"/>
      <c r="AQ407" s="28"/>
    </row>
    <row r="408">
      <c r="J408" s="28"/>
      <c r="K408" s="28"/>
      <c r="L408" s="28"/>
      <c r="M408" s="28"/>
      <c r="T408" s="28"/>
      <c r="U408" s="28"/>
      <c r="V408" s="28"/>
      <c r="W408" s="28"/>
      <c r="AD408" s="28"/>
      <c r="AE408" s="28"/>
      <c r="AF408" s="28"/>
      <c r="AG408" s="28"/>
      <c r="AN408" s="28"/>
      <c r="AO408" s="28"/>
      <c r="AP408" s="28"/>
      <c r="AQ408" s="28"/>
    </row>
    <row r="409">
      <c r="J409" s="28"/>
      <c r="K409" s="28"/>
      <c r="L409" s="28"/>
      <c r="M409" s="28"/>
      <c r="T409" s="28"/>
      <c r="U409" s="28"/>
      <c r="V409" s="28"/>
      <c r="W409" s="28"/>
      <c r="AD409" s="28"/>
      <c r="AE409" s="28"/>
      <c r="AF409" s="28"/>
      <c r="AG409" s="28"/>
      <c r="AN409" s="28"/>
      <c r="AO409" s="28"/>
      <c r="AP409" s="28"/>
      <c r="AQ409" s="28"/>
    </row>
    <row r="410">
      <c r="J410" s="28"/>
      <c r="K410" s="28"/>
      <c r="L410" s="28"/>
      <c r="M410" s="28"/>
      <c r="T410" s="28"/>
      <c r="U410" s="28"/>
      <c r="V410" s="28"/>
      <c r="W410" s="28"/>
      <c r="AD410" s="28"/>
      <c r="AE410" s="28"/>
      <c r="AF410" s="28"/>
      <c r="AG410" s="28"/>
      <c r="AN410" s="28"/>
      <c r="AO410" s="28"/>
      <c r="AP410" s="28"/>
      <c r="AQ410" s="28"/>
    </row>
    <row r="411">
      <c r="J411" s="28"/>
      <c r="K411" s="28"/>
      <c r="L411" s="28"/>
      <c r="M411" s="28"/>
      <c r="T411" s="28"/>
      <c r="U411" s="28"/>
      <c r="V411" s="28"/>
      <c r="W411" s="28"/>
      <c r="AD411" s="28"/>
      <c r="AE411" s="28"/>
      <c r="AF411" s="28"/>
      <c r="AG411" s="28"/>
      <c r="AN411" s="28"/>
      <c r="AO411" s="28"/>
      <c r="AP411" s="28"/>
      <c r="AQ411" s="28"/>
    </row>
    <row r="412">
      <c r="J412" s="28"/>
      <c r="K412" s="28"/>
      <c r="L412" s="28"/>
      <c r="M412" s="28"/>
      <c r="T412" s="28"/>
      <c r="U412" s="28"/>
      <c r="V412" s="28"/>
      <c r="W412" s="28"/>
      <c r="AD412" s="28"/>
      <c r="AE412" s="28"/>
      <c r="AF412" s="28"/>
      <c r="AG412" s="28"/>
      <c r="AN412" s="28"/>
      <c r="AO412" s="28"/>
      <c r="AP412" s="28"/>
      <c r="AQ412" s="28"/>
    </row>
    <row r="413">
      <c r="J413" s="28"/>
      <c r="K413" s="28"/>
      <c r="L413" s="28"/>
      <c r="M413" s="28"/>
      <c r="T413" s="28"/>
      <c r="U413" s="28"/>
      <c r="V413" s="28"/>
      <c r="W413" s="28"/>
      <c r="AD413" s="28"/>
      <c r="AE413" s="28"/>
      <c r="AF413" s="28"/>
      <c r="AG413" s="28"/>
      <c r="AN413" s="28"/>
      <c r="AO413" s="28"/>
      <c r="AP413" s="28"/>
      <c r="AQ413" s="28"/>
    </row>
    <row r="414">
      <c r="J414" s="28"/>
      <c r="K414" s="28"/>
      <c r="L414" s="28"/>
      <c r="M414" s="28"/>
      <c r="T414" s="28"/>
      <c r="U414" s="28"/>
      <c r="V414" s="28"/>
      <c r="W414" s="28"/>
      <c r="AD414" s="28"/>
      <c r="AE414" s="28"/>
      <c r="AF414" s="28"/>
      <c r="AG414" s="28"/>
      <c r="AN414" s="28"/>
      <c r="AO414" s="28"/>
      <c r="AP414" s="28"/>
      <c r="AQ414" s="28"/>
    </row>
    <row r="415">
      <c r="J415" s="28"/>
      <c r="K415" s="28"/>
      <c r="L415" s="28"/>
      <c r="M415" s="28"/>
      <c r="T415" s="28"/>
      <c r="U415" s="28"/>
      <c r="V415" s="28"/>
      <c r="W415" s="28"/>
      <c r="AD415" s="28"/>
      <c r="AE415" s="28"/>
      <c r="AF415" s="28"/>
      <c r="AG415" s="28"/>
      <c r="AN415" s="28"/>
      <c r="AO415" s="28"/>
      <c r="AP415" s="28"/>
      <c r="AQ415" s="28"/>
    </row>
    <row r="416">
      <c r="J416" s="28"/>
      <c r="K416" s="28"/>
      <c r="L416" s="28"/>
      <c r="M416" s="28"/>
      <c r="T416" s="28"/>
      <c r="U416" s="28"/>
      <c r="V416" s="28"/>
      <c r="W416" s="28"/>
      <c r="AD416" s="28"/>
      <c r="AE416" s="28"/>
      <c r="AF416" s="28"/>
      <c r="AG416" s="28"/>
      <c r="AN416" s="28"/>
      <c r="AO416" s="28"/>
      <c r="AP416" s="28"/>
      <c r="AQ416" s="28"/>
    </row>
    <row r="417">
      <c r="J417" s="28"/>
      <c r="K417" s="28"/>
      <c r="L417" s="28"/>
      <c r="M417" s="28"/>
      <c r="T417" s="28"/>
      <c r="U417" s="28"/>
      <c r="V417" s="28"/>
      <c r="W417" s="28"/>
      <c r="AD417" s="28"/>
      <c r="AE417" s="28"/>
      <c r="AF417" s="28"/>
      <c r="AG417" s="28"/>
      <c r="AN417" s="28"/>
      <c r="AO417" s="28"/>
      <c r="AP417" s="28"/>
      <c r="AQ417" s="28"/>
    </row>
    <row r="418">
      <c r="J418" s="28"/>
      <c r="K418" s="28"/>
      <c r="L418" s="28"/>
      <c r="M418" s="28"/>
      <c r="T418" s="28"/>
      <c r="U418" s="28"/>
      <c r="V418" s="28"/>
      <c r="W418" s="28"/>
      <c r="AD418" s="28"/>
      <c r="AE418" s="28"/>
      <c r="AF418" s="28"/>
      <c r="AG418" s="28"/>
      <c r="AN418" s="28"/>
      <c r="AO418" s="28"/>
      <c r="AP418" s="28"/>
      <c r="AQ418" s="28"/>
    </row>
    <row r="419">
      <c r="J419" s="28"/>
      <c r="K419" s="28"/>
      <c r="L419" s="28"/>
      <c r="M419" s="28"/>
      <c r="T419" s="28"/>
      <c r="U419" s="28"/>
      <c r="V419" s="28"/>
      <c r="W419" s="28"/>
      <c r="AD419" s="28"/>
      <c r="AE419" s="28"/>
      <c r="AF419" s="28"/>
      <c r="AG419" s="28"/>
      <c r="AN419" s="28"/>
      <c r="AO419" s="28"/>
      <c r="AP419" s="28"/>
      <c r="AQ419" s="28"/>
    </row>
    <row r="420">
      <c r="J420" s="28"/>
      <c r="K420" s="28"/>
      <c r="L420" s="28"/>
      <c r="M420" s="28"/>
      <c r="T420" s="28"/>
      <c r="U420" s="28"/>
      <c r="V420" s="28"/>
      <c r="W420" s="28"/>
      <c r="AD420" s="28"/>
      <c r="AE420" s="28"/>
      <c r="AF420" s="28"/>
      <c r="AG420" s="28"/>
      <c r="AN420" s="28"/>
      <c r="AO420" s="28"/>
      <c r="AP420" s="28"/>
      <c r="AQ420" s="28"/>
    </row>
    <row r="421">
      <c r="J421" s="28"/>
      <c r="K421" s="28"/>
      <c r="L421" s="28"/>
      <c r="M421" s="28"/>
      <c r="T421" s="28"/>
      <c r="U421" s="28"/>
      <c r="V421" s="28"/>
      <c r="W421" s="28"/>
      <c r="AD421" s="28"/>
      <c r="AE421" s="28"/>
      <c r="AF421" s="28"/>
      <c r="AG421" s="28"/>
      <c r="AN421" s="28"/>
      <c r="AO421" s="28"/>
      <c r="AP421" s="28"/>
      <c r="AQ421" s="28"/>
    </row>
    <row r="422">
      <c r="J422" s="28"/>
      <c r="K422" s="28"/>
      <c r="L422" s="28"/>
      <c r="M422" s="28"/>
      <c r="T422" s="28"/>
      <c r="U422" s="28"/>
      <c r="V422" s="28"/>
      <c r="W422" s="28"/>
      <c r="AD422" s="28"/>
      <c r="AE422" s="28"/>
      <c r="AF422" s="28"/>
      <c r="AG422" s="28"/>
      <c r="AN422" s="28"/>
      <c r="AO422" s="28"/>
      <c r="AP422" s="28"/>
      <c r="AQ422" s="28"/>
    </row>
    <row r="423">
      <c r="J423" s="28"/>
      <c r="K423" s="28"/>
      <c r="L423" s="28"/>
      <c r="M423" s="28"/>
      <c r="T423" s="28"/>
      <c r="U423" s="28"/>
      <c r="V423" s="28"/>
      <c r="W423" s="28"/>
      <c r="AD423" s="28"/>
      <c r="AE423" s="28"/>
      <c r="AF423" s="28"/>
      <c r="AG423" s="28"/>
      <c r="AN423" s="28"/>
      <c r="AO423" s="28"/>
      <c r="AP423" s="28"/>
      <c r="AQ423" s="28"/>
    </row>
    <row r="424">
      <c r="J424" s="28"/>
      <c r="K424" s="28"/>
      <c r="L424" s="28"/>
      <c r="M424" s="28"/>
      <c r="T424" s="28"/>
      <c r="U424" s="28"/>
      <c r="V424" s="28"/>
      <c r="W424" s="28"/>
      <c r="AD424" s="28"/>
      <c r="AE424" s="28"/>
      <c r="AF424" s="28"/>
      <c r="AG424" s="28"/>
      <c r="AN424" s="28"/>
      <c r="AO424" s="28"/>
      <c r="AP424" s="28"/>
      <c r="AQ424" s="28"/>
    </row>
    <row r="425">
      <c r="J425" s="28"/>
      <c r="K425" s="28"/>
      <c r="L425" s="28"/>
      <c r="M425" s="28"/>
      <c r="T425" s="28"/>
      <c r="U425" s="28"/>
      <c r="V425" s="28"/>
      <c r="W425" s="28"/>
      <c r="AD425" s="28"/>
      <c r="AE425" s="28"/>
      <c r="AF425" s="28"/>
      <c r="AG425" s="28"/>
      <c r="AN425" s="28"/>
      <c r="AO425" s="28"/>
      <c r="AP425" s="28"/>
      <c r="AQ425" s="28"/>
    </row>
    <row r="426">
      <c r="J426" s="28"/>
      <c r="K426" s="28"/>
      <c r="L426" s="28"/>
      <c r="M426" s="28"/>
      <c r="T426" s="28"/>
      <c r="U426" s="28"/>
      <c r="V426" s="28"/>
      <c r="W426" s="28"/>
      <c r="AD426" s="28"/>
      <c r="AE426" s="28"/>
      <c r="AF426" s="28"/>
      <c r="AG426" s="28"/>
      <c r="AN426" s="28"/>
      <c r="AO426" s="28"/>
      <c r="AP426" s="28"/>
      <c r="AQ426" s="28"/>
    </row>
    <row r="427">
      <c r="J427" s="28"/>
      <c r="K427" s="28"/>
      <c r="L427" s="28"/>
      <c r="M427" s="28"/>
      <c r="T427" s="28"/>
      <c r="U427" s="28"/>
      <c r="V427" s="28"/>
      <c r="W427" s="28"/>
      <c r="AD427" s="28"/>
      <c r="AE427" s="28"/>
      <c r="AF427" s="28"/>
      <c r="AG427" s="28"/>
      <c r="AN427" s="28"/>
      <c r="AO427" s="28"/>
      <c r="AP427" s="28"/>
      <c r="AQ427" s="28"/>
    </row>
    <row r="428">
      <c r="J428" s="28"/>
      <c r="K428" s="28"/>
      <c r="L428" s="28"/>
      <c r="M428" s="28"/>
      <c r="T428" s="28"/>
      <c r="U428" s="28"/>
      <c r="V428" s="28"/>
      <c r="W428" s="28"/>
      <c r="AD428" s="28"/>
      <c r="AE428" s="28"/>
      <c r="AF428" s="28"/>
      <c r="AG428" s="28"/>
      <c r="AN428" s="28"/>
      <c r="AO428" s="28"/>
      <c r="AP428" s="28"/>
      <c r="AQ428" s="28"/>
    </row>
    <row r="429">
      <c r="J429" s="28"/>
      <c r="K429" s="28"/>
      <c r="L429" s="28"/>
      <c r="M429" s="28"/>
      <c r="T429" s="28"/>
      <c r="U429" s="28"/>
      <c r="V429" s="28"/>
      <c r="W429" s="28"/>
      <c r="AD429" s="28"/>
      <c r="AE429" s="28"/>
      <c r="AF429" s="28"/>
      <c r="AG429" s="28"/>
      <c r="AN429" s="28"/>
      <c r="AO429" s="28"/>
      <c r="AP429" s="28"/>
      <c r="AQ429" s="28"/>
    </row>
    <row r="430">
      <c r="J430" s="28"/>
      <c r="K430" s="28"/>
      <c r="L430" s="28"/>
      <c r="M430" s="28"/>
      <c r="T430" s="28"/>
      <c r="U430" s="28"/>
      <c r="V430" s="28"/>
      <c r="W430" s="28"/>
      <c r="AD430" s="28"/>
      <c r="AE430" s="28"/>
      <c r="AF430" s="28"/>
      <c r="AG430" s="28"/>
      <c r="AN430" s="28"/>
      <c r="AO430" s="28"/>
      <c r="AP430" s="28"/>
      <c r="AQ430" s="28"/>
    </row>
    <row r="431">
      <c r="J431" s="28"/>
      <c r="K431" s="28"/>
      <c r="L431" s="28"/>
      <c r="M431" s="28"/>
      <c r="T431" s="28"/>
      <c r="U431" s="28"/>
      <c r="V431" s="28"/>
      <c r="W431" s="28"/>
      <c r="AD431" s="28"/>
      <c r="AE431" s="28"/>
      <c r="AF431" s="28"/>
      <c r="AG431" s="28"/>
      <c r="AN431" s="28"/>
      <c r="AO431" s="28"/>
      <c r="AP431" s="28"/>
      <c r="AQ431" s="28"/>
    </row>
    <row r="432">
      <c r="J432" s="28"/>
      <c r="K432" s="28"/>
      <c r="L432" s="28"/>
      <c r="M432" s="28"/>
      <c r="T432" s="28"/>
      <c r="U432" s="28"/>
      <c r="V432" s="28"/>
      <c r="W432" s="28"/>
      <c r="AD432" s="28"/>
      <c r="AE432" s="28"/>
      <c r="AF432" s="28"/>
      <c r="AG432" s="28"/>
      <c r="AN432" s="28"/>
      <c r="AO432" s="28"/>
      <c r="AP432" s="28"/>
      <c r="AQ432" s="28"/>
    </row>
    <row r="433">
      <c r="J433" s="28"/>
      <c r="K433" s="28"/>
      <c r="L433" s="28"/>
      <c r="M433" s="28"/>
      <c r="T433" s="28"/>
      <c r="U433" s="28"/>
      <c r="V433" s="28"/>
      <c r="W433" s="28"/>
      <c r="AD433" s="28"/>
      <c r="AE433" s="28"/>
      <c r="AF433" s="28"/>
      <c r="AG433" s="28"/>
      <c r="AN433" s="28"/>
      <c r="AO433" s="28"/>
      <c r="AP433" s="28"/>
      <c r="AQ433" s="28"/>
    </row>
    <row r="434">
      <c r="J434" s="28"/>
      <c r="K434" s="28"/>
      <c r="L434" s="28"/>
      <c r="M434" s="28"/>
      <c r="T434" s="28"/>
      <c r="U434" s="28"/>
      <c r="V434" s="28"/>
      <c r="W434" s="28"/>
      <c r="AD434" s="28"/>
      <c r="AE434" s="28"/>
      <c r="AF434" s="28"/>
      <c r="AG434" s="28"/>
      <c r="AN434" s="28"/>
      <c r="AO434" s="28"/>
      <c r="AP434" s="28"/>
      <c r="AQ434" s="28"/>
    </row>
    <row r="435">
      <c r="J435" s="28"/>
      <c r="K435" s="28"/>
      <c r="L435" s="28"/>
      <c r="M435" s="28"/>
      <c r="T435" s="28"/>
      <c r="U435" s="28"/>
      <c r="V435" s="28"/>
      <c r="W435" s="28"/>
      <c r="AD435" s="28"/>
      <c r="AE435" s="28"/>
      <c r="AF435" s="28"/>
      <c r="AG435" s="28"/>
      <c r="AN435" s="28"/>
      <c r="AO435" s="28"/>
      <c r="AP435" s="28"/>
      <c r="AQ435" s="28"/>
    </row>
    <row r="436">
      <c r="J436" s="28"/>
      <c r="K436" s="28"/>
      <c r="L436" s="28"/>
      <c r="M436" s="28"/>
      <c r="T436" s="28"/>
      <c r="U436" s="28"/>
      <c r="V436" s="28"/>
      <c r="W436" s="28"/>
      <c r="AD436" s="28"/>
      <c r="AE436" s="28"/>
      <c r="AF436" s="28"/>
      <c r="AG436" s="28"/>
      <c r="AN436" s="28"/>
      <c r="AO436" s="28"/>
      <c r="AP436" s="28"/>
      <c r="AQ436" s="28"/>
    </row>
    <row r="437">
      <c r="J437" s="28"/>
      <c r="K437" s="28"/>
      <c r="L437" s="28"/>
      <c r="M437" s="28"/>
      <c r="T437" s="28"/>
      <c r="U437" s="28"/>
      <c r="V437" s="28"/>
      <c r="W437" s="28"/>
      <c r="AD437" s="28"/>
      <c r="AE437" s="28"/>
      <c r="AF437" s="28"/>
      <c r="AG437" s="28"/>
      <c r="AN437" s="28"/>
      <c r="AO437" s="28"/>
      <c r="AP437" s="28"/>
      <c r="AQ437" s="28"/>
    </row>
    <row r="438">
      <c r="J438" s="28"/>
      <c r="K438" s="28"/>
      <c r="L438" s="28"/>
      <c r="M438" s="28"/>
      <c r="T438" s="28"/>
      <c r="U438" s="28"/>
      <c r="V438" s="28"/>
      <c r="W438" s="28"/>
      <c r="AD438" s="28"/>
      <c r="AE438" s="28"/>
      <c r="AF438" s="28"/>
      <c r="AG438" s="28"/>
      <c r="AN438" s="28"/>
      <c r="AO438" s="28"/>
      <c r="AP438" s="28"/>
      <c r="AQ438" s="28"/>
    </row>
    <row r="439">
      <c r="J439" s="28"/>
      <c r="K439" s="28"/>
      <c r="L439" s="28"/>
      <c r="M439" s="28"/>
      <c r="T439" s="28"/>
      <c r="U439" s="28"/>
      <c r="V439" s="28"/>
      <c r="W439" s="28"/>
      <c r="AD439" s="28"/>
      <c r="AE439" s="28"/>
      <c r="AF439" s="28"/>
      <c r="AG439" s="28"/>
      <c r="AN439" s="28"/>
      <c r="AO439" s="28"/>
      <c r="AP439" s="28"/>
      <c r="AQ439" s="28"/>
    </row>
    <row r="440">
      <c r="J440" s="28"/>
      <c r="K440" s="28"/>
      <c r="L440" s="28"/>
      <c r="M440" s="28"/>
      <c r="T440" s="28"/>
      <c r="U440" s="28"/>
      <c r="V440" s="28"/>
      <c r="W440" s="28"/>
      <c r="AD440" s="28"/>
      <c r="AE440" s="28"/>
      <c r="AF440" s="28"/>
      <c r="AG440" s="28"/>
      <c r="AN440" s="28"/>
      <c r="AO440" s="28"/>
      <c r="AP440" s="28"/>
      <c r="AQ440" s="28"/>
    </row>
    <row r="441">
      <c r="J441" s="28"/>
      <c r="K441" s="28"/>
      <c r="L441" s="28"/>
      <c r="M441" s="28"/>
      <c r="T441" s="28"/>
      <c r="U441" s="28"/>
      <c r="V441" s="28"/>
      <c r="W441" s="28"/>
      <c r="AD441" s="28"/>
      <c r="AE441" s="28"/>
      <c r="AF441" s="28"/>
      <c r="AG441" s="28"/>
      <c r="AN441" s="28"/>
      <c r="AO441" s="28"/>
      <c r="AP441" s="28"/>
      <c r="AQ441" s="28"/>
    </row>
    <row r="442">
      <c r="J442" s="28"/>
      <c r="K442" s="28"/>
      <c r="L442" s="28"/>
      <c r="M442" s="28"/>
      <c r="T442" s="28"/>
      <c r="U442" s="28"/>
      <c r="V442" s="28"/>
      <c r="W442" s="28"/>
      <c r="AD442" s="28"/>
      <c r="AE442" s="28"/>
      <c r="AF442" s="28"/>
      <c r="AG442" s="28"/>
      <c r="AN442" s="28"/>
      <c r="AO442" s="28"/>
      <c r="AP442" s="28"/>
      <c r="AQ442" s="28"/>
    </row>
    <row r="443">
      <c r="J443" s="28"/>
      <c r="K443" s="28"/>
      <c r="L443" s="28"/>
      <c r="M443" s="28"/>
      <c r="T443" s="28"/>
      <c r="U443" s="28"/>
      <c r="V443" s="28"/>
      <c r="W443" s="28"/>
      <c r="AD443" s="28"/>
      <c r="AE443" s="28"/>
      <c r="AF443" s="28"/>
      <c r="AG443" s="28"/>
      <c r="AN443" s="28"/>
      <c r="AO443" s="28"/>
      <c r="AP443" s="28"/>
      <c r="AQ443" s="28"/>
    </row>
    <row r="444">
      <c r="J444" s="28"/>
      <c r="K444" s="28"/>
      <c r="L444" s="28"/>
      <c r="M444" s="28"/>
      <c r="T444" s="28"/>
      <c r="U444" s="28"/>
      <c r="V444" s="28"/>
      <c r="W444" s="28"/>
      <c r="AD444" s="28"/>
      <c r="AE444" s="28"/>
      <c r="AF444" s="28"/>
      <c r="AG444" s="28"/>
      <c r="AN444" s="28"/>
      <c r="AO444" s="28"/>
      <c r="AP444" s="28"/>
      <c r="AQ444" s="28"/>
    </row>
    <row r="445">
      <c r="J445" s="28"/>
      <c r="K445" s="28"/>
      <c r="L445" s="28"/>
      <c r="M445" s="28"/>
      <c r="T445" s="28"/>
      <c r="U445" s="28"/>
      <c r="V445" s="28"/>
      <c r="W445" s="28"/>
      <c r="AD445" s="28"/>
      <c r="AE445" s="28"/>
      <c r="AF445" s="28"/>
      <c r="AG445" s="28"/>
      <c r="AN445" s="28"/>
      <c r="AO445" s="28"/>
      <c r="AP445" s="28"/>
      <c r="AQ445" s="28"/>
    </row>
    <row r="446">
      <c r="J446" s="28"/>
      <c r="K446" s="28"/>
      <c r="L446" s="28"/>
      <c r="M446" s="28"/>
      <c r="T446" s="28"/>
      <c r="U446" s="28"/>
      <c r="V446" s="28"/>
      <c r="W446" s="28"/>
      <c r="AD446" s="28"/>
      <c r="AE446" s="28"/>
      <c r="AF446" s="28"/>
      <c r="AG446" s="28"/>
      <c r="AN446" s="28"/>
      <c r="AO446" s="28"/>
      <c r="AP446" s="28"/>
      <c r="AQ446" s="28"/>
    </row>
    <row r="447">
      <c r="J447" s="28"/>
      <c r="K447" s="28"/>
      <c r="L447" s="28"/>
      <c r="M447" s="28"/>
      <c r="T447" s="28"/>
      <c r="U447" s="28"/>
      <c r="V447" s="28"/>
      <c r="W447" s="28"/>
      <c r="AD447" s="28"/>
      <c r="AE447" s="28"/>
      <c r="AF447" s="28"/>
      <c r="AG447" s="28"/>
      <c r="AN447" s="28"/>
      <c r="AO447" s="28"/>
      <c r="AP447" s="28"/>
      <c r="AQ447" s="28"/>
    </row>
    <row r="448">
      <c r="J448" s="28"/>
      <c r="K448" s="28"/>
      <c r="L448" s="28"/>
      <c r="M448" s="28"/>
      <c r="T448" s="28"/>
      <c r="U448" s="28"/>
      <c r="V448" s="28"/>
      <c r="W448" s="28"/>
      <c r="AD448" s="28"/>
      <c r="AE448" s="28"/>
      <c r="AF448" s="28"/>
      <c r="AG448" s="28"/>
      <c r="AN448" s="28"/>
      <c r="AO448" s="28"/>
      <c r="AP448" s="28"/>
      <c r="AQ448" s="28"/>
    </row>
    <row r="449">
      <c r="J449" s="28"/>
      <c r="K449" s="28"/>
      <c r="L449" s="28"/>
      <c r="M449" s="28"/>
      <c r="T449" s="28"/>
      <c r="U449" s="28"/>
      <c r="V449" s="28"/>
      <c r="W449" s="28"/>
      <c r="AD449" s="28"/>
      <c r="AE449" s="28"/>
      <c r="AF449" s="28"/>
      <c r="AG449" s="28"/>
      <c r="AN449" s="28"/>
      <c r="AO449" s="28"/>
      <c r="AP449" s="28"/>
      <c r="AQ449" s="28"/>
    </row>
    <row r="450">
      <c r="J450" s="28"/>
      <c r="K450" s="28"/>
      <c r="L450" s="28"/>
      <c r="M450" s="28"/>
      <c r="T450" s="28"/>
      <c r="U450" s="28"/>
      <c r="V450" s="28"/>
      <c r="W450" s="28"/>
      <c r="AD450" s="28"/>
      <c r="AE450" s="28"/>
      <c r="AF450" s="28"/>
      <c r="AG450" s="28"/>
      <c r="AN450" s="28"/>
      <c r="AO450" s="28"/>
      <c r="AP450" s="28"/>
      <c r="AQ450" s="28"/>
    </row>
    <row r="451">
      <c r="J451" s="28"/>
      <c r="K451" s="28"/>
      <c r="L451" s="28"/>
      <c r="M451" s="28"/>
      <c r="T451" s="28"/>
      <c r="U451" s="28"/>
      <c r="V451" s="28"/>
      <c r="W451" s="28"/>
      <c r="AD451" s="28"/>
      <c r="AE451" s="28"/>
      <c r="AF451" s="28"/>
      <c r="AG451" s="28"/>
      <c r="AN451" s="28"/>
      <c r="AO451" s="28"/>
      <c r="AP451" s="28"/>
      <c r="AQ451" s="28"/>
    </row>
    <row r="452">
      <c r="J452" s="28"/>
      <c r="K452" s="28"/>
      <c r="L452" s="28"/>
      <c r="M452" s="28"/>
      <c r="T452" s="28"/>
      <c r="U452" s="28"/>
      <c r="V452" s="28"/>
      <c r="W452" s="28"/>
      <c r="AD452" s="28"/>
      <c r="AE452" s="28"/>
      <c r="AF452" s="28"/>
      <c r="AG452" s="28"/>
      <c r="AN452" s="28"/>
      <c r="AO452" s="28"/>
      <c r="AP452" s="28"/>
      <c r="AQ452" s="28"/>
    </row>
    <row r="453">
      <c r="J453" s="28"/>
      <c r="K453" s="28"/>
      <c r="L453" s="28"/>
      <c r="M453" s="28"/>
      <c r="T453" s="28"/>
      <c r="U453" s="28"/>
      <c r="V453" s="28"/>
      <c r="W453" s="28"/>
      <c r="AD453" s="28"/>
      <c r="AE453" s="28"/>
      <c r="AF453" s="28"/>
      <c r="AG453" s="28"/>
      <c r="AN453" s="28"/>
      <c r="AO453" s="28"/>
      <c r="AP453" s="28"/>
      <c r="AQ453" s="28"/>
    </row>
    <row r="454">
      <c r="J454" s="28"/>
      <c r="K454" s="28"/>
      <c r="L454" s="28"/>
      <c r="M454" s="28"/>
      <c r="T454" s="28"/>
      <c r="U454" s="28"/>
      <c r="V454" s="28"/>
      <c r="W454" s="28"/>
      <c r="AD454" s="28"/>
      <c r="AE454" s="28"/>
      <c r="AF454" s="28"/>
      <c r="AG454" s="28"/>
      <c r="AN454" s="28"/>
      <c r="AO454" s="28"/>
      <c r="AP454" s="28"/>
      <c r="AQ454" s="28"/>
    </row>
    <row r="455">
      <c r="J455" s="28"/>
      <c r="K455" s="28"/>
      <c r="L455" s="28"/>
      <c r="M455" s="28"/>
      <c r="T455" s="28"/>
      <c r="U455" s="28"/>
      <c r="V455" s="28"/>
      <c r="W455" s="28"/>
      <c r="AD455" s="28"/>
      <c r="AE455" s="28"/>
      <c r="AF455" s="28"/>
      <c r="AG455" s="28"/>
      <c r="AN455" s="28"/>
      <c r="AO455" s="28"/>
      <c r="AP455" s="28"/>
      <c r="AQ455" s="28"/>
    </row>
    <row r="456">
      <c r="J456" s="28"/>
      <c r="K456" s="28"/>
      <c r="L456" s="28"/>
      <c r="M456" s="28"/>
      <c r="T456" s="28"/>
      <c r="U456" s="28"/>
      <c r="V456" s="28"/>
      <c r="W456" s="28"/>
      <c r="AD456" s="28"/>
      <c r="AE456" s="28"/>
      <c r="AF456" s="28"/>
      <c r="AG456" s="28"/>
      <c r="AN456" s="28"/>
      <c r="AO456" s="28"/>
      <c r="AP456" s="28"/>
      <c r="AQ456" s="28"/>
    </row>
    <row r="457">
      <c r="J457" s="28"/>
      <c r="K457" s="28"/>
      <c r="L457" s="28"/>
      <c r="M457" s="28"/>
      <c r="T457" s="28"/>
      <c r="U457" s="28"/>
      <c r="V457" s="28"/>
      <c r="W457" s="28"/>
      <c r="AD457" s="28"/>
      <c r="AE457" s="28"/>
      <c r="AF457" s="28"/>
      <c r="AG457" s="28"/>
      <c r="AN457" s="28"/>
      <c r="AO457" s="28"/>
      <c r="AP457" s="28"/>
      <c r="AQ457" s="28"/>
    </row>
    <row r="458">
      <c r="J458" s="28"/>
      <c r="K458" s="28"/>
      <c r="L458" s="28"/>
      <c r="M458" s="28"/>
      <c r="T458" s="28"/>
      <c r="U458" s="28"/>
      <c r="V458" s="28"/>
      <c r="W458" s="28"/>
      <c r="AD458" s="28"/>
      <c r="AE458" s="28"/>
      <c r="AF458" s="28"/>
      <c r="AG458" s="28"/>
      <c r="AN458" s="28"/>
      <c r="AO458" s="28"/>
      <c r="AP458" s="28"/>
      <c r="AQ458" s="28"/>
    </row>
    <row r="459">
      <c r="J459" s="28"/>
      <c r="K459" s="28"/>
      <c r="L459" s="28"/>
      <c r="M459" s="28"/>
      <c r="T459" s="28"/>
      <c r="U459" s="28"/>
      <c r="V459" s="28"/>
      <c r="W459" s="28"/>
      <c r="AD459" s="28"/>
      <c r="AE459" s="28"/>
      <c r="AF459" s="28"/>
      <c r="AG459" s="28"/>
      <c r="AN459" s="28"/>
      <c r="AO459" s="28"/>
      <c r="AP459" s="28"/>
      <c r="AQ459" s="28"/>
    </row>
    <row r="460">
      <c r="J460" s="28"/>
      <c r="K460" s="28"/>
      <c r="L460" s="28"/>
      <c r="M460" s="28"/>
      <c r="T460" s="28"/>
      <c r="U460" s="28"/>
      <c r="V460" s="28"/>
      <c r="W460" s="28"/>
      <c r="AD460" s="28"/>
      <c r="AE460" s="28"/>
      <c r="AF460" s="28"/>
      <c r="AG460" s="28"/>
      <c r="AN460" s="28"/>
      <c r="AO460" s="28"/>
      <c r="AP460" s="28"/>
      <c r="AQ460" s="28"/>
    </row>
    <row r="461">
      <c r="J461" s="28"/>
      <c r="K461" s="28"/>
      <c r="L461" s="28"/>
      <c r="M461" s="28"/>
      <c r="T461" s="28"/>
      <c r="U461" s="28"/>
      <c r="V461" s="28"/>
      <c r="W461" s="28"/>
      <c r="AD461" s="28"/>
      <c r="AE461" s="28"/>
      <c r="AF461" s="28"/>
      <c r="AG461" s="28"/>
      <c r="AN461" s="28"/>
      <c r="AO461" s="28"/>
      <c r="AP461" s="28"/>
      <c r="AQ461" s="28"/>
    </row>
    <row r="462">
      <c r="J462" s="28"/>
      <c r="K462" s="28"/>
      <c r="L462" s="28"/>
      <c r="M462" s="28"/>
      <c r="T462" s="28"/>
      <c r="U462" s="28"/>
      <c r="V462" s="28"/>
      <c r="W462" s="28"/>
      <c r="AD462" s="28"/>
      <c r="AE462" s="28"/>
      <c r="AF462" s="28"/>
      <c r="AG462" s="28"/>
      <c r="AN462" s="28"/>
      <c r="AO462" s="28"/>
      <c r="AP462" s="28"/>
      <c r="AQ462" s="28"/>
    </row>
    <row r="463">
      <c r="J463" s="28"/>
      <c r="K463" s="28"/>
      <c r="L463" s="28"/>
      <c r="M463" s="28"/>
      <c r="T463" s="28"/>
      <c r="U463" s="28"/>
      <c r="V463" s="28"/>
      <c r="W463" s="28"/>
      <c r="AD463" s="28"/>
      <c r="AE463" s="28"/>
      <c r="AF463" s="28"/>
      <c r="AG463" s="28"/>
      <c r="AN463" s="28"/>
      <c r="AO463" s="28"/>
      <c r="AP463" s="28"/>
      <c r="AQ463" s="28"/>
    </row>
    <row r="464">
      <c r="J464" s="28"/>
      <c r="K464" s="28"/>
      <c r="L464" s="28"/>
      <c r="M464" s="28"/>
      <c r="T464" s="28"/>
      <c r="U464" s="28"/>
      <c r="V464" s="28"/>
      <c r="W464" s="28"/>
      <c r="AD464" s="28"/>
      <c r="AE464" s="28"/>
      <c r="AF464" s="28"/>
      <c r="AG464" s="28"/>
      <c r="AN464" s="28"/>
      <c r="AO464" s="28"/>
      <c r="AP464" s="28"/>
      <c r="AQ464" s="28"/>
    </row>
    <row r="465">
      <c r="J465" s="28"/>
      <c r="K465" s="28"/>
      <c r="L465" s="28"/>
      <c r="M465" s="28"/>
      <c r="T465" s="28"/>
      <c r="U465" s="28"/>
      <c r="V465" s="28"/>
      <c r="W465" s="28"/>
      <c r="AD465" s="28"/>
      <c r="AE465" s="28"/>
      <c r="AF465" s="28"/>
      <c r="AG465" s="28"/>
      <c r="AN465" s="28"/>
      <c r="AO465" s="28"/>
      <c r="AP465" s="28"/>
      <c r="AQ465" s="28"/>
    </row>
    <row r="466">
      <c r="J466" s="28"/>
      <c r="K466" s="28"/>
      <c r="L466" s="28"/>
      <c r="M466" s="28"/>
      <c r="T466" s="28"/>
      <c r="U466" s="28"/>
      <c r="V466" s="28"/>
      <c r="W466" s="28"/>
      <c r="AD466" s="28"/>
      <c r="AE466" s="28"/>
      <c r="AF466" s="28"/>
      <c r="AG466" s="28"/>
      <c r="AN466" s="28"/>
      <c r="AO466" s="28"/>
      <c r="AP466" s="28"/>
      <c r="AQ466" s="28"/>
    </row>
    <row r="467">
      <c r="J467" s="28"/>
      <c r="K467" s="28"/>
      <c r="L467" s="28"/>
      <c r="M467" s="28"/>
      <c r="T467" s="28"/>
      <c r="U467" s="28"/>
      <c r="V467" s="28"/>
      <c r="W467" s="28"/>
      <c r="AD467" s="28"/>
      <c r="AE467" s="28"/>
      <c r="AF467" s="28"/>
      <c r="AG467" s="28"/>
      <c r="AN467" s="28"/>
      <c r="AO467" s="28"/>
      <c r="AP467" s="28"/>
      <c r="AQ467" s="28"/>
    </row>
    <row r="468">
      <c r="J468" s="28"/>
      <c r="K468" s="28"/>
      <c r="L468" s="28"/>
      <c r="M468" s="28"/>
      <c r="T468" s="28"/>
      <c r="U468" s="28"/>
      <c r="V468" s="28"/>
      <c r="W468" s="28"/>
      <c r="AD468" s="28"/>
      <c r="AE468" s="28"/>
      <c r="AF468" s="28"/>
      <c r="AG468" s="28"/>
      <c r="AN468" s="28"/>
      <c r="AO468" s="28"/>
      <c r="AP468" s="28"/>
      <c r="AQ468" s="28"/>
    </row>
    <row r="469">
      <c r="J469" s="28"/>
      <c r="K469" s="28"/>
      <c r="L469" s="28"/>
      <c r="M469" s="28"/>
      <c r="T469" s="28"/>
      <c r="U469" s="28"/>
      <c r="V469" s="28"/>
      <c r="W469" s="28"/>
      <c r="AD469" s="28"/>
      <c r="AE469" s="28"/>
      <c r="AF469" s="28"/>
      <c r="AG469" s="28"/>
      <c r="AN469" s="28"/>
      <c r="AO469" s="28"/>
      <c r="AP469" s="28"/>
      <c r="AQ469" s="28"/>
    </row>
    <row r="470">
      <c r="J470" s="28"/>
      <c r="K470" s="28"/>
      <c r="L470" s="28"/>
      <c r="M470" s="28"/>
      <c r="T470" s="28"/>
      <c r="U470" s="28"/>
      <c r="V470" s="28"/>
      <c r="W470" s="28"/>
      <c r="AD470" s="28"/>
      <c r="AE470" s="28"/>
      <c r="AF470" s="28"/>
      <c r="AG470" s="28"/>
      <c r="AN470" s="28"/>
      <c r="AO470" s="28"/>
      <c r="AP470" s="28"/>
      <c r="AQ470" s="28"/>
    </row>
    <row r="471">
      <c r="J471" s="28"/>
      <c r="K471" s="28"/>
      <c r="L471" s="28"/>
      <c r="M471" s="28"/>
      <c r="T471" s="28"/>
      <c r="U471" s="28"/>
      <c r="V471" s="28"/>
      <c r="W471" s="28"/>
      <c r="AD471" s="28"/>
      <c r="AE471" s="28"/>
      <c r="AF471" s="28"/>
      <c r="AG471" s="28"/>
      <c r="AN471" s="28"/>
      <c r="AO471" s="28"/>
      <c r="AP471" s="28"/>
      <c r="AQ471" s="28"/>
    </row>
    <row r="472">
      <c r="J472" s="28"/>
      <c r="K472" s="28"/>
      <c r="L472" s="28"/>
      <c r="M472" s="28"/>
      <c r="T472" s="28"/>
      <c r="U472" s="28"/>
      <c r="V472" s="28"/>
      <c r="W472" s="28"/>
      <c r="AD472" s="28"/>
      <c r="AE472" s="28"/>
      <c r="AF472" s="28"/>
      <c r="AG472" s="28"/>
      <c r="AN472" s="28"/>
      <c r="AO472" s="28"/>
      <c r="AP472" s="28"/>
      <c r="AQ472" s="28"/>
    </row>
    <row r="473">
      <c r="J473" s="28"/>
      <c r="K473" s="28"/>
      <c r="L473" s="28"/>
      <c r="M473" s="28"/>
      <c r="T473" s="28"/>
      <c r="U473" s="28"/>
      <c r="V473" s="28"/>
      <c r="W473" s="28"/>
      <c r="AD473" s="28"/>
      <c r="AE473" s="28"/>
      <c r="AF473" s="28"/>
      <c r="AG473" s="28"/>
      <c r="AN473" s="28"/>
      <c r="AO473" s="28"/>
      <c r="AP473" s="28"/>
      <c r="AQ473" s="28"/>
    </row>
    <row r="474">
      <c r="J474" s="28"/>
      <c r="K474" s="28"/>
      <c r="L474" s="28"/>
      <c r="M474" s="28"/>
      <c r="T474" s="28"/>
      <c r="U474" s="28"/>
      <c r="V474" s="28"/>
      <c r="W474" s="28"/>
      <c r="AD474" s="28"/>
      <c r="AE474" s="28"/>
      <c r="AF474" s="28"/>
      <c r="AG474" s="28"/>
      <c r="AN474" s="28"/>
      <c r="AO474" s="28"/>
      <c r="AP474" s="28"/>
      <c r="AQ474" s="28"/>
    </row>
    <row r="475">
      <c r="J475" s="28"/>
      <c r="K475" s="28"/>
      <c r="L475" s="28"/>
      <c r="M475" s="28"/>
      <c r="T475" s="28"/>
      <c r="U475" s="28"/>
      <c r="V475" s="28"/>
      <c r="W475" s="28"/>
      <c r="AD475" s="28"/>
      <c r="AE475" s="28"/>
      <c r="AF475" s="28"/>
      <c r="AG475" s="28"/>
      <c r="AN475" s="28"/>
      <c r="AO475" s="28"/>
      <c r="AP475" s="28"/>
      <c r="AQ475" s="28"/>
    </row>
    <row r="476">
      <c r="J476" s="28"/>
      <c r="K476" s="28"/>
      <c r="L476" s="28"/>
      <c r="M476" s="28"/>
      <c r="T476" s="28"/>
      <c r="U476" s="28"/>
      <c r="V476" s="28"/>
      <c r="W476" s="28"/>
      <c r="AD476" s="28"/>
      <c r="AE476" s="28"/>
      <c r="AF476" s="28"/>
      <c r="AG476" s="28"/>
      <c r="AN476" s="28"/>
      <c r="AO476" s="28"/>
      <c r="AP476" s="28"/>
      <c r="AQ476" s="28"/>
    </row>
    <row r="477">
      <c r="J477" s="28"/>
      <c r="K477" s="28"/>
      <c r="L477" s="28"/>
      <c r="M477" s="28"/>
      <c r="T477" s="28"/>
      <c r="U477" s="28"/>
      <c r="V477" s="28"/>
      <c r="W477" s="28"/>
      <c r="AD477" s="28"/>
      <c r="AE477" s="28"/>
      <c r="AF477" s="28"/>
      <c r="AG477" s="28"/>
      <c r="AN477" s="28"/>
      <c r="AO477" s="28"/>
      <c r="AP477" s="28"/>
      <c r="AQ477" s="28"/>
    </row>
    <row r="478">
      <c r="J478" s="28"/>
      <c r="K478" s="28"/>
      <c r="L478" s="28"/>
      <c r="M478" s="28"/>
      <c r="T478" s="28"/>
      <c r="U478" s="28"/>
      <c r="V478" s="28"/>
      <c r="W478" s="28"/>
      <c r="AD478" s="28"/>
      <c r="AE478" s="28"/>
      <c r="AF478" s="28"/>
      <c r="AG478" s="28"/>
      <c r="AN478" s="28"/>
      <c r="AO478" s="28"/>
      <c r="AP478" s="28"/>
      <c r="AQ478" s="28"/>
    </row>
    <row r="479">
      <c r="J479" s="28"/>
      <c r="K479" s="28"/>
      <c r="L479" s="28"/>
      <c r="M479" s="28"/>
      <c r="T479" s="28"/>
      <c r="U479" s="28"/>
      <c r="V479" s="28"/>
      <c r="W479" s="28"/>
      <c r="AD479" s="28"/>
      <c r="AE479" s="28"/>
      <c r="AF479" s="28"/>
      <c r="AG479" s="28"/>
      <c r="AN479" s="28"/>
      <c r="AO479" s="28"/>
      <c r="AP479" s="28"/>
      <c r="AQ479" s="28"/>
    </row>
    <row r="480">
      <c r="J480" s="28"/>
      <c r="K480" s="28"/>
      <c r="L480" s="28"/>
      <c r="M480" s="28"/>
      <c r="T480" s="28"/>
      <c r="U480" s="28"/>
      <c r="V480" s="28"/>
      <c r="W480" s="28"/>
      <c r="AD480" s="28"/>
      <c r="AE480" s="28"/>
      <c r="AF480" s="28"/>
      <c r="AG480" s="28"/>
      <c r="AN480" s="28"/>
      <c r="AO480" s="28"/>
      <c r="AP480" s="28"/>
      <c r="AQ480" s="28"/>
    </row>
    <row r="481">
      <c r="J481" s="28"/>
      <c r="K481" s="28"/>
      <c r="L481" s="28"/>
      <c r="M481" s="28"/>
      <c r="T481" s="28"/>
      <c r="U481" s="28"/>
      <c r="V481" s="28"/>
      <c r="W481" s="28"/>
      <c r="AD481" s="28"/>
      <c r="AE481" s="28"/>
      <c r="AF481" s="28"/>
      <c r="AG481" s="28"/>
      <c r="AN481" s="28"/>
      <c r="AO481" s="28"/>
      <c r="AP481" s="28"/>
      <c r="AQ481" s="28"/>
    </row>
    <row r="482">
      <c r="J482" s="28"/>
      <c r="K482" s="28"/>
      <c r="L482" s="28"/>
      <c r="M482" s="28"/>
      <c r="T482" s="28"/>
      <c r="U482" s="28"/>
      <c r="V482" s="28"/>
      <c r="W482" s="28"/>
      <c r="AD482" s="28"/>
      <c r="AE482" s="28"/>
      <c r="AF482" s="28"/>
      <c r="AG482" s="28"/>
      <c r="AN482" s="28"/>
      <c r="AO482" s="28"/>
      <c r="AP482" s="28"/>
      <c r="AQ482" s="28"/>
    </row>
    <row r="483">
      <c r="J483" s="28"/>
      <c r="K483" s="28"/>
      <c r="L483" s="28"/>
      <c r="M483" s="28"/>
      <c r="T483" s="28"/>
      <c r="U483" s="28"/>
      <c r="V483" s="28"/>
      <c r="W483" s="28"/>
      <c r="AD483" s="28"/>
      <c r="AE483" s="28"/>
      <c r="AF483" s="28"/>
      <c r="AG483" s="28"/>
      <c r="AN483" s="28"/>
      <c r="AO483" s="28"/>
      <c r="AP483" s="28"/>
      <c r="AQ483" s="28"/>
    </row>
    <row r="484">
      <c r="J484" s="28"/>
      <c r="K484" s="28"/>
      <c r="L484" s="28"/>
      <c r="M484" s="28"/>
      <c r="T484" s="28"/>
      <c r="U484" s="28"/>
      <c r="V484" s="28"/>
      <c r="W484" s="28"/>
      <c r="AD484" s="28"/>
      <c r="AE484" s="28"/>
      <c r="AF484" s="28"/>
      <c r="AG484" s="28"/>
      <c r="AN484" s="28"/>
      <c r="AO484" s="28"/>
      <c r="AP484" s="28"/>
      <c r="AQ484" s="28"/>
    </row>
    <row r="485">
      <c r="J485" s="28"/>
      <c r="K485" s="28"/>
      <c r="L485" s="28"/>
      <c r="M485" s="28"/>
      <c r="T485" s="28"/>
      <c r="U485" s="28"/>
      <c r="V485" s="28"/>
      <c r="W485" s="28"/>
      <c r="AD485" s="28"/>
      <c r="AE485" s="28"/>
      <c r="AF485" s="28"/>
      <c r="AG485" s="28"/>
      <c r="AN485" s="28"/>
      <c r="AO485" s="28"/>
      <c r="AP485" s="28"/>
      <c r="AQ485" s="28"/>
    </row>
    <row r="486">
      <c r="J486" s="28"/>
      <c r="K486" s="28"/>
      <c r="L486" s="28"/>
      <c r="M486" s="28"/>
      <c r="T486" s="28"/>
      <c r="U486" s="28"/>
      <c r="V486" s="28"/>
      <c r="W486" s="28"/>
      <c r="AD486" s="28"/>
      <c r="AE486" s="28"/>
      <c r="AF486" s="28"/>
      <c r="AG486" s="28"/>
      <c r="AN486" s="28"/>
      <c r="AO486" s="28"/>
      <c r="AP486" s="28"/>
      <c r="AQ486" s="28"/>
    </row>
    <row r="487">
      <c r="J487" s="28"/>
      <c r="K487" s="28"/>
      <c r="L487" s="28"/>
      <c r="M487" s="28"/>
      <c r="T487" s="28"/>
      <c r="U487" s="28"/>
      <c r="V487" s="28"/>
      <c r="W487" s="28"/>
      <c r="AD487" s="28"/>
      <c r="AE487" s="28"/>
      <c r="AF487" s="28"/>
      <c r="AG487" s="28"/>
      <c r="AN487" s="28"/>
      <c r="AO487" s="28"/>
      <c r="AP487" s="28"/>
      <c r="AQ487" s="28"/>
    </row>
    <row r="488">
      <c r="J488" s="28"/>
      <c r="K488" s="28"/>
      <c r="L488" s="28"/>
      <c r="M488" s="28"/>
      <c r="T488" s="28"/>
      <c r="U488" s="28"/>
      <c r="V488" s="28"/>
      <c r="W488" s="28"/>
      <c r="AD488" s="28"/>
      <c r="AE488" s="28"/>
      <c r="AF488" s="28"/>
      <c r="AG488" s="28"/>
      <c r="AN488" s="28"/>
      <c r="AO488" s="28"/>
      <c r="AP488" s="28"/>
      <c r="AQ488" s="28"/>
    </row>
    <row r="489">
      <c r="J489" s="28"/>
      <c r="K489" s="28"/>
      <c r="L489" s="28"/>
      <c r="M489" s="28"/>
      <c r="T489" s="28"/>
      <c r="U489" s="28"/>
      <c r="V489" s="28"/>
      <c r="W489" s="28"/>
      <c r="AD489" s="28"/>
      <c r="AE489" s="28"/>
      <c r="AF489" s="28"/>
      <c r="AG489" s="28"/>
      <c r="AN489" s="28"/>
      <c r="AO489" s="28"/>
      <c r="AP489" s="28"/>
      <c r="AQ489" s="28"/>
    </row>
    <row r="490">
      <c r="J490" s="28"/>
      <c r="K490" s="28"/>
      <c r="L490" s="28"/>
      <c r="M490" s="28"/>
      <c r="T490" s="28"/>
      <c r="U490" s="28"/>
      <c r="V490" s="28"/>
      <c r="W490" s="28"/>
      <c r="AD490" s="28"/>
      <c r="AE490" s="28"/>
      <c r="AF490" s="28"/>
      <c r="AG490" s="28"/>
      <c r="AN490" s="28"/>
      <c r="AO490" s="28"/>
      <c r="AP490" s="28"/>
      <c r="AQ490" s="28"/>
    </row>
    <row r="491">
      <c r="J491" s="28"/>
      <c r="K491" s="28"/>
      <c r="L491" s="28"/>
      <c r="M491" s="28"/>
      <c r="T491" s="28"/>
      <c r="U491" s="28"/>
      <c r="V491" s="28"/>
      <c r="W491" s="28"/>
      <c r="AD491" s="28"/>
      <c r="AE491" s="28"/>
      <c r="AF491" s="28"/>
      <c r="AG491" s="28"/>
      <c r="AN491" s="28"/>
      <c r="AO491" s="28"/>
      <c r="AP491" s="28"/>
      <c r="AQ491" s="28"/>
    </row>
    <row r="492">
      <c r="J492" s="28"/>
      <c r="K492" s="28"/>
      <c r="L492" s="28"/>
      <c r="M492" s="28"/>
      <c r="T492" s="28"/>
      <c r="U492" s="28"/>
      <c r="V492" s="28"/>
      <c r="W492" s="28"/>
      <c r="AD492" s="28"/>
      <c r="AE492" s="28"/>
      <c r="AF492" s="28"/>
      <c r="AG492" s="28"/>
      <c r="AN492" s="28"/>
      <c r="AO492" s="28"/>
      <c r="AP492" s="28"/>
      <c r="AQ492" s="28"/>
    </row>
    <row r="493">
      <c r="J493" s="28"/>
      <c r="K493" s="28"/>
      <c r="L493" s="28"/>
      <c r="M493" s="28"/>
      <c r="T493" s="28"/>
      <c r="U493" s="28"/>
      <c r="V493" s="28"/>
      <c r="W493" s="28"/>
      <c r="AD493" s="28"/>
      <c r="AE493" s="28"/>
      <c r="AF493" s="28"/>
      <c r="AG493" s="28"/>
      <c r="AN493" s="28"/>
      <c r="AO493" s="28"/>
      <c r="AP493" s="28"/>
      <c r="AQ493" s="28"/>
    </row>
    <row r="494">
      <c r="J494" s="28"/>
      <c r="K494" s="28"/>
      <c r="L494" s="28"/>
      <c r="M494" s="28"/>
      <c r="T494" s="28"/>
      <c r="U494" s="28"/>
      <c r="V494" s="28"/>
      <c r="W494" s="28"/>
      <c r="AD494" s="28"/>
      <c r="AE494" s="28"/>
      <c r="AF494" s="28"/>
      <c r="AG494" s="28"/>
      <c r="AN494" s="28"/>
      <c r="AO494" s="28"/>
      <c r="AP494" s="28"/>
      <c r="AQ494" s="28"/>
    </row>
    <row r="495">
      <c r="J495" s="28"/>
      <c r="K495" s="28"/>
      <c r="L495" s="28"/>
      <c r="M495" s="28"/>
      <c r="T495" s="28"/>
      <c r="U495" s="28"/>
      <c r="V495" s="28"/>
      <c r="W495" s="28"/>
      <c r="AD495" s="28"/>
      <c r="AE495" s="28"/>
      <c r="AF495" s="28"/>
      <c r="AG495" s="28"/>
      <c r="AN495" s="28"/>
      <c r="AO495" s="28"/>
      <c r="AP495" s="28"/>
      <c r="AQ495" s="28"/>
    </row>
    <row r="496">
      <c r="J496" s="28"/>
      <c r="K496" s="28"/>
      <c r="L496" s="28"/>
      <c r="M496" s="28"/>
      <c r="T496" s="28"/>
      <c r="U496" s="28"/>
      <c r="V496" s="28"/>
      <c r="W496" s="28"/>
      <c r="AD496" s="28"/>
      <c r="AE496" s="28"/>
      <c r="AF496" s="28"/>
      <c r="AG496" s="28"/>
      <c r="AN496" s="28"/>
      <c r="AO496" s="28"/>
      <c r="AP496" s="28"/>
      <c r="AQ496" s="28"/>
    </row>
    <row r="497">
      <c r="J497" s="28"/>
      <c r="K497" s="28"/>
      <c r="L497" s="28"/>
      <c r="M497" s="28"/>
      <c r="T497" s="28"/>
      <c r="U497" s="28"/>
      <c r="V497" s="28"/>
      <c r="W497" s="28"/>
      <c r="AD497" s="28"/>
      <c r="AE497" s="28"/>
      <c r="AF497" s="28"/>
      <c r="AG497" s="28"/>
      <c r="AN497" s="28"/>
      <c r="AO497" s="28"/>
      <c r="AP497" s="28"/>
      <c r="AQ497" s="28"/>
    </row>
    <row r="498">
      <c r="J498" s="28"/>
      <c r="K498" s="28"/>
      <c r="L498" s="28"/>
      <c r="M498" s="28"/>
      <c r="T498" s="28"/>
      <c r="U498" s="28"/>
      <c r="V498" s="28"/>
      <c r="W498" s="28"/>
      <c r="AD498" s="28"/>
      <c r="AE498" s="28"/>
      <c r="AF498" s="28"/>
      <c r="AG498" s="28"/>
      <c r="AN498" s="28"/>
      <c r="AO498" s="28"/>
      <c r="AP498" s="28"/>
      <c r="AQ498" s="28"/>
    </row>
    <row r="499">
      <c r="J499" s="28"/>
      <c r="K499" s="28"/>
      <c r="L499" s="28"/>
      <c r="M499" s="28"/>
      <c r="T499" s="28"/>
      <c r="U499" s="28"/>
      <c r="V499" s="28"/>
      <c r="W499" s="28"/>
      <c r="AD499" s="28"/>
      <c r="AE499" s="28"/>
      <c r="AF499" s="28"/>
      <c r="AG499" s="28"/>
      <c r="AN499" s="28"/>
      <c r="AO499" s="28"/>
      <c r="AP499" s="28"/>
      <c r="AQ499" s="28"/>
    </row>
    <row r="500">
      <c r="J500" s="28"/>
      <c r="K500" s="28"/>
      <c r="L500" s="28"/>
      <c r="M500" s="28"/>
      <c r="T500" s="28"/>
      <c r="U500" s="28"/>
      <c r="V500" s="28"/>
      <c r="W500" s="28"/>
      <c r="AD500" s="28"/>
      <c r="AE500" s="28"/>
      <c r="AF500" s="28"/>
      <c r="AG500" s="28"/>
      <c r="AN500" s="28"/>
      <c r="AO500" s="28"/>
      <c r="AP500" s="28"/>
      <c r="AQ500" s="28"/>
    </row>
    <row r="501">
      <c r="J501" s="28"/>
      <c r="K501" s="28"/>
      <c r="L501" s="28"/>
      <c r="M501" s="28"/>
      <c r="T501" s="28"/>
      <c r="U501" s="28"/>
      <c r="V501" s="28"/>
      <c r="W501" s="28"/>
      <c r="AD501" s="28"/>
      <c r="AE501" s="28"/>
      <c r="AF501" s="28"/>
      <c r="AG501" s="28"/>
      <c r="AN501" s="28"/>
      <c r="AO501" s="28"/>
      <c r="AP501" s="28"/>
      <c r="AQ501" s="28"/>
    </row>
    <row r="502">
      <c r="J502" s="28"/>
      <c r="K502" s="28"/>
      <c r="L502" s="28"/>
      <c r="M502" s="28"/>
      <c r="T502" s="28"/>
      <c r="U502" s="28"/>
      <c r="V502" s="28"/>
      <c r="W502" s="28"/>
      <c r="AD502" s="28"/>
      <c r="AE502" s="28"/>
      <c r="AF502" s="28"/>
      <c r="AG502" s="28"/>
      <c r="AN502" s="28"/>
      <c r="AO502" s="28"/>
      <c r="AP502" s="28"/>
      <c r="AQ502" s="28"/>
    </row>
    <row r="503">
      <c r="J503" s="28"/>
      <c r="K503" s="28"/>
      <c r="L503" s="28"/>
      <c r="M503" s="28"/>
      <c r="T503" s="28"/>
      <c r="U503" s="28"/>
      <c r="V503" s="28"/>
      <c r="W503" s="28"/>
      <c r="AD503" s="28"/>
      <c r="AE503" s="28"/>
      <c r="AF503" s="28"/>
      <c r="AG503" s="28"/>
      <c r="AN503" s="28"/>
      <c r="AO503" s="28"/>
      <c r="AP503" s="28"/>
      <c r="AQ503" s="28"/>
    </row>
    <row r="504">
      <c r="J504" s="28"/>
      <c r="K504" s="28"/>
      <c r="L504" s="28"/>
      <c r="M504" s="28"/>
      <c r="T504" s="28"/>
      <c r="U504" s="28"/>
      <c r="V504" s="28"/>
      <c r="W504" s="28"/>
      <c r="AD504" s="28"/>
      <c r="AE504" s="28"/>
      <c r="AF504" s="28"/>
      <c r="AG504" s="28"/>
      <c r="AN504" s="28"/>
      <c r="AO504" s="28"/>
      <c r="AP504" s="28"/>
      <c r="AQ504" s="28"/>
    </row>
    <row r="505">
      <c r="J505" s="28"/>
      <c r="K505" s="28"/>
      <c r="L505" s="28"/>
      <c r="M505" s="28"/>
      <c r="T505" s="28"/>
      <c r="U505" s="28"/>
      <c r="V505" s="28"/>
      <c r="W505" s="28"/>
      <c r="AD505" s="28"/>
      <c r="AE505" s="28"/>
      <c r="AF505" s="28"/>
      <c r="AG505" s="28"/>
      <c r="AN505" s="28"/>
      <c r="AO505" s="28"/>
      <c r="AP505" s="28"/>
      <c r="AQ505" s="28"/>
    </row>
    <row r="506">
      <c r="J506" s="28"/>
      <c r="K506" s="28"/>
      <c r="L506" s="28"/>
      <c r="M506" s="28"/>
      <c r="T506" s="28"/>
      <c r="U506" s="28"/>
      <c r="V506" s="28"/>
      <c r="W506" s="28"/>
      <c r="AD506" s="28"/>
      <c r="AE506" s="28"/>
      <c r="AF506" s="28"/>
      <c r="AG506" s="28"/>
      <c r="AN506" s="28"/>
      <c r="AO506" s="28"/>
      <c r="AP506" s="28"/>
      <c r="AQ506" s="28"/>
    </row>
    <row r="507">
      <c r="J507" s="28"/>
      <c r="K507" s="28"/>
      <c r="L507" s="28"/>
      <c r="M507" s="28"/>
      <c r="T507" s="28"/>
      <c r="U507" s="28"/>
      <c r="V507" s="28"/>
      <c r="W507" s="28"/>
      <c r="AD507" s="28"/>
      <c r="AE507" s="28"/>
      <c r="AF507" s="28"/>
      <c r="AG507" s="28"/>
      <c r="AN507" s="28"/>
      <c r="AO507" s="28"/>
      <c r="AP507" s="28"/>
      <c r="AQ507" s="28"/>
    </row>
    <row r="508">
      <c r="J508" s="28"/>
      <c r="K508" s="28"/>
      <c r="L508" s="28"/>
      <c r="M508" s="28"/>
      <c r="T508" s="28"/>
      <c r="U508" s="28"/>
      <c r="V508" s="28"/>
      <c r="W508" s="28"/>
      <c r="AD508" s="28"/>
      <c r="AE508" s="28"/>
      <c r="AF508" s="28"/>
      <c r="AG508" s="28"/>
      <c r="AN508" s="28"/>
      <c r="AO508" s="28"/>
      <c r="AP508" s="28"/>
      <c r="AQ508" s="28"/>
    </row>
    <row r="509">
      <c r="J509" s="28"/>
      <c r="K509" s="28"/>
      <c r="L509" s="28"/>
      <c r="M509" s="28"/>
      <c r="T509" s="28"/>
      <c r="U509" s="28"/>
      <c r="V509" s="28"/>
      <c r="W509" s="28"/>
      <c r="AD509" s="28"/>
      <c r="AE509" s="28"/>
      <c r="AF509" s="28"/>
      <c r="AG509" s="28"/>
      <c r="AN509" s="28"/>
      <c r="AO509" s="28"/>
      <c r="AP509" s="28"/>
      <c r="AQ509" s="28"/>
    </row>
    <row r="510">
      <c r="J510" s="28"/>
      <c r="K510" s="28"/>
      <c r="L510" s="28"/>
      <c r="M510" s="28"/>
      <c r="T510" s="28"/>
      <c r="U510" s="28"/>
      <c r="V510" s="28"/>
      <c r="W510" s="28"/>
      <c r="AD510" s="28"/>
      <c r="AE510" s="28"/>
      <c r="AF510" s="28"/>
      <c r="AG510" s="28"/>
      <c r="AN510" s="28"/>
      <c r="AO510" s="28"/>
      <c r="AP510" s="28"/>
      <c r="AQ510" s="28"/>
    </row>
    <row r="511">
      <c r="J511" s="28"/>
      <c r="K511" s="28"/>
      <c r="L511" s="28"/>
      <c r="M511" s="28"/>
      <c r="T511" s="28"/>
      <c r="U511" s="28"/>
      <c r="V511" s="28"/>
      <c r="W511" s="28"/>
      <c r="AD511" s="28"/>
      <c r="AE511" s="28"/>
      <c r="AF511" s="28"/>
      <c r="AG511" s="28"/>
      <c r="AN511" s="28"/>
      <c r="AO511" s="28"/>
      <c r="AP511" s="28"/>
      <c r="AQ511" s="28"/>
    </row>
    <row r="512">
      <c r="J512" s="28"/>
      <c r="K512" s="28"/>
      <c r="L512" s="28"/>
      <c r="M512" s="28"/>
      <c r="T512" s="28"/>
      <c r="U512" s="28"/>
      <c r="V512" s="28"/>
      <c r="W512" s="28"/>
      <c r="AD512" s="28"/>
      <c r="AE512" s="28"/>
      <c r="AF512" s="28"/>
      <c r="AG512" s="28"/>
      <c r="AN512" s="28"/>
      <c r="AO512" s="28"/>
      <c r="AP512" s="28"/>
      <c r="AQ512" s="28"/>
    </row>
    <row r="513">
      <c r="J513" s="28"/>
      <c r="K513" s="28"/>
      <c r="L513" s="28"/>
      <c r="M513" s="28"/>
      <c r="T513" s="28"/>
      <c r="U513" s="28"/>
      <c r="V513" s="28"/>
      <c r="W513" s="28"/>
      <c r="AD513" s="28"/>
      <c r="AE513" s="28"/>
      <c r="AF513" s="28"/>
      <c r="AG513" s="28"/>
      <c r="AN513" s="28"/>
      <c r="AO513" s="28"/>
      <c r="AP513" s="28"/>
      <c r="AQ513" s="28"/>
    </row>
    <row r="514">
      <c r="J514" s="28"/>
      <c r="K514" s="28"/>
      <c r="L514" s="28"/>
      <c r="M514" s="28"/>
      <c r="T514" s="28"/>
      <c r="U514" s="28"/>
      <c r="V514" s="28"/>
      <c r="W514" s="28"/>
      <c r="AD514" s="28"/>
      <c r="AE514" s="28"/>
      <c r="AF514" s="28"/>
      <c r="AG514" s="28"/>
      <c r="AN514" s="28"/>
      <c r="AO514" s="28"/>
      <c r="AP514" s="28"/>
      <c r="AQ514" s="28"/>
    </row>
    <row r="515">
      <c r="J515" s="28"/>
      <c r="K515" s="28"/>
      <c r="L515" s="28"/>
      <c r="M515" s="28"/>
      <c r="T515" s="28"/>
      <c r="U515" s="28"/>
      <c r="V515" s="28"/>
      <c r="W515" s="28"/>
      <c r="AD515" s="28"/>
      <c r="AE515" s="28"/>
      <c r="AF515" s="28"/>
      <c r="AG515" s="28"/>
      <c r="AN515" s="28"/>
      <c r="AO515" s="28"/>
      <c r="AP515" s="28"/>
      <c r="AQ515" s="28"/>
    </row>
    <row r="516">
      <c r="J516" s="28"/>
      <c r="K516" s="28"/>
      <c r="L516" s="28"/>
      <c r="M516" s="28"/>
      <c r="T516" s="28"/>
      <c r="U516" s="28"/>
      <c r="V516" s="28"/>
      <c r="W516" s="28"/>
      <c r="AD516" s="28"/>
      <c r="AE516" s="28"/>
      <c r="AF516" s="28"/>
      <c r="AG516" s="28"/>
      <c r="AN516" s="28"/>
      <c r="AO516" s="28"/>
      <c r="AP516" s="28"/>
      <c r="AQ516" s="28"/>
    </row>
    <row r="517">
      <c r="J517" s="28"/>
      <c r="K517" s="28"/>
      <c r="L517" s="28"/>
      <c r="M517" s="28"/>
      <c r="T517" s="28"/>
      <c r="U517" s="28"/>
      <c r="V517" s="28"/>
      <c r="W517" s="28"/>
      <c r="AD517" s="28"/>
      <c r="AE517" s="28"/>
      <c r="AF517" s="28"/>
      <c r="AG517" s="28"/>
      <c r="AN517" s="28"/>
      <c r="AO517" s="28"/>
      <c r="AP517" s="28"/>
      <c r="AQ517" s="28"/>
    </row>
    <row r="518">
      <c r="J518" s="28"/>
      <c r="K518" s="28"/>
      <c r="L518" s="28"/>
      <c r="M518" s="28"/>
      <c r="T518" s="28"/>
      <c r="U518" s="28"/>
      <c r="V518" s="28"/>
      <c r="W518" s="28"/>
      <c r="AD518" s="28"/>
      <c r="AE518" s="28"/>
      <c r="AF518" s="28"/>
      <c r="AG518" s="28"/>
      <c r="AN518" s="28"/>
      <c r="AO518" s="28"/>
      <c r="AP518" s="28"/>
      <c r="AQ518" s="28"/>
    </row>
    <row r="519">
      <c r="J519" s="28"/>
      <c r="K519" s="28"/>
      <c r="L519" s="28"/>
      <c r="M519" s="28"/>
      <c r="T519" s="28"/>
      <c r="U519" s="28"/>
      <c r="V519" s="28"/>
      <c r="W519" s="28"/>
      <c r="AD519" s="28"/>
      <c r="AE519" s="28"/>
      <c r="AF519" s="28"/>
      <c r="AG519" s="28"/>
      <c r="AN519" s="28"/>
      <c r="AO519" s="28"/>
      <c r="AP519" s="28"/>
      <c r="AQ519" s="28"/>
    </row>
    <row r="520">
      <c r="J520" s="28"/>
      <c r="K520" s="28"/>
      <c r="L520" s="28"/>
      <c r="M520" s="28"/>
      <c r="T520" s="28"/>
      <c r="U520" s="28"/>
      <c r="V520" s="28"/>
      <c r="W520" s="28"/>
      <c r="AD520" s="28"/>
      <c r="AE520" s="28"/>
      <c r="AF520" s="28"/>
      <c r="AG520" s="28"/>
      <c r="AN520" s="28"/>
      <c r="AO520" s="28"/>
      <c r="AP520" s="28"/>
      <c r="AQ520" s="28"/>
    </row>
    <row r="521">
      <c r="J521" s="28"/>
      <c r="K521" s="28"/>
      <c r="L521" s="28"/>
      <c r="M521" s="28"/>
      <c r="T521" s="28"/>
      <c r="U521" s="28"/>
      <c r="V521" s="28"/>
      <c r="W521" s="28"/>
      <c r="AD521" s="28"/>
      <c r="AE521" s="28"/>
      <c r="AF521" s="28"/>
      <c r="AG521" s="28"/>
      <c r="AN521" s="28"/>
      <c r="AO521" s="28"/>
      <c r="AP521" s="28"/>
      <c r="AQ521" s="28"/>
    </row>
    <row r="522">
      <c r="J522" s="28"/>
      <c r="K522" s="28"/>
      <c r="L522" s="28"/>
      <c r="M522" s="28"/>
      <c r="T522" s="28"/>
      <c r="U522" s="28"/>
      <c r="V522" s="28"/>
      <c r="W522" s="28"/>
      <c r="AD522" s="28"/>
      <c r="AE522" s="28"/>
      <c r="AF522" s="28"/>
      <c r="AG522" s="28"/>
      <c r="AN522" s="28"/>
      <c r="AO522" s="28"/>
      <c r="AP522" s="28"/>
      <c r="AQ522" s="28"/>
    </row>
    <row r="523">
      <c r="J523" s="28"/>
      <c r="K523" s="28"/>
      <c r="L523" s="28"/>
      <c r="M523" s="28"/>
      <c r="T523" s="28"/>
      <c r="U523" s="28"/>
      <c r="V523" s="28"/>
      <c r="W523" s="28"/>
      <c r="AD523" s="28"/>
      <c r="AE523" s="28"/>
      <c r="AF523" s="28"/>
      <c r="AG523" s="28"/>
      <c r="AN523" s="28"/>
      <c r="AO523" s="28"/>
      <c r="AP523" s="28"/>
      <c r="AQ523" s="28"/>
    </row>
    <row r="524">
      <c r="J524" s="28"/>
      <c r="K524" s="28"/>
      <c r="L524" s="28"/>
      <c r="M524" s="28"/>
      <c r="T524" s="28"/>
      <c r="U524" s="28"/>
      <c r="V524" s="28"/>
      <c r="W524" s="28"/>
      <c r="AD524" s="28"/>
      <c r="AE524" s="28"/>
      <c r="AF524" s="28"/>
      <c r="AG524" s="28"/>
      <c r="AN524" s="28"/>
      <c r="AO524" s="28"/>
      <c r="AP524" s="28"/>
      <c r="AQ524" s="28"/>
    </row>
    <row r="525">
      <c r="J525" s="28"/>
      <c r="K525" s="28"/>
      <c r="L525" s="28"/>
      <c r="M525" s="28"/>
      <c r="T525" s="28"/>
      <c r="U525" s="28"/>
      <c r="V525" s="28"/>
      <c r="W525" s="28"/>
      <c r="AD525" s="28"/>
      <c r="AE525" s="28"/>
      <c r="AF525" s="28"/>
      <c r="AG525" s="28"/>
      <c r="AN525" s="28"/>
      <c r="AO525" s="28"/>
      <c r="AP525" s="28"/>
      <c r="AQ525" s="28"/>
    </row>
    <row r="526">
      <c r="J526" s="28"/>
      <c r="K526" s="28"/>
      <c r="L526" s="28"/>
      <c r="M526" s="28"/>
      <c r="T526" s="28"/>
      <c r="U526" s="28"/>
      <c r="V526" s="28"/>
      <c r="W526" s="28"/>
      <c r="AD526" s="28"/>
      <c r="AE526" s="28"/>
      <c r="AF526" s="28"/>
      <c r="AG526" s="28"/>
      <c r="AN526" s="28"/>
      <c r="AO526" s="28"/>
      <c r="AP526" s="28"/>
      <c r="AQ526" s="28"/>
    </row>
    <row r="527">
      <c r="J527" s="28"/>
      <c r="K527" s="28"/>
      <c r="L527" s="28"/>
      <c r="M527" s="28"/>
      <c r="T527" s="28"/>
      <c r="U527" s="28"/>
      <c r="V527" s="28"/>
      <c r="W527" s="28"/>
      <c r="AD527" s="28"/>
      <c r="AE527" s="28"/>
      <c r="AF527" s="28"/>
      <c r="AG527" s="28"/>
      <c r="AN527" s="28"/>
      <c r="AO527" s="28"/>
      <c r="AP527" s="28"/>
      <c r="AQ527" s="28"/>
    </row>
    <row r="528">
      <c r="J528" s="28"/>
      <c r="K528" s="28"/>
      <c r="L528" s="28"/>
      <c r="M528" s="28"/>
      <c r="T528" s="28"/>
      <c r="U528" s="28"/>
      <c r="V528" s="28"/>
      <c r="W528" s="28"/>
      <c r="AD528" s="28"/>
      <c r="AE528" s="28"/>
      <c r="AF528" s="28"/>
      <c r="AG528" s="28"/>
      <c r="AN528" s="28"/>
      <c r="AO528" s="28"/>
      <c r="AP528" s="28"/>
      <c r="AQ528" s="28"/>
    </row>
    <row r="529">
      <c r="J529" s="28"/>
      <c r="K529" s="28"/>
      <c r="L529" s="28"/>
      <c r="M529" s="28"/>
      <c r="T529" s="28"/>
      <c r="U529" s="28"/>
      <c r="V529" s="28"/>
      <c r="W529" s="28"/>
      <c r="AD529" s="28"/>
      <c r="AE529" s="28"/>
      <c r="AF529" s="28"/>
      <c r="AG529" s="28"/>
      <c r="AN529" s="28"/>
      <c r="AO529" s="28"/>
      <c r="AP529" s="28"/>
      <c r="AQ529" s="28"/>
    </row>
    <row r="530">
      <c r="J530" s="28"/>
      <c r="K530" s="28"/>
      <c r="L530" s="28"/>
      <c r="M530" s="28"/>
      <c r="T530" s="28"/>
      <c r="U530" s="28"/>
      <c r="V530" s="28"/>
      <c r="W530" s="28"/>
      <c r="AD530" s="28"/>
      <c r="AE530" s="28"/>
      <c r="AF530" s="28"/>
      <c r="AG530" s="28"/>
      <c r="AN530" s="28"/>
      <c r="AO530" s="28"/>
      <c r="AP530" s="28"/>
      <c r="AQ530" s="28"/>
    </row>
    <row r="531">
      <c r="J531" s="28"/>
      <c r="K531" s="28"/>
      <c r="L531" s="28"/>
      <c r="M531" s="28"/>
      <c r="T531" s="28"/>
      <c r="U531" s="28"/>
      <c r="V531" s="28"/>
      <c r="W531" s="28"/>
      <c r="AD531" s="28"/>
      <c r="AE531" s="28"/>
      <c r="AF531" s="28"/>
      <c r="AG531" s="28"/>
      <c r="AN531" s="28"/>
      <c r="AO531" s="28"/>
      <c r="AP531" s="28"/>
      <c r="AQ531" s="28"/>
    </row>
    <row r="532">
      <c r="J532" s="28"/>
      <c r="K532" s="28"/>
      <c r="L532" s="28"/>
      <c r="M532" s="28"/>
      <c r="T532" s="28"/>
      <c r="U532" s="28"/>
      <c r="V532" s="28"/>
      <c r="W532" s="28"/>
      <c r="AD532" s="28"/>
      <c r="AE532" s="28"/>
      <c r="AF532" s="28"/>
      <c r="AG532" s="28"/>
      <c r="AN532" s="28"/>
      <c r="AO532" s="28"/>
      <c r="AP532" s="28"/>
      <c r="AQ532" s="28"/>
    </row>
    <row r="533">
      <c r="J533" s="28"/>
      <c r="K533" s="28"/>
      <c r="L533" s="28"/>
      <c r="M533" s="28"/>
      <c r="T533" s="28"/>
      <c r="U533" s="28"/>
      <c r="V533" s="28"/>
      <c r="W533" s="28"/>
      <c r="AD533" s="28"/>
      <c r="AE533" s="28"/>
      <c r="AF533" s="28"/>
      <c r="AG533" s="28"/>
      <c r="AN533" s="28"/>
      <c r="AO533" s="28"/>
      <c r="AP533" s="28"/>
      <c r="AQ533" s="28"/>
    </row>
    <row r="534">
      <c r="J534" s="28"/>
      <c r="K534" s="28"/>
      <c r="L534" s="28"/>
      <c r="M534" s="28"/>
      <c r="T534" s="28"/>
      <c r="U534" s="28"/>
      <c r="V534" s="28"/>
      <c r="W534" s="28"/>
      <c r="AD534" s="28"/>
      <c r="AE534" s="28"/>
      <c r="AF534" s="28"/>
      <c r="AG534" s="28"/>
      <c r="AN534" s="28"/>
      <c r="AO534" s="28"/>
      <c r="AP534" s="28"/>
      <c r="AQ534" s="28"/>
    </row>
    <row r="535">
      <c r="J535" s="28"/>
      <c r="K535" s="28"/>
      <c r="L535" s="28"/>
      <c r="M535" s="28"/>
      <c r="T535" s="28"/>
      <c r="U535" s="28"/>
      <c r="V535" s="28"/>
      <c r="W535" s="28"/>
      <c r="AD535" s="28"/>
      <c r="AE535" s="28"/>
      <c r="AF535" s="28"/>
      <c r="AG535" s="28"/>
      <c r="AN535" s="28"/>
      <c r="AO535" s="28"/>
      <c r="AP535" s="28"/>
      <c r="AQ535" s="28"/>
    </row>
    <row r="536">
      <c r="J536" s="28"/>
      <c r="K536" s="28"/>
      <c r="L536" s="28"/>
      <c r="M536" s="28"/>
      <c r="T536" s="28"/>
      <c r="U536" s="28"/>
      <c r="V536" s="28"/>
      <c r="W536" s="28"/>
      <c r="AD536" s="28"/>
      <c r="AE536" s="28"/>
      <c r="AF536" s="28"/>
      <c r="AG536" s="28"/>
      <c r="AN536" s="28"/>
      <c r="AO536" s="28"/>
      <c r="AP536" s="28"/>
      <c r="AQ536" s="28"/>
    </row>
    <row r="537">
      <c r="J537" s="28"/>
      <c r="K537" s="28"/>
      <c r="L537" s="28"/>
      <c r="M537" s="28"/>
      <c r="T537" s="28"/>
      <c r="U537" s="28"/>
      <c r="V537" s="28"/>
      <c r="W537" s="28"/>
      <c r="AD537" s="28"/>
      <c r="AE537" s="28"/>
      <c r="AF537" s="28"/>
      <c r="AG537" s="28"/>
      <c r="AN537" s="28"/>
      <c r="AO537" s="28"/>
      <c r="AP537" s="28"/>
      <c r="AQ537" s="28"/>
    </row>
    <row r="538">
      <c r="J538" s="28"/>
      <c r="K538" s="28"/>
      <c r="L538" s="28"/>
      <c r="M538" s="28"/>
      <c r="T538" s="28"/>
      <c r="U538" s="28"/>
      <c r="V538" s="28"/>
      <c r="W538" s="28"/>
      <c r="AD538" s="28"/>
      <c r="AE538" s="28"/>
      <c r="AF538" s="28"/>
      <c r="AG538" s="28"/>
      <c r="AN538" s="28"/>
      <c r="AO538" s="28"/>
      <c r="AP538" s="28"/>
      <c r="AQ538" s="28"/>
    </row>
    <row r="539">
      <c r="J539" s="28"/>
      <c r="K539" s="28"/>
      <c r="L539" s="28"/>
      <c r="M539" s="28"/>
      <c r="T539" s="28"/>
      <c r="U539" s="28"/>
      <c r="V539" s="28"/>
      <c r="W539" s="28"/>
      <c r="AD539" s="28"/>
      <c r="AE539" s="28"/>
      <c r="AF539" s="28"/>
      <c r="AG539" s="28"/>
      <c r="AN539" s="28"/>
      <c r="AO539" s="28"/>
      <c r="AP539" s="28"/>
      <c r="AQ539" s="28"/>
    </row>
    <row r="540">
      <c r="J540" s="28"/>
      <c r="K540" s="28"/>
      <c r="L540" s="28"/>
      <c r="M540" s="28"/>
      <c r="T540" s="28"/>
      <c r="U540" s="28"/>
      <c r="V540" s="28"/>
      <c r="W540" s="28"/>
      <c r="AD540" s="28"/>
      <c r="AE540" s="28"/>
      <c r="AF540" s="28"/>
      <c r="AG540" s="28"/>
      <c r="AN540" s="28"/>
      <c r="AO540" s="28"/>
      <c r="AP540" s="28"/>
      <c r="AQ540" s="28"/>
    </row>
    <row r="541">
      <c r="J541" s="28"/>
      <c r="K541" s="28"/>
      <c r="L541" s="28"/>
      <c r="M541" s="28"/>
      <c r="T541" s="28"/>
      <c r="U541" s="28"/>
      <c r="V541" s="28"/>
      <c r="W541" s="28"/>
      <c r="AD541" s="28"/>
      <c r="AE541" s="28"/>
      <c r="AF541" s="28"/>
      <c r="AG541" s="28"/>
      <c r="AN541" s="28"/>
      <c r="AO541" s="28"/>
      <c r="AP541" s="28"/>
      <c r="AQ541" s="28"/>
    </row>
    <row r="542">
      <c r="J542" s="28"/>
      <c r="K542" s="28"/>
      <c r="L542" s="28"/>
      <c r="M542" s="28"/>
      <c r="T542" s="28"/>
      <c r="U542" s="28"/>
      <c r="V542" s="28"/>
      <c r="W542" s="28"/>
      <c r="AD542" s="28"/>
      <c r="AE542" s="28"/>
      <c r="AF542" s="28"/>
      <c r="AG542" s="28"/>
      <c r="AN542" s="28"/>
      <c r="AO542" s="28"/>
      <c r="AP542" s="28"/>
      <c r="AQ542" s="28"/>
    </row>
    <row r="543">
      <c r="J543" s="28"/>
      <c r="K543" s="28"/>
      <c r="L543" s="28"/>
      <c r="M543" s="28"/>
      <c r="T543" s="28"/>
      <c r="U543" s="28"/>
      <c r="V543" s="28"/>
      <c r="W543" s="28"/>
      <c r="AD543" s="28"/>
      <c r="AE543" s="28"/>
      <c r="AF543" s="28"/>
      <c r="AG543" s="28"/>
      <c r="AN543" s="28"/>
      <c r="AO543" s="28"/>
      <c r="AP543" s="28"/>
      <c r="AQ543" s="28"/>
    </row>
    <row r="544">
      <c r="J544" s="28"/>
      <c r="K544" s="28"/>
      <c r="L544" s="28"/>
      <c r="M544" s="28"/>
      <c r="T544" s="28"/>
      <c r="U544" s="28"/>
      <c r="V544" s="28"/>
      <c r="W544" s="28"/>
      <c r="AD544" s="28"/>
      <c r="AE544" s="28"/>
      <c r="AF544" s="28"/>
      <c r="AG544" s="28"/>
      <c r="AN544" s="28"/>
      <c r="AO544" s="28"/>
      <c r="AP544" s="28"/>
      <c r="AQ544" s="28"/>
    </row>
    <row r="545">
      <c r="J545" s="28"/>
      <c r="K545" s="28"/>
      <c r="L545" s="28"/>
      <c r="M545" s="28"/>
      <c r="T545" s="28"/>
      <c r="U545" s="28"/>
      <c r="V545" s="28"/>
      <c r="W545" s="28"/>
      <c r="AD545" s="28"/>
      <c r="AE545" s="28"/>
      <c r="AF545" s="28"/>
      <c r="AG545" s="28"/>
      <c r="AN545" s="28"/>
      <c r="AO545" s="28"/>
      <c r="AP545" s="28"/>
      <c r="AQ545" s="28"/>
    </row>
    <row r="546">
      <c r="J546" s="28"/>
      <c r="K546" s="28"/>
      <c r="L546" s="28"/>
      <c r="M546" s="28"/>
      <c r="T546" s="28"/>
      <c r="U546" s="28"/>
      <c r="V546" s="28"/>
      <c r="W546" s="28"/>
      <c r="AD546" s="28"/>
      <c r="AE546" s="28"/>
      <c r="AF546" s="28"/>
      <c r="AG546" s="28"/>
      <c r="AN546" s="28"/>
      <c r="AO546" s="28"/>
      <c r="AP546" s="28"/>
      <c r="AQ546" s="28"/>
    </row>
    <row r="547">
      <c r="J547" s="28"/>
      <c r="K547" s="28"/>
      <c r="L547" s="28"/>
      <c r="M547" s="28"/>
      <c r="T547" s="28"/>
      <c r="U547" s="28"/>
      <c r="V547" s="28"/>
      <c r="W547" s="28"/>
      <c r="AD547" s="28"/>
      <c r="AE547" s="28"/>
      <c r="AF547" s="28"/>
      <c r="AG547" s="28"/>
      <c r="AN547" s="28"/>
      <c r="AO547" s="28"/>
      <c r="AP547" s="28"/>
      <c r="AQ547" s="28"/>
    </row>
    <row r="548">
      <c r="J548" s="28"/>
      <c r="K548" s="28"/>
      <c r="L548" s="28"/>
      <c r="M548" s="28"/>
      <c r="T548" s="28"/>
      <c r="U548" s="28"/>
      <c r="V548" s="28"/>
      <c r="W548" s="28"/>
      <c r="AD548" s="28"/>
      <c r="AE548" s="28"/>
      <c r="AF548" s="28"/>
      <c r="AG548" s="28"/>
      <c r="AN548" s="28"/>
      <c r="AO548" s="28"/>
      <c r="AP548" s="28"/>
      <c r="AQ548" s="28"/>
    </row>
    <row r="549">
      <c r="J549" s="28"/>
      <c r="K549" s="28"/>
      <c r="L549" s="28"/>
      <c r="M549" s="28"/>
      <c r="T549" s="28"/>
      <c r="U549" s="28"/>
      <c r="V549" s="28"/>
      <c r="W549" s="28"/>
      <c r="AD549" s="28"/>
      <c r="AE549" s="28"/>
      <c r="AF549" s="28"/>
      <c r="AG549" s="28"/>
      <c r="AN549" s="28"/>
      <c r="AO549" s="28"/>
      <c r="AP549" s="28"/>
      <c r="AQ549" s="28"/>
    </row>
    <row r="550">
      <c r="J550" s="28"/>
      <c r="K550" s="28"/>
      <c r="L550" s="28"/>
      <c r="M550" s="28"/>
      <c r="T550" s="28"/>
      <c r="U550" s="28"/>
      <c r="V550" s="28"/>
      <c r="W550" s="28"/>
      <c r="AD550" s="28"/>
      <c r="AE550" s="28"/>
      <c r="AF550" s="28"/>
      <c r="AG550" s="28"/>
      <c r="AN550" s="28"/>
      <c r="AO550" s="28"/>
      <c r="AP550" s="28"/>
      <c r="AQ550" s="28"/>
    </row>
    <row r="551">
      <c r="J551" s="28"/>
      <c r="K551" s="28"/>
      <c r="L551" s="28"/>
      <c r="M551" s="28"/>
      <c r="T551" s="28"/>
      <c r="U551" s="28"/>
      <c r="V551" s="28"/>
      <c r="W551" s="28"/>
      <c r="AD551" s="28"/>
      <c r="AE551" s="28"/>
      <c r="AF551" s="28"/>
      <c r="AG551" s="28"/>
      <c r="AN551" s="28"/>
      <c r="AO551" s="28"/>
      <c r="AP551" s="28"/>
      <c r="AQ551" s="28"/>
    </row>
    <row r="552">
      <c r="J552" s="28"/>
      <c r="K552" s="28"/>
      <c r="L552" s="28"/>
      <c r="M552" s="28"/>
      <c r="T552" s="28"/>
      <c r="U552" s="28"/>
      <c r="V552" s="28"/>
      <c r="W552" s="28"/>
      <c r="AD552" s="28"/>
      <c r="AE552" s="28"/>
      <c r="AF552" s="28"/>
      <c r="AG552" s="28"/>
      <c r="AN552" s="28"/>
      <c r="AO552" s="28"/>
      <c r="AP552" s="28"/>
      <c r="AQ552" s="28"/>
    </row>
    <row r="553">
      <c r="J553" s="28"/>
      <c r="K553" s="28"/>
      <c r="L553" s="28"/>
      <c r="M553" s="28"/>
      <c r="T553" s="28"/>
      <c r="U553" s="28"/>
      <c r="V553" s="28"/>
      <c r="W553" s="28"/>
      <c r="AD553" s="28"/>
      <c r="AE553" s="28"/>
      <c r="AF553" s="28"/>
      <c r="AG553" s="28"/>
      <c r="AN553" s="28"/>
      <c r="AO553" s="28"/>
      <c r="AP553" s="28"/>
      <c r="AQ553" s="28"/>
    </row>
    <row r="554">
      <c r="J554" s="28"/>
      <c r="K554" s="28"/>
      <c r="L554" s="28"/>
      <c r="M554" s="28"/>
      <c r="T554" s="28"/>
      <c r="U554" s="28"/>
      <c r="V554" s="28"/>
      <c r="W554" s="28"/>
      <c r="AD554" s="28"/>
      <c r="AE554" s="28"/>
      <c r="AF554" s="28"/>
      <c r="AG554" s="28"/>
      <c r="AN554" s="28"/>
      <c r="AO554" s="28"/>
      <c r="AP554" s="28"/>
      <c r="AQ554" s="28"/>
    </row>
    <row r="555">
      <c r="J555" s="28"/>
      <c r="K555" s="28"/>
      <c r="L555" s="28"/>
      <c r="M555" s="28"/>
      <c r="T555" s="28"/>
      <c r="U555" s="28"/>
      <c r="V555" s="28"/>
      <c r="W555" s="28"/>
      <c r="AD555" s="28"/>
      <c r="AE555" s="28"/>
      <c r="AF555" s="28"/>
      <c r="AG555" s="28"/>
      <c r="AN555" s="28"/>
      <c r="AO555" s="28"/>
      <c r="AP555" s="28"/>
      <c r="AQ555" s="28"/>
    </row>
    <row r="556">
      <c r="J556" s="28"/>
      <c r="K556" s="28"/>
      <c r="L556" s="28"/>
      <c r="M556" s="28"/>
      <c r="T556" s="28"/>
      <c r="U556" s="28"/>
      <c r="V556" s="28"/>
      <c r="W556" s="28"/>
      <c r="AD556" s="28"/>
      <c r="AE556" s="28"/>
      <c r="AF556" s="28"/>
      <c r="AG556" s="28"/>
      <c r="AN556" s="28"/>
      <c r="AO556" s="28"/>
      <c r="AP556" s="28"/>
      <c r="AQ556" s="28"/>
    </row>
    <row r="557">
      <c r="J557" s="28"/>
      <c r="K557" s="28"/>
      <c r="L557" s="28"/>
      <c r="M557" s="28"/>
      <c r="T557" s="28"/>
      <c r="U557" s="28"/>
      <c r="V557" s="28"/>
      <c r="W557" s="28"/>
      <c r="AD557" s="28"/>
      <c r="AE557" s="28"/>
      <c r="AF557" s="28"/>
      <c r="AG557" s="28"/>
      <c r="AN557" s="28"/>
      <c r="AO557" s="28"/>
      <c r="AP557" s="28"/>
      <c r="AQ557" s="28"/>
    </row>
    <row r="558">
      <c r="J558" s="28"/>
      <c r="K558" s="28"/>
      <c r="L558" s="28"/>
      <c r="M558" s="28"/>
      <c r="T558" s="28"/>
      <c r="U558" s="28"/>
      <c r="V558" s="28"/>
      <c r="W558" s="28"/>
      <c r="AD558" s="28"/>
      <c r="AE558" s="28"/>
      <c r="AF558" s="28"/>
      <c r="AG558" s="28"/>
      <c r="AN558" s="28"/>
      <c r="AO558" s="28"/>
      <c r="AP558" s="28"/>
      <c r="AQ558" s="28"/>
    </row>
    <row r="559">
      <c r="J559" s="28"/>
      <c r="K559" s="28"/>
      <c r="L559" s="28"/>
      <c r="M559" s="28"/>
      <c r="T559" s="28"/>
      <c r="U559" s="28"/>
      <c r="V559" s="28"/>
      <c r="W559" s="28"/>
      <c r="AD559" s="28"/>
      <c r="AE559" s="28"/>
      <c r="AF559" s="28"/>
      <c r="AG559" s="28"/>
      <c r="AN559" s="28"/>
      <c r="AO559" s="28"/>
      <c r="AP559" s="28"/>
      <c r="AQ559" s="28"/>
    </row>
    <row r="560">
      <c r="J560" s="28"/>
      <c r="K560" s="28"/>
      <c r="L560" s="28"/>
      <c r="M560" s="28"/>
      <c r="T560" s="28"/>
      <c r="U560" s="28"/>
      <c r="V560" s="28"/>
      <c r="W560" s="28"/>
      <c r="AD560" s="28"/>
      <c r="AE560" s="28"/>
      <c r="AF560" s="28"/>
      <c r="AG560" s="28"/>
      <c r="AN560" s="28"/>
      <c r="AO560" s="28"/>
      <c r="AP560" s="28"/>
      <c r="AQ560" s="28"/>
    </row>
    <row r="561">
      <c r="J561" s="28"/>
      <c r="K561" s="28"/>
      <c r="L561" s="28"/>
      <c r="M561" s="28"/>
      <c r="T561" s="28"/>
      <c r="U561" s="28"/>
      <c r="V561" s="28"/>
      <c r="W561" s="28"/>
      <c r="AD561" s="28"/>
      <c r="AE561" s="28"/>
      <c r="AF561" s="28"/>
      <c r="AG561" s="28"/>
      <c r="AN561" s="28"/>
      <c r="AO561" s="28"/>
      <c r="AP561" s="28"/>
      <c r="AQ561" s="28"/>
    </row>
    <row r="562">
      <c r="J562" s="28"/>
      <c r="K562" s="28"/>
      <c r="L562" s="28"/>
      <c r="M562" s="28"/>
      <c r="T562" s="28"/>
      <c r="U562" s="28"/>
      <c r="V562" s="28"/>
      <c r="W562" s="28"/>
      <c r="AD562" s="28"/>
      <c r="AE562" s="28"/>
      <c r="AF562" s="28"/>
      <c r="AG562" s="28"/>
      <c r="AN562" s="28"/>
      <c r="AO562" s="28"/>
      <c r="AP562" s="28"/>
      <c r="AQ562" s="28"/>
    </row>
    <row r="563">
      <c r="J563" s="28"/>
      <c r="K563" s="28"/>
      <c r="L563" s="28"/>
      <c r="M563" s="28"/>
      <c r="T563" s="28"/>
      <c r="U563" s="28"/>
      <c r="V563" s="28"/>
      <c r="W563" s="28"/>
      <c r="AD563" s="28"/>
      <c r="AE563" s="28"/>
      <c r="AF563" s="28"/>
      <c r="AG563" s="28"/>
      <c r="AN563" s="28"/>
      <c r="AO563" s="28"/>
      <c r="AP563" s="28"/>
      <c r="AQ563" s="28"/>
    </row>
    <row r="564">
      <c r="J564" s="28"/>
      <c r="K564" s="28"/>
      <c r="L564" s="28"/>
      <c r="M564" s="28"/>
      <c r="T564" s="28"/>
      <c r="U564" s="28"/>
      <c r="V564" s="28"/>
      <c r="W564" s="28"/>
      <c r="AD564" s="28"/>
      <c r="AE564" s="28"/>
      <c r="AF564" s="28"/>
      <c r="AG564" s="28"/>
      <c r="AN564" s="28"/>
      <c r="AO564" s="28"/>
      <c r="AP564" s="28"/>
      <c r="AQ564" s="28"/>
    </row>
    <row r="565">
      <c r="J565" s="28"/>
      <c r="K565" s="28"/>
      <c r="L565" s="28"/>
      <c r="M565" s="28"/>
      <c r="T565" s="28"/>
      <c r="U565" s="28"/>
      <c r="V565" s="28"/>
      <c r="W565" s="28"/>
      <c r="AD565" s="28"/>
      <c r="AE565" s="28"/>
      <c r="AF565" s="28"/>
      <c r="AG565" s="28"/>
      <c r="AN565" s="28"/>
      <c r="AO565" s="28"/>
      <c r="AP565" s="28"/>
      <c r="AQ565" s="28"/>
    </row>
    <row r="566">
      <c r="J566" s="28"/>
      <c r="K566" s="28"/>
      <c r="L566" s="28"/>
      <c r="M566" s="28"/>
      <c r="T566" s="28"/>
      <c r="U566" s="28"/>
      <c r="V566" s="28"/>
      <c r="W566" s="28"/>
      <c r="AD566" s="28"/>
      <c r="AE566" s="28"/>
      <c r="AF566" s="28"/>
      <c r="AG566" s="28"/>
      <c r="AN566" s="28"/>
      <c r="AO566" s="28"/>
      <c r="AP566" s="28"/>
      <c r="AQ566" s="28"/>
    </row>
    <row r="567">
      <c r="J567" s="28"/>
      <c r="K567" s="28"/>
      <c r="L567" s="28"/>
      <c r="M567" s="28"/>
      <c r="T567" s="28"/>
      <c r="U567" s="28"/>
      <c r="V567" s="28"/>
      <c r="W567" s="28"/>
      <c r="AD567" s="28"/>
      <c r="AE567" s="28"/>
      <c r="AF567" s="28"/>
      <c r="AG567" s="28"/>
      <c r="AN567" s="28"/>
      <c r="AO567" s="28"/>
      <c r="AP567" s="28"/>
      <c r="AQ567" s="28"/>
    </row>
    <row r="568">
      <c r="J568" s="28"/>
      <c r="K568" s="28"/>
      <c r="L568" s="28"/>
      <c r="M568" s="28"/>
      <c r="T568" s="28"/>
      <c r="U568" s="28"/>
      <c r="V568" s="28"/>
      <c r="W568" s="28"/>
      <c r="AD568" s="28"/>
      <c r="AE568" s="28"/>
      <c r="AF568" s="28"/>
      <c r="AG568" s="28"/>
      <c r="AN568" s="28"/>
      <c r="AO568" s="28"/>
      <c r="AP568" s="28"/>
      <c r="AQ568" s="28"/>
    </row>
    <row r="569">
      <c r="J569" s="28"/>
      <c r="K569" s="28"/>
      <c r="L569" s="28"/>
      <c r="M569" s="28"/>
      <c r="T569" s="28"/>
      <c r="U569" s="28"/>
      <c r="V569" s="28"/>
      <c r="W569" s="28"/>
      <c r="AD569" s="28"/>
      <c r="AE569" s="28"/>
      <c r="AF569" s="28"/>
      <c r="AG569" s="28"/>
      <c r="AN569" s="28"/>
      <c r="AO569" s="28"/>
      <c r="AP569" s="28"/>
      <c r="AQ569" s="28"/>
    </row>
    <row r="570">
      <c r="J570" s="28"/>
      <c r="K570" s="28"/>
      <c r="L570" s="28"/>
      <c r="M570" s="28"/>
      <c r="T570" s="28"/>
      <c r="U570" s="28"/>
      <c r="V570" s="28"/>
      <c r="W570" s="28"/>
      <c r="AD570" s="28"/>
      <c r="AE570" s="28"/>
      <c r="AF570" s="28"/>
      <c r="AG570" s="28"/>
      <c r="AN570" s="28"/>
      <c r="AO570" s="28"/>
      <c r="AP570" s="28"/>
      <c r="AQ570" s="28"/>
    </row>
    <row r="571">
      <c r="J571" s="28"/>
      <c r="K571" s="28"/>
      <c r="L571" s="28"/>
      <c r="M571" s="28"/>
      <c r="T571" s="28"/>
      <c r="U571" s="28"/>
      <c r="V571" s="28"/>
      <c r="W571" s="28"/>
      <c r="AD571" s="28"/>
      <c r="AE571" s="28"/>
      <c r="AF571" s="28"/>
      <c r="AG571" s="28"/>
      <c r="AN571" s="28"/>
      <c r="AO571" s="28"/>
      <c r="AP571" s="28"/>
      <c r="AQ571" s="28"/>
    </row>
    <row r="572">
      <c r="J572" s="28"/>
      <c r="K572" s="28"/>
      <c r="L572" s="28"/>
      <c r="M572" s="28"/>
      <c r="T572" s="28"/>
      <c r="U572" s="28"/>
      <c r="V572" s="28"/>
      <c r="W572" s="28"/>
      <c r="AD572" s="28"/>
      <c r="AE572" s="28"/>
      <c r="AF572" s="28"/>
      <c r="AG572" s="28"/>
      <c r="AN572" s="28"/>
      <c r="AO572" s="28"/>
      <c r="AP572" s="28"/>
      <c r="AQ572" s="28"/>
    </row>
    <row r="573">
      <c r="J573" s="28"/>
      <c r="K573" s="28"/>
      <c r="L573" s="28"/>
      <c r="M573" s="28"/>
      <c r="T573" s="28"/>
      <c r="U573" s="28"/>
      <c r="V573" s="28"/>
      <c r="W573" s="28"/>
      <c r="AD573" s="28"/>
      <c r="AE573" s="28"/>
      <c r="AF573" s="28"/>
      <c r="AG573" s="28"/>
      <c r="AN573" s="28"/>
      <c r="AO573" s="28"/>
      <c r="AP573" s="28"/>
      <c r="AQ573" s="28"/>
    </row>
    <row r="574">
      <c r="J574" s="28"/>
      <c r="K574" s="28"/>
      <c r="L574" s="28"/>
      <c r="M574" s="28"/>
      <c r="T574" s="28"/>
      <c r="U574" s="28"/>
      <c r="V574" s="28"/>
      <c r="W574" s="28"/>
      <c r="AD574" s="28"/>
      <c r="AE574" s="28"/>
      <c r="AF574" s="28"/>
      <c r="AG574" s="28"/>
      <c r="AN574" s="28"/>
      <c r="AO574" s="28"/>
      <c r="AP574" s="28"/>
      <c r="AQ574" s="28"/>
    </row>
    <row r="575">
      <c r="J575" s="28"/>
      <c r="K575" s="28"/>
      <c r="L575" s="28"/>
      <c r="M575" s="28"/>
      <c r="T575" s="28"/>
      <c r="U575" s="28"/>
      <c r="V575" s="28"/>
      <c r="W575" s="28"/>
      <c r="AD575" s="28"/>
      <c r="AE575" s="28"/>
      <c r="AF575" s="28"/>
      <c r="AG575" s="28"/>
      <c r="AN575" s="28"/>
      <c r="AO575" s="28"/>
      <c r="AP575" s="28"/>
      <c r="AQ575" s="28"/>
    </row>
    <row r="576">
      <c r="J576" s="28"/>
      <c r="K576" s="28"/>
      <c r="L576" s="28"/>
      <c r="M576" s="28"/>
      <c r="T576" s="28"/>
      <c r="U576" s="28"/>
      <c r="V576" s="28"/>
      <c r="W576" s="28"/>
      <c r="AD576" s="28"/>
      <c r="AE576" s="28"/>
      <c r="AF576" s="28"/>
      <c r="AG576" s="28"/>
      <c r="AN576" s="28"/>
      <c r="AO576" s="28"/>
      <c r="AP576" s="28"/>
      <c r="AQ576" s="28"/>
    </row>
    <row r="577">
      <c r="J577" s="28"/>
      <c r="K577" s="28"/>
      <c r="L577" s="28"/>
      <c r="M577" s="28"/>
      <c r="T577" s="28"/>
      <c r="U577" s="28"/>
      <c r="V577" s="28"/>
      <c r="W577" s="28"/>
      <c r="AD577" s="28"/>
      <c r="AE577" s="28"/>
      <c r="AF577" s="28"/>
      <c r="AG577" s="28"/>
      <c r="AN577" s="28"/>
      <c r="AO577" s="28"/>
      <c r="AP577" s="28"/>
      <c r="AQ577" s="28"/>
    </row>
    <row r="578">
      <c r="J578" s="28"/>
      <c r="K578" s="28"/>
      <c r="L578" s="28"/>
      <c r="M578" s="28"/>
      <c r="T578" s="28"/>
      <c r="U578" s="28"/>
      <c r="V578" s="28"/>
      <c r="W578" s="28"/>
      <c r="AD578" s="28"/>
      <c r="AE578" s="28"/>
      <c r="AF578" s="28"/>
      <c r="AG578" s="28"/>
      <c r="AN578" s="28"/>
      <c r="AO578" s="28"/>
      <c r="AP578" s="28"/>
      <c r="AQ578" s="28"/>
    </row>
    <row r="579">
      <c r="J579" s="28"/>
      <c r="K579" s="28"/>
      <c r="L579" s="28"/>
      <c r="M579" s="28"/>
      <c r="T579" s="28"/>
      <c r="U579" s="28"/>
      <c r="V579" s="28"/>
      <c r="W579" s="28"/>
      <c r="AD579" s="28"/>
      <c r="AE579" s="28"/>
      <c r="AF579" s="28"/>
      <c r="AG579" s="28"/>
      <c r="AN579" s="28"/>
      <c r="AO579" s="28"/>
      <c r="AP579" s="28"/>
      <c r="AQ579" s="28"/>
    </row>
    <row r="580">
      <c r="J580" s="28"/>
      <c r="K580" s="28"/>
      <c r="L580" s="28"/>
      <c r="M580" s="28"/>
      <c r="T580" s="28"/>
      <c r="U580" s="28"/>
      <c r="V580" s="28"/>
      <c r="W580" s="28"/>
      <c r="AD580" s="28"/>
      <c r="AE580" s="28"/>
      <c r="AF580" s="28"/>
      <c r="AG580" s="28"/>
      <c r="AN580" s="28"/>
      <c r="AO580" s="28"/>
      <c r="AP580" s="28"/>
      <c r="AQ580" s="28"/>
    </row>
    <row r="581">
      <c r="J581" s="28"/>
      <c r="K581" s="28"/>
      <c r="L581" s="28"/>
      <c r="M581" s="28"/>
      <c r="T581" s="28"/>
      <c r="U581" s="28"/>
      <c r="V581" s="28"/>
      <c r="W581" s="28"/>
      <c r="AD581" s="28"/>
      <c r="AE581" s="28"/>
      <c r="AF581" s="28"/>
      <c r="AG581" s="28"/>
      <c r="AN581" s="28"/>
      <c r="AO581" s="28"/>
      <c r="AP581" s="28"/>
      <c r="AQ581" s="28"/>
    </row>
    <row r="582">
      <c r="J582" s="28"/>
      <c r="K582" s="28"/>
      <c r="L582" s="28"/>
      <c r="M582" s="28"/>
      <c r="T582" s="28"/>
      <c r="U582" s="28"/>
      <c r="V582" s="28"/>
      <c r="W582" s="28"/>
      <c r="AD582" s="28"/>
      <c r="AE582" s="28"/>
      <c r="AF582" s="28"/>
      <c r="AG582" s="28"/>
      <c r="AN582" s="28"/>
      <c r="AO582" s="28"/>
      <c r="AP582" s="28"/>
      <c r="AQ582" s="28"/>
    </row>
    <row r="583">
      <c r="J583" s="28"/>
      <c r="K583" s="28"/>
      <c r="L583" s="28"/>
      <c r="M583" s="28"/>
      <c r="T583" s="28"/>
      <c r="U583" s="28"/>
      <c r="V583" s="28"/>
      <c r="W583" s="28"/>
      <c r="AD583" s="28"/>
      <c r="AE583" s="28"/>
      <c r="AF583" s="28"/>
      <c r="AG583" s="28"/>
      <c r="AN583" s="28"/>
      <c r="AO583" s="28"/>
      <c r="AP583" s="28"/>
      <c r="AQ583" s="28"/>
    </row>
    <row r="584">
      <c r="J584" s="28"/>
      <c r="K584" s="28"/>
      <c r="L584" s="28"/>
      <c r="M584" s="28"/>
      <c r="T584" s="28"/>
      <c r="U584" s="28"/>
      <c r="V584" s="28"/>
      <c r="W584" s="28"/>
      <c r="AD584" s="28"/>
      <c r="AE584" s="28"/>
      <c r="AF584" s="28"/>
      <c r="AG584" s="28"/>
      <c r="AN584" s="28"/>
      <c r="AO584" s="28"/>
      <c r="AP584" s="28"/>
      <c r="AQ584" s="28"/>
    </row>
    <row r="585">
      <c r="J585" s="28"/>
      <c r="K585" s="28"/>
      <c r="L585" s="28"/>
      <c r="M585" s="28"/>
      <c r="T585" s="28"/>
      <c r="U585" s="28"/>
      <c r="V585" s="28"/>
      <c r="W585" s="28"/>
      <c r="AD585" s="28"/>
      <c r="AE585" s="28"/>
      <c r="AF585" s="28"/>
      <c r="AG585" s="28"/>
      <c r="AN585" s="28"/>
      <c r="AO585" s="28"/>
      <c r="AP585" s="28"/>
      <c r="AQ585" s="28"/>
    </row>
    <row r="586">
      <c r="J586" s="28"/>
      <c r="K586" s="28"/>
      <c r="L586" s="28"/>
      <c r="M586" s="28"/>
      <c r="T586" s="28"/>
      <c r="U586" s="28"/>
      <c r="V586" s="28"/>
      <c r="W586" s="28"/>
      <c r="AD586" s="28"/>
      <c r="AE586" s="28"/>
      <c r="AF586" s="28"/>
      <c r="AG586" s="28"/>
      <c r="AN586" s="28"/>
      <c r="AO586" s="28"/>
      <c r="AP586" s="28"/>
      <c r="AQ586" s="28"/>
    </row>
    <row r="587">
      <c r="J587" s="28"/>
      <c r="K587" s="28"/>
      <c r="L587" s="28"/>
      <c r="M587" s="28"/>
      <c r="T587" s="28"/>
      <c r="U587" s="28"/>
      <c r="V587" s="28"/>
      <c r="W587" s="28"/>
      <c r="AD587" s="28"/>
      <c r="AE587" s="28"/>
      <c r="AF587" s="28"/>
      <c r="AG587" s="28"/>
      <c r="AN587" s="28"/>
      <c r="AO587" s="28"/>
      <c r="AP587" s="28"/>
      <c r="AQ587" s="28"/>
    </row>
    <row r="588">
      <c r="J588" s="28"/>
      <c r="K588" s="28"/>
      <c r="L588" s="28"/>
      <c r="M588" s="28"/>
      <c r="T588" s="28"/>
      <c r="U588" s="28"/>
      <c r="V588" s="28"/>
      <c r="W588" s="28"/>
      <c r="AD588" s="28"/>
      <c r="AE588" s="28"/>
      <c r="AF588" s="28"/>
      <c r="AG588" s="28"/>
      <c r="AN588" s="28"/>
      <c r="AO588" s="28"/>
      <c r="AP588" s="28"/>
      <c r="AQ588" s="28"/>
    </row>
    <row r="589">
      <c r="J589" s="28"/>
      <c r="K589" s="28"/>
      <c r="L589" s="28"/>
      <c r="M589" s="28"/>
      <c r="T589" s="28"/>
      <c r="U589" s="28"/>
      <c r="V589" s="28"/>
      <c r="W589" s="28"/>
      <c r="AD589" s="28"/>
      <c r="AE589" s="28"/>
      <c r="AF589" s="28"/>
      <c r="AG589" s="28"/>
      <c r="AN589" s="28"/>
      <c r="AO589" s="28"/>
      <c r="AP589" s="28"/>
      <c r="AQ589" s="28"/>
    </row>
    <row r="590">
      <c r="J590" s="28"/>
      <c r="K590" s="28"/>
      <c r="L590" s="28"/>
      <c r="M590" s="28"/>
      <c r="T590" s="28"/>
      <c r="U590" s="28"/>
      <c r="V590" s="28"/>
      <c r="W590" s="28"/>
      <c r="AD590" s="28"/>
      <c r="AE590" s="28"/>
      <c r="AF590" s="28"/>
      <c r="AG590" s="28"/>
      <c r="AN590" s="28"/>
      <c r="AO590" s="28"/>
      <c r="AP590" s="28"/>
      <c r="AQ590" s="28"/>
    </row>
    <row r="591">
      <c r="J591" s="28"/>
      <c r="K591" s="28"/>
      <c r="L591" s="28"/>
      <c r="M591" s="28"/>
      <c r="T591" s="28"/>
      <c r="U591" s="28"/>
      <c r="V591" s="28"/>
      <c r="W591" s="28"/>
      <c r="AD591" s="28"/>
      <c r="AE591" s="28"/>
      <c r="AF591" s="28"/>
      <c r="AG591" s="28"/>
      <c r="AN591" s="28"/>
      <c r="AO591" s="28"/>
      <c r="AP591" s="28"/>
      <c r="AQ591" s="28"/>
    </row>
    <row r="592">
      <c r="J592" s="28"/>
      <c r="K592" s="28"/>
      <c r="L592" s="28"/>
      <c r="M592" s="28"/>
      <c r="T592" s="28"/>
      <c r="U592" s="28"/>
      <c r="V592" s="28"/>
      <c r="W592" s="28"/>
      <c r="AD592" s="28"/>
      <c r="AE592" s="28"/>
      <c r="AF592" s="28"/>
      <c r="AG592" s="28"/>
      <c r="AN592" s="28"/>
      <c r="AO592" s="28"/>
      <c r="AP592" s="28"/>
      <c r="AQ592" s="28"/>
    </row>
    <row r="593">
      <c r="J593" s="28"/>
      <c r="K593" s="28"/>
      <c r="L593" s="28"/>
      <c r="M593" s="28"/>
      <c r="T593" s="28"/>
      <c r="U593" s="28"/>
      <c r="V593" s="28"/>
      <c r="W593" s="28"/>
      <c r="AD593" s="28"/>
      <c r="AE593" s="28"/>
      <c r="AF593" s="28"/>
      <c r="AG593" s="28"/>
      <c r="AN593" s="28"/>
      <c r="AO593" s="28"/>
      <c r="AP593" s="28"/>
      <c r="AQ593" s="28"/>
    </row>
    <row r="594">
      <c r="J594" s="28"/>
      <c r="K594" s="28"/>
      <c r="L594" s="28"/>
      <c r="M594" s="28"/>
      <c r="T594" s="28"/>
      <c r="U594" s="28"/>
      <c r="V594" s="28"/>
      <c r="W594" s="28"/>
      <c r="AD594" s="28"/>
      <c r="AE594" s="28"/>
      <c r="AF594" s="28"/>
      <c r="AG594" s="28"/>
      <c r="AN594" s="28"/>
      <c r="AO594" s="28"/>
      <c r="AP594" s="28"/>
      <c r="AQ594" s="28"/>
    </row>
    <row r="595">
      <c r="J595" s="28"/>
      <c r="K595" s="28"/>
      <c r="L595" s="28"/>
      <c r="M595" s="28"/>
      <c r="T595" s="28"/>
      <c r="U595" s="28"/>
      <c r="V595" s="28"/>
      <c r="W595" s="28"/>
      <c r="AD595" s="28"/>
      <c r="AE595" s="28"/>
      <c r="AF595" s="28"/>
      <c r="AG595" s="28"/>
      <c r="AN595" s="28"/>
      <c r="AO595" s="28"/>
      <c r="AP595" s="28"/>
      <c r="AQ595" s="28"/>
    </row>
    <row r="596">
      <c r="J596" s="28"/>
      <c r="K596" s="28"/>
      <c r="L596" s="28"/>
      <c r="M596" s="28"/>
      <c r="T596" s="28"/>
      <c r="U596" s="28"/>
      <c r="V596" s="28"/>
      <c r="W596" s="28"/>
      <c r="AD596" s="28"/>
      <c r="AE596" s="28"/>
      <c r="AF596" s="28"/>
      <c r="AG596" s="28"/>
      <c r="AN596" s="28"/>
      <c r="AO596" s="28"/>
      <c r="AP596" s="28"/>
      <c r="AQ596" s="28"/>
    </row>
    <row r="597">
      <c r="J597" s="28"/>
      <c r="K597" s="28"/>
      <c r="L597" s="28"/>
      <c r="M597" s="28"/>
      <c r="T597" s="28"/>
      <c r="U597" s="28"/>
      <c r="V597" s="28"/>
      <c r="W597" s="28"/>
      <c r="AD597" s="28"/>
      <c r="AE597" s="28"/>
      <c r="AF597" s="28"/>
      <c r="AG597" s="28"/>
      <c r="AN597" s="28"/>
      <c r="AO597" s="28"/>
      <c r="AP597" s="28"/>
      <c r="AQ597" s="28"/>
    </row>
    <row r="598">
      <c r="J598" s="28"/>
      <c r="K598" s="28"/>
      <c r="L598" s="28"/>
      <c r="M598" s="28"/>
      <c r="T598" s="28"/>
      <c r="U598" s="28"/>
      <c r="V598" s="28"/>
      <c r="W598" s="28"/>
      <c r="AD598" s="28"/>
      <c r="AE598" s="28"/>
      <c r="AF598" s="28"/>
      <c r="AG598" s="28"/>
      <c r="AN598" s="28"/>
      <c r="AO598" s="28"/>
      <c r="AP598" s="28"/>
      <c r="AQ598" s="28"/>
    </row>
    <row r="599">
      <c r="J599" s="28"/>
      <c r="K599" s="28"/>
      <c r="L599" s="28"/>
      <c r="M599" s="28"/>
      <c r="T599" s="28"/>
      <c r="U599" s="28"/>
      <c r="V599" s="28"/>
      <c r="W599" s="28"/>
      <c r="AD599" s="28"/>
      <c r="AE599" s="28"/>
      <c r="AF599" s="28"/>
      <c r="AG599" s="28"/>
      <c r="AN599" s="28"/>
      <c r="AO599" s="28"/>
      <c r="AP599" s="28"/>
      <c r="AQ599" s="28"/>
    </row>
    <row r="600">
      <c r="J600" s="28"/>
      <c r="K600" s="28"/>
      <c r="L600" s="28"/>
      <c r="M600" s="28"/>
      <c r="T600" s="28"/>
      <c r="U600" s="28"/>
      <c r="V600" s="28"/>
      <c r="W600" s="28"/>
      <c r="AD600" s="28"/>
      <c r="AE600" s="28"/>
      <c r="AF600" s="28"/>
      <c r="AG600" s="28"/>
      <c r="AN600" s="28"/>
      <c r="AO600" s="28"/>
      <c r="AP600" s="28"/>
      <c r="AQ600" s="28"/>
    </row>
    <row r="601">
      <c r="J601" s="28"/>
      <c r="K601" s="28"/>
      <c r="L601" s="28"/>
      <c r="M601" s="28"/>
      <c r="T601" s="28"/>
      <c r="U601" s="28"/>
      <c r="V601" s="28"/>
      <c r="W601" s="28"/>
      <c r="AD601" s="28"/>
      <c r="AE601" s="28"/>
      <c r="AF601" s="28"/>
      <c r="AG601" s="28"/>
      <c r="AN601" s="28"/>
      <c r="AO601" s="28"/>
      <c r="AP601" s="28"/>
      <c r="AQ601" s="28"/>
    </row>
    <row r="602">
      <c r="J602" s="28"/>
      <c r="K602" s="28"/>
      <c r="L602" s="28"/>
      <c r="M602" s="28"/>
      <c r="T602" s="28"/>
      <c r="U602" s="28"/>
      <c r="V602" s="28"/>
      <c r="W602" s="28"/>
      <c r="AD602" s="28"/>
      <c r="AE602" s="28"/>
      <c r="AF602" s="28"/>
      <c r="AG602" s="28"/>
      <c r="AN602" s="28"/>
      <c r="AO602" s="28"/>
      <c r="AP602" s="28"/>
      <c r="AQ602" s="28"/>
    </row>
    <row r="603">
      <c r="J603" s="28"/>
      <c r="K603" s="28"/>
      <c r="L603" s="28"/>
      <c r="M603" s="28"/>
      <c r="T603" s="28"/>
      <c r="U603" s="28"/>
      <c r="V603" s="28"/>
      <c r="W603" s="28"/>
      <c r="AD603" s="28"/>
      <c r="AE603" s="28"/>
      <c r="AF603" s="28"/>
      <c r="AG603" s="28"/>
      <c r="AN603" s="28"/>
      <c r="AO603" s="28"/>
      <c r="AP603" s="28"/>
      <c r="AQ603" s="28"/>
    </row>
    <row r="604">
      <c r="J604" s="28"/>
      <c r="K604" s="28"/>
      <c r="L604" s="28"/>
      <c r="M604" s="28"/>
      <c r="T604" s="28"/>
      <c r="U604" s="28"/>
      <c r="V604" s="28"/>
      <c r="W604" s="28"/>
      <c r="AD604" s="28"/>
      <c r="AE604" s="28"/>
      <c r="AF604" s="28"/>
      <c r="AG604" s="28"/>
      <c r="AN604" s="28"/>
      <c r="AO604" s="28"/>
      <c r="AP604" s="28"/>
      <c r="AQ604" s="28"/>
    </row>
    <row r="605">
      <c r="J605" s="28"/>
      <c r="K605" s="28"/>
      <c r="L605" s="28"/>
      <c r="M605" s="28"/>
      <c r="T605" s="28"/>
      <c r="U605" s="28"/>
      <c r="V605" s="28"/>
      <c r="W605" s="28"/>
      <c r="AD605" s="28"/>
      <c r="AE605" s="28"/>
      <c r="AF605" s="28"/>
      <c r="AG605" s="28"/>
      <c r="AN605" s="28"/>
      <c r="AO605" s="28"/>
      <c r="AP605" s="28"/>
      <c r="AQ605" s="28"/>
    </row>
    <row r="606">
      <c r="J606" s="28"/>
      <c r="K606" s="28"/>
      <c r="L606" s="28"/>
      <c r="M606" s="28"/>
      <c r="T606" s="28"/>
      <c r="U606" s="28"/>
      <c r="V606" s="28"/>
      <c r="W606" s="28"/>
      <c r="AD606" s="28"/>
      <c r="AE606" s="28"/>
      <c r="AF606" s="28"/>
      <c r="AG606" s="28"/>
      <c r="AN606" s="28"/>
      <c r="AO606" s="28"/>
      <c r="AP606" s="28"/>
      <c r="AQ606" s="28"/>
    </row>
    <row r="607">
      <c r="J607" s="28"/>
      <c r="K607" s="28"/>
      <c r="L607" s="28"/>
      <c r="M607" s="28"/>
      <c r="T607" s="28"/>
      <c r="U607" s="28"/>
      <c r="V607" s="28"/>
      <c r="W607" s="28"/>
      <c r="AD607" s="28"/>
      <c r="AE607" s="28"/>
      <c r="AF607" s="28"/>
      <c r="AG607" s="28"/>
      <c r="AN607" s="28"/>
      <c r="AO607" s="28"/>
      <c r="AP607" s="28"/>
      <c r="AQ607" s="28"/>
    </row>
    <row r="608">
      <c r="J608" s="28"/>
      <c r="K608" s="28"/>
      <c r="L608" s="28"/>
      <c r="M608" s="28"/>
      <c r="T608" s="28"/>
      <c r="U608" s="28"/>
      <c r="V608" s="28"/>
      <c r="W608" s="28"/>
      <c r="AD608" s="28"/>
      <c r="AE608" s="28"/>
      <c r="AF608" s="28"/>
      <c r="AG608" s="28"/>
      <c r="AN608" s="28"/>
      <c r="AO608" s="28"/>
      <c r="AP608" s="28"/>
      <c r="AQ608" s="28"/>
    </row>
    <row r="609">
      <c r="J609" s="28"/>
      <c r="K609" s="28"/>
      <c r="L609" s="28"/>
      <c r="M609" s="28"/>
      <c r="T609" s="28"/>
      <c r="U609" s="28"/>
      <c r="V609" s="28"/>
      <c r="W609" s="28"/>
      <c r="AD609" s="28"/>
      <c r="AE609" s="28"/>
      <c r="AF609" s="28"/>
      <c r="AG609" s="28"/>
      <c r="AN609" s="28"/>
      <c r="AO609" s="28"/>
      <c r="AP609" s="28"/>
      <c r="AQ609" s="28"/>
    </row>
    <row r="610">
      <c r="J610" s="28"/>
      <c r="K610" s="28"/>
      <c r="L610" s="28"/>
      <c r="M610" s="28"/>
      <c r="T610" s="28"/>
      <c r="U610" s="28"/>
      <c r="V610" s="28"/>
      <c r="W610" s="28"/>
      <c r="AD610" s="28"/>
      <c r="AE610" s="28"/>
      <c r="AF610" s="28"/>
      <c r="AG610" s="28"/>
      <c r="AN610" s="28"/>
      <c r="AO610" s="28"/>
      <c r="AP610" s="28"/>
      <c r="AQ610" s="28"/>
    </row>
    <row r="611">
      <c r="J611" s="28"/>
      <c r="K611" s="28"/>
      <c r="L611" s="28"/>
      <c r="M611" s="28"/>
      <c r="T611" s="28"/>
      <c r="U611" s="28"/>
      <c r="V611" s="28"/>
      <c r="W611" s="28"/>
      <c r="AD611" s="28"/>
      <c r="AE611" s="28"/>
      <c r="AF611" s="28"/>
      <c r="AG611" s="28"/>
      <c r="AN611" s="28"/>
      <c r="AO611" s="28"/>
      <c r="AP611" s="28"/>
      <c r="AQ611" s="28"/>
    </row>
    <row r="612">
      <c r="J612" s="28"/>
      <c r="K612" s="28"/>
      <c r="L612" s="28"/>
      <c r="M612" s="28"/>
      <c r="T612" s="28"/>
      <c r="U612" s="28"/>
      <c r="V612" s="28"/>
      <c r="W612" s="28"/>
      <c r="AD612" s="28"/>
      <c r="AE612" s="28"/>
      <c r="AF612" s="28"/>
      <c r="AG612" s="28"/>
      <c r="AN612" s="28"/>
      <c r="AO612" s="28"/>
      <c r="AP612" s="28"/>
      <c r="AQ612" s="28"/>
    </row>
    <row r="613">
      <c r="J613" s="28"/>
      <c r="K613" s="28"/>
      <c r="L613" s="28"/>
      <c r="M613" s="28"/>
      <c r="T613" s="28"/>
      <c r="U613" s="28"/>
      <c r="V613" s="28"/>
      <c r="W613" s="28"/>
      <c r="AD613" s="28"/>
      <c r="AE613" s="28"/>
      <c r="AF613" s="28"/>
      <c r="AG613" s="28"/>
      <c r="AN613" s="28"/>
      <c r="AO613" s="28"/>
      <c r="AP613" s="28"/>
      <c r="AQ613" s="28"/>
    </row>
    <row r="614">
      <c r="J614" s="28"/>
      <c r="K614" s="28"/>
      <c r="L614" s="28"/>
      <c r="M614" s="28"/>
      <c r="T614" s="28"/>
      <c r="U614" s="28"/>
      <c r="V614" s="28"/>
      <c r="W614" s="28"/>
      <c r="AD614" s="28"/>
      <c r="AE614" s="28"/>
      <c r="AF614" s="28"/>
      <c r="AG614" s="28"/>
      <c r="AN614" s="28"/>
      <c r="AO614" s="28"/>
      <c r="AP614" s="28"/>
      <c r="AQ614" s="28"/>
    </row>
    <row r="615">
      <c r="J615" s="28"/>
      <c r="K615" s="28"/>
      <c r="L615" s="28"/>
      <c r="M615" s="28"/>
      <c r="T615" s="28"/>
      <c r="U615" s="28"/>
      <c r="V615" s="28"/>
      <c r="W615" s="28"/>
      <c r="AD615" s="28"/>
      <c r="AE615" s="28"/>
      <c r="AF615" s="28"/>
      <c r="AG615" s="28"/>
      <c r="AN615" s="28"/>
      <c r="AO615" s="28"/>
      <c r="AP615" s="28"/>
      <c r="AQ615" s="28"/>
    </row>
    <row r="616">
      <c r="J616" s="28"/>
      <c r="K616" s="28"/>
      <c r="L616" s="28"/>
      <c r="M616" s="28"/>
      <c r="T616" s="28"/>
      <c r="U616" s="28"/>
      <c r="V616" s="28"/>
      <c r="W616" s="28"/>
      <c r="AD616" s="28"/>
      <c r="AE616" s="28"/>
      <c r="AF616" s="28"/>
      <c r="AG616" s="28"/>
      <c r="AN616" s="28"/>
      <c r="AO616" s="28"/>
      <c r="AP616" s="28"/>
      <c r="AQ616" s="28"/>
    </row>
    <row r="617">
      <c r="J617" s="28"/>
      <c r="K617" s="28"/>
      <c r="L617" s="28"/>
      <c r="M617" s="28"/>
      <c r="T617" s="28"/>
      <c r="U617" s="28"/>
      <c r="V617" s="28"/>
      <c r="W617" s="28"/>
      <c r="AD617" s="28"/>
      <c r="AE617" s="28"/>
      <c r="AF617" s="28"/>
      <c r="AG617" s="28"/>
      <c r="AN617" s="28"/>
      <c r="AO617" s="28"/>
      <c r="AP617" s="28"/>
      <c r="AQ617" s="28"/>
    </row>
    <row r="618">
      <c r="J618" s="28"/>
      <c r="K618" s="28"/>
      <c r="L618" s="28"/>
      <c r="M618" s="28"/>
      <c r="T618" s="28"/>
      <c r="U618" s="28"/>
      <c r="V618" s="28"/>
      <c r="W618" s="28"/>
      <c r="AD618" s="28"/>
      <c r="AE618" s="28"/>
      <c r="AF618" s="28"/>
      <c r="AG618" s="28"/>
      <c r="AN618" s="28"/>
      <c r="AO618" s="28"/>
      <c r="AP618" s="28"/>
      <c r="AQ618" s="28"/>
    </row>
    <row r="619">
      <c r="J619" s="28"/>
      <c r="K619" s="28"/>
      <c r="L619" s="28"/>
      <c r="M619" s="28"/>
      <c r="T619" s="28"/>
      <c r="U619" s="28"/>
      <c r="V619" s="28"/>
      <c r="W619" s="28"/>
      <c r="AD619" s="28"/>
      <c r="AE619" s="28"/>
      <c r="AF619" s="28"/>
      <c r="AG619" s="28"/>
      <c r="AN619" s="28"/>
      <c r="AO619" s="28"/>
      <c r="AP619" s="28"/>
      <c r="AQ619" s="28"/>
    </row>
    <row r="620">
      <c r="J620" s="28"/>
      <c r="K620" s="28"/>
      <c r="L620" s="28"/>
      <c r="M620" s="28"/>
      <c r="T620" s="28"/>
      <c r="U620" s="28"/>
      <c r="V620" s="28"/>
      <c r="W620" s="28"/>
      <c r="AD620" s="28"/>
      <c r="AE620" s="28"/>
      <c r="AF620" s="28"/>
      <c r="AG620" s="28"/>
      <c r="AN620" s="28"/>
      <c r="AO620" s="28"/>
      <c r="AP620" s="28"/>
      <c r="AQ620" s="28"/>
    </row>
    <row r="621">
      <c r="J621" s="28"/>
      <c r="K621" s="28"/>
      <c r="L621" s="28"/>
      <c r="M621" s="28"/>
      <c r="T621" s="28"/>
      <c r="U621" s="28"/>
      <c r="V621" s="28"/>
      <c r="W621" s="28"/>
      <c r="AD621" s="28"/>
      <c r="AE621" s="28"/>
      <c r="AF621" s="28"/>
      <c r="AG621" s="28"/>
      <c r="AN621" s="28"/>
      <c r="AO621" s="28"/>
      <c r="AP621" s="28"/>
      <c r="AQ621" s="28"/>
    </row>
    <row r="622">
      <c r="J622" s="28"/>
      <c r="K622" s="28"/>
      <c r="L622" s="28"/>
      <c r="M622" s="28"/>
      <c r="T622" s="28"/>
      <c r="U622" s="28"/>
      <c r="V622" s="28"/>
      <c r="W622" s="28"/>
      <c r="AD622" s="28"/>
      <c r="AE622" s="28"/>
      <c r="AF622" s="28"/>
      <c r="AG622" s="28"/>
      <c r="AN622" s="28"/>
      <c r="AO622" s="28"/>
      <c r="AP622" s="28"/>
      <c r="AQ622" s="28"/>
    </row>
    <row r="623">
      <c r="J623" s="28"/>
      <c r="K623" s="28"/>
      <c r="L623" s="28"/>
      <c r="M623" s="28"/>
      <c r="T623" s="28"/>
      <c r="U623" s="28"/>
      <c r="V623" s="28"/>
      <c r="W623" s="28"/>
      <c r="AD623" s="28"/>
      <c r="AE623" s="28"/>
      <c r="AF623" s="28"/>
      <c r="AG623" s="28"/>
      <c r="AN623" s="28"/>
      <c r="AO623" s="28"/>
      <c r="AP623" s="28"/>
      <c r="AQ623" s="28"/>
    </row>
    <row r="624">
      <c r="J624" s="28"/>
      <c r="K624" s="28"/>
      <c r="L624" s="28"/>
      <c r="M624" s="28"/>
      <c r="T624" s="28"/>
      <c r="U624" s="28"/>
      <c r="V624" s="28"/>
      <c r="W624" s="28"/>
      <c r="AD624" s="28"/>
      <c r="AE624" s="28"/>
      <c r="AF624" s="28"/>
      <c r="AG624" s="28"/>
      <c r="AN624" s="28"/>
      <c r="AO624" s="28"/>
      <c r="AP624" s="28"/>
      <c r="AQ624" s="28"/>
    </row>
    <row r="625">
      <c r="J625" s="28"/>
      <c r="K625" s="28"/>
      <c r="L625" s="28"/>
      <c r="M625" s="28"/>
      <c r="T625" s="28"/>
      <c r="U625" s="28"/>
      <c r="V625" s="28"/>
      <c r="W625" s="28"/>
      <c r="AD625" s="28"/>
      <c r="AE625" s="28"/>
      <c r="AF625" s="28"/>
      <c r="AG625" s="28"/>
      <c r="AN625" s="28"/>
      <c r="AO625" s="28"/>
      <c r="AP625" s="28"/>
      <c r="AQ625" s="28"/>
    </row>
    <row r="626">
      <c r="J626" s="28"/>
      <c r="K626" s="28"/>
      <c r="L626" s="28"/>
      <c r="M626" s="28"/>
      <c r="T626" s="28"/>
      <c r="U626" s="28"/>
      <c r="V626" s="28"/>
      <c r="W626" s="28"/>
      <c r="AD626" s="28"/>
      <c r="AE626" s="28"/>
      <c r="AF626" s="28"/>
      <c r="AG626" s="28"/>
      <c r="AN626" s="28"/>
      <c r="AO626" s="28"/>
      <c r="AP626" s="28"/>
      <c r="AQ626" s="28"/>
    </row>
    <row r="627">
      <c r="J627" s="28"/>
      <c r="K627" s="28"/>
      <c r="L627" s="28"/>
      <c r="M627" s="28"/>
      <c r="T627" s="28"/>
      <c r="U627" s="28"/>
      <c r="V627" s="28"/>
      <c r="W627" s="28"/>
      <c r="AD627" s="28"/>
      <c r="AE627" s="28"/>
      <c r="AF627" s="28"/>
      <c r="AG627" s="28"/>
      <c r="AN627" s="28"/>
      <c r="AO627" s="28"/>
      <c r="AP627" s="28"/>
      <c r="AQ627" s="28"/>
    </row>
    <row r="628">
      <c r="J628" s="28"/>
      <c r="K628" s="28"/>
      <c r="L628" s="28"/>
      <c r="M628" s="28"/>
      <c r="T628" s="28"/>
      <c r="U628" s="28"/>
      <c r="V628" s="28"/>
      <c r="W628" s="28"/>
      <c r="AD628" s="28"/>
      <c r="AE628" s="28"/>
      <c r="AF628" s="28"/>
      <c r="AG628" s="28"/>
      <c r="AN628" s="28"/>
      <c r="AO628" s="28"/>
      <c r="AP628" s="28"/>
      <c r="AQ628" s="28"/>
    </row>
    <row r="629">
      <c r="J629" s="28"/>
      <c r="K629" s="28"/>
      <c r="L629" s="28"/>
      <c r="M629" s="28"/>
      <c r="T629" s="28"/>
      <c r="U629" s="28"/>
      <c r="V629" s="28"/>
      <c r="W629" s="28"/>
      <c r="AD629" s="28"/>
      <c r="AE629" s="28"/>
      <c r="AF629" s="28"/>
      <c r="AG629" s="28"/>
      <c r="AN629" s="28"/>
      <c r="AO629" s="28"/>
      <c r="AP629" s="28"/>
      <c r="AQ629" s="28"/>
    </row>
    <row r="630">
      <c r="J630" s="28"/>
      <c r="K630" s="28"/>
      <c r="L630" s="28"/>
      <c r="M630" s="28"/>
      <c r="T630" s="28"/>
      <c r="U630" s="28"/>
      <c r="V630" s="28"/>
      <c r="W630" s="28"/>
      <c r="AD630" s="28"/>
      <c r="AE630" s="28"/>
      <c r="AF630" s="28"/>
      <c r="AG630" s="28"/>
      <c r="AN630" s="28"/>
      <c r="AO630" s="28"/>
      <c r="AP630" s="28"/>
      <c r="AQ630" s="28"/>
    </row>
    <row r="631">
      <c r="J631" s="28"/>
      <c r="K631" s="28"/>
      <c r="L631" s="28"/>
      <c r="M631" s="28"/>
      <c r="T631" s="28"/>
      <c r="U631" s="28"/>
      <c r="V631" s="28"/>
      <c r="W631" s="28"/>
      <c r="AD631" s="28"/>
      <c r="AE631" s="28"/>
      <c r="AF631" s="28"/>
      <c r="AG631" s="28"/>
      <c r="AN631" s="28"/>
      <c r="AO631" s="28"/>
      <c r="AP631" s="28"/>
      <c r="AQ631" s="28"/>
    </row>
    <row r="632">
      <c r="J632" s="28"/>
      <c r="K632" s="28"/>
      <c r="L632" s="28"/>
      <c r="M632" s="28"/>
      <c r="T632" s="28"/>
      <c r="U632" s="28"/>
      <c r="V632" s="28"/>
      <c r="W632" s="28"/>
      <c r="AD632" s="28"/>
      <c r="AE632" s="28"/>
      <c r="AF632" s="28"/>
      <c r="AG632" s="28"/>
      <c r="AN632" s="28"/>
      <c r="AO632" s="28"/>
      <c r="AP632" s="28"/>
      <c r="AQ632" s="28"/>
    </row>
    <row r="633">
      <c r="J633" s="28"/>
      <c r="K633" s="28"/>
      <c r="L633" s="28"/>
      <c r="M633" s="28"/>
      <c r="T633" s="28"/>
      <c r="U633" s="28"/>
      <c r="V633" s="28"/>
      <c r="W633" s="28"/>
      <c r="AD633" s="28"/>
      <c r="AE633" s="28"/>
      <c r="AF633" s="28"/>
      <c r="AG633" s="28"/>
      <c r="AN633" s="28"/>
      <c r="AO633" s="28"/>
      <c r="AP633" s="28"/>
      <c r="AQ633" s="28"/>
    </row>
    <row r="634">
      <c r="J634" s="28"/>
      <c r="K634" s="28"/>
      <c r="L634" s="28"/>
      <c r="M634" s="28"/>
      <c r="T634" s="28"/>
      <c r="U634" s="28"/>
      <c r="V634" s="28"/>
      <c r="W634" s="28"/>
      <c r="AD634" s="28"/>
      <c r="AE634" s="28"/>
      <c r="AF634" s="28"/>
      <c r="AG634" s="28"/>
      <c r="AN634" s="28"/>
      <c r="AO634" s="28"/>
      <c r="AP634" s="28"/>
      <c r="AQ634" s="28"/>
    </row>
    <row r="635">
      <c r="J635" s="28"/>
      <c r="K635" s="28"/>
      <c r="L635" s="28"/>
      <c r="M635" s="28"/>
      <c r="T635" s="28"/>
      <c r="U635" s="28"/>
      <c r="V635" s="28"/>
      <c r="W635" s="28"/>
      <c r="AD635" s="28"/>
      <c r="AE635" s="28"/>
      <c r="AF635" s="28"/>
      <c r="AG635" s="28"/>
      <c r="AN635" s="28"/>
      <c r="AO635" s="28"/>
      <c r="AP635" s="28"/>
      <c r="AQ635" s="28"/>
    </row>
    <row r="636">
      <c r="J636" s="28"/>
      <c r="K636" s="28"/>
      <c r="L636" s="28"/>
      <c r="M636" s="28"/>
      <c r="T636" s="28"/>
      <c r="U636" s="28"/>
      <c r="V636" s="28"/>
      <c r="W636" s="28"/>
      <c r="AD636" s="28"/>
      <c r="AE636" s="28"/>
      <c r="AF636" s="28"/>
      <c r="AG636" s="28"/>
      <c r="AN636" s="28"/>
      <c r="AO636" s="28"/>
      <c r="AP636" s="28"/>
      <c r="AQ636" s="28"/>
    </row>
    <row r="637">
      <c r="J637" s="28"/>
      <c r="K637" s="28"/>
      <c r="L637" s="28"/>
      <c r="M637" s="28"/>
      <c r="T637" s="28"/>
      <c r="U637" s="28"/>
      <c r="V637" s="28"/>
      <c r="W637" s="28"/>
      <c r="AD637" s="28"/>
      <c r="AE637" s="28"/>
      <c r="AF637" s="28"/>
      <c r="AG637" s="28"/>
      <c r="AN637" s="28"/>
      <c r="AO637" s="28"/>
      <c r="AP637" s="28"/>
      <c r="AQ637" s="28"/>
    </row>
    <row r="638">
      <c r="J638" s="28"/>
      <c r="K638" s="28"/>
      <c r="L638" s="28"/>
      <c r="M638" s="28"/>
      <c r="T638" s="28"/>
      <c r="U638" s="28"/>
      <c r="V638" s="28"/>
      <c r="W638" s="28"/>
      <c r="AD638" s="28"/>
      <c r="AE638" s="28"/>
      <c r="AF638" s="28"/>
      <c r="AG638" s="28"/>
      <c r="AN638" s="28"/>
      <c r="AO638" s="28"/>
      <c r="AP638" s="28"/>
      <c r="AQ638" s="28"/>
    </row>
    <row r="639">
      <c r="J639" s="28"/>
      <c r="K639" s="28"/>
      <c r="L639" s="28"/>
      <c r="M639" s="28"/>
      <c r="T639" s="28"/>
      <c r="U639" s="28"/>
      <c r="V639" s="28"/>
      <c r="W639" s="28"/>
      <c r="AD639" s="28"/>
      <c r="AE639" s="28"/>
      <c r="AF639" s="28"/>
      <c r="AG639" s="28"/>
      <c r="AN639" s="28"/>
      <c r="AO639" s="28"/>
      <c r="AP639" s="28"/>
      <c r="AQ639" s="28"/>
    </row>
    <row r="640">
      <c r="J640" s="28"/>
      <c r="K640" s="28"/>
      <c r="L640" s="28"/>
      <c r="M640" s="28"/>
      <c r="T640" s="28"/>
      <c r="U640" s="28"/>
      <c r="V640" s="28"/>
      <c r="W640" s="28"/>
      <c r="AD640" s="28"/>
      <c r="AE640" s="28"/>
      <c r="AF640" s="28"/>
      <c r="AG640" s="28"/>
      <c r="AN640" s="28"/>
      <c r="AO640" s="28"/>
      <c r="AP640" s="28"/>
      <c r="AQ640" s="28"/>
    </row>
    <row r="641">
      <c r="J641" s="28"/>
      <c r="K641" s="28"/>
      <c r="L641" s="28"/>
      <c r="M641" s="28"/>
      <c r="T641" s="28"/>
      <c r="U641" s="28"/>
      <c r="V641" s="28"/>
      <c r="W641" s="28"/>
      <c r="AD641" s="28"/>
      <c r="AE641" s="28"/>
      <c r="AF641" s="28"/>
      <c r="AG641" s="28"/>
      <c r="AN641" s="28"/>
      <c r="AO641" s="28"/>
      <c r="AP641" s="28"/>
      <c r="AQ641" s="28"/>
    </row>
    <row r="642">
      <c r="J642" s="28"/>
      <c r="K642" s="28"/>
      <c r="L642" s="28"/>
      <c r="M642" s="28"/>
      <c r="T642" s="28"/>
      <c r="U642" s="28"/>
      <c r="V642" s="28"/>
      <c r="W642" s="28"/>
      <c r="AD642" s="28"/>
      <c r="AE642" s="28"/>
      <c r="AF642" s="28"/>
      <c r="AG642" s="28"/>
      <c r="AN642" s="28"/>
      <c r="AO642" s="28"/>
      <c r="AP642" s="28"/>
      <c r="AQ642" s="28"/>
    </row>
    <row r="643">
      <c r="J643" s="28"/>
      <c r="K643" s="28"/>
      <c r="L643" s="28"/>
      <c r="M643" s="28"/>
      <c r="T643" s="28"/>
      <c r="U643" s="28"/>
      <c r="V643" s="28"/>
      <c r="W643" s="28"/>
      <c r="AD643" s="28"/>
      <c r="AE643" s="28"/>
      <c r="AF643" s="28"/>
      <c r="AG643" s="28"/>
      <c r="AN643" s="28"/>
      <c r="AO643" s="28"/>
      <c r="AP643" s="28"/>
      <c r="AQ643" s="28"/>
    </row>
    <row r="644">
      <c r="J644" s="28"/>
      <c r="K644" s="28"/>
      <c r="L644" s="28"/>
      <c r="M644" s="28"/>
      <c r="T644" s="28"/>
      <c r="U644" s="28"/>
      <c r="V644" s="28"/>
      <c r="W644" s="28"/>
      <c r="AD644" s="28"/>
      <c r="AE644" s="28"/>
      <c r="AF644" s="28"/>
      <c r="AG644" s="28"/>
      <c r="AN644" s="28"/>
      <c r="AO644" s="28"/>
      <c r="AP644" s="28"/>
      <c r="AQ644" s="28"/>
    </row>
    <row r="645">
      <c r="J645" s="28"/>
      <c r="K645" s="28"/>
      <c r="L645" s="28"/>
      <c r="M645" s="28"/>
      <c r="T645" s="28"/>
      <c r="U645" s="28"/>
      <c r="V645" s="28"/>
      <c r="W645" s="28"/>
      <c r="AD645" s="28"/>
      <c r="AE645" s="28"/>
      <c r="AF645" s="28"/>
      <c r="AG645" s="28"/>
      <c r="AN645" s="28"/>
      <c r="AO645" s="28"/>
      <c r="AP645" s="28"/>
      <c r="AQ645" s="28"/>
    </row>
    <row r="646">
      <c r="J646" s="28"/>
      <c r="K646" s="28"/>
      <c r="L646" s="28"/>
      <c r="M646" s="28"/>
      <c r="T646" s="28"/>
      <c r="U646" s="28"/>
      <c r="V646" s="28"/>
      <c r="W646" s="28"/>
      <c r="AD646" s="28"/>
      <c r="AE646" s="28"/>
      <c r="AF646" s="28"/>
      <c r="AG646" s="28"/>
      <c r="AN646" s="28"/>
      <c r="AO646" s="28"/>
      <c r="AP646" s="28"/>
      <c r="AQ646" s="28"/>
    </row>
    <row r="647">
      <c r="J647" s="28"/>
      <c r="K647" s="28"/>
      <c r="L647" s="28"/>
      <c r="M647" s="28"/>
      <c r="T647" s="28"/>
      <c r="U647" s="28"/>
      <c r="V647" s="28"/>
      <c r="W647" s="28"/>
      <c r="AD647" s="28"/>
      <c r="AE647" s="28"/>
      <c r="AF647" s="28"/>
      <c r="AG647" s="28"/>
      <c r="AN647" s="28"/>
      <c r="AO647" s="28"/>
      <c r="AP647" s="28"/>
      <c r="AQ647" s="28"/>
    </row>
    <row r="648">
      <c r="J648" s="28"/>
      <c r="K648" s="28"/>
      <c r="L648" s="28"/>
      <c r="M648" s="28"/>
      <c r="T648" s="28"/>
      <c r="U648" s="28"/>
      <c r="V648" s="28"/>
      <c r="W648" s="28"/>
      <c r="AD648" s="28"/>
      <c r="AE648" s="28"/>
      <c r="AF648" s="28"/>
      <c r="AG648" s="28"/>
      <c r="AN648" s="28"/>
      <c r="AO648" s="28"/>
      <c r="AP648" s="28"/>
      <c r="AQ648" s="28"/>
    </row>
    <row r="649">
      <c r="J649" s="28"/>
      <c r="K649" s="28"/>
      <c r="L649" s="28"/>
      <c r="M649" s="28"/>
      <c r="T649" s="28"/>
      <c r="U649" s="28"/>
      <c r="V649" s="28"/>
      <c r="W649" s="28"/>
      <c r="AD649" s="28"/>
      <c r="AE649" s="28"/>
      <c r="AF649" s="28"/>
      <c r="AG649" s="28"/>
      <c r="AN649" s="28"/>
      <c r="AO649" s="28"/>
      <c r="AP649" s="28"/>
      <c r="AQ649" s="28"/>
    </row>
    <row r="650">
      <c r="J650" s="28"/>
      <c r="K650" s="28"/>
      <c r="L650" s="28"/>
      <c r="M650" s="28"/>
      <c r="T650" s="28"/>
      <c r="U650" s="28"/>
      <c r="V650" s="28"/>
      <c r="W650" s="28"/>
      <c r="AD650" s="28"/>
      <c r="AE650" s="28"/>
      <c r="AF650" s="28"/>
      <c r="AG650" s="28"/>
      <c r="AN650" s="28"/>
      <c r="AO650" s="28"/>
      <c r="AP650" s="28"/>
      <c r="AQ650" s="28"/>
    </row>
    <row r="651">
      <c r="J651" s="28"/>
      <c r="K651" s="28"/>
      <c r="L651" s="28"/>
      <c r="M651" s="28"/>
      <c r="T651" s="28"/>
      <c r="U651" s="28"/>
      <c r="V651" s="28"/>
      <c r="W651" s="28"/>
      <c r="AD651" s="28"/>
      <c r="AE651" s="28"/>
      <c r="AF651" s="28"/>
      <c r="AG651" s="28"/>
      <c r="AN651" s="28"/>
      <c r="AO651" s="28"/>
      <c r="AP651" s="28"/>
      <c r="AQ651" s="28"/>
    </row>
    <row r="652">
      <c r="J652" s="28"/>
      <c r="K652" s="28"/>
      <c r="L652" s="28"/>
      <c r="M652" s="28"/>
      <c r="T652" s="28"/>
      <c r="U652" s="28"/>
      <c r="V652" s="28"/>
      <c r="W652" s="28"/>
      <c r="AD652" s="28"/>
      <c r="AE652" s="28"/>
      <c r="AF652" s="28"/>
      <c r="AG652" s="28"/>
      <c r="AN652" s="28"/>
      <c r="AO652" s="28"/>
      <c r="AP652" s="28"/>
      <c r="AQ652" s="28"/>
    </row>
    <row r="653">
      <c r="J653" s="28"/>
      <c r="K653" s="28"/>
      <c r="L653" s="28"/>
      <c r="M653" s="28"/>
      <c r="T653" s="28"/>
      <c r="U653" s="28"/>
      <c r="V653" s="28"/>
      <c r="W653" s="28"/>
      <c r="AD653" s="28"/>
      <c r="AE653" s="28"/>
      <c r="AF653" s="28"/>
      <c r="AG653" s="28"/>
      <c r="AN653" s="28"/>
      <c r="AO653" s="28"/>
      <c r="AP653" s="28"/>
      <c r="AQ653" s="28"/>
    </row>
    <row r="654">
      <c r="J654" s="28"/>
      <c r="K654" s="28"/>
      <c r="L654" s="28"/>
      <c r="M654" s="28"/>
      <c r="T654" s="28"/>
      <c r="U654" s="28"/>
      <c r="V654" s="28"/>
      <c r="W654" s="28"/>
      <c r="AD654" s="28"/>
      <c r="AE654" s="28"/>
      <c r="AF654" s="28"/>
      <c r="AG654" s="28"/>
      <c r="AN654" s="28"/>
      <c r="AO654" s="28"/>
      <c r="AP654" s="28"/>
      <c r="AQ654" s="28"/>
    </row>
    <row r="655">
      <c r="J655" s="28"/>
      <c r="K655" s="28"/>
      <c r="L655" s="28"/>
      <c r="M655" s="28"/>
      <c r="T655" s="28"/>
      <c r="U655" s="28"/>
      <c r="V655" s="28"/>
      <c r="W655" s="28"/>
      <c r="AD655" s="28"/>
      <c r="AE655" s="28"/>
      <c r="AF655" s="28"/>
      <c r="AG655" s="28"/>
      <c r="AN655" s="28"/>
      <c r="AO655" s="28"/>
      <c r="AP655" s="28"/>
      <c r="AQ655" s="28"/>
    </row>
    <row r="656">
      <c r="J656" s="28"/>
      <c r="K656" s="28"/>
      <c r="L656" s="28"/>
      <c r="M656" s="28"/>
      <c r="T656" s="28"/>
      <c r="U656" s="28"/>
      <c r="V656" s="28"/>
      <c r="W656" s="28"/>
      <c r="AD656" s="28"/>
      <c r="AE656" s="28"/>
      <c r="AF656" s="28"/>
      <c r="AG656" s="28"/>
      <c r="AN656" s="28"/>
      <c r="AO656" s="28"/>
      <c r="AP656" s="28"/>
      <c r="AQ656" s="28"/>
    </row>
    <row r="657">
      <c r="J657" s="28"/>
      <c r="K657" s="28"/>
      <c r="L657" s="28"/>
      <c r="M657" s="28"/>
      <c r="T657" s="28"/>
      <c r="U657" s="28"/>
      <c r="V657" s="28"/>
      <c r="W657" s="28"/>
      <c r="AD657" s="28"/>
      <c r="AE657" s="28"/>
      <c r="AF657" s="28"/>
      <c r="AG657" s="28"/>
      <c r="AN657" s="28"/>
      <c r="AO657" s="28"/>
      <c r="AP657" s="28"/>
      <c r="AQ657" s="28"/>
    </row>
    <row r="658">
      <c r="J658" s="28"/>
      <c r="K658" s="28"/>
      <c r="L658" s="28"/>
      <c r="M658" s="28"/>
      <c r="T658" s="28"/>
      <c r="U658" s="28"/>
      <c r="V658" s="28"/>
      <c r="W658" s="28"/>
      <c r="AD658" s="28"/>
      <c r="AE658" s="28"/>
      <c r="AF658" s="28"/>
      <c r="AG658" s="28"/>
      <c r="AN658" s="28"/>
      <c r="AO658" s="28"/>
      <c r="AP658" s="28"/>
      <c r="AQ658" s="28"/>
    </row>
    <row r="659">
      <c r="J659" s="28"/>
      <c r="K659" s="28"/>
      <c r="L659" s="28"/>
      <c r="M659" s="28"/>
      <c r="T659" s="28"/>
      <c r="U659" s="28"/>
      <c r="V659" s="28"/>
      <c r="W659" s="28"/>
      <c r="AD659" s="28"/>
      <c r="AE659" s="28"/>
      <c r="AF659" s="28"/>
      <c r="AG659" s="28"/>
      <c r="AN659" s="28"/>
      <c r="AO659" s="28"/>
      <c r="AP659" s="28"/>
      <c r="AQ659" s="28"/>
    </row>
    <row r="660">
      <c r="J660" s="28"/>
      <c r="K660" s="28"/>
      <c r="L660" s="28"/>
      <c r="M660" s="28"/>
      <c r="T660" s="28"/>
      <c r="U660" s="28"/>
      <c r="V660" s="28"/>
      <c r="W660" s="28"/>
      <c r="AD660" s="28"/>
      <c r="AE660" s="28"/>
      <c r="AF660" s="28"/>
      <c r="AG660" s="28"/>
      <c r="AN660" s="28"/>
      <c r="AO660" s="28"/>
      <c r="AP660" s="28"/>
      <c r="AQ660" s="28"/>
    </row>
    <row r="661">
      <c r="J661" s="28"/>
      <c r="K661" s="28"/>
      <c r="L661" s="28"/>
      <c r="M661" s="28"/>
      <c r="T661" s="28"/>
      <c r="U661" s="28"/>
      <c r="V661" s="28"/>
      <c r="W661" s="28"/>
      <c r="AD661" s="28"/>
      <c r="AE661" s="28"/>
      <c r="AF661" s="28"/>
      <c r="AG661" s="28"/>
      <c r="AN661" s="28"/>
      <c r="AO661" s="28"/>
      <c r="AP661" s="28"/>
      <c r="AQ661" s="28"/>
    </row>
    <row r="662">
      <c r="J662" s="28"/>
      <c r="K662" s="28"/>
      <c r="L662" s="28"/>
      <c r="M662" s="28"/>
      <c r="T662" s="28"/>
      <c r="U662" s="28"/>
      <c r="V662" s="28"/>
      <c r="W662" s="28"/>
      <c r="AD662" s="28"/>
      <c r="AE662" s="28"/>
      <c r="AF662" s="28"/>
      <c r="AG662" s="28"/>
      <c r="AN662" s="28"/>
      <c r="AO662" s="28"/>
      <c r="AP662" s="28"/>
      <c r="AQ662" s="28"/>
    </row>
    <row r="663">
      <c r="J663" s="28"/>
      <c r="K663" s="28"/>
      <c r="L663" s="28"/>
      <c r="M663" s="28"/>
      <c r="T663" s="28"/>
      <c r="U663" s="28"/>
      <c r="V663" s="28"/>
      <c r="W663" s="28"/>
      <c r="AD663" s="28"/>
      <c r="AE663" s="28"/>
      <c r="AF663" s="28"/>
      <c r="AG663" s="28"/>
      <c r="AN663" s="28"/>
      <c r="AO663" s="28"/>
      <c r="AP663" s="28"/>
      <c r="AQ663" s="28"/>
    </row>
    <row r="664">
      <c r="J664" s="28"/>
      <c r="K664" s="28"/>
      <c r="L664" s="28"/>
      <c r="M664" s="28"/>
      <c r="T664" s="28"/>
      <c r="U664" s="28"/>
      <c r="V664" s="28"/>
      <c r="W664" s="28"/>
      <c r="AD664" s="28"/>
      <c r="AE664" s="28"/>
      <c r="AF664" s="28"/>
      <c r="AG664" s="28"/>
      <c r="AN664" s="28"/>
      <c r="AO664" s="28"/>
      <c r="AP664" s="28"/>
      <c r="AQ664" s="28"/>
    </row>
    <row r="665">
      <c r="J665" s="28"/>
      <c r="K665" s="28"/>
      <c r="L665" s="28"/>
      <c r="M665" s="28"/>
      <c r="T665" s="28"/>
      <c r="U665" s="28"/>
      <c r="V665" s="28"/>
      <c r="W665" s="28"/>
      <c r="AD665" s="28"/>
      <c r="AE665" s="28"/>
      <c r="AF665" s="28"/>
      <c r="AG665" s="28"/>
      <c r="AN665" s="28"/>
      <c r="AO665" s="28"/>
      <c r="AP665" s="28"/>
      <c r="AQ665" s="28"/>
    </row>
    <row r="666">
      <c r="J666" s="28"/>
      <c r="K666" s="28"/>
      <c r="L666" s="28"/>
      <c r="M666" s="28"/>
      <c r="T666" s="28"/>
      <c r="U666" s="28"/>
      <c r="V666" s="28"/>
      <c r="W666" s="28"/>
      <c r="AD666" s="28"/>
      <c r="AE666" s="28"/>
      <c r="AF666" s="28"/>
      <c r="AG666" s="28"/>
      <c r="AN666" s="28"/>
      <c r="AO666" s="28"/>
      <c r="AP666" s="28"/>
      <c r="AQ666" s="28"/>
    </row>
    <row r="667">
      <c r="J667" s="28"/>
      <c r="K667" s="28"/>
      <c r="L667" s="28"/>
      <c r="M667" s="28"/>
      <c r="T667" s="28"/>
      <c r="U667" s="28"/>
      <c r="V667" s="28"/>
      <c r="W667" s="28"/>
      <c r="AD667" s="28"/>
      <c r="AE667" s="28"/>
      <c r="AF667" s="28"/>
      <c r="AG667" s="28"/>
      <c r="AN667" s="28"/>
      <c r="AO667" s="28"/>
      <c r="AP667" s="28"/>
      <c r="AQ667" s="28"/>
    </row>
    <row r="668">
      <c r="J668" s="28"/>
      <c r="K668" s="28"/>
      <c r="L668" s="28"/>
      <c r="M668" s="28"/>
      <c r="T668" s="28"/>
      <c r="U668" s="28"/>
      <c r="V668" s="28"/>
      <c r="W668" s="28"/>
      <c r="AD668" s="28"/>
      <c r="AE668" s="28"/>
      <c r="AF668" s="28"/>
      <c r="AG668" s="28"/>
      <c r="AN668" s="28"/>
      <c r="AO668" s="28"/>
      <c r="AP668" s="28"/>
      <c r="AQ668" s="28"/>
    </row>
    <row r="669">
      <c r="J669" s="28"/>
      <c r="K669" s="28"/>
      <c r="L669" s="28"/>
      <c r="M669" s="28"/>
      <c r="T669" s="28"/>
      <c r="U669" s="28"/>
      <c r="V669" s="28"/>
      <c r="W669" s="28"/>
      <c r="AD669" s="28"/>
      <c r="AE669" s="28"/>
      <c r="AF669" s="28"/>
      <c r="AG669" s="28"/>
      <c r="AN669" s="28"/>
      <c r="AO669" s="28"/>
      <c r="AP669" s="28"/>
      <c r="AQ669" s="28"/>
    </row>
    <row r="670">
      <c r="J670" s="28"/>
      <c r="K670" s="28"/>
      <c r="L670" s="28"/>
      <c r="M670" s="28"/>
      <c r="T670" s="28"/>
      <c r="U670" s="28"/>
      <c r="V670" s="28"/>
      <c r="W670" s="28"/>
      <c r="AD670" s="28"/>
      <c r="AE670" s="28"/>
      <c r="AF670" s="28"/>
      <c r="AG670" s="28"/>
      <c r="AN670" s="28"/>
      <c r="AO670" s="28"/>
      <c r="AP670" s="28"/>
      <c r="AQ670" s="28"/>
    </row>
    <row r="671">
      <c r="J671" s="28"/>
      <c r="K671" s="28"/>
      <c r="L671" s="28"/>
      <c r="M671" s="28"/>
      <c r="T671" s="28"/>
      <c r="U671" s="28"/>
      <c r="V671" s="28"/>
      <c r="W671" s="28"/>
      <c r="AD671" s="28"/>
      <c r="AE671" s="28"/>
      <c r="AF671" s="28"/>
      <c r="AG671" s="28"/>
      <c r="AN671" s="28"/>
      <c r="AO671" s="28"/>
      <c r="AP671" s="28"/>
      <c r="AQ671" s="28"/>
    </row>
    <row r="672">
      <c r="J672" s="28"/>
      <c r="K672" s="28"/>
      <c r="L672" s="28"/>
      <c r="M672" s="28"/>
      <c r="T672" s="28"/>
      <c r="U672" s="28"/>
      <c r="V672" s="28"/>
      <c r="W672" s="28"/>
      <c r="AD672" s="28"/>
      <c r="AE672" s="28"/>
      <c r="AF672" s="28"/>
      <c r="AG672" s="28"/>
      <c r="AN672" s="28"/>
      <c r="AO672" s="28"/>
      <c r="AP672" s="28"/>
      <c r="AQ672" s="28"/>
    </row>
    <row r="673">
      <c r="J673" s="28"/>
      <c r="K673" s="28"/>
      <c r="L673" s="28"/>
      <c r="M673" s="28"/>
      <c r="T673" s="28"/>
      <c r="U673" s="28"/>
      <c r="V673" s="28"/>
      <c r="W673" s="28"/>
      <c r="AD673" s="28"/>
      <c r="AE673" s="28"/>
      <c r="AF673" s="28"/>
      <c r="AG673" s="28"/>
      <c r="AN673" s="28"/>
      <c r="AO673" s="28"/>
      <c r="AP673" s="28"/>
      <c r="AQ673" s="28"/>
    </row>
    <row r="674">
      <c r="J674" s="28"/>
      <c r="K674" s="28"/>
      <c r="L674" s="28"/>
      <c r="M674" s="28"/>
      <c r="T674" s="28"/>
      <c r="U674" s="28"/>
      <c r="V674" s="28"/>
      <c r="W674" s="28"/>
      <c r="AD674" s="28"/>
      <c r="AE674" s="28"/>
      <c r="AF674" s="28"/>
      <c r="AG674" s="28"/>
      <c r="AN674" s="28"/>
      <c r="AO674" s="28"/>
      <c r="AP674" s="28"/>
      <c r="AQ674" s="28"/>
    </row>
    <row r="675">
      <c r="J675" s="28"/>
      <c r="K675" s="28"/>
      <c r="L675" s="28"/>
      <c r="M675" s="28"/>
      <c r="T675" s="28"/>
      <c r="U675" s="28"/>
      <c r="V675" s="28"/>
      <c r="W675" s="28"/>
      <c r="AD675" s="28"/>
      <c r="AE675" s="28"/>
      <c r="AF675" s="28"/>
      <c r="AG675" s="28"/>
      <c r="AN675" s="28"/>
      <c r="AO675" s="28"/>
      <c r="AP675" s="28"/>
      <c r="AQ675" s="28"/>
    </row>
    <row r="676">
      <c r="J676" s="28"/>
      <c r="K676" s="28"/>
      <c r="L676" s="28"/>
      <c r="M676" s="28"/>
      <c r="T676" s="28"/>
      <c r="U676" s="28"/>
      <c r="V676" s="28"/>
      <c r="W676" s="28"/>
      <c r="AD676" s="28"/>
      <c r="AE676" s="28"/>
      <c r="AF676" s="28"/>
      <c r="AG676" s="28"/>
      <c r="AN676" s="28"/>
      <c r="AO676" s="28"/>
      <c r="AP676" s="28"/>
      <c r="AQ676" s="28"/>
    </row>
    <row r="677">
      <c r="J677" s="28"/>
      <c r="K677" s="28"/>
      <c r="L677" s="28"/>
      <c r="M677" s="28"/>
      <c r="T677" s="28"/>
      <c r="U677" s="28"/>
      <c r="V677" s="28"/>
      <c r="W677" s="28"/>
      <c r="AD677" s="28"/>
      <c r="AE677" s="28"/>
      <c r="AF677" s="28"/>
      <c r="AG677" s="28"/>
      <c r="AN677" s="28"/>
      <c r="AO677" s="28"/>
      <c r="AP677" s="28"/>
      <c r="AQ677" s="28"/>
    </row>
    <row r="678">
      <c r="J678" s="28"/>
      <c r="K678" s="28"/>
      <c r="L678" s="28"/>
      <c r="M678" s="28"/>
      <c r="T678" s="28"/>
      <c r="U678" s="28"/>
      <c r="V678" s="28"/>
      <c r="W678" s="28"/>
      <c r="AD678" s="28"/>
      <c r="AE678" s="28"/>
      <c r="AF678" s="28"/>
      <c r="AG678" s="28"/>
      <c r="AN678" s="28"/>
      <c r="AO678" s="28"/>
      <c r="AP678" s="28"/>
      <c r="AQ678" s="28"/>
    </row>
    <row r="679">
      <c r="J679" s="28"/>
      <c r="K679" s="28"/>
      <c r="L679" s="28"/>
      <c r="M679" s="28"/>
      <c r="T679" s="28"/>
      <c r="U679" s="28"/>
      <c r="V679" s="28"/>
      <c r="W679" s="28"/>
      <c r="AD679" s="28"/>
      <c r="AE679" s="28"/>
      <c r="AF679" s="28"/>
      <c r="AG679" s="28"/>
      <c r="AN679" s="28"/>
      <c r="AO679" s="28"/>
      <c r="AP679" s="28"/>
      <c r="AQ679" s="28"/>
    </row>
    <row r="680">
      <c r="J680" s="28"/>
      <c r="K680" s="28"/>
      <c r="L680" s="28"/>
      <c r="M680" s="28"/>
      <c r="T680" s="28"/>
      <c r="U680" s="28"/>
      <c r="V680" s="28"/>
      <c r="W680" s="28"/>
      <c r="AD680" s="28"/>
      <c r="AE680" s="28"/>
      <c r="AF680" s="28"/>
      <c r="AG680" s="28"/>
      <c r="AN680" s="28"/>
      <c r="AO680" s="28"/>
      <c r="AP680" s="28"/>
      <c r="AQ680" s="28"/>
    </row>
    <row r="681">
      <c r="J681" s="28"/>
      <c r="K681" s="28"/>
      <c r="L681" s="28"/>
      <c r="M681" s="28"/>
      <c r="T681" s="28"/>
      <c r="U681" s="28"/>
      <c r="V681" s="28"/>
      <c r="W681" s="28"/>
      <c r="AD681" s="28"/>
      <c r="AE681" s="28"/>
      <c r="AF681" s="28"/>
      <c r="AG681" s="28"/>
      <c r="AN681" s="28"/>
      <c r="AO681" s="28"/>
      <c r="AP681" s="28"/>
      <c r="AQ681" s="28"/>
    </row>
    <row r="682">
      <c r="J682" s="28"/>
      <c r="K682" s="28"/>
      <c r="L682" s="28"/>
      <c r="M682" s="28"/>
      <c r="T682" s="28"/>
      <c r="U682" s="28"/>
      <c r="V682" s="28"/>
      <c r="W682" s="28"/>
      <c r="AD682" s="28"/>
      <c r="AE682" s="28"/>
      <c r="AF682" s="28"/>
      <c r="AG682" s="28"/>
      <c r="AN682" s="28"/>
      <c r="AO682" s="28"/>
      <c r="AP682" s="28"/>
      <c r="AQ682" s="28"/>
    </row>
    <row r="683">
      <c r="J683" s="28"/>
      <c r="K683" s="28"/>
      <c r="L683" s="28"/>
      <c r="M683" s="28"/>
      <c r="T683" s="28"/>
      <c r="U683" s="28"/>
      <c r="V683" s="28"/>
      <c r="W683" s="28"/>
      <c r="AD683" s="28"/>
      <c r="AE683" s="28"/>
      <c r="AF683" s="28"/>
      <c r="AG683" s="28"/>
      <c r="AN683" s="28"/>
      <c r="AO683" s="28"/>
      <c r="AP683" s="28"/>
      <c r="AQ683" s="28"/>
    </row>
    <row r="684">
      <c r="J684" s="28"/>
      <c r="K684" s="28"/>
      <c r="L684" s="28"/>
      <c r="M684" s="28"/>
      <c r="T684" s="28"/>
      <c r="U684" s="28"/>
      <c r="V684" s="28"/>
      <c r="W684" s="28"/>
      <c r="AD684" s="28"/>
      <c r="AE684" s="28"/>
      <c r="AF684" s="28"/>
      <c r="AG684" s="28"/>
      <c r="AN684" s="28"/>
      <c r="AO684" s="28"/>
      <c r="AP684" s="28"/>
      <c r="AQ684" s="28"/>
    </row>
    <row r="685">
      <c r="J685" s="28"/>
      <c r="K685" s="28"/>
      <c r="L685" s="28"/>
      <c r="M685" s="28"/>
      <c r="T685" s="28"/>
      <c r="U685" s="28"/>
      <c r="V685" s="28"/>
      <c r="W685" s="28"/>
      <c r="AD685" s="28"/>
      <c r="AE685" s="28"/>
      <c r="AF685" s="28"/>
      <c r="AG685" s="28"/>
      <c r="AN685" s="28"/>
      <c r="AO685" s="28"/>
      <c r="AP685" s="28"/>
      <c r="AQ685" s="28"/>
    </row>
    <row r="686">
      <c r="J686" s="28"/>
      <c r="K686" s="28"/>
      <c r="L686" s="28"/>
      <c r="M686" s="28"/>
      <c r="T686" s="28"/>
      <c r="U686" s="28"/>
      <c r="V686" s="28"/>
      <c r="W686" s="28"/>
      <c r="AD686" s="28"/>
      <c r="AE686" s="28"/>
      <c r="AF686" s="28"/>
      <c r="AG686" s="28"/>
      <c r="AN686" s="28"/>
      <c r="AO686" s="28"/>
      <c r="AP686" s="28"/>
      <c r="AQ686" s="28"/>
    </row>
    <row r="687">
      <c r="J687" s="28"/>
      <c r="K687" s="28"/>
      <c r="L687" s="28"/>
      <c r="M687" s="28"/>
      <c r="T687" s="28"/>
      <c r="U687" s="28"/>
      <c r="V687" s="28"/>
      <c r="W687" s="28"/>
      <c r="AD687" s="28"/>
      <c r="AE687" s="28"/>
      <c r="AF687" s="28"/>
      <c r="AG687" s="28"/>
      <c r="AN687" s="28"/>
      <c r="AO687" s="28"/>
      <c r="AP687" s="28"/>
      <c r="AQ687" s="28"/>
    </row>
    <row r="688">
      <c r="J688" s="28"/>
      <c r="K688" s="28"/>
      <c r="L688" s="28"/>
      <c r="M688" s="28"/>
      <c r="T688" s="28"/>
      <c r="U688" s="28"/>
      <c r="V688" s="28"/>
      <c r="W688" s="28"/>
      <c r="AD688" s="28"/>
      <c r="AE688" s="28"/>
      <c r="AF688" s="28"/>
      <c r="AG688" s="28"/>
      <c r="AN688" s="28"/>
      <c r="AO688" s="28"/>
      <c r="AP688" s="28"/>
      <c r="AQ688" s="28"/>
    </row>
    <row r="689">
      <c r="J689" s="28"/>
      <c r="K689" s="28"/>
      <c r="L689" s="28"/>
      <c r="M689" s="28"/>
      <c r="T689" s="28"/>
      <c r="U689" s="28"/>
      <c r="V689" s="28"/>
      <c r="W689" s="28"/>
      <c r="AD689" s="28"/>
      <c r="AE689" s="28"/>
      <c r="AF689" s="28"/>
      <c r="AG689" s="28"/>
      <c r="AN689" s="28"/>
      <c r="AO689" s="28"/>
      <c r="AP689" s="28"/>
      <c r="AQ689" s="28"/>
    </row>
    <row r="690">
      <c r="J690" s="28"/>
      <c r="K690" s="28"/>
      <c r="L690" s="28"/>
      <c r="M690" s="28"/>
      <c r="T690" s="28"/>
      <c r="U690" s="28"/>
      <c r="V690" s="28"/>
      <c r="W690" s="28"/>
      <c r="AD690" s="28"/>
      <c r="AE690" s="28"/>
      <c r="AF690" s="28"/>
      <c r="AG690" s="28"/>
      <c r="AN690" s="28"/>
      <c r="AO690" s="28"/>
      <c r="AP690" s="28"/>
      <c r="AQ690" s="28"/>
    </row>
    <row r="691">
      <c r="J691" s="28"/>
      <c r="K691" s="28"/>
      <c r="L691" s="28"/>
      <c r="M691" s="28"/>
      <c r="T691" s="28"/>
      <c r="U691" s="28"/>
      <c r="V691" s="28"/>
      <c r="W691" s="28"/>
      <c r="AD691" s="28"/>
      <c r="AE691" s="28"/>
      <c r="AF691" s="28"/>
      <c r="AG691" s="28"/>
      <c r="AN691" s="28"/>
      <c r="AO691" s="28"/>
      <c r="AP691" s="28"/>
      <c r="AQ691" s="28"/>
    </row>
    <row r="692">
      <c r="J692" s="28"/>
      <c r="K692" s="28"/>
      <c r="L692" s="28"/>
      <c r="M692" s="28"/>
      <c r="T692" s="28"/>
      <c r="U692" s="28"/>
      <c r="V692" s="28"/>
      <c r="W692" s="28"/>
      <c r="AD692" s="28"/>
      <c r="AE692" s="28"/>
      <c r="AF692" s="28"/>
      <c r="AG692" s="28"/>
      <c r="AN692" s="28"/>
      <c r="AO692" s="28"/>
      <c r="AP692" s="28"/>
      <c r="AQ692" s="28"/>
    </row>
    <row r="693">
      <c r="J693" s="28"/>
      <c r="K693" s="28"/>
      <c r="L693" s="28"/>
      <c r="M693" s="28"/>
      <c r="T693" s="28"/>
      <c r="U693" s="28"/>
      <c r="V693" s="28"/>
      <c r="W693" s="28"/>
      <c r="AD693" s="28"/>
      <c r="AE693" s="28"/>
      <c r="AF693" s="28"/>
      <c r="AG693" s="28"/>
      <c r="AN693" s="28"/>
      <c r="AO693" s="28"/>
      <c r="AP693" s="28"/>
      <c r="AQ693" s="28"/>
    </row>
    <row r="694">
      <c r="J694" s="28"/>
      <c r="K694" s="28"/>
      <c r="L694" s="28"/>
      <c r="M694" s="28"/>
      <c r="T694" s="28"/>
      <c r="U694" s="28"/>
      <c r="V694" s="28"/>
      <c r="W694" s="28"/>
      <c r="AD694" s="28"/>
      <c r="AE694" s="28"/>
      <c r="AF694" s="28"/>
      <c r="AG694" s="28"/>
      <c r="AN694" s="28"/>
      <c r="AO694" s="28"/>
      <c r="AP694" s="28"/>
      <c r="AQ694" s="28"/>
    </row>
    <row r="695">
      <c r="J695" s="28"/>
      <c r="K695" s="28"/>
      <c r="L695" s="28"/>
      <c r="M695" s="28"/>
      <c r="T695" s="28"/>
      <c r="U695" s="28"/>
      <c r="V695" s="28"/>
      <c r="W695" s="28"/>
      <c r="AD695" s="28"/>
      <c r="AE695" s="28"/>
      <c r="AF695" s="28"/>
      <c r="AG695" s="28"/>
      <c r="AN695" s="28"/>
      <c r="AO695" s="28"/>
      <c r="AP695" s="28"/>
      <c r="AQ695" s="28"/>
    </row>
    <row r="696">
      <c r="J696" s="28"/>
      <c r="K696" s="28"/>
      <c r="L696" s="28"/>
      <c r="M696" s="28"/>
      <c r="T696" s="28"/>
      <c r="U696" s="28"/>
      <c r="V696" s="28"/>
      <c r="W696" s="28"/>
      <c r="AD696" s="28"/>
      <c r="AE696" s="28"/>
      <c r="AF696" s="28"/>
      <c r="AG696" s="28"/>
      <c r="AN696" s="28"/>
      <c r="AO696" s="28"/>
      <c r="AP696" s="28"/>
      <c r="AQ696" s="28"/>
    </row>
    <row r="697">
      <c r="J697" s="28"/>
      <c r="K697" s="28"/>
      <c r="L697" s="28"/>
      <c r="M697" s="28"/>
      <c r="T697" s="28"/>
      <c r="U697" s="28"/>
      <c r="V697" s="28"/>
      <c r="W697" s="28"/>
      <c r="AD697" s="28"/>
      <c r="AE697" s="28"/>
      <c r="AF697" s="28"/>
      <c r="AG697" s="28"/>
      <c r="AN697" s="28"/>
      <c r="AO697" s="28"/>
      <c r="AP697" s="28"/>
      <c r="AQ697" s="28"/>
    </row>
    <row r="698">
      <c r="J698" s="28"/>
      <c r="K698" s="28"/>
      <c r="L698" s="28"/>
      <c r="M698" s="28"/>
      <c r="T698" s="28"/>
      <c r="U698" s="28"/>
      <c r="V698" s="28"/>
      <c r="W698" s="28"/>
      <c r="AD698" s="28"/>
      <c r="AE698" s="28"/>
      <c r="AF698" s="28"/>
      <c r="AG698" s="28"/>
      <c r="AN698" s="28"/>
      <c r="AO698" s="28"/>
      <c r="AP698" s="28"/>
      <c r="AQ698" s="28"/>
    </row>
    <row r="699">
      <c r="J699" s="28"/>
      <c r="K699" s="28"/>
      <c r="L699" s="28"/>
      <c r="M699" s="28"/>
      <c r="T699" s="28"/>
      <c r="U699" s="28"/>
      <c r="V699" s="28"/>
      <c r="W699" s="28"/>
      <c r="AD699" s="28"/>
      <c r="AE699" s="28"/>
      <c r="AF699" s="28"/>
      <c r="AG699" s="28"/>
      <c r="AN699" s="28"/>
      <c r="AO699" s="28"/>
      <c r="AP699" s="28"/>
      <c r="AQ699" s="28"/>
    </row>
    <row r="700">
      <c r="J700" s="28"/>
      <c r="K700" s="28"/>
      <c r="L700" s="28"/>
      <c r="M700" s="28"/>
      <c r="T700" s="28"/>
      <c r="U700" s="28"/>
      <c r="V700" s="28"/>
      <c r="W700" s="28"/>
      <c r="AD700" s="28"/>
      <c r="AE700" s="28"/>
      <c r="AF700" s="28"/>
      <c r="AG700" s="28"/>
      <c r="AN700" s="28"/>
      <c r="AO700" s="28"/>
      <c r="AP700" s="28"/>
      <c r="AQ700" s="28"/>
    </row>
    <row r="701">
      <c r="J701" s="28"/>
      <c r="K701" s="28"/>
      <c r="L701" s="28"/>
      <c r="M701" s="28"/>
      <c r="T701" s="28"/>
      <c r="U701" s="28"/>
      <c r="V701" s="28"/>
      <c r="W701" s="28"/>
      <c r="AD701" s="28"/>
      <c r="AE701" s="28"/>
      <c r="AF701" s="28"/>
      <c r="AG701" s="28"/>
      <c r="AN701" s="28"/>
      <c r="AO701" s="28"/>
      <c r="AP701" s="28"/>
      <c r="AQ701" s="28"/>
    </row>
    <row r="702">
      <c r="J702" s="28"/>
      <c r="K702" s="28"/>
      <c r="L702" s="28"/>
      <c r="M702" s="28"/>
      <c r="T702" s="28"/>
      <c r="U702" s="28"/>
      <c r="V702" s="28"/>
      <c r="W702" s="28"/>
      <c r="AD702" s="28"/>
      <c r="AE702" s="28"/>
      <c r="AF702" s="28"/>
      <c r="AG702" s="28"/>
      <c r="AN702" s="28"/>
      <c r="AO702" s="28"/>
      <c r="AP702" s="28"/>
      <c r="AQ702" s="28"/>
    </row>
    <row r="703">
      <c r="J703" s="28"/>
      <c r="K703" s="28"/>
      <c r="L703" s="28"/>
      <c r="M703" s="28"/>
      <c r="T703" s="28"/>
      <c r="U703" s="28"/>
      <c r="V703" s="28"/>
      <c r="W703" s="28"/>
      <c r="AD703" s="28"/>
      <c r="AE703" s="28"/>
      <c r="AF703" s="28"/>
      <c r="AG703" s="28"/>
      <c r="AN703" s="28"/>
      <c r="AO703" s="28"/>
      <c r="AP703" s="28"/>
      <c r="AQ703" s="28"/>
    </row>
    <row r="704">
      <c r="J704" s="28"/>
      <c r="K704" s="28"/>
      <c r="L704" s="28"/>
      <c r="M704" s="28"/>
      <c r="T704" s="28"/>
      <c r="U704" s="28"/>
      <c r="V704" s="28"/>
      <c r="W704" s="28"/>
      <c r="AD704" s="28"/>
      <c r="AE704" s="28"/>
      <c r="AF704" s="28"/>
      <c r="AG704" s="28"/>
      <c r="AN704" s="28"/>
      <c r="AO704" s="28"/>
      <c r="AP704" s="28"/>
      <c r="AQ704" s="28"/>
    </row>
    <row r="705">
      <c r="J705" s="28"/>
      <c r="K705" s="28"/>
      <c r="L705" s="28"/>
      <c r="M705" s="28"/>
      <c r="T705" s="28"/>
      <c r="U705" s="28"/>
      <c r="V705" s="28"/>
      <c r="W705" s="28"/>
      <c r="AD705" s="28"/>
      <c r="AE705" s="28"/>
      <c r="AF705" s="28"/>
      <c r="AG705" s="28"/>
      <c r="AN705" s="28"/>
      <c r="AO705" s="28"/>
      <c r="AP705" s="28"/>
      <c r="AQ705" s="28"/>
    </row>
    <row r="706">
      <c r="J706" s="28"/>
      <c r="K706" s="28"/>
      <c r="L706" s="28"/>
      <c r="M706" s="28"/>
      <c r="T706" s="28"/>
      <c r="U706" s="28"/>
      <c r="V706" s="28"/>
      <c r="W706" s="28"/>
      <c r="AD706" s="28"/>
      <c r="AE706" s="28"/>
      <c r="AF706" s="28"/>
      <c r="AG706" s="28"/>
      <c r="AN706" s="28"/>
      <c r="AO706" s="28"/>
      <c r="AP706" s="28"/>
      <c r="AQ706" s="28"/>
    </row>
    <row r="707">
      <c r="J707" s="28"/>
      <c r="K707" s="28"/>
      <c r="L707" s="28"/>
      <c r="M707" s="28"/>
      <c r="T707" s="28"/>
      <c r="U707" s="28"/>
      <c r="V707" s="28"/>
      <c r="W707" s="28"/>
      <c r="AD707" s="28"/>
      <c r="AE707" s="28"/>
      <c r="AF707" s="28"/>
      <c r="AG707" s="28"/>
      <c r="AN707" s="28"/>
      <c r="AO707" s="28"/>
      <c r="AP707" s="28"/>
      <c r="AQ707" s="28"/>
    </row>
    <row r="708">
      <c r="J708" s="28"/>
      <c r="K708" s="28"/>
      <c r="L708" s="28"/>
      <c r="M708" s="28"/>
      <c r="T708" s="28"/>
      <c r="U708" s="28"/>
      <c r="V708" s="28"/>
      <c r="W708" s="28"/>
      <c r="AD708" s="28"/>
      <c r="AE708" s="28"/>
      <c r="AF708" s="28"/>
      <c r="AG708" s="28"/>
      <c r="AN708" s="28"/>
      <c r="AO708" s="28"/>
      <c r="AP708" s="28"/>
      <c r="AQ708" s="28"/>
    </row>
    <row r="709">
      <c r="J709" s="28"/>
      <c r="K709" s="28"/>
      <c r="L709" s="28"/>
      <c r="M709" s="28"/>
      <c r="T709" s="28"/>
      <c r="U709" s="28"/>
      <c r="V709" s="28"/>
      <c r="W709" s="28"/>
      <c r="AD709" s="28"/>
      <c r="AE709" s="28"/>
      <c r="AF709" s="28"/>
      <c r="AG709" s="28"/>
      <c r="AN709" s="28"/>
      <c r="AO709" s="28"/>
      <c r="AP709" s="28"/>
      <c r="AQ709" s="28"/>
    </row>
    <row r="710">
      <c r="J710" s="28"/>
      <c r="K710" s="28"/>
      <c r="L710" s="28"/>
      <c r="M710" s="28"/>
      <c r="T710" s="28"/>
      <c r="U710" s="28"/>
      <c r="V710" s="28"/>
      <c r="W710" s="28"/>
      <c r="AD710" s="28"/>
      <c r="AE710" s="28"/>
      <c r="AF710" s="28"/>
      <c r="AG710" s="28"/>
      <c r="AN710" s="28"/>
      <c r="AO710" s="28"/>
      <c r="AP710" s="28"/>
      <c r="AQ710" s="28"/>
    </row>
    <row r="711">
      <c r="J711" s="28"/>
      <c r="K711" s="28"/>
      <c r="L711" s="28"/>
      <c r="M711" s="28"/>
      <c r="T711" s="28"/>
      <c r="U711" s="28"/>
      <c r="V711" s="28"/>
      <c r="W711" s="28"/>
      <c r="AD711" s="28"/>
      <c r="AE711" s="28"/>
      <c r="AF711" s="28"/>
      <c r="AG711" s="28"/>
      <c r="AN711" s="28"/>
      <c r="AO711" s="28"/>
      <c r="AP711" s="28"/>
      <c r="AQ711" s="28"/>
    </row>
    <row r="712">
      <c r="J712" s="28"/>
      <c r="K712" s="28"/>
      <c r="L712" s="28"/>
      <c r="M712" s="28"/>
      <c r="T712" s="28"/>
      <c r="U712" s="28"/>
      <c r="V712" s="28"/>
      <c r="W712" s="28"/>
      <c r="AD712" s="28"/>
      <c r="AE712" s="28"/>
      <c r="AF712" s="28"/>
      <c r="AG712" s="28"/>
      <c r="AN712" s="28"/>
      <c r="AO712" s="28"/>
      <c r="AP712" s="28"/>
      <c r="AQ712" s="28"/>
    </row>
    <row r="713">
      <c r="J713" s="28"/>
      <c r="K713" s="28"/>
      <c r="L713" s="28"/>
      <c r="M713" s="28"/>
      <c r="T713" s="28"/>
      <c r="U713" s="28"/>
      <c r="V713" s="28"/>
      <c r="W713" s="28"/>
      <c r="AD713" s="28"/>
      <c r="AE713" s="28"/>
      <c r="AF713" s="28"/>
      <c r="AG713" s="28"/>
      <c r="AN713" s="28"/>
      <c r="AO713" s="28"/>
      <c r="AP713" s="28"/>
      <c r="AQ713" s="28"/>
    </row>
    <row r="714">
      <c r="J714" s="28"/>
      <c r="K714" s="28"/>
      <c r="L714" s="28"/>
      <c r="M714" s="28"/>
      <c r="T714" s="28"/>
      <c r="U714" s="28"/>
      <c r="V714" s="28"/>
      <c r="W714" s="28"/>
      <c r="AD714" s="28"/>
      <c r="AE714" s="28"/>
      <c r="AF714" s="28"/>
      <c r="AG714" s="28"/>
      <c r="AN714" s="28"/>
      <c r="AO714" s="28"/>
      <c r="AP714" s="28"/>
      <c r="AQ714" s="28"/>
    </row>
    <row r="715">
      <c r="J715" s="28"/>
      <c r="K715" s="28"/>
      <c r="L715" s="28"/>
      <c r="M715" s="28"/>
      <c r="T715" s="28"/>
      <c r="U715" s="28"/>
      <c r="V715" s="28"/>
      <c r="W715" s="28"/>
      <c r="AD715" s="28"/>
      <c r="AE715" s="28"/>
      <c r="AF715" s="28"/>
      <c r="AG715" s="28"/>
      <c r="AN715" s="28"/>
      <c r="AO715" s="28"/>
      <c r="AP715" s="28"/>
      <c r="AQ715" s="28"/>
    </row>
    <row r="716">
      <c r="J716" s="28"/>
      <c r="K716" s="28"/>
      <c r="L716" s="28"/>
      <c r="M716" s="28"/>
      <c r="T716" s="28"/>
      <c r="U716" s="28"/>
      <c r="V716" s="28"/>
      <c r="W716" s="28"/>
      <c r="AD716" s="28"/>
      <c r="AE716" s="28"/>
      <c r="AF716" s="28"/>
      <c r="AG716" s="28"/>
      <c r="AN716" s="28"/>
      <c r="AO716" s="28"/>
      <c r="AP716" s="28"/>
      <c r="AQ716" s="28"/>
    </row>
    <row r="717">
      <c r="J717" s="28"/>
      <c r="K717" s="28"/>
      <c r="L717" s="28"/>
      <c r="M717" s="28"/>
      <c r="T717" s="28"/>
      <c r="U717" s="28"/>
      <c r="V717" s="28"/>
      <c r="W717" s="28"/>
      <c r="AD717" s="28"/>
      <c r="AE717" s="28"/>
      <c r="AF717" s="28"/>
      <c r="AG717" s="28"/>
      <c r="AN717" s="28"/>
      <c r="AO717" s="28"/>
      <c r="AP717" s="28"/>
      <c r="AQ717" s="28"/>
    </row>
    <row r="718">
      <c r="J718" s="28"/>
      <c r="K718" s="28"/>
      <c r="L718" s="28"/>
      <c r="M718" s="28"/>
      <c r="T718" s="28"/>
      <c r="U718" s="28"/>
      <c r="V718" s="28"/>
      <c r="W718" s="28"/>
      <c r="AD718" s="28"/>
      <c r="AE718" s="28"/>
      <c r="AF718" s="28"/>
      <c r="AG718" s="28"/>
      <c r="AN718" s="28"/>
      <c r="AO718" s="28"/>
      <c r="AP718" s="28"/>
      <c r="AQ718" s="28"/>
    </row>
    <row r="719">
      <c r="J719" s="28"/>
      <c r="K719" s="28"/>
      <c r="L719" s="28"/>
      <c r="M719" s="28"/>
      <c r="T719" s="28"/>
      <c r="U719" s="28"/>
      <c r="V719" s="28"/>
      <c r="W719" s="28"/>
      <c r="AD719" s="28"/>
      <c r="AE719" s="28"/>
      <c r="AF719" s="28"/>
      <c r="AG719" s="28"/>
      <c r="AN719" s="28"/>
      <c r="AO719" s="28"/>
      <c r="AP719" s="28"/>
      <c r="AQ719" s="28"/>
    </row>
    <row r="720">
      <c r="J720" s="28"/>
      <c r="K720" s="28"/>
      <c r="L720" s="28"/>
      <c r="M720" s="28"/>
      <c r="T720" s="28"/>
      <c r="U720" s="28"/>
      <c r="V720" s="28"/>
      <c r="W720" s="28"/>
      <c r="AD720" s="28"/>
      <c r="AE720" s="28"/>
      <c r="AF720" s="28"/>
      <c r="AG720" s="28"/>
      <c r="AN720" s="28"/>
      <c r="AO720" s="28"/>
      <c r="AP720" s="28"/>
      <c r="AQ720" s="28"/>
    </row>
    <row r="721">
      <c r="J721" s="28"/>
      <c r="K721" s="28"/>
      <c r="L721" s="28"/>
      <c r="M721" s="28"/>
      <c r="T721" s="28"/>
      <c r="U721" s="28"/>
      <c r="V721" s="28"/>
      <c r="W721" s="28"/>
      <c r="AD721" s="28"/>
      <c r="AE721" s="28"/>
      <c r="AF721" s="28"/>
      <c r="AG721" s="28"/>
      <c r="AN721" s="28"/>
      <c r="AO721" s="28"/>
      <c r="AP721" s="28"/>
      <c r="AQ721" s="28"/>
    </row>
    <row r="722">
      <c r="J722" s="28"/>
      <c r="K722" s="28"/>
      <c r="L722" s="28"/>
      <c r="M722" s="28"/>
      <c r="T722" s="28"/>
      <c r="U722" s="28"/>
      <c r="V722" s="28"/>
      <c r="W722" s="28"/>
      <c r="AD722" s="28"/>
      <c r="AE722" s="28"/>
      <c r="AF722" s="28"/>
      <c r="AG722" s="28"/>
      <c r="AN722" s="28"/>
      <c r="AO722" s="28"/>
      <c r="AP722" s="28"/>
      <c r="AQ722" s="28"/>
    </row>
    <row r="723">
      <c r="J723" s="28"/>
      <c r="K723" s="28"/>
      <c r="L723" s="28"/>
      <c r="M723" s="28"/>
      <c r="T723" s="28"/>
      <c r="U723" s="28"/>
      <c r="V723" s="28"/>
      <c r="W723" s="28"/>
      <c r="AD723" s="28"/>
      <c r="AE723" s="28"/>
      <c r="AF723" s="28"/>
      <c r="AG723" s="28"/>
      <c r="AN723" s="28"/>
      <c r="AO723" s="28"/>
      <c r="AP723" s="28"/>
      <c r="AQ723" s="28"/>
    </row>
    <row r="724">
      <c r="J724" s="28"/>
      <c r="K724" s="28"/>
      <c r="L724" s="28"/>
      <c r="M724" s="28"/>
      <c r="T724" s="28"/>
      <c r="U724" s="28"/>
      <c r="V724" s="28"/>
      <c r="W724" s="28"/>
      <c r="AD724" s="28"/>
      <c r="AE724" s="28"/>
      <c r="AF724" s="28"/>
      <c r="AG724" s="28"/>
      <c r="AN724" s="28"/>
      <c r="AO724" s="28"/>
      <c r="AP724" s="28"/>
      <c r="AQ724" s="28"/>
    </row>
    <row r="725">
      <c r="J725" s="28"/>
      <c r="K725" s="28"/>
      <c r="L725" s="28"/>
      <c r="M725" s="28"/>
      <c r="T725" s="28"/>
      <c r="U725" s="28"/>
      <c r="V725" s="28"/>
      <c r="W725" s="28"/>
      <c r="AD725" s="28"/>
      <c r="AE725" s="28"/>
      <c r="AF725" s="28"/>
      <c r="AG725" s="28"/>
      <c r="AN725" s="28"/>
      <c r="AO725" s="28"/>
      <c r="AP725" s="28"/>
      <c r="AQ725" s="28"/>
    </row>
    <row r="726">
      <c r="J726" s="28"/>
      <c r="K726" s="28"/>
      <c r="L726" s="28"/>
      <c r="M726" s="28"/>
      <c r="T726" s="28"/>
      <c r="U726" s="28"/>
      <c r="V726" s="28"/>
      <c r="W726" s="28"/>
      <c r="AD726" s="28"/>
      <c r="AE726" s="28"/>
      <c r="AF726" s="28"/>
      <c r="AG726" s="28"/>
      <c r="AN726" s="28"/>
      <c r="AO726" s="28"/>
      <c r="AP726" s="28"/>
      <c r="AQ726" s="28"/>
    </row>
    <row r="727">
      <c r="J727" s="28"/>
      <c r="K727" s="28"/>
      <c r="L727" s="28"/>
      <c r="M727" s="28"/>
      <c r="T727" s="28"/>
      <c r="U727" s="28"/>
      <c r="V727" s="28"/>
      <c r="W727" s="28"/>
      <c r="AD727" s="28"/>
      <c r="AE727" s="28"/>
      <c r="AF727" s="28"/>
      <c r="AG727" s="28"/>
      <c r="AN727" s="28"/>
      <c r="AO727" s="28"/>
      <c r="AP727" s="28"/>
      <c r="AQ727" s="28"/>
    </row>
    <row r="728">
      <c r="J728" s="28"/>
      <c r="K728" s="28"/>
      <c r="L728" s="28"/>
      <c r="M728" s="28"/>
      <c r="T728" s="28"/>
      <c r="U728" s="28"/>
      <c r="V728" s="28"/>
      <c r="W728" s="28"/>
      <c r="AD728" s="28"/>
      <c r="AE728" s="28"/>
      <c r="AF728" s="28"/>
      <c r="AG728" s="28"/>
      <c r="AN728" s="28"/>
      <c r="AO728" s="28"/>
      <c r="AP728" s="28"/>
      <c r="AQ728" s="28"/>
    </row>
    <row r="729">
      <c r="J729" s="28"/>
      <c r="K729" s="28"/>
      <c r="L729" s="28"/>
      <c r="M729" s="28"/>
      <c r="T729" s="28"/>
      <c r="U729" s="28"/>
      <c r="V729" s="28"/>
      <c r="W729" s="28"/>
      <c r="AD729" s="28"/>
      <c r="AE729" s="28"/>
      <c r="AF729" s="28"/>
      <c r="AG729" s="28"/>
      <c r="AN729" s="28"/>
      <c r="AO729" s="28"/>
      <c r="AP729" s="28"/>
      <c r="AQ729" s="28"/>
    </row>
    <row r="730">
      <c r="J730" s="28"/>
      <c r="K730" s="28"/>
      <c r="L730" s="28"/>
      <c r="M730" s="28"/>
      <c r="T730" s="28"/>
      <c r="U730" s="28"/>
      <c r="V730" s="28"/>
      <c r="W730" s="28"/>
      <c r="AD730" s="28"/>
      <c r="AE730" s="28"/>
      <c r="AF730" s="28"/>
      <c r="AG730" s="28"/>
      <c r="AN730" s="28"/>
      <c r="AO730" s="28"/>
      <c r="AP730" s="28"/>
      <c r="AQ730" s="28"/>
    </row>
    <row r="731">
      <c r="J731" s="28"/>
      <c r="K731" s="28"/>
      <c r="L731" s="28"/>
      <c r="M731" s="28"/>
      <c r="T731" s="28"/>
      <c r="U731" s="28"/>
      <c r="V731" s="28"/>
      <c r="W731" s="28"/>
      <c r="AD731" s="28"/>
      <c r="AE731" s="28"/>
      <c r="AF731" s="28"/>
      <c r="AG731" s="28"/>
      <c r="AN731" s="28"/>
      <c r="AO731" s="28"/>
      <c r="AP731" s="28"/>
      <c r="AQ731" s="28"/>
    </row>
    <row r="732">
      <c r="J732" s="28"/>
      <c r="K732" s="28"/>
      <c r="L732" s="28"/>
      <c r="M732" s="28"/>
      <c r="T732" s="28"/>
      <c r="U732" s="28"/>
      <c r="V732" s="28"/>
      <c r="W732" s="28"/>
      <c r="AD732" s="28"/>
      <c r="AE732" s="28"/>
      <c r="AF732" s="28"/>
      <c r="AG732" s="28"/>
      <c r="AN732" s="28"/>
      <c r="AO732" s="28"/>
      <c r="AP732" s="28"/>
      <c r="AQ732" s="28"/>
    </row>
    <row r="733">
      <c r="J733" s="28"/>
      <c r="K733" s="28"/>
      <c r="L733" s="28"/>
      <c r="M733" s="28"/>
      <c r="T733" s="28"/>
      <c r="U733" s="28"/>
      <c r="V733" s="28"/>
      <c r="W733" s="28"/>
      <c r="AD733" s="28"/>
      <c r="AE733" s="28"/>
      <c r="AF733" s="28"/>
      <c r="AG733" s="28"/>
      <c r="AN733" s="28"/>
      <c r="AO733" s="28"/>
      <c r="AP733" s="28"/>
      <c r="AQ733" s="28"/>
    </row>
    <row r="734">
      <c r="J734" s="28"/>
      <c r="K734" s="28"/>
      <c r="L734" s="28"/>
      <c r="M734" s="28"/>
      <c r="T734" s="28"/>
      <c r="U734" s="28"/>
      <c r="V734" s="28"/>
      <c r="W734" s="28"/>
      <c r="AD734" s="28"/>
      <c r="AE734" s="28"/>
      <c r="AF734" s="28"/>
      <c r="AG734" s="28"/>
      <c r="AN734" s="28"/>
      <c r="AO734" s="28"/>
      <c r="AP734" s="28"/>
      <c r="AQ734" s="28"/>
    </row>
    <row r="735">
      <c r="J735" s="28"/>
      <c r="K735" s="28"/>
      <c r="L735" s="28"/>
      <c r="M735" s="28"/>
      <c r="T735" s="28"/>
      <c r="U735" s="28"/>
      <c r="V735" s="28"/>
      <c r="W735" s="28"/>
      <c r="AD735" s="28"/>
      <c r="AE735" s="28"/>
      <c r="AF735" s="28"/>
      <c r="AG735" s="28"/>
      <c r="AN735" s="28"/>
      <c r="AO735" s="28"/>
      <c r="AP735" s="28"/>
      <c r="AQ735" s="28"/>
    </row>
    <row r="736">
      <c r="J736" s="28"/>
      <c r="K736" s="28"/>
      <c r="L736" s="28"/>
      <c r="M736" s="28"/>
      <c r="T736" s="28"/>
      <c r="U736" s="28"/>
      <c r="V736" s="28"/>
      <c r="W736" s="28"/>
      <c r="AD736" s="28"/>
      <c r="AE736" s="28"/>
      <c r="AF736" s="28"/>
      <c r="AG736" s="28"/>
      <c r="AN736" s="28"/>
      <c r="AO736" s="28"/>
      <c r="AP736" s="28"/>
      <c r="AQ736" s="28"/>
    </row>
    <row r="737">
      <c r="J737" s="28"/>
      <c r="K737" s="28"/>
      <c r="L737" s="28"/>
      <c r="M737" s="28"/>
      <c r="T737" s="28"/>
      <c r="U737" s="28"/>
      <c r="V737" s="28"/>
      <c r="W737" s="28"/>
      <c r="AD737" s="28"/>
      <c r="AE737" s="28"/>
      <c r="AF737" s="28"/>
      <c r="AG737" s="28"/>
      <c r="AN737" s="28"/>
      <c r="AO737" s="28"/>
      <c r="AP737" s="28"/>
      <c r="AQ737" s="28"/>
    </row>
    <row r="738">
      <c r="J738" s="28"/>
      <c r="K738" s="28"/>
      <c r="L738" s="28"/>
      <c r="M738" s="28"/>
      <c r="T738" s="28"/>
      <c r="U738" s="28"/>
      <c r="V738" s="28"/>
      <c r="W738" s="28"/>
      <c r="AD738" s="28"/>
      <c r="AE738" s="28"/>
      <c r="AF738" s="28"/>
      <c r="AG738" s="28"/>
      <c r="AN738" s="28"/>
      <c r="AO738" s="28"/>
      <c r="AP738" s="28"/>
      <c r="AQ738" s="28"/>
    </row>
    <row r="739">
      <c r="J739" s="28"/>
      <c r="K739" s="28"/>
      <c r="L739" s="28"/>
      <c r="M739" s="28"/>
      <c r="T739" s="28"/>
      <c r="U739" s="28"/>
      <c r="V739" s="28"/>
      <c r="W739" s="28"/>
      <c r="AD739" s="28"/>
      <c r="AE739" s="28"/>
      <c r="AF739" s="28"/>
      <c r="AG739" s="28"/>
      <c r="AN739" s="28"/>
      <c r="AO739" s="28"/>
      <c r="AP739" s="28"/>
      <c r="AQ739" s="28"/>
    </row>
    <row r="740">
      <c r="J740" s="28"/>
      <c r="K740" s="28"/>
      <c r="L740" s="28"/>
      <c r="M740" s="28"/>
      <c r="T740" s="28"/>
      <c r="U740" s="28"/>
      <c r="V740" s="28"/>
      <c r="W740" s="28"/>
      <c r="AD740" s="28"/>
      <c r="AE740" s="28"/>
      <c r="AF740" s="28"/>
      <c r="AG740" s="28"/>
      <c r="AN740" s="28"/>
      <c r="AO740" s="28"/>
      <c r="AP740" s="28"/>
      <c r="AQ740" s="28"/>
    </row>
    <row r="741">
      <c r="J741" s="28"/>
      <c r="K741" s="28"/>
      <c r="L741" s="28"/>
      <c r="M741" s="28"/>
      <c r="T741" s="28"/>
      <c r="U741" s="28"/>
      <c r="V741" s="28"/>
      <c r="W741" s="28"/>
      <c r="AD741" s="28"/>
      <c r="AE741" s="28"/>
      <c r="AF741" s="28"/>
      <c r="AG741" s="28"/>
      <c r="AN741" s="28"/>
      <c r="AO741" s="28"/>
      <c r="AP741" s="28"/>
      <c r="AQ741" s="28"/>
    </row>
    <row r="742">
      <c r="J742" s="28"/>
      <c r="K742" s="28"/>
      <c r="L742" s="28"/>
      <c r="M742" s="28"/>
      <c r="T742" s="28"/>
      <c r="U742" s="28"/>
      <c r="V742" s="28"/>
      <c r="W742" s="28"/>
      <c r="AD742" s="28"/>
      <c r="AE742" s="28"/>
      <c r="AF742" s="28"/>
      <c r="AG742" s="28"/>
      <c r="AN742" s="28"/>
      <c r="AO742" s="28"/>
      <c r="AP742" s="28"/>
      <c r="AQ742" s="28"/>
    </row>
    <row r="743">
      <c r="J743" s="28"/>
      <c r="K743" s="28"/>
      <c r="L743" s="28"/>
      <c r="M743" s="28"/>
      <c r="T743" s="28"/>
      <c r="U743" s="28"/>
      <c r="V743" s="28"/>
      <c r="W743" s="28"/>
      <c r="AD743" s="28"/>
      <c r="AE743" s="28"/>
      <c r="AF743" s="28"/>
      <c r="AG743" s="28"/>
      <c r="AN743" s="28"/>
      <c r="AO743" s="28"/>
      <c r="AP743" s="28"/>
      <c r="AQ743" s="28"/>
    </row>
    <row r="744">
      <c r="J744" s="28"/>
      <c r="K744" s="28"/>
      <c r="L744" s="28"/>
      <c r="M744" s="28"/>
      <c r="T744" s="28"/>
      <c r="U744" s="28"/>
      <c r="V744" s="28"/>
      <c r="W744" s="28"/>
      <c r="AD744" s="28"/>
      <c r="AE744" s="28"/>
      <c r="AF744" s="28"/>
      <c r="AG744" s="28"/>
      <c r="AN744" s="28"/>
      <c r="AO744" s="28"/>
      <c r="AP744" s="28"/>
      <c r="AQ744" s="28"/>
    </row>
    <row r="745">
      <c r="J745" s="28"/>
      <c r="K745" s="28"/>
      <c r="L745" s="28"/>
      <c r="M745" s="28"/>
      <c r="T745" s="28"/>
      <c r="U745" s="28"/>
      <c r="V745" s="28"/>
      <c r="W745" s="28"/>
      <c r="AD745" s="28"/>
      <c r="AE745" s="28"/>
      <c r="AF745" s="28"/>
      <c r="AG745" s="28"/>
      <c r="AN745" s="28"/>
      <c r="AO745" s="28"/>
      <c r="AP745" s="28"/>
      <c r="AQ745" s="28"/>
    </row>
    <row r="746">
      <c r="J746" s="28"/>
      <c r="K746" s="28"/>
      <c r="L746" s="28"/>
      <c r="M746" s="28"/>
      <c r="T746" s="28"/>
      <c r="U746" s="28"/>
      <c r="V746" s="28"/>
      <c r="W746" s="28"/>
      <c r="AD746" s="28"/>
      <c r="AE746" s="28"/>
      <c r="AF746" s="28"/>
      <c r="AG746" s="28"/>
      <c r="AN746" s="28"/>
      <c r="AO746" s="28"/>
      <c r="AP746" s="28"/>
      <c r="AQ746" s="28"/>
    </row>
    <row r="747">
      <c r="J747" s="28"/>
      <c r="K747" s="28"/>
      <c r="L747" s="28"/>
      <c r="M747" s="28"/>
      <c r="T747" s="28"/>
      <c r="U747" s="28"/>
      <c r="V747" s="28"/>
      <c r="W747" s="28"/>
      <c r="AD747" s="28"/>
      <c r="AE747" s="28"/>
      <c r="AF747" s="28"/>
      <c r="AG747" s="28"/>
      <c r="AN747" s="28"/>
      <c r="AO747" s="28"/>
      <c r="AP747" s="28"/>
      <c r="AQ747" s="28"/>
    </row>
    <row r="748">
      <c r="J748" s="28"/>
      <c r="K748" s="28"/>
      <c r="L748" s="28"/>
      <c r="M748" s="28"/>
      <c r="T748" s="28"/>
      <c r="U748" s="28"/>
      <c r="V748" s="28"/>
      <c r="W748" s="28"/>
      <c r="AD748" s="28"/>
      <c r="AE748" s="28"/>
      <c r="AF748" s="28"/>
      <c r="AG748" s="28"/>
      <c r="AN748" s="28"/>
      <c r="AO748" s="28"/>
      <c r="AP748" s="28"/>
      <c r="AQ748" s="28"/>
    </row>
    <row r="749">
      <c r="J749" s="28"/>
      <c r="K749" s="28"/>
      <c r="L749" s="28"/>
      <c r="M749" s="28"/>
      <c r="T749" s="28"/>
      <c r="U749" s="28"/>
      <c r="V749" s="28"/>
      <c r="W749" s="28"/>
      <c r="AD749" s="28"/>
      <c r="AE749" s="28"/>
      <c r="AF749" s="28"/>
      <c r="AG749" s="28"/>
      <c r="AN749" s="28"/>
      <c r="AO749" s="28"/>
      <c r="AP749" s="28"/>
      <c r="AQ749" s="28"/>
    </row>
    <row r="750">
      <c r="J750" s="28"/>
      <c r="K750" s="28"/>
      <c r="L750" s="28"/>
      <c r="M750" s="28"/>
      <c r="T750" s="28"/>
      <c r="U750" s="28"/>
      <c r="V750" s="28"/>
      <c r="W750" s="28"/>
      <c r="AD750" s="28"/>
      <c r="AE750" s="28"/>
      <c r="AF750" s="28"/>
      <c r="AG750" s="28"/>
      <c r="AN750" s="28"/>
      <c r="AO750" s="28"/>
      <c r="AP750" s="28"/>
      <c r="AQ750" s="28"/>
    </row>
    <row r="751">
      <c r="J751" s="28"/>
      <c r="K751" s="28"/>
      <c r="L751" s="28"/>
      <c r="M751" s="28"/>
      <c r="T751" s="28"/>
      <c r="U751" s="28"/>
      <c r="V751" s="28"/>
      <c r="W751" s="28"/>
      <c r="AD751" s="28"/>
      <c r="AE751" s="28"/>
      <c r="AF751" s="28"/>
      <c r="AG751" s="28"/>
      <c r="AN751" s="28"/>
      <c r="AO751" s="28"/>
      <c r="AP751" s="28"/>
      <c r="AQ751" s="28"/>
    </row>
    <row r="752">
      <c r="J752" s="28"/>
      <c r="K752" s="28"/>
      <c r="L752" s="28"/>
      <c r="M752" s="28"/>
      <c r="T752" s="28"/>
      <c r="U752" s="28"/>
      <c r="V752" s="28"/>
      <c r="W752" s="28"/>
      <c r="AD752" s="28"/>
      <c r="AE752" s="28"/>
      <c r="AF752" s="28"/>
      <c r="AG752" s="28"/>
      <c r="AN752" s="28"/>
      <c r="AO752" s="28"/>
      <c r="AP752" s="28"/>
      <c r="AQ752" s="28"/>
    </row>
    <row r="753">
      <c r="J753" s="28"/>
      <c r="K753" s="28"/>
      <c r="L753" s="28"/>
      <c r="M753" s="28"/>
      <c r="T753" s="28"/>
      <c r="U753" s="28"/>
      <c r="V753" s="28"/>
      <c r="W753" s="28"/>
      <c r="AD753" s="28"/>
      <c r="AE753" s="28"/>
      <c r="AF753" s="28"/>
      <c r="AG753" s="28"/>
      <c r="AN753" s="28"/>
      <c r="AO753" s="28"/>
      <c r="AP753" s="28"/>
      <c r="AQ753" s="28"/>
    </row>
    <row r="754">
      <c r="J754" s="28"/>
      <c r="K754" s="28"/>
      <c r="L754" s="28"/>
      <c r="M754" s="28"/>
      <c r="T754" s="28"/>
      <c r="U754" s="28"/>
      <c r="V754" s="28"/>
      <c r="W754" s="28"/>
      <c r="AD754" s="28"/>
      <c r="AE754" s="28"/>
      <c r="AF754" s="28"/>
      <c r="AG754" s="28"/>
      <c r="AN754" s="28"/>
      <c r="AO754" s="28"/>
      <c r="AP754" s="28"/>
      <c r="AQ754" s="28"/>
    </row>
    <row r="755">
      <c r="J755" s="28"/>
      <c r="K755" s="28"/>
      <c r="L755" s="28"/>
      <c r="M755" s="28"/>
      <c r="T755" s="28"/>
      <c r="U755" s="28"/>
      <c r="V755" s="28"/>
      <c r="W755" s="28"/>
      <c r="AD755" s="28"/>
      <c r="AE755" s="28"/>
      <c r="AF755" s="28"/>
      <c r="AG755" s="28"/>
      <c r="AN755" s="28"/>
      <c r="AO755" s="28"/>
      <c r="AP755" s="28"/>
      <c r="AQ755" s="28"/>
    </row>
    <row r="756">
      <c r="J756" s="28"/>
      <c r="K756" s="28"/>
      <c r="L756" s="28"/>
      <c r="M756" s="28"/>
      <c r="T756" s="28"/>
      <c r="U756" s="28"/>
      <c r="V756" s="28"/>
      <c r="W756" s="28"/>
      <c r="AD756" s="28"/>
      <c r="AE756" s="28"/>
      <c r="AF756" s="28"/>
      <c r="AG756" s="28"/>
      <c r="AN756" s="28"/>
      <c r="AO756" s="28"/>
      <c r="AP756" s="28"/>
      <c r="AQ756" s="28"/>
    </row>
    <row r="757">
      <c r="J757" s="28"/>
      <c r="K757" s="28"/>
      <c r="L757" s="28"/>
      <c r="M757" s="28"/>
      <c r="T757" s="28"/>
      <c r="U757" s="28"/>
      <c r="V757" s="28"/>
      <c r="W757" s="28"/>
      <c r="AD757" s="28"/>
      <c r="AE757" s="28"/>
      <c r="AF757" s="28"/>
      <c r="AG757" s="28"/>
      <c r="AN757" s="28"/>
      <c r="AO757" s="28"/>
      <c r="AP757" s="28"/>
      <c r="AQ757" s="28"/>
    </row>
    <row r="758">
      <c r="J758" s="28"/>
      <c r="K758" s="28"/>
      <c r="L758" s="28"/>
      <c r="M758" s="28"/>
      <c r="T758" s="28"/>
      <c r="U758" s="28"/>
      <c r="V758" s="28"/>
      <c r="W758" s="28"/>
      <c r="AD758" s="28"/>
      <c r="AE758" s="28"/>
      <c r="AF758" s="28"/>
      <c r="AG758" s="28"/>
      <c r="AN758" s="28"/>
      <c r="AO758" s="28"/>
      <c r="AP758" s="28"/>
      <c r="AQ758" s="28"/>
    </row>
    <row r="759">
      <c r="J759" s="28"/>
      <c r="K759" s="28"/>
      <c r="L759" s="28"/>
      <c r="M759" s="28"/>
      <c r="T759" s="28"/>
      <c r="U759" s="28"/>
      <c r="V759" s="28"/>
      <c r="W759" s="28"/>
      <c r="AD759" s="28"/>
      <c r="AE759" s="28"/>
      <c r="AF759" s="28"/>
      <c r="AG759" s="28"/>
      <c r="AN759" s="28"/>
      <c r="AO759" s="28"/>
      <c r="AP759" s="28"/>
      <c r="AQ759" s="28"/>
    </row>
    <row r="760">
      <c r="J760" s="28"/>
      <c r="K760" s="28"/>
      <c r="L760" s="28"/>
      <c r="M760" s="28"/>
      <c r="T760" s="28"/>
      <c r="U760" s="28"/>
      <c r="V760" s="28"/>
      <c r="W760" s="28"/>
      <c r="AD760" s="28"/>
      <c r="AE760" s="28"/>
      <c r="AF760" s="28"/>
      <c r="AG760" s="28"/>
      <c r="AN760" s="28"/>
      <c r="AO760" s="28"/>
      <c r="AP760" s="28"/>
      <c r="AQ760" s="28"/>
    </row>
    <row r="761">
      <c r="J761" s="28"/>
      <c r="K761" s="28"/>
      <c r="L761" s="28"/>
      <c r="M761" s="28"/>
      <c r="T761" s="28"/>
      <c r="U761" s="28"/>
      <c r="V761" s="28"/>
      <c r="W761" s="28"/>
      <c r="AD761" s="28"/>
      <c r="AE761" s="28"/>
      <c r="AF761" s="28"/>
      <c r="AG761" s="28"/>
      <c r="AN761" s="28"/>
      <c r="AO761" s="28"/>
      <c r="AP761" s="28"/>
      <c r="AQ761" s="28"/>
    </row>
    <row r="762">
      <c r="J762" s="28"/>
      <c r="K762" s="28"/>
      <c r="L762" s="28"/>
      <c r="M762" s="28"/>
      <c r="T762" s="28"/>
      <c r="U762" s="28"/>
      <c r="V762" s="28"/>
      <c r="W762" s="28"/>
      <c r="AD762" s="28"/>
      <c r="AE762" s="28"/>
      <c r="AF762" s="28"/>
      <c r="AG762" s="28"/>
      <c r="AN762" s="28"/>
      <c r="AO762" s="28"/>
      <c r="AP762" s="28"/>
      <c r="AQ762" s="28"/>
    </row>
    <row r="763">
      <c r="J763" s="28"/>
      <c r="K763" s="28"/>
      <c r="L763" s="28"/>
      <c r="M763" s="28"/>
      <c r="T763" s="28"/>
      <c r="U763" s="28"/>
      <c r="V763" s="28"/>
      <c r="W763" s="28"/>
      <c r="AD763" s="28"/>
      <c r="AE763" s="28"/>
      <c r="AF763" s="28"/>
      <c r="AG763" s="28"/>
      <c r="AN763" s="28"/>
      <c r="AO763" s="28"/>
      <c r="AP763" s="28"/>
      <c r="AQ763" s="28"/>
    </row>
    <row r="764">
      <c r="J764" s="28"/>
      <c r="K764" s="28"/>
      <c r="L764" s="28"/>
      <c r="M764" s="28"/>
      <c r="T764" s="28"/>
      <c r="U764" s="28"/>
      <c r="V764" s="28"/>
      <c r="W764" s="28"/>
      <c r="AD764" s="28"/>
      <c r="AE764" s="28"/>
      <c r="AF764" s="28"/>
      <c r="AG764" s="28"/>
      <c r="AN764" s="28"/>
      <c r="AO764" s="28"/>
      <c r="AP764" s="28"/>
      <c r="AQ764" s="28"/>
    </row>
    <row r="765">
      <c r="J765" s="28"/>
      <c r="K765" s="28"/>
      <c r="L765" s="28"/>
      <c r="M765" s="28"/>
      <c r="T765" s="28"/>
      <c r="U765" s="28"/>
      <c r="V765" s="28"/>
      <c r="W765" s="28"/>
      <c r="AD765" s="28"/>
      <c r="AE765" s="28"/>
      <c r="AF765" s="28"/>
      <c r="AG765" s="28"/>
      <c r="AN765" s="28"/>
      <c r="AO765" s="28"/>
      <c r="AP765" s="28"/>
      <c r="AQ765" s="28"/>
    </row>
    <row r="766">
      <c r="J766" s="28"/>
      <c r="K766" s="28"/>
      <c r="L766" s="28"/>
      <c r="M766" s="28"/>
      <c r="T766" s="28"/>
      <c r="U766" s="28"/>
      <c r="V766" s="28"/>
      <c r="W766" s="28"/>
      <c r="AD766" s="28"/>
      <c r="AE766" s="28"/>
      <c r="AF766" s="28"/>
      <c r="AG766" s="28"/>
      <c r="AN766" s="28"/>
      <c r="AO766" s="28"/>
      <c r="AP766" s="28"/>
      <c r="AQ766" s="28"/>
    </row>
    <row r="767">
      <c r="J767" s="28"/>
      <c r="K767" s="28"/>
      <c r="L767" s="28"/>
      <c r="M767" s="28"/>
      <c r="T767" s="28"/>
      <c r="U767" s="28"/>
      <c r="V767" s="28"/>
      <c r="W767" s="28"/>
      <c r="AD767" s="28"/>
      <c r="AE767" s="28"/>
      <c r="AF767" s="28"/>
      <c r="AG767" s="28"/>
      <c r="AN767" s="28"/>
      <c r="AO767" s="28"/>
      <c r="AP767" s="28"/>
      <c r="AQ767" s="28"/>
    </row>
    <row r="768">
      <c r="J768" s="28"/>
      <c r="K768" s="28"/>
      <c r="L768" s="28"/>
      <c r="M768" s="28"/>
      <c r="T768" s="28"/>
      <c r="U768" s="28"/>
      <c r="V768" s="28"/>
      <c r="W768" s="28"/>
      <c r="AD768" s="28"/>
      <c r="AE768" s="28"/>
      <c r="AF768" s="28"/>
      <c r="AG768" s="28"/>
      <c r="AN768" s="28"/>
      <c r="AO768" s="28"/>
      <c r="AP768" s="28"/>
      <c r="AQ768" s="28"/>
    </row>
    <row r="769">
      <c r="J769" s="28"/>
      <c r="K769" s="28"/>
      <c r="L769" s="28"/>
      <c r="M769" s="28"/>
      <c r="T769" s="28"/>
      <c r="U769" s="28"/>
      <c r="V769" s="28"/>
      <c r="W769" s="28"/>
      <c r="AD769" s="28"/>
      <c r="AE769" s="28"/>
      <c r="AF769" s="28"/>
      <c r="AG769" s="28"/>
      <c r="AN769" s="28"/>
      <c r="AO769" s="28"/>
      <c r="AP769" s="28"/>
      <c r="AQ769" s="28"/>
    </row>
    <row r="770">
      <c r="J770" s="28"/>
      <c r="K770" s="28"/>
      <c r="L770" s="28"/>
      <c r="M770" s="28"/>
      <c r="T770" s="28"/>
      <c r="U770" s="28"/>
      <c r="V770" s="28"/>
      <c r="W770" s="28"/>
      <c r="AD770" s="28"/>
      <c r="AE770" s="28"/>
      <c r="AF770" s="28"/>
      <c r="AG770" s="28"/>
      <c r="AN770" s="28"/>
      <c r="AO770" s="28"/>
      <c r="AP770" s="28"/>
      <c r="AQ770" s="28"/>
    </row>
    <row r="771">
      <c r="J771" s="28"/>
      <c r="K771" s="28"/>
      <c r="L771" s="28"/>
      <c r="M771" s="28"/>
      <c r="T771" s="28"/>
      <c r="U771" s="28"/>
      <c r="V771" s="28"/>
      <c r="W771" s="28"/>
      <c r="AD771" s="28"/>
      <c r="AE771" s="28"/>
      <c r="AF771" s="28"/>
      <c r="AG771" s="28"/>
      <c r="AN771" s="28"/>
      <c r="AO771" s="28"/>
      <c r="AP771" s="28"/>
      <c r="AQ771" s="28"/>
    </row>
    <row r="772">
      <c r="J772" s="28"/>
      <c r="K772" s="28"/>
      <c r="L772" s="28"/>
      <c r="M772" s="28"/>
      <c r="T772" s="28"/>
      <c r="U772" s="28"/>
      <c r="V772" s="28"/>
      <c r="W772" s="28"/>
      <c r="AD772" s="28"/>
      <c r="AE772" s="28"/>
      <c r="AF772" s="28"/>
      <c r="AG772" s="28"/>
      <c r="AN772" s="28"/>
      <c r="AO772" s="28"/>
      <c r="AP772" s="28"/>
      <c r="AQ772" s="28"/>
    </row>
    <row r="773">
      <c r="J773" s="28"/>
      <c r="K773" s="28"/>
      <c r="L773" s="28"/>
      <c r="M773" s="28"/>
      <c r="T773" s="28"/>
      <c r="U773" s="28"/>
      <c r="V773" s="28"/>
      <c r="W773" s="28"/>
      <c r="AD773" s="28"/>
      <c r="AE773" s="28"/>
      <c r="AF773" s="28"/>
      <c r="AG773" s="28"/>
      <c r="AN773" s="28"/>
      <c r="AO773" s="28"/>
      <c r="AP773" s="28"/>
      <c r="AQ773" s="28"/>
    </row>
    <row r="774">
      <c r="J774" s="28"/>
      <c r="K774" s="28"/>
      <c r="L774" s="28"/>
      <c r="M774" s="28"/>
      <c r="T774" s="28"/>
      <c r="U774" s="28"/>
      <c r="V774" s="28"/>
      <c r="W774" s="28"/>
      <c r="AD774" s="28"/>
      <c r="AE774" s="28"/>
      <c r="AF774" s="28"/>
      <c r="AG774" s="28"/>
      <c r="AN774" s="28"/>
      <c r="AO774" s="28"/>
      <c r="AP774" s="28"/>
      <c r="AQ774" s="28"/>
    </row>
    <row r="775">
      <c r="J775" s="28"/>
      <c r="K775" s="28"/>
      <c r="L775" s="28"/>
      <c r="M775" s="28"/>
      <c r="T775" s="28"/>
      <c r="U775" s="28"/>
      <c r="V775" s="28"/>
      <c r="W775" s="28"/>
      <c r="AD775" s="28"/>
      <c r="AE775" s="28"/>
      <c r="AF775" s="28"/>
      <c r="AG775" s="28"/>
      <c r="AN775" s="28"/>
      <c r="AO775" s="28"/>
      <c r="AP775" s="28"/>
      <c r="AQ775" s="28"/>
    </row>
    <row r="776">
      <c r="J776" s="28"/>
      <c r="K776" s="28"/>
      <c r="L776" s="28"/>
      <c r="M776" s="28"/>
      <c r="T776" s="28"/>
      <c r="U776" s="28"/>
      <c r="V776" s="28"/>
      <c r="W776" s="28"/>
      <c r="AD776" s="28"/>
      <c r="AE776" s="28"/>
      <c r="AF776" s="28"/>
      <c r="AG776" s="28"/>
      <c r="AN776" s="28"/>
      <c r="AO776" s="28"/>
      <c r="AP776" s="28"/>
      <c r="AQ776" s="28"/>
    </row>
    <row r="777">
      <c r="J777" s="28"/>
      <c r="K777" s="28"/>
      <c r="L777" s="28"/>
      <c r="M777" s="28"/>
      <c r="T777" s="28"/>
      <c r="U777" s="28"/>
      <c r="V777" s="28"/>
      <c r="W777" s="28"/>
      <c r="AD777" s="28"/>
      <c r="AE777" s="28"/>
      <c r="AF777" s="28"/>
      <c r="AG777" s="28"/>
      <c r="AN777" s="28"/>
      <c r="AO777" s="28"/>
      <c r="AP777" s="28"/>
      <c r="AQ777" s="28"/>
    </row>
    <row r="778">
      <c r="J778" s="28"/>
      <c r="K778" s="28"/>
      <c r="L778" s="28"/>
      <c r="M778" s="28"/>
      <c r="T778" s="28"/>
      <c r="U778" s="28"/>
      <c r="V778" s="28"/>
      <c r="W778" s="28"/>
      <c r="AD778" s="28"/>
      <c r="AE778" s="28"/>
      <c r="AF778" s="28"/>
      <c r="AG778" s="28"/>
      <c r="AN778" s="28"/>
      <c r="AO778" s="28"/>
      <c r="AP778" s="28"/>
      <c r="AQ778" s="28"/>
    </row>
    <row r="779">
      <c r="J779" s="28"/>
      <c r="K779" s="28"/>
      <c r="L779" s="28"/>
      <c r="M779" s="28"/>
      <c r="T779" s="28"/>
      <c r="U779" s="28"/>
      <c r="V779" s="28"/>
      <c r="W779" s="28"/>
      <c r="AD779" s="28"/>
      <c r="AE779" s="28"/>
      <c r="AF779" s="28"/>
      <c r="AG779" s="28"/>
      <c r="AN779" s="28"/>
      <c r="AO779" s="28"/>
      <c r="AP779" s="28"/>
      <c r="AQ779" s="28"/>
    </row>
    <row r="780">
      <c r="J780" s="28"/>
      <c r="K780" s="28"/>
      <c r="L780" s="28"/>
      <c r="M780" s="28"/>
      <c r="T780" s="28"/>
      <c r="U780" s="28"/>
      <c r="V780" s="28"/>
      <c r="W780" s="28"/>
      <c r="AD780" s="28"/>
      <c r="AE780" s="28"/>
      <c r="AF780" s="28"/>
      <c r="AG780" s="28"/>
      <c r="AN780" s="28"/>
      <c r="AO780" s="28"/>
      <c r="AP780" s="28"/>
      <c r="AQ780" s="28"/>
    </row>
    <row r="781">
      <c r="J781" s="28"/>
      <c r="K781" s="28"/>
      <c r="L781" s="28"/>
      <c r="M781" s="28"/>
      <c r="T781" s="28"/>
      <c r="U781" s="28"/>
      <c r="V781" s="28"/>
      <c r="W781" s="28"/>
      <c r="AD781" s="28"/>
      <c r="AE781" s="28"/>
      <c r="AF781" s="28"/>
      <c r="AG781" s="28"/>
      <c r="AN781" s="28"/>
      <c r="AO781" s="28"/>
      <c r="AP781" s="28"/>
      <c r="AQ781" s="28"/>
    </row>
    <row r="782">
      <c r="J782" s="28"/>
      <c r="K782" s="28"/>
      <c r="L782" s="28"/>
      <c r="M782" s="28"/>
      <c r="T782" s="28"/>
      <c r="U782" s="28"/>
      <c r="V782" s="28"/>
      <c r="W782" s="28"/>
      <c r="AD782" s="28"/>
      <c r="AE782" s="28"/>
      <c r="AF782" s="28"/>
      <c r="AG782" s="28"/>
      <c r="AN782" s="28"/>
      <c r="AO782" s="28"/>
      <c r="AP782" s="28"/>
      <c r="AQ782" s="28"/>
    </row>
    <row r="783">
      <c r="J783" s="28"/>
      <c r="K783" s="28"/>
      <c r="L783" s="28"/>
      <c r="M783" s="28"/>
      <c r="T783" s="28"/>
      <c r="U783" s="28"/>
      <c r="V783" s="28"/>
      <c r="W783" s="28"/>
      <c r="AD783" s="28"/>
      <c r="AE783" s="28"/>
      <c r="AF783" s="28"/>
      <c r="AG783" s="28"/>
      <c r="AN783" s="28"/>
      <c r="AO783" s="28"/>
      <c r="AP783" s="28"/>
      <c r="AQ783" s="28"/>
    </row>
    <row r="784">
      <c r="J784" s="28"/>
      <c r="K784" s="28"/>
      <c r="L784" s="28"/>
      <c r="M784" s="28"/>
      <c r="T784" s="28"/>
      <c r="U784" s="28"/>
      <c r="V784" s="28"/>
      <c r="W784" s="28"/>
      <c r="AD784" s="28"/>
      <c r="AE784" s="28"/>
      <c r="AF784" s="28"/>
      <c r="AG784" s="28"/>
      <c r="AN784" s="28"/>
      <c r="AO784" s="28"/>
      <c r="AP784" s="28"/>
      <c r="AQ784" s="28"/>
    </row>
    <row r="785">
      <c r="J785" s="28"/>
      <c r="K785" s="28"/>
      <c r="L785" s="28"/>
      <c r="M785" s="28"/>
      <c r="T785" s="28"/>
      <c r="U785" s="28"/>
      <c r="V785" s="28"/>
      <c r="W785" s="28"/>
      <c r="AD785" s="28"/>
      <c r="AE785" s="28"/>
      <c r="AF785" s="28"/>
      <c r="AG785" s="28"/>
      <c r="AN785" s="28"/>
      <c r="AO785" s="28"/>
      <c r="AP785" s="28"/>
      <c r="AQ785" s="28"/>
    </row>
    <row r="786">
      <c r="J786" s="28"/>
      <c r="K786" s="28"/>
      <c r="L786" s="28"/>
      <c r="M786" s="28"/>
      <c r="T786" s="28"/>
      <c r="U786" s="28"/>
      <c r="V786" s="28"/>
      <c r="W786" s="28"/>
      <c r="AD786" s="28"/>
      <c r="AE786" s="28"/>
      <c r="AF786" s="28"/>
      <c r="AG786" s="28"/>
      <c r="AN786" s="28"/>
      <c r="AO786" s="28"/>
      <c r="AP786" s="28"/>
      <c r="AQ786" s="28"/>
    </row>
    <row r="787">
      <c r="J787" s="28"/>
      <c r="K787" s="28"/>
      <c r="L787" s="28"/>
      <c r="M787" s="28"/>
      <c r="T787" s="28"/>
      <c r="U787" s="28"/>
      <c r="V787" s="28"/>
      <c r="W787" s="28"/>
      <c r="AD787" s="28"/>
      <c r="AE787" s="28"/>
      <c r="AF787" s="28"/>
      <c r="AG787" s="28"/>
      <c r="AN787" s="28"/>
      <c r="AO787" s="28"/>
      <c r="AP787" s="28"/>
      <c r="AQ787" s="28"/>
    </row>
    <row r="788">
      <c r="J788" s="28"/>
      <c r="K788" s="28"/>
      <c r="L788" s="28"/>
      <c r="M788" s="28"/>
      <c r="T788" s="28"/>
      <c r="U788" s="28"/>
      <c r="V788" s="28"/>
      <c r="W788" s="28"/>
      <c r="AD788" s="28"/>
      <c r="AE788" s="28"/>
      <c r="AF788" s="28"/>
      <c r="AG788" s="28"/>
      <c r="AN788" s="28"/>
      <c r="AO788" s="28"/>
      <c r="AP788" s="28"/>
      <c r="AQ788" s="28"/>
    </row>
    <row r="789">
      <c r="J789" s="28"/>
      <c r="K789" s="28"/>
      <c r="L789" s="28"/>
      <c r="M789" s="28"/>
      <c r="T789" s="28"/>
      <c r="U789" s="28"/>
      <c r="V789" s="28"/>
      <c r="W789" s="28"/>
      <c r="AD789" s="28"/>
      <c r="AE789" s="28"/>
      <c r="AF789" s="28"/>
      <c r="AG789" s="28"/>
      <c r="AN789" s="28"/>
      <c r="AO789" s="28"/>
      <c r="AP789" s="28"/>
      <c r="AQ789" s="28"/>
    </row>
    <row r="790">
      <c r="J790" s="28"/>
      <c r="K790" s="28"/>
      <c r="L790" s="28"/>
      <c r="M790" s="28"/>
      <c r="T790" s="28"/>
      <c r="U790" s="28"/>
      <c r="V790" s="28"/>
      <c r="W790" s="28"/>
      <c r="AD790" s="28"/>
      <c r="AE790" s="28"/>
      <c r="AF790" s="28"/>
      <c r="AG790" s="28"/>
      <c r="AN790" s="28"/>
      <c r="AO790" s="28"/>
      <c r="AP790" s="28"/>
      <c r="AQ790" s="28"/>
    </row>
    <row r="791">
      <c r="J791" s="28"/>
      <c r="K791" s="28"/>
      <c r="L791" s="28"/>
      <c r="M791" s="28"/>
      <c r="T791" s="28"/>
      <c r="U791" s="28"/>
      <c r="V791" s="28"/>
      <c r="W791" s="28"/>
      <c r="AD791" s="28"/>
      <c r="AE791" s="28"/>
      <c r="AF791" s="28"/>
      <c r="AG791" s="28"/>
      <c r="AN791" s="28"/>
      <c r="AO791" s="28"/>
      <c r="AP791" s="28"/>
      <c r="AQ791" s="28"/>
    </row>
    <row r="792">
      <c r="J792" s="28"/>
      <c r="K792" s="28"/>
      <c r="L792" s="28"/>
      <c r="M792" s="28"/>
      <c r="T792" s="28"/>
      <c r="U792" s="28"/>
      <c r="V792" s="28"/>
      <c r="W792" s="28"/>
      <c r="AD792" s="28"/>
      <c r="AE792" s="28"/>
      <c r="AF792" s="28"/>
      <c r="AG792" s="28"/>
      <c r="AN792" s="28"/>
      <c r="AO792" s="28"/>
      <c r="AP792" s="28"/>
      <c r="AQ792" s="28"/>
    </row>
    <row r="793">
      <c r="J793" s="28"/>
      <c r="K793" s="28"/>
      <c r="L793" s="28"/>
      <c r="M793" s="28"/>
      <c r="T793" s="28"/>
      <c r="U793" s="28"/>
      <c r="V793" s="28"/>
      <c r="W793" s="28"/>
      <c r="AD793" s="28"/>
      <c r="AE793" s="28"/>
      <c r="AF793" s="28"/>
      <c r="AG793" s="28"/>
      <c r="AN793" s="28"/>
      <c r="AO793" s="28"/>
      <c r="AP793" s="28"/>
      <c r="AQ793" s="28"/>
    </row>
    <row r="794">
      <c r="J794" s="28"/>
      <c r="K794" s="28"/>
      <c r="L794" s="28"/>
      <c r="M794" s="28"/>
      <c r="T794" s="28"/>
      <c r="U794" s="28"/>
      <c r="V794" s="28"/>
      <c r="W794" s="28"/>
      <c r="AD794" s="28"/>
      <c r="AE794" s="28"/>
      <c r="AF794" s="28"/>
      <c r="AG794" s="28"/>
      <c r="AN794" s="28"/>
      <c r="AO794" s="28"/>
      <c r="AP794" s="28"/>
      <c r="AQ794" s="28"/>
    </row>
    <row r="795">
      <c r="J795" s="28"/>
      <c r="K795" s="28"/>
      <c r="L795" s="28"/>
      <c r="M795" s="28"/>
      <c r="T795" s="28"/>
      <c r="U795" s="28"/>
      <c r="V795" s="28"/>
      <c r="W795" s="28"/>
      <c r="AD795" s="28"/>
      <c r="AE795" s="28"/>
      <c r="AF795" s="28"/>
      <c r="AG795" s="28"/>
      <c r="AN795" s="28"/>
      <c r="AO795" s="28"/>
      <c r="AP795" s="28"/>
      <c r="AQ795" s="28"/>
    </row>
    <row r="796">
      <c r="J796" s="28"/>
      <c r="K796" s="28"/>
      <c r="L796" s="28"/>
      <c r="M796" s="28"/>
      <c r="T796" s="28"/>
      <c r="U796" s="28"/>
      <c r="V796" s="28"/>
      <c r="W796" s="28"/>
      <c r="AD796" s="28"/>
      <c r="AE796" s="28"/>
      <c r="AF796" s="28"/>
      <c r="AG796" s="28"/>
      <c r="AN796" s="28"/>
      <c r="AO796" s="28"/>
      <c r="AP796" s="28"/>
      <c r="AQ796" s="28"/>
    </row>
    <row r="797">
      <c r="J797" s="28"/>
      <c r="K797" s="28"/>
      <c r="L797" s="28"/>
      <c r="M797" s="28"/>
      <c r="T797" s="28"/>
      <c r="U797" s="28"/>
      <c r="V797" s="28"/>
      <c r="W797" s="28"/>
      <c r="AD797" s="28"/>
      <c r="AE797" s="28"/>
      <c r="AF797" s="28"/>
      <c r="AG797" s="28"/>
      <c r="AN797" s="28"/>
      <c r="AO797" s="28"/>
      <c r="AP797" s="28"/>
      <c r="AQ797" s="28"/>
    </row>
    <row r="798">
      <c r="J798" s="28"/>
      <c r="K798" s="28"/>
      <c r="L798" s="28"/>
      <c r="M798" s="28"/>
      <c r="T798" s="28"/>
      <c r="U798" s="28"/>
      <c r="V798" s="28"/>
      <c r="W798" s="28"/>
      <c r="AD798" s="28"/>
      <c r="AE798" s="28"/>
      <c r="AF798" s="28"/>
      <c r="AG798" s="28"/>
      <c r="AN798" s="28"/>
      <c r="AO798" s="28"/>
      <c r="AP798" s="28"/>
      <c r="AQ798" s="28"/>
    </row>
    <row r="799">
      <c r="J799" s="28"/>
      <c r="K799" s="28"/>
      <c r="L799" s="28"/>
      <c r="M799" s="28"/>
      <c r="T799" s="28"/>
      <c r="U799" s="28"/>
      <c r="V799" s="28"/>
      <c r="W799" s="28"/>
      <c r="AD799" s="28"/>
      <c r="AE799" s="28"/>
      <c r="AF799" s="28"/>
      <c r="AG799" s="28"/>
      <c r="AN799" s="28"/>
      <c r="AO799" s="28"/>
      <c r="AP799" s="28"/>
      <c r="AQ799" s="28"/>
    </row>
    <row r="800">
      <c r="J800" s="28"/>
      <c r="K800" s="28"/>
      <c r="L800" s="28"/>
      <c r="M800" s="28"/>
      <c r="T800" s="28"/>
      <c r="U800" s="28"/>
      <c r="V800" s="28"/>
      <c r="W800" s="28"/>
      <c r="AD800" s="28"/>
      <c r="AE800" s="28"/>
      <c r="AF800" s="28"/>
      <c r="AG800" s="28"/>
      <c r="AN800" s="28"/>
      <c r="AO800" s="28"/>
      <c r="AP800" s="28"/>
      <c r="AQ800" s="28"/>
    </row>
    <row r="801">
      <c r="J801" s="28"/>
      <c r="K801" s="28"/>
      <c r="L801" s="28"/>
      <c r="M801" s="28"/>
      <c r="T801" s="28"/>
      <c r="U801" s="28"/>
      <c r="V801" s="28"/>
      <c r="W801" s="28"/>
      <c r="AD801" s="28"/>
      <c r="AE801" s="28"/>
      <c r="AF801" s="28"/>
      <c r="AG801" s="28"/>
      <c r="AN801" s="28"/>
      <c r="AO801" s="28"/>
      <c r="AP801" s="28"/>
      <c r="AQ801" s="28"/>
    </row>
    <row r="802">
      <c r="J802" s="28"/>
      <c r="K802" s="28"/>
      <c r="L802" s="28"/>
      <c r="M802" s="28"/>
      <c r="T802" s="28"/>
      <c r="U802" s="28"/>
      <c r="V802" s="28"/>
      <c r="W802" s="28"/>
      <c r="AD802" s="28"/>
      <c r="AE802" s="28"/>
      <c r="AF802" s="28"/>
      <c r="AG802" s="28"/>
      <c r="AN802" s="28"/>
      <c r="AO802" s="28"/>
      <c r="AP802" s="28"/>
      <c r="AQ802" s="28"/>
    </row>
    <row r="803">
      <c r="J803" s="28"/>
      <c r="K803" s="28"/>
      <c r="L803" s="28"/>
      <c r="M803" s="28"/>
      <c r="T803" s="28"/>
      <c r="U803" s="28"/>
      <c r="V803" s="28"/>
      <c r="W803" s="28"/>
      <c r="AD803" s="28"/>
      <c r="AE803" s="28"/>
      <c r="AF803" s="28"/>
      <c r="AG803" s="28"/>
      <c r="AN803" s="28"/>
      <c r="AO803" s="28"/>
      <c r="AP803" s="28"/>
      <c r="AQ803" s="28"/>
    </row>
    <row r="804">
      <c r="J804" s="28"/>
      <c r="K804" s="28"/>
      <c r="L804" s="28"/>
      <c r="M804" s="28"/>
      <c r="T804" s="28"/>
      <c r="U804" s="28"/>
      <c r="V804" s="28"/>
      <c r="W804" s="28"/>
      <c r="AD804" s="28"/>
      <c r="AE804" s="28"/>
      <c r="AF804" s="28"/>
      <c r="AG804" s="28"/>
      <c r="AN804" s="28"/>
      <c r="AO804" s="28"/>
      <c r="AP804" s="28"/>
      <c r="AQ804" s="28"/>
    </row>
    <row r="805">
      <c r="J805" s="28"/>
      <c r="K805" s="28"/>
      <c r="L805" s="28"/>
      <c r="M805" s="28"/>
      <c r="T805" s="28"/>
      <c r="U805" s="28"/>
      <c r="V805" s="28"/>
      <c r="W805" s="28"/>
      <c r="AD805" s="28"/>
      <c r="AE805" s="28"/>
      <c r="AF805" s="28"/>
      <c r="AG805" s="28"/>
      <c r="AN805" s="28"/>
      <c r="AO805" s="28"/>
      <c r="AP805" s="28"/>
      <c r="AQ805" s="28"/>
    </row>
    <row r="806">
      <c r="J806" s="28"/>
      <c r="K806" s="28"/>
      <c r="L806" s="28"/>
      <c r="M806" s="28"/>
      <c r="T806" s="28"/>
      <c r="U806" s="28"/>
      <c r="V806" s="28"/>
      <c r="W806" s="28"/>
      <c r="AD806" s="28"/>
      <c r="AE806" s="28"/>
      <c r="AF806" s="28"/>
      <c r="AG806" s="28"/>
      <c r="AN806" s="28"/>
      <c r="AO806" s="28"/>
      <c r="AP806" s="28"/>
      <c r="AQ806" s="28"/>
    </row>
    <row r="807">
      <c r="J807" s="28"/>
      <c r="K807" s="28"/>
      <c r="L807" s="28"/>
      <c r="M807" s="28"/>
      <c r="T807" s="28"/>
      <c r="U807" s="28"/>
      <c r="V807" s="28"/>
      <c r="W807" s="28"/>
      <c r="AD807" s="28"/>
      <c r="AE807" s="28"/>
      <c r="AF807" s="28"/>
      <c r="AG807" s="28"/>
      <c r="AN807" s="28"/>
      <c r="AO807" s="28"/>
      <c r="AP807" s="28"/>
      <c r="AQ807" s="28"/>
    </row>
    <row r="808">
      <c r="J808" s="28"/>
      <c r="K808" s="28"/>
      <c r="L808" s="28"/>
      <c r="M808" s="28"/>
      <c r="T808" s="28"/>
      <c r="U808" s="28"/>
      <c r="V808" s="28"/>
      <c r="W808" s="28"/>
      <c r="AD808" s="28"/>
      <c r="AE808" s="28"/>
      <c r="AF808" s="28"/>
      <c r="AG808" s="28"/>
      <c r="AN808" s="28"/>
      <c r="AO808" s="28"/>
      <c r="AP808" s="28"/>
      <c r="AQ808" s="28"/>
    </row>
    <row r="809">
      <c r="J809" s="28"/>
      <c r="K809" s="28"/>
      <c r="L809" s="28"/>
      <c r="M809" s="28"/>
      <c r="T809" s="28"/>
      <c r="U809" s="28"/>
      <c r="V809" s="28"/>
      <c r="W809" s="28"/>
      <c r="AD809" s="28"/>
      <c r="AE809" s="28"/>
      <c r="AF809" s="28"/>
      <c r="AG809" s="28"/>
      <c r="AN809" s="28"/>
      <c r="AO809" s="28"/>
      <c r="AP809" s="28"/>
      <c r="AQ809" s="28"/>
    </row>
    <row r="810">
      <c r="J810" s="28"/>
      <c r="K810" s="28"/>
      <c r="L810" s="28"/>
      <c r="M810" s="28"/>
      <c r="T810" s="28"/>
      <c r="U810" s="28"/>
      <c r="V810" s="28"/>
      <c r="W810" s="28"/>
      <c r="AD810" s="28"/>
      <c r="AE810" s="28"/>
      <c r="AF810" s="28"/>
      <c r="AG810" s="28"/>
      <c r="AN810" s="28"/>
      <c r="AO810" s="28"/>
      <c r="AP810" s="28"/>
      <c r="AQ810" s="28"/>
    </row>
    <row r="811">
      <c r="J811" s="28"/>
      <c r="K811" s="28"/>
      <c r="L811" s="28"/>
      <c r="M811" s="28"/>
      <c r="T811" s="28"/>
      <c r="U811" s="28"/>
      <c r="V811" s="28"/>
      <c r="W811" s="28"/>
      <c r="AD811" s="28"/>
      <c r="AE811" s="28"/>
      <c r="AF811" s="28"/>
      <c r="AG811" s="28"/>
      <c r="AN811" s="28"/>
      <c r="AO811" s="28"/>
      <c r="AP811" s="28"/>
      <c r="AQ811" s="28"/>
    </row>
    <row r="812">
      <c r="J812" s="28"/>
      <c r="K812" s="28"/>
      <c r="L812" s="28"/>
      <c r="M812" s="28"/>
      <c r="T812" s="28"/>
      <c r="U812" s="28"/>
      <c r="V812" s="28"/>
      <c r="W812" s="28"/>
      <c r="AD812" s="28"/>
      <c r="AE812" s="28"/>
      <c r="AF812" s="28"/>
      <c r="AG812" s="28"/>
      <c r="AN812" s="28"/>
      <c r="AO812" s="28"/>
      <c r="AP812" s="28"/>
      <c r="AQ812" s="28"/>
    </row>
    <row r="813">
      <c r="J813" s="28"/>
      <c r="K813" s="28"/>
      <c r="L813" s="28"/>
      <c r="M813" s="28"/>
      <c r="T813" s="28"/>
      <c r="U813" s="28"/>
      <c r="V813" s="28"/>
      <c r="W813" s="28"/>
      <c r="AD813" s="28"/>
      <c r="AE813" s="28"/>
      <c r="AF813" s="28"/>
      <c r="AG813" s="28"/>
      <c r="AN813" s="28"/>
      <c r="AO813" s="28"/>
      <c r="AP813" s="28"/>
      <c r="AQ813" s="28"/>
    </row>
    <row r="814">
      <c r="J814" s="28"/>
      <c r="K814" s="28"/>
      <c r="L814" s="28"/>
      <c r="M814" s="28"/>
      <c r="T814" s="28"/>
      <c r="U814" s="28"/>
      <c r="V814" s="28"/>
      <c r="W814" s="28"/>
      <c r="AD814" s="28"/>
      <c r="AE814" s="28"/>
      <c r="AF814" s="28"/>
      <c r="AG814" s="28"/>
      <c r="AN814" s="28"/>
      <c r="AO814" s="28"/>
      <c r="AP814" s="28"/>
      <c r="AQ814" s="28"/>
    </row>
    <row r="815">
      <c r="J815" s="28"/>
      <c r="K815" s="28"/>
      <c r="L815" s="28"/>
      <c r="M815" s="28"/>
      <c r="T815" s="28"/>
      <c r="U815" s="28"/>
      <c r="V815" s="28"/>
      <c r="W815" s="28"/>
      <c r="AD815" s="28"/>
      <c r="AE815" s="28"/>
      <c r="AF815" s="28"/>
      <c r="AG815" s="28"/>
      <c r="AN815" s="28"/>
      <c r="AO815" s="28"/>
      <c r="AP815" s="28"/>
      <c r="AQ815" s="28"/>
    </row>
    <row r="816">
      <c r="J816" s="28"/>
      <c r="K816" s="28"/>
      <c r="L816" s="28"/>
      <c r="M816" s="28"/>
      <c r="T816" s="28"/>
      <c r="U816" s="28"/>
      <c r="V816" s="28"/>
      <c r="W816" s="28"/>
      <c r="AD816" s="28"/>
      <c r="AE816" s="28"/>
      <c r="AF816" s="28"/>
      <c r="AG816" s="28"/>
      <c r="AN816" s="28"/>
      <c r="AO816" s="28"/>
      <c r="AP816" s="28"/>
      <c r="AQ816" s="28"/>
    </row>
    <row r="817">
      <c r="J817" s="28"/>
      <c r="K817" s="28"/>
      <c r="L817" s="28"/>
      <c r="M817" s="28"/>
      <c r="T817" s="28"/>
      <c r="U817" s="28"/>
      <c r="V817" s="28"/>
      <c r="W817" s="28"/>
      <c r="AD817" s="28"/>
      <c r="AE817" s="28"/>
      <c r="AF817" s="28"/>
      <c r="AG817" s="28"/>
      <c r="AN817" s="28"/>
      <c r="AO817" s="28"/>
      <c r="AP817" s="28"/>
      <c r="AQ817" s="28"/>
    </row>
    <row r="818">
      <c r="J818" s="28"/>
      <c r="K818" s="28"/>
      <c r="L818" s="28"/>
      <c r="M818" s="28"/>
      <c r="T818" s="28"/>
      <c r="U818" s="28"/>
      <c r="V818" s="28"/>
      <c r="W818" s="28"/>
      <c r="AD818" s="28"/>
      <c r="AE818" s="28"/>
      <c r="AF818" s="28"/>
      <c r="AG818" s="28"/>
      <c r="AN818" s="28"/>
      <c r="AO818" s="28"/>
      <c r="AP818" s="28"/>
      <c r="AQ818" s="28"/>
    </row>
    <row r="819">
      <c r="J819" s="28"/>
      <c r="K819" s="28"/>
      <c r="L819" s="28"/>
      <c r="M819" s="28"/>
      <c r="T819" s="28"/>
      <c r="U819" s="28"/>
      <c r="V819" s="28"/>
      <c r="W819" s="28"/>
      <c r="AD819" s="28"/>
      <c r="AE819" s="28"/>
      <c r="AF819" s="28"/>
      <c r="AG819" s="28"/>
      <c r="AN819" s="28"/>
      <c r="AO819" s="28"/>
      <c r="AP819" s="28"/>
      <c r="AQ819" s="28"/>
    </row>
    <row r="820">
      <c r="J820" s="28"/>
      <c r="K820" s="28"/>
      <c r="L820" s="28"/>
      <c r="M820" s="28"/>
      <c r="T820" s="28"/>
      <c r="U820" s="28"/>
      <c r="V820" s="28"/>
      <c r="W820" s="28"/>
      <c r="AD820" s="28"/>
      <c r="AE820" s="28"/>
      <c r="AF820" s="28"/>
      <c r="AG820" s="28"/>
      <c r="AN820" s="28"/>
      <c r="AO820" s="28"/>
      <c r="AP820" s="28"/>
      <c r="AQ820" s="28"/>
    </row>
    <row r="821">
      <c r="J821" s="28"/>
      <c r="K821" s="28"/>
      <c r="L821" s="28"/>
      <c r="M821" s="28"/>
      <c r="T821" s="28"/>
      <c r="U821" s="28"/>
      <c r="V821" s="28"/>
      <c r="W821" s="28"/>
      <c r="AD821" s="28"/>
      <c r="AE821" s="28"/>
      <c r="AF821" s="28"/>
      <c r="AG821" s="28"/>
      <c r="AN821" s="28"/>
      <c r="AO821" s="28"/>
      <c r="AP821" s="28"/>
      <c r="AQ821" s="28"/>
    </row>
    <row r="822">
      <c r="J822" s="28"/>
      <c r="K822" s="28"/>
      <c r="L822" s="28"/>
      <c r="M822" s="28"/>
      <c r="T822" s="28"/>
      <c r="U822" s="28"/>
      <c r="V822" s="28"/>
      <c r="W822" s="28"/>
      <c r="AD822" s="28"/>
      <c r="AE822" s="28"/>
      <c r="AF822" s="28"/>
      <c r="AG822" s="28"/>
      <c r="AN822" s="28"/>
      <c r="AO822" s="28"/>
      <c r="AP822" s="28"/>
      <c r="AQ822" s="28"/>
    </row>
    <row r="823">
      <c r="J823" s="28"/>
      <c r="K823" s="28"/>
      <c r="L823" s="28"/>
      <c r="M823" s="28"/>
      <c r="T823" s="28"/>
      <c r="U823" s="28"/>
      <c r="V823" s="28"/>
      <c r="W823" s="28"/>
      <c r="AD823" s="28"/>
      <c r="AE823" s="28"/>
      <c r="AF823" s="28"/>
      <c r="AG823" s="28"/>
      <c r="AN823" s="28"/>
      <c r="AO823" s="28"/>
      <c r="AP823" s="28"/>
      <c r="AQ823" s="28"/>
    </row>
    <row r="824">
      <c r="J824" s="28"/>
      <c r="K824" s="28"/>
      <c r="L824" s="28"/>
      <c r="M824" s="28"/>
      <c r="T824" s="28"/>
      <c r="U824" s="28"/>
      <c r="V824" s="28"/>
      <c r="W824" s="28"/>
      <c r="AD824" s="28"/>
      <c r="AE824" s="28"/>
      <c r="AF824" s="28"/>
      <c r="AG824" s="28"/>
      <c r="AN824" s="28"/>
      <c r="AO824" s="28"/>
      <c r="AP824" s="28"/>
      <c r="AQ824" s="28"/>
    </row>
    <row r="825">
      <c r="J825" s="28"/>
      <c r="K825" s="28"/>
      <c r="L825" s="28"/>
      <c r="M825" s="28"/>
      <c r="T825" s="28"/>
      <c r="U825" s="28"/>
      <c r="V825" s="28"/>
      <c r="W825" s="28"/>
      <c r="AD825" s="28"/>
      <c r="AE825" s="28"/>
      <c r="AF825" s="28"/>
      <c r="AG825" s="28"/>
      <c r="AN825" s="28"/>
      <c r="AO825" s="28"/>
      <c r="AP825" s="28"/>
      <c r="AQ825" s="28"/>
    </row>
    <row r="826">
      <c r="J826" s="28"/>
      <c r="K826" s="28"/>
      <c r="L826" s="28"/>
      <c r="M826" s="28"/>
      <c r="T826" s="28"/>
      <c r="U826" s="28"/>
      <c r="V826" s="28"/>
      <c r="W826" s="28"/>
      <c r="AD826" s="28"/>
      <c r="AE826" s="28"/>
      <c r="AF826" s="28"/>
      <c r="AG826" s="28"/>
      <c r="AN826" s="28"/>
      <c r="AO826" s="28"/>
      <c r="AP826" s="28"/>
      <c r="AQ826" s="28"/>
    </row>
    <row r="827">
      <c r="J827" s="28"/>
      <c r="K827" s="28"/>
      <c r="L827" s="28"/>
      <c r="M827" s="28"/>
      <c r="T827" s="28"/>
      <c r="U827" s="28"/>
      <c r="V827" s="28"/>
      <c r="W827" s="28"/>
      <c r="AD827" s="28"/>
      <c r="AE827" s="28"/>
      <c r="AF827" s="28"/>
      <c r="AG827" s="28"/>
      <c r="AN827" s="28"/>
      <c r="AO827" s="28"/>
      <c r="AP827" s="28"/>
      <c r="AQ827" s="28"/>
    </row>
    <row r="828">
      <c r="J828" s="28"/>
      <c r="K828" s="28"/>
      <c r="L828" s="28"/>
      <c r="M828" s="28"/>
      <c r="T828" s="28"/>
      <c r="U828" s="28"/>
      <c r="V828" s="28"/>
      <c r="W828" s="28"/>
      <c r="AD828" s="28"/>
      <c r="AE828" s="28"/>
      <c r="AF828" s="28"/>
      <c r="AG828" s="28"/>
      <c r="AN828" s="28"/>
      <c r="AO828" s="28"/>
      <c r="AP828" s="28"/>
      <c r="AQ828" s="28"/>
    </row>
    <row r="829">
      <c r="J829" s="28"/>
      <c r="K829" s="28"/>
      <c r="L829" s="28"/>
      <c r="M829" s="28"/>
      <c r="T829" s="28"/>
      <c r="U829" s="28"/>
      <c r="V829" s="28"/>
      <c r="W829" s="28"/>
      <c r="AD829" s="28"/>
      <c r="AE829" s="28"/>
      <c r="AF829" s="28"/>
      <c r="AG829" s="28"/>
      <c r="AN829" s="28"/>
      <c r="AO829" s="28"/>
      <c r="AP829" s="28"/>
      <c r="AQ829" s="28"/>
    </row>
    <row r="830">
      <c r="J830" s="28"/>
      <c r="K830" s="28"/>
      <c r="L830" s="28"/>
      <c r="M830" s="28"/>
      <c r="T830" s="28"/>
      <c r="U830" s="28"/>
      <c r="V830" s="28"/>
      <c r="W830" s="28"/>
      <c r="AD830" s="28"/>
      <c r="AE830" s="28"/>
      <c r="AF830" s="28"/>
      <c r="AG830" s="28"/>
      <c r="AN830" s="28"/>
      <c r="AO830" s="28"/>
      <c r="AP830" s="28"/>
      <c r="AQ830" s="28"/>
    </row>
    <row r="831">
      <c r="J831" s="28"/>
      <c r="K831" s="28"/>
      <c r="L831" s="28"/>
      <c r="M831" s="28"/>
      <c r="T831" s="28"/>
      <c r="U831" s="28"/>
      <c r="V831" s="28"/>
      <c r="W831" s="28"/>
      <c r="AD831" s="28"/>
      <c r="AE831" s="28"/>
      <c r="AF831" s="28"/>
      <c r="AG831" s="28"/>
      <c r="AN831" s="28"/>
      <c r="AO831" s="28"/>
      <c r="AP831" s="28"/>
      <c r="AQ831" s="28"/>
    </row>
    <row r="832">
      <c r="J832" s="28"/>
      <c r="K832" s="28"/>
      <c r="L832" s="28"/>
      <c r="M832" s="28"/>
      <c r="T832" s="28"/>
      <c r="U832" s="28"/>
      <c r="V832" s="28"/>
      <c r="W832" s="28"/>
      <c r="AD832" s="28"/>
      <c r="AE832" s="28"/>
      <c r="AF832" s="28"/>
      <c r="AG832" s="28"/>
      <c r="AN832" s="28"/>
      <c r="AO832" s="28"/>
      <c r="AP832" s="28"/>
      <c r="AQ832" s="28"/>
    </row>
    <row r="833">
      <c r="J833" s="28"/>
      <c r="K833" s="28"/>
      <c r="L833" s="28"/>
      <c r="M833" s="28"/>
      <c r="T833" s="28"/>
      <c r="U833" s="28"/>
      <c r="V833" s="28"/>
      <c r="W833" s="28"/>
      <c r="AD833" s="28"/>
      <c r="AE833" s="28"/>
      <c r="AF833" s="28"/>
      <c r="AG833" s="28"/>
      <c r="AN833" s="28"/>
      <c r="AO833" s="28"/>
      <c r="AP833" s="28"/>
      <c r="AQ833" s="28"/>
    </row>
    <row r="834">
      <c r="J834" s="28"/>
      <c r="K834" s="28"/>
      <c r="L834" s="28"/>
      <c r="M834" s="28"/>
      <c r="T834" s="28"/>
      <c r="U834" s="28"/>
      <c r="V834" s="28"/>
      <c r="W834" s="28"/>
      <c r="AD834" s="28"/>
      <c r="AE834" s="28"/>
      <c r="AF834" s="28"/>
      <c r="AG834" s="28"/>
      <c r="AN834" s="28"/>
      <c r="AO834" s="28"/>
      <c r="AP834" s="28"/>
      <c r="AQ834" s="28"/>
    </row>
    <row r="835">
      <c r="J835" s="28"/>
      <c r="K835" s="28"/>
      <c r="L835" s="28"/>
      <c r="M835" s="28"/>
      <c r="T835" s="28"/>
      <c r="U835" s="28"/>
      <c r="V835" s="28"/>
      <c r="W835" s="28"/>
      <c r="AD835" s="28"/>
      <c r="AE835" s="28"/>
      <c r="AF835" s="28"/>
      <c r="AG835" s="28"/>
      <c r="AN835" s="28"/>
      <c r="AO835" s="28"/>
      <c r="AP835" s="28"/>
      <c r="AQ835" s="28"/>
    </row>
    <row r="836">
      <c r="J836" s="28"/>
      <c r="K836" s="28"/>
      <c r="L836" s="28"/>
      <c r="M836" s="28"/>
      <c r="T836" s="28"/>
      <c r="U836" s="28"/>
      <c r="V836" s="28"/>
      <c r="W836" s="28"/>
      <c r="AD836" s="28"/>
      <c r="AE836" s="28"/>
      <c r="AF836" s="28"/>
      <c r="AG836" s="28"/>
      <c r="AN836" s="28"/>
      <c r="AO836" s="28"/>
      <c r="AP836" s="28"/>
      <c r="AQ836" s="28"/>
    </row>
    <row r="837">
      <c r="J837" s="28"/>
      <c r="K837" s="28"/>
      <c r="L837" s="28"/>
      <c r="M837" s="28"/>
      <c r="T837" s="28"/>
      <c r="U837" s="28"/>
      <c r="V837" s="28"/>
      <c r="W837" s="28"/>
      <c r="AD837" s="28"/>
      <c r="AE837" s="28"/>
      <c r="AF837" s="28"/>
      <c r="AG837" s="28"/>
      <c r="AN837" s="28"/>
      <c r="AO837" s="28"/>
      <c r="AP837" s="28"/>
      <c r="AQ837" s="28"/>
    </row>
    <row r="838">
      <c r="J838" s="28"/>
      <c r="K838" s="28"/>
      <c r="L838" s="28"/>
      <c r="M838" s="28"/>
      <c r="T838" s="28"/>
      <c r="U838" s="28"/>
      <c r="V838" s="28"/>
      <c r="W838" s="28"/>
      <c r="AD838" s="28"/>
      <c r="AE838" s="28"/>
      <c r="AF838" s="28"/>
      <c r="AG838" s="28"/>
      <c r="AN838" s="28"/>
      <c r="AO838" s="28"/>
      <c r="AP838" s="28"/>
      <c r="AQ838" s="28"/>
    </row>
    <row r="839">
      <c r="J839" s="28"/>
      <c r="K839" s="28"/>
      <c r="L839" s="28"/>
      <c r="M839" s="28"/>
      <c r="T839" s="28"/>
      <c r="U839" s="28"/>
      <c r="V839" s="28"/>
      <c r="W839" s="28"/>
      <c r="AD839" s="28"/>
      <c r="AE839" s="28"/>
      <c r="AF839" s="28"/>
      <c r="AG839" s="28"/>
      <c r="AN839" s="28"/>
      <c r="AO839" s="28"/>
      <c r="AP839" s="28"/>
      <c r="AQ839" s="28"/>
    </row>
    <row r="840">
      <c r="J840" s="28"/>
      <c r="K840" s="28"/>
      <c r="L840" s="28"/>
      <c r="M840" s="28"/>
      <c r="T840" s="28"/>
      <c r="U840" s="28"/>
      <c r="V840" s="28"/>
      <c r="W840" s="28"/>
      <c r="AD840" s="28"/>
      <c r="AE840" s="28"/>
      <c r="AF840" s="28"/>
      <c r="AG840" s="28"/>
      <c r="AN840" s="28"/>
      <c r="AO840" s="28"/>
      <c r="AP840" s="28"/>
      <c r="AQ840" s="28"/>
    </row>
    <row r="841">
      <c r="J841" s="28"/>
      <c r="K841" s="28"/>
      <c r="L841" s="28"/>
      <c r="M841" s="28"/>
      <c r="T841" s="28"/>
      <c r="U841" s="28"/>
      <c r="V841" s="28"/>
      <c r="W841" s="28"/>
      <c r="AD841" s="28"/>
      <c r="AE841" s="28"/>
      <c r="AF841" s="28"/>
      <c r="AG841" s="28"/>
      <c r="AN841" s="28"/>
      <c r="AO841" s="28"/>
      <c r="AP841" s="28"/>
      <c r="AQ841" s="28"/>
    </row>
    <row r="842">
      <c r="J842" s="28"/>
      <c r="K842" s="28"/>
      <c r="L842" s="28"/>
      <c r="M842" s="28"/>
      <c r="T842" s="28"/>
      <c r="U842" s="28"/>
      <c r="V842" s="28"/>
      <c r="W842" s="28"/>
      <c r="AD842" s="28"/>
      <c r="AE842" s="28"/>
      <c r="AF842" s="28"/>
      <c r="AG842" s="28"/>
      <c r="AN842" s="28"/>
      <c r="AO842" s="28"/>
      <c r="AP842" s="28"/>
      <c r="AQ842" s="28"/>
    </row>
    <row r="843">
      <c r="J843" s="28"/>
      <c r="K843" s="28"/>
      <c r="L843" s="28"/>
      <c r="M843" s="28"/>
      <c r="T843" s="28"/>
      <c r="U843" s="28"/>
      <c r="V843" s="28"/>
      <c r="W843" s="28"/>
      <c r="AD843" s="28"/>
      <c r="AE843" s="28"/>
      <c r="AF843" s="28"/>
      <c r="AG843" s="28"/>
      <c r="AN843" s="28"/>
      <c r="AO843" s="28"/>
      <c r="AP843" s="28"/>
      <c r="AQ843" s="28"/>
    </row>
    <row r="844">
      <c r="J844" s="28"/>
      <c r="K844" s="28"/>
      <c r="L844" s="28"/>
      <c r="M844" s="28"/>
      <c r="T844" s="28"/>
      <c r="U844" s="28"/>
      <c r="V844" s="28"/>
      <c r="W844" s="28"/>
      <c r="AD844" s="28"/>
      <c r="AE844" s="28"/>
      <c r="AF844" s="28"/>
      <c r="AG844" s="28"/>
      <c r="AN844" s="28"/>
      <c r="AO844" s="28"/>
      <c r="AP844" s="28"/>
      <c r="AQ844" s="28"/>
    </row>
    <row r="845">
      <c r="J845" s="28"/>
      <c r="K845" s="28"/>
      <c r="L845" s="28"/>
      <c r="M845" s="28"/>
      <c r="T845" s="28"/>
      <c r="U845" s="28"/>
      <c r="V845" s="28"/>
      <c r="W845" s="28"/>
      <c r="AD845" s="28"/>
      <c r="AE845" s="28"/>
      <c r="AF845" s="28"/>
      <c r="AG845" s="28"/>
      <c r="AN845" s="28"/>
      <c r="AO845" s="28"/>
      <c r="AP845" s="28"/>
      <c r="AQ845" s="28"/>
    </row>
    <row r="846">
      <c r="J846" s="28"/>
      <c r="K846" s="28"/>
      <c r="L846" s="28"/>
      <c r="M846" s="28"/>
      <c r="T846" s="28"/>
      <c r="U846" s="28"/>
      <c r="V846" s="28"/>
      <c r="W846" s="28"/>
      <c r="AD846" s="28"/>
      <c r="AE846" s="28"/>
      <c r="AF846" s="28"/>
      <c r="AG846" s="28"/>
      <c r="AN846" s="28"/>
      <c r="AO846" s="28"/>
      <c r="AP846" s="28"/>
      <c r="AQ846" s="28"/>
    </row>
    <row r="847">
      <c r="J847" s="28"/>
      <c r="K847" s="28"/>
      <c r="L847" s="28"/>
      <c r="M847" s="28"/>
      <c r="T847" s="28"/>
      <c r="U847" s="28"/>
      <c r="V847" s="28"/>
      <c r="W847" s="28"/>
      <c r="AD847" s="28"/>
      <c r="AE847" s="28"/>
      <c r="AF847" s="28"/>
      <c r="AG847" s="28"/>
      <c r="AN847" s="28"/>
      <c r="AO847" s="28"/>
      <c r="AP847" s="28"/>
      <c r="AQ847" s="28"/>
    </row>
    <row r="848">
      <c r="J848" s="28"/>
      <c r="K848" s="28"/>
      <c r="L848" s="28"/>
      <c r="M848" s="28"/>
      <c r="T848" s="28"/>
      <c r="U848" s="28"/>
      <c r="V848" s="28"/>
      <c r="W848" s="28"/>
      <c r="AD848" s="28"/>
      <c r="AE848" s="28"/>
      <c r="AF848" s="28"/>
      <c r="AG848" s="28"/>
      <c r="AN848" s="28"/>
      <c r="AO848" s="28"/>
      <c r="AP848" s="28"/>
      <c r="AQ848" s="28"/>
    </row>
    <row r="849">
      <c r="J849" s="28"/>
      <c r="K849" s="28"/>
      <c r="L849" s="28"/>
      <c r="M849" s="28"/>
      <c r="T849" s="28"/>
      <c r="U849" s="28"/>
      <c r="V849" s="28"/>
      <c r="W849" s="28"/>
      <c r="AD849" s="28"/>
      <c r="AE849" s="28"/>
      <c r="AF849" s="28"/>
      <c r="AG849" s="28"/>
      <c r="AN849" s="28"/>
      <c r="AO849" s="28"/>
      <c r="AP849" s="28"/>
      <c r="AQ849" s="28"/>
    </row>
    <row r="850">
      <c r="J850" s="28"/>
      <c r="K850" s="28"/>
      <c r="L850" s="28"/>
      <c r="M850" s="28"/>
      <c r="T850" s="28"/>
      <c r="U850" s="28"/>
      <c r="V850" s="28"/>
      <c r="W850" s="28"/>
      <c r="AD850" s="28"/>
      <c r="AE850" s="28"/>
      <c r="AF850" s="28"/>
      <c r="AG850" s="28"/>
      <c r="AN850" s="28"/>
      <c r="AO850" s="28"/>
      <c r="AP850" s="28"/>
      <c r="AQ850" s="28"/>
    </row>
    <row r="851">
      <c r="J851" s="28"/>
      <c r="K851" s="28"/>
      <c r="L851" s="28"/>
      <c r="M851" s="28"/>
      <c r="T851" s="28"/>
      <c r="U851" s="28"/>
      <c r="V851" s="28"/>
      <c r="W851" s="28"/>
      <c r="AD851" s="28"/>
      <c r="AE851" s="28"/>
      <c r="AF851" s="28"/>
      <c r="AG851" s="28"/>
      <c r="AN851" s="28"/>
      <c r="AO851" s="28"/>
      <c r="AP851" s="28"/>
      <c r="AQ851" s="28"/>
    </row>
    <row r="852">
      <c r="J852" s="28"/>
      <c r="K852" s="28"/>
      <c r="L852" s="28"/>
      <c r="M852" s="28"/>
      <c r="T852" s="28"/>
      <c r="U852" s="28"/>
      <c r="V852" s="28"/>
      <c r="W852" s="28"/>
      <c r="AD852" s="28"/>
      <c r="AE852" s="28"/>
      <c r="AF852" s="28"/>
      <c r="AG852" s="28"/>
      <c r="AN852" s="28"/>
      <c r="AO852" s="28"/>
      <c r="AP852" s="28"/>
      <c r="AQ852" s="28"/>
    </row>
    <row r="853">
      <c r="J853" s="28"/>
      <c r="K853" s="28"/>
      <c r="L853" s="28"/>
      <c r="M853" s="28"/>
      <c r="T853" s="28"/>
      <c r="U853" s="28"/>
      <c r="V853" s="28"/>
      <c r="W853" s="28"/>
      <c r="AD853" s="28"/>
      <c r="AE853" s="28"/>
      <c r="AF853" s="28"/>
      <c r="AG853" s="28"/>
      <c r="AN853" s="28"/>
      <c r="AO853" s="28"/>
      <c r="AP853" s="28"/>
      <c r="AQ853" s="28"/>
    </row>
    <row r="854">
      <c r="J854" s="28"/>
      <c r="K854" s="28"/>
      <c r="L854" s="28"/>
      <c r="M854" s="28"/>
      <c r="T854" s="28"/>
      <c r="U854" s="28"/>
      <c r="V854" s="28"/>
      <c r="W854" s="28"/>
      <c r="AD854" s="28"/>
      <c r="AE854" s="28"/>
      <c r="AF854" s="28"/>
      <c r="AG854" s="28"/>
      <c r="AN854" s="28"/>
      <c r="AO854" s="28"/>
      <c r="AP854" s="28"/>
      <c r="AQ854" s="28"/>
    </row>
    <row r="855">
      <c r="J855" s="28"/>
      <c r="K855" s="28"/>
      <c r="L855" s="28"/>
      <c r="M855" s="28"/>
      <c r="T855" s="28"/>
      <c r="U855" s="28"/>
      <c r="V855" s="28"/>
      <c r="W855" s="28"/>
      <c r="AD855" s="28"/>
      <c r="AE855" s="28"/>
      <c r="AF855" s="28"/>
      <c r="AG855" s="28"/>
      <c r="AN855" s="28"/>
      <c r="AO855" s="28"/>
      <c r="AP855" s="28"/>
      <c r="AQ855" s="28"/>
    </row>
    <row r="856">
      <c r="J856" s="28"/>
      <c r="K856" s="28"/>
      <c r="L856" s="28"/>
      <c r="M856" s="28"/>
      <c r="T856" s="28"/>
      <c r="U856" s="28"/>
      <c r="V856" s="28"/>
      <c r="W856" s="28"/>
      <c r="AD856" s="28"/>
      <c r="AE856" s="28"/>
      <c r="AF856" s="28"/>
      <c r="AG856" s="28"/>
      <c r="AN856" s="28"/>
      <c r="AO856" s="28"/>
      <c r="AP856" s="28"/>
      <c r="AQ856" s="28"/>
    </row>
    <row r="857">
      <c r="J857" s="28"/>
      <c r="K857" s="28"/>
      <c r="L857" s="28"/>
      <c r="M857" s="28"/>
      <c r="T857" s="28"/>
      <c r="U857" s="28"/>
      <c r="V857" s="28"/>
      <c r="W857" s="28"/>
      <c r="AD857" s="28"/>
      <c r="AE857" s="28"/>
      <c r="AF857" s="28"/>
      <c r="AG857" s="28"/>
      <c r="AN857" s="28"/>
      <c r="AO857" s="28"/>
      <c r="AP857" s="28"/>
      <c r="AQ857" s="28"/>
    </row>
    <row r="858">
      <c r="J858" s="28"/>
      <c r="K858" s="28"/>
      <c r="L858" s="28"/>
      <c r="M858" s="28"/>
      <c r="T858" s="28"/>
      <c r="U858" s="28"/>
      <c r="V858" s="28"/>
      <c r="W858" s="28"/>
      <c r="AD858" s="28"/>
      <c r="AE858" s="28"/>
      <c r="AF858" s="28"/>
      <c r="AG858" s="28"/>
      <c r="AN858" s="28"/>
      <c r="AO858" s="28"/>
      <c r="AP858" s="28"/>
      <c r="AQ858" s="28"/>
    </row>
    <row r="859">
      <c r="J859" s="28"/>
      <c r="K859" s="28"/>
      <c r="L859" s="28"/>
      <c r="M859" s="28"/>
      <c r="T859" s="28"/>
      <c r="U859" s="28"/>
      <c r="V859" s="28"/>
      <c r="W859" s="28"/>
      <c r="AD859" s="28"/>
      <c r="AE859" s="28"/>
      <c r="AF859" s="28"/>
      <c r="AG859" s="28"/>
      <c r="AN859" s="28"/>
      <c r="AO859" s="28"/>
      <c r="AP859" s="28"/>
      <c r="AQ859" s="28"/>
    </row>
    <row r="860">
      <c r="J860" s="28"/>
      <c r="K860" s="28"/>
      <c r="L860" s="28"/>
      <c r="M860" s="28"/>
      <c r="T860" s="28"/>
      <c r="U860" s="28"/>
      <c r="V860" s="28"/>
      <c r="W860" s="28"/>
      <c r="AD860" s="28"/>
      <c r="AE860" s="28"/>
      <c r="AF860" s="28"/>
      <c r="AG860" s="28"/>
      <c r="AN860" s="28"/>
      <c r="AO860" s="28"/>
      <c r="AP860" s="28"/>
      <c r="AQ860" s="28"/>
    </row>
    <row r="861">
      <c r="J861" s="28"/>
      <c r="K861" s="28"/>
      <c r="L861" s="28"/>
      <c r="M861" s="28"/>
      <c r="T861" s="28"/>
      <c r="U861" s="28"/>
      <c r="V861" s="28"/>
      <c r="W861" s="28"/>
      <c r="AD861" s="28"/>
      <c r="AE861" s="28"/>
      <c r="AF861" s="28"/>
      <c r="AG861" s="28"/>
      <c r="AN861" s="28"/>
      <c r="AO861" s="28"/>
      <c r="AP861" s="28"/>
      <c r="AQ861" s="28"/>
    </row>
    <row r="862">
      <c r="J862" s="28"/>
      <c r="K862" s="28"/>
      <c r="L862" s="28"/>
      <c r="M862" s="28"/>
      <c r="T862" s="28"/>
      <c r="U862" s="28"/>
      <c r="V862" s="28"/>
      <c r="W862" s="28"/>
      <c r="AD862" s="28"/>
      <c r="AE862" s="28"/>
      <c r="AF862" s="28"/>
      <c r="AG862" s="28"/>
      <c r="AN862" s="28"/>
      <c r="AO862" s="28"/>
      <c r="AP862" s="28"/>
      <c r="AQ862" s="28"/>
    </row>
    <row r="863">
      <c r="J863" s="28"/>
      <c r="K863" s="28"/>
      <c r="L863" s="28"/>
      <c r="M863" s="28"/>
      <c r="T863" s="28"/>
      <c r="U863" s="28"/>
      <c r="V863" s="28"/>
      <c r="W863" s="28"/>
      <c r="AD863" s="28"/>
      <c r="AE863" s="28"/>
      <c r="AF863" s="28"/>
      <c r="AG863" s="28"/>
      <c r="AN863" s="28"/>
      <c r="AO863" s="28"/>
      <c r="AP863" s="28"/>
      <c r="AQ863" s="28"/>
    </row>
    <row r="864">
      <c r="J864" s="28"/>
      <c r="K864" s="28"/>
      <c r="L864" s="28"/>
      <c r="M864" s="28"/>
      <c r="T864" s="28"/>
      <c r="U864" s="28"/>
      <c r="V864" s="28"/>
      <c r="W864" s="28"/>
      <c r="AD864" s="28"/>
      <c r="AE864" s="28"/>
      <c r="AF864" s="28"/>
      <c r="AG864" s="28"/>
      <c r="AN864" s="28"/>
      <c r="AO864" s="28"/>
      <c r="AP864" s="28"/>
      <c r="AQ864" s="28"/>
    </row>
    <row r="865">
      <c r="J865" s="28"/>
      <c r="K865" s="28"/>
      <c r="L865" s="28"/>
      <c r="M865" s="28"/>
      <c r="T865" s="28"/>
      <c r="U865" s="28"/>
      <c r="V865" s="28"/>
      <c r="W865" s="28"/>
      <c r="AD865" s="28"/>
      <c r="AE865" s="28"/>
      <c r="AF865" s="28"/>
      <c r="AG865" s="28"/>
      <c r="AN865" s="28"/>
      <c r="AO865" s="28"/>
      <c r="AP865" s="28"/>
      <c r="AQ865" s="28"/>
    </row>
    <row r="866">
      <c r="J866" s="28"/>
      <c r="K866" s="28"/>
      <c r="L866" s="28"/>
      <c r="M866" s="28"/>
      <c r="T866" s="28"/>
      <c r="U866" s="28"/>
      <c r="V866" s="28"/>
      <c r="W866" s="28"/>
      <c r="AD866" s="28"/>
      <c r="AE866" s="28"/>
      <c r="AF866" s="28"/>
      <c r="AG866" s="28"/>
      <c r="AN866" s="28"/>
      <c r="AO866" s="28"/>
      <c r="AP866" s="28"/>
      <c r="AQ866" s="28"/>
    </row>
    <row r="867">
      <c r="J867" s="28"/>
      <c r="K867" s="28"/>
      <c r="L867" s="28"/>
      <c r="M867" s="28"/>
      <c r="T867" s="28"/>
      <c r="U867" s="28"/>
      <c r="V867" s="28"/>
      <c r="W867" s="28"/>
      <c r="AD867" s="28"/>
      <c r="AE867" s="28"/>
      <c r="AF867" s="28"/>
      <c r="AG867" s="28"/>
      <c r="AN867" s="28"/>
      <c r="AO867" s="28"/>
      <c r="AP867" s="28"/>
      <c r="AQ867" s="28"/>
    </row>
    <row r="868">
      <c r="J868" s="28"/>
      <c r="K868" s="28"/>
      <c r="L868" s="28"/>
      <c r="M868" s="28"/>
      <c r="T868" s="28"/>
      <c r="U868" s="28"/>
      <c r="V868" s="28"/>
      <c r="W868" s="28"/>
      <c r="AD868" s="28"/>
      <c r="AE868" s="28"/>
      <c r="AF868" s="28"/>
      <c r="AG868" s="28"/>
      <c r="AN868" s="28"/>
      <c r="AO868" s="28"/>
      <c r="AP868" s="28"/>
      <c r="AQ868" s="28"/>
    </row>
    <row r="869">
      <c r="J869" s="28"/>
      <c r="K869" s="28"/>
      <c r="L869" s="28"/>
      <c r="M869" s="28"/>
      <c r="T869" s="28"/>
      <c r="U869" s="28"/>
      <c r="V869" s="28"/>
      <c r="W869" s="28"/>
      <c r="AD869" s="28"/>
      <c r="AE869" s="28"/>
      <c r="AF869" s="28"/>
      <c r="AG869" s="28"/>
      <c r="AN869" s="28"/>
      <c r="AO869" s="28"/>
      <c r="AP869" s="28"/>
      <c r="AQ869" s="28"/>
    </row>
    <row r="870">
      <c r="J870" s="28"/>
      <c r="K870" s="28"/>
      <c r="L870" s="28"/>
      <c r="M870" s="28"/>
      <c r="T870" s="28"/>
      <c r="U870" s="28"/>
      <c r="V870" s="28"/>
      <c r="W870" s="28"/>
      <c r="AD870" s="28"/>
      <c r="AE870" s="28"/>
      <c r="AF870" s="28"/>
      <c r="AG870" s="28"/>
      <c r="AN870" s="28"/>
      <c r="AO870" s="28"/>
      <c r="AP870" s="28"/>
      <c r="AQ870" s="28"/>
    </row>
    <row r="871">
      <c r="J871" s="28"/>
      <c r="K871" s="28"/>
      <c r="L871" s="28"/>
      <c r="M871" s="28"/>
      <c r="T871" s="28"/>
      <c r="U871" s="28"/>
      <c r="V871" s="28"/>
      <c r="W871" s="28"/>
      <c r="AD871" s="28"/>
      <c r="AE871" s="28"/>
      <c r="AF871" s="28"/>
      <c r="AG871" s="28"/>
      <c r="AN871" s="28"/>
      <c r="AO871" s="28"/>
      <c r="AP871" s="28"/>
      <c r="AQ871" s="28"/>
    </row>
    <row r="872">
      <c r="J872" s="28"/>
      <c r="K872" s="28"/>
      <c r="L872" s="28"/>
      <c r="M872" s="28"/>
      <c r="T872" s="28"/>
      <c r="U872" s="28"/>
      <c r="V872" s="28"/>
      <c r="W872" s="28"/>
      <c r="AD872" s="28"/>
      <c r="AE872" s="28"/>
      <c r="AF872" s="28"/>
      <c r="AG872" s="28"/>
      <c r="AN872" s="28"/>
      <c r="AO872" s="28"/>
      <c r="AP872" s="28"/>
      <c r="AQ872" s="28"/>
    </row>
    <row r="873">
      <c r="J873" s="28"/>
      <c r="K873" s="28"/>
      <c r="L873" s="28"/>
      <c r="M873" s="28"/>
      <c r="T873" s="28"/>
      <c r="U873" s="28"/>
      <c r="V873" s="28"/>
      <c r="W873" s="28"/>
      <c r="AD873" s="28"/>
      <c r="AE873" s="28"/>
      <c r="AF873" s="28"/>
      <c r="AG873" s="28"/>
      <c r="AN873" s="28"/>
      <c r="AO873" s="28"/>
      <c r="AP873" s="28"/>
      <c r="AQ873" s="28"/>
    </row>
    <row r="874">
      <c r="J874" s="28"/>
      <c r="K874" s="28"/>
      <c r="L874" s="28"/>
      <c r="M874" s="28"/>
      <c r="T874" s="28"/>
      <c r="U874" s="28"/>
      <c r="V874" s="28"/>
      <c r="W874" s="28"/>
      <c r="AD874" s="28"/>
      <c r="AE874" s="28"/>
      <c r="AF874" s="28"/>
      <c r="AG874" s="28"/>
      <c r="AN874" s="28"/>
      <c r="AO874" s="28"/>
      <c r="AP874" s="28"/>
      <c r="AQ874" s="28"/>
    </row>
    <row r="875">
      <c r="J875" s="28"/>
      <c r="K875" s="28"/>
      <c r="L875" s="28"/>
      <c r="M875" s="28"/>
      <c r="T875" s="28"/>
      <c r="U875" s="28"/>
      <c r="V875" s="28"/>
      <c r="W875" s="28"/>
      <c r="AD875" s="28"/>
      <c r="AE875" s="28"/>
      <c r="AF875" s="28"/>
      <c r="AG875" s="28"/>
      <c r="AN875" s="28"/>
      <c r="AO875" s="28"/>
      <c r="AP875" s="28"/>
      <c r="AQ875" s="28"/>
    </row>
    <row r="876">
      <c r="J876" s="28"/>
      <c r="K876" s="28"/>
      <c r="L876" s="28"/>
      <c r="M876" s="28"/>
      <c r="T876" s="28"/>
      <c r="U876" s="28"/>
      <c r="V876" s="28"/>
      <c r="W876" s="28"/>
      <c r="AD876" s="28"/>
      <c r="AE876" s="28"/>
      <c r="AF876" s="28"/>
      <c r="AG876" s="28"/>
      <c r="AN876" s="28"/>
      <c r="AO876" s="28"/>
      <c r="AP876" s="28"/>
      <c r="AQ876" s="28"/>
    </row>
    <row r="877">
      <c r="J877" s="28"/>
      <c r="K877" s="28"/>
      <c r="L877" s="28"/>
      <c r="M877" s="28"/>
      <c r="T877" s="28"/>
      <c r="U877" s="28"/>
      <c r="V877" s="28"/>
      <c r="W877" s="28"/>
      <c r="AD877" s="28"/>
      <c r="AE877" s="28"/>
      <c r="AF877" s="28"/>
      <c r="AG877" s="28"/>
      <c r="AN877" s="28"/>
      <c r="AO877" s="28"/>
      <c r="AP877" s="28"/>
      <c r="AQ877" s="28"/>
    </row>
    <row r="878">
      <c r="J878" s="28"/>
      <c r="K878" s="28"/>
      <c r="L878" s="28"/>
      <c r="M878" s="28"/>
      <c r="T878" s="28"/>
      <c r="U878" s="28"/>
      <c r="V878" s="28"/>
      <c r="W878" s="28"/>
      <c r="AD878" s="28"/>
      <c r="AE878" s="28"/>
      <c r="AF878" s="28"/>
      <c r="AG878" s="28"/>
      <c r="AN878" s="28"/>
      <c r="AO878" s="28"/>
      <c r="AP878" s="28"/>
      <c r="AQ878" s="28"/>
    </row>
    <row r="879">
      <c r="J879" s="28"/>
      <c r="K879" s="28"/>
      <c r="L879" s="28"/>
      <c r="M879" s="28"/>
      <c r="T879" s="28"/>
      <c r="U879" s="28"/>
      <c r="V879" s="28"/>
      <c r="W879" s="28"/>
      <c r="AD879" s="28"/>
      <c r="AE879" s="28"/>
      <c r="AF879" s="28"/>
      <c r="AG879" s="28"/>
      <c r="AN879" s="28"/>
      <c r="AO879" s="28"/>
      <c r="AP879" s="28"/>
      <c r="AQ879" s="28"/>
    </row>
    <row r="880">
      <c r="J880" s="28"/>
      <c r="K880" s="28"/>
      <c r="L880" s="28"/>
      <c r="M880" s="28"/>
      <c r="T880" s="28"/>
      <c r="U880" s="28"/>
      <c r="V880" s="28"/>
      <c r="W880" s="28"/>
      <c r="AD880" s="28"/>
      <c r="AE880" s="28"/>
      <c r="AF880" s="28"/>
      <c r="AG880" s="28"/>
      <c r="AN880" s="28"/>
      <c r="AO880" s="28"/>
      <c r="AP880" s="28"/>
      <c r="AQ880" s="28"/>
    </row>
    <row r="881">
      <c r="J881" s="28"/>
      <c r="K881" s="28"/>
      <c r="L881" s="28"/>
      <c r="M881" s="28"/>
      <c r="T881" s="28"/>
      <c r="U881" s="28"/>
      <c r="V881" s="28"/>
      <c r="W881" s="28"/>
      <c r="AD881" s="28"/>
      <c r="AE881" s="28"/>
      <c r="AF881" s="28"/>
      <c r="AG881" s="28"/>
      <c r="AN881" s="28"/>
      <c r="AO881" s="28"/>
      <c r="AP881" s="28"/>
      <c r="AQ881" s="28"/>
    </row>
    <row r="882">
      <c r="J882" s="28"/>
      <c r="K882" s="28"/>
      <c r="L882" s="28"/>
      <c r="M882" s="28"/>
      <c r="T882" s="28"/>
      <c r="U882" s="28"/>
      <c r="V882" s="28"/>
      <c r="W882" s="28"/>
      <c r="AD882" s="28"/>
      <c r="AE882" s="28"/>
      <c r="AF882" s="28"/>
      <c r="AG882" s="28"/>
      <c r="AN882" s="28"/>
      <c r="AO882" s="28"/>
      <c r="AP882" s="28"/>
      <c r="AQ882" s="28"/>
    </row>
    <row r="883">
      <c r="J883" s="28"/>
      <c r="K883" s="28"/>
      <c r="L883" s="28"/>
      <c r="M883" s="28"/>
      <c r="T883" s="28"/>
      <c r="U883" s="28"/>
      <c r="V883" s="28"/>
      <c r="W883" s="28"/>
      <c r="AD883" s="28"/>
      <c r="AE883" s="28"/>
      <c r="AF883" s="28"/>
      <c r="AG883" s="28"/>
      <c r="AN883" s="28"/>
      <c r="AO883" s="28"/>
      <c r="AP883" s="28"/>
      <c r="AQ883" s="28"/>
    </row>
    <row r="884">
      <c r="J884" s="28"/>
      <c r="K884" s="28"/>
      <c r="L884" s="28"/>
      <c r="M884" s="28"/>
      <c r="T884" s="28"/>
      <c r="U884" s="28"/>
      <c r="V884" s="28"/>
      <c r="W884" s="28"/>
      <c r="AD884" s="28"/>
      <c r="AE884" s="28"/>
      <c r="AF884" s="28"/>
      <c r="AG884" s="28"/>
      <c r="AN884" s="28"/>
      <c r="AO884" s="28"/>
      <c r="AP884" s="28"/>
      <c r="AQ884" s="28"/>
    </row>
    <row r="885">
      <c r="J885" s="28"/>
      <c r="K885" s="28"/>
      <c r="L885" s="28"/>
      <c r="M885" s="28"/>
      <c r="T885" s="28"/>
      <c r="U885" s="28"/>
      <c r="V885" s="28"/>
      <c r="W885" s="28"/>
      <c r="AD885" s="28"/>
      <c r="AE885" s="28"/>
      <c r="AF885" s="28"/>
      <c r="AG885" s="28"/>
      <c r="AN885" s="28"/>
      <c r="AO885" s="28"/>
      <c r="AP885" s="28"/>
      <c r="AQ885" s="28"/>
    </row>
    <row r="886">
      <c r="J886" s="28"/>
      <c r="K886" s="28"/>
      <c r="L886" s="28"/>
      <c r="M886" s="28"/>
      <c r="T886" s="28"/>
      <c r="U886" s="28"/>
      <c r="V886" s="28"/>
      <c r="W886" s="28"/>
      <c r="AD886" s="28"/>
      <c r="AE886" s="28"/>
      <c r="AF886" s="28"/>
      <c r="AG886" s="28"/>
      <c r="AN886" s="28"/>
      <c r="AO886" s="28"/>
      <c r="AP886" s="28"/>
      <c r="AQ886" s="28"/>
    </row>
    <row r="887">
      <c r="J887" s="28"/>
      <c r="K887" s="28"/>
      <c r="L887" s="28"/>
      <c r="M887" s="28"/>
      <c r="T887" s="28"/>
      <c r="U887" s="28"/>
      <c r="V887" s="28"/>
      <c r="W887" s="28"/>
      <c r="AD887" s="28"/>
      <c r="AE887" s="28"/>
      <c r="AF887" s="28"/>
      <c r="AG887" s="28"/>
      <c r="AN887" s="28"/>
      <c r="AO887" s="28"/>
      <c r="AP887" s="28"/>
      <c r="AQ887" s="28"/>
    </row>
    <row r="888">
      <c r="J888" s="28"/>
      <c r="K888" s="28"/>
      <c r="L888" s="28"/>
      <c r="M888" s="28"/>
      <c r="T888" s="28"/>
      <c r="U888" s="28"/>
      <c r="V888" s="28"/>
      <c r="W888" s="28"/>
      <c r="AD888" s="28"/>
      <c r="AE888" s="28"/>
      <c r="AF888" s="28"/>
      <c r="AG888" s="28"/>
      <c r="AN888" s="28"/>
      <c r="AO888" s="28"/>
      <c r="AP888" s="28"/>
      <c r="AQ888" s="28"/>
    </row>
    <row r="889">
      <c r="J889" s="28"/>
      <c r="K889" s="28"/>
      <c r="L889" s="28"/>
      <c r="M889" s="28"/>
      <c r="T889" s="28"/>
      <c r="U889" s="28"/>
      <c r="V889" s="28"/>
      <c r="W889" s="28"/>
      <c r="AD889" s="28"/>
      <c r="AE889" s="28"/>
      <c r="AF889" s="28"/>
      <c r="AG889" s="28"/>
      <c r="AN889" s="28"/>
      <c r="AO889" s="28"/>
      <c r="AP889" s="28"/>
      <c r="AQ889" s="28"/>
    </row>
    <row r="890">
      <c r="J890" s="28"/>
      <c r="K890" s="28"/>
      <c r="L890" s="28"/>
      <c r="M890" s="28"/>
      <c r="T890" s="28"/>
      <c r="U890" s="28"/>
      <c r="V890" s="28"/>
      <c r="W890" s="28"/>
      <c r="AD890" s="28"/>
      <c r="AE890" s="28"/>
      <c r="AF890" s="28"/>
      <c r="AG890" s="28"/>
      <c r="AN890" s="28"/>
      <c r="AO890" s="28"/>
      <c r="AP890" s="28"/>
      <c r="AQ890" s="28"/>
    </row>
    <row r="891">
      <c r="J891" s="28"/>
      <c r="K891" s="28"/>
      <c r="L891" s="28"/>
      <c r="M891" s="28"/>
      <c r="T891" s="28"/>
      <c r="U891" s="28"/>
      <c r="V891" s="28"/>
      <c r="W891" s="28"/>
      <c r="AD891" s="28"/>
      <c r="AE891" s="28"/>
      <c r="AF891" s="28"/>
      <c r="AG891" s="28"/>
      <c r="AN891" s="28"/>
      <c r="AO891" s="28"/>
      <c r="AP891" s="28"/>
      <c r="AQ891" s="28"/>
    </row>
    <row r="892">
      <c r="J892" s="28"/>
      <c r="K892" s="28"/>
      <c r="L892" s="28"/>
      <c r="M892" s="28"/>
      <c r="T892" s="28"/>
      <c r="U892" s="28"/>
      <c r="V892" s="28"/>
      <c r="W892" s="28"/>
      <c r="AD892" s="28"/>
      <c r="AE892" s="28"/>
      <c r="AF892" s="28"/>
      <c r="AG892" s="28"/>
      <c r="AN892" s="28"/>
      <c r="AO892" s="28"/>
      <c r="AP892" s="28"/>
      <c r="AQ892" s="28"/>
    </row>
    <row r="893">
      <c r="J893" s="28"/>
      <c r="K893" s="28"/>
      <c r="L893" s="28"/>
      <c r="M893" s="28"/>
      <c r="T893" s="28"/>
      <c r="U893" s="28"/>
      <c r="V893" s="28"/>
      <c r="W893" s="28"/>
      <c r="AD893" s="28"/>
      <c r="AE893" s="28"/>
      <c r="AF893" s="28"/>
      <c r="AG893" s="28"/>
      <c r="AN893" s="28"/>
      <c r="AO893" s="28"/>
      <c r="AP893" s="28"/>
      <c r="AQ893" s="28"/>
    </row>
    <row r="894">
      <c r="J894" s="28"/>
      <c r="K894" s="28"/>
      <c r="L894" s="28"/>
      <c r="M894" s="28"/>
      <c r="T894" s="28"/>
      <c r="U894" s="28"/>
      <c r="V894" s="28"/>
      <c r="W894" s="28"/>
      <c r="AD894" s="28"/>
      <c r="AE894" s="28"/>
      <c r="AF894" s="28"/>
      <c r="AG894" s="28"/>
      <c r="AN894" s="28"/>
      <c r="AO894" s="28"/>
      <c r="AP894" s="28"/>
      <c r="AQ894" s="28"/>
    </row>
    <row r="895">
      <c r="J895" s="28"/>
      <c r="K895" s="28"/>
      <c r="L895" s="28"/>
      <c r="M895" s="28"/>
      <c r="T895" s="28"/>
      <c r="U895" s="28"/>
      <c r="V895" s="28"/>
      <c r="W895" s="28"/>
      <c r="AD895" s="28"/>
      <c r="AE895" s="28"/>
      <c r="AF895" s="28"/>
      <c r="AG895" s="28"/>
      <c r="AN895" s="28"/>
      <c r="AO895" s="28"/>
      <c r="AP895" s="28"/>
      <c r="AQ895" s="28"/>
    </row>
    <row r="896">
      <c r="J896" s="28"/>
      <c r="K896" s="28"/>
      <c r="L896" s="28"/>
      <c r="M896" s="28"/>
      <c r="T896" s="28"/>
      <c r="U896" s="28"/>
      <c r="V896" s="28"/>
      <c r="W896" s="28"/>
      <c r="AD896" s="28"/>
      <c r="AE896" s="28"/>
      <c r="AF896" s="28"/>
      <c r="AG896" s="28"/>
      <c r="AN896" s="28"/>
      <c r="AO896" s="28"/>
      <c r="AP896" s="28"/>
      <c r="AQ896" s="28"/>
    </row>
    <row r="897">
      <c r="J897" s="28"/>
      <c r="K897" s="28"/>
      <c r="L897" s="28"/>
      <c r="M897" s="28"/>
      <c r="T897" s="28"/>
      <c r="U897" s="28"/>
      <c r="V897" s="28"/>
      <c r="W897" s="28"/>
      <c r="AD897" s="28"/>
      <c r="AE897" s="28"/>
      <c r="AF897" s="28"/>
      <c r="AG897" s="28"/>
      <c r="AN897" s="28"/>
      <c r="AO897" s="28"/>
      <c r="AP897" s="28"/>
      <c r="AQ897" s="28"/>
    </row>
    <row r="898">
      <c r="J898" s="28"/>
      <c r="K898" s="28"/>
      <c r="L898" s="28"/>
      <c r="M898" s="28"/>
      <c r="T898" s="28"/>
      <c r="U898" s="28"/>
      <c r="V898" s="28"/>
      <c r="W898" s="28"/>
      <c r="AD898" s="28"/>
      <c r="AE898" s="28"/>
      <c r="AF898" s="28"/>
      <c r="AG898" s="28"/>
      <c r="AN898" s="28"/>
      <c r="AO898" s="28"/>
      <c r="AP898" s="28"/>
      <c r="AQ898" s="28"/>
    </row>
    <row r="899">
      <c r="J899" s="28"/>
      <c r="K899" s="28"/>
      <c r="L899" s="28"/>
      <c r="M899" s="28"/>
      <c r="T899" s="28"/>
      <c r="U899" s="28"/>
      <c r="V899" s="28"/>
      <c r="W899" s="28"/>
      <c r="AD899" s="28"/>
      <c r="AE899" s="28"/>
      <c r="AF899" s="28"/>
      <c r="AG899" s="28"/>
      <c r="AN899" s="28"/>
      <c r="AO899" s="28"/>
      <c r="AP899" s="28"/>
      <c r="AQ899" s="28"/>
    </row>
    <row r="900">
      <c r="J900" s="28"/>
      <c r="K900" s="28"/>
      <c r="L900" s="28"/>
      <c r="M900" s="28"/>
      <c r="T900" s="28"/>
      <c r="U900" s="28"/>
      <c r="V900" s="28"/>
      <c r="W900" s="28"/>
      <c r="AD900" s="28"/>
      <c r="AE900" s="28"/>
      <c r="AF900" s="28"/>
      <c r="AG900" s="28"/>
      <c r="AN900" s="28"/>
      <c r="AO900" s="28"/>
      <c r="AP900" s="28"/>
      <c r="AQ900" s="28"/>
    </row>
    <row r="901">
      <c r="J901" s="28"/>
      <c r="K901" s="28"/>
      <c r="L901" s="28"/>
      <c r="M901" s="28"/>
      <c r="T901" s="28"/>
      <c r="U901" s="28"/>
      <c r="V901" s="28"/>
      <c r="W901" s="28"/>
      <c r="AD901" s="28"/>
      <c r="AE901" s="28"/>
      <c r="AF901" s="28"/>
      <c r="AG901" s="28"/>
      <c r="AN901" s="28"/>
      <c r="AO901" s="28"/>
      <c r="AP901" s="28"/>
      <c r="AQ901" s="28"/>
    </row>
    <row r="902">
      <c r="J902" s="28"/>
      <c r="K902" s="28"/>
      <c r="L902" s="28"/>
      <c r="M902" s="28"/>
      <c r="T902" s="28"/>
      <c r="U902" s="28"/>
      <c r="V902" s="28"/>
      <c r="W902" s="28"/>
      <c r="AD902" s="28"/>
      <c r="AE902" s="28"/>
      <c r="AF902" s="28"/>
      <c r="AG902" s="28"/>
      <c r="AN902" s="28"/>
      <c r="AO902" s="28"/>
      <c r="AP902" s="28"/>
      <c r="AQ902" s="28"/>
    </row>
    <row r="903">
      <c r="J903" s="28"/>
      <c r="K903" s="28"/>
      <c r="L903" s="28"/>
      <c r="M903" s="28"/>
      <c r="T903" s="28"/>
      <c r="U903" s="28"/>
      <c r="V903" s="28"/>
      <c r="W903" s="28"/>
      <c r="AD903" s="28"/>
      <c r="AE903" s="28"/>
      <c r="AF903" s="28"/>
      <c r="AG903" s="28"/>
      <c r="AN903" s="28"/>
      <c r="AO903" s="28"/>
      <c r="AP903" s="28"/>
      <c r="AQ903" s="28"/>
    </row>
    <row r="904">
      <c r="J904" s="28"/>
      <c r="K904" s="28"/>
      <c r="L904" s="28"/>
      <c r="M904" s="28"/>
      <c r="T904" s="28"/>
      <c r="U904" s="28"/>
      <c r="V904" s="28"/>
      <c r="W904" s="28"/>
      <c r="AD904" s="28"/>
      <c r="AE904" s="28"/>
      <c r="AF904" s="28"/>
      <c r="AG904" s="28"/>
      <c r="AN904" s="28"/>
      <c r="AO904" s="28"/>
      <c r="AP904" s="28"/>
      <c r="AQ904" s="28"/>
    </row>
    <row r="905">
      <c r="J905" s="28"/>
      <c r="K905" s="28"/>
      <c r="L905" s="28"/>
      <c r="M905" s="28"/>
      <c r="T905" s="28"/>
      <c r="U905" s="28"/>
      <c r="V905" s="28"/>
      <c r="W905" s="28"/>
      <c r="AD905" s="28"/>
      <c r="AE905" s="28"/>
      <c r="AF905" s="28"/>
      <c r="AG905" s="28"/>
      <c r="AN905" s="28"/>
      <c r="AO905" s="28"/>
      <c r="AP905" s="28"/>
      <c r="AQ905" s="28"/>
    </row>
    <row r="906">
      <c r="J906" s="28"/>
      <c r="K906" s="28"/>
      <c r="L906" s="28"/>
      <c r="M906" s="28"/>
      <c r="T906" s="28"/>
      <c r="U906" s="28"/>
      <c r="V906" s="28"/>
      <c r="W906" s="28"/>
      <c r="AD906" s="28"/>
      <c r="AE906" s="28"/>
      <c r="AF906" s="28"/>
      <c r="AG906" s="28"/>
      <c r="AN906" s="28"/>
      <c r="AO906" s="28"/>
      <c r="AP906" s="28"/>
      <c r="AQ906" s="28"/>
    </row>
    <row r="907">
      <c r="J907" s="28"/>
      <c r="K907" s="28"/>
      <c r="L907" s="28"/>
      <c r="M907" s="28"/>
      <c r="T907" s="28"/>
      <c r="U907" s="28"/>
      <c r="V907" s="28"/>
      <c r="W907" s="28"/>
      <c r="AD907" s="28"/>
      <c r="AE907" s="28"/>
      <c r="AF907" s="28"/>
      <c r="AG907" s="28"/>
      <c r="AN907" s="28"/>
      <c r="AO907" s="28"/>
      <c r="AP907" s="28"/>
      <c r="AQ907" s="28"/>
    </row>
    <row r="908">
      <c r="J908" s="28"/>
      <c r="K908" s="28"/>
      <c r="L908" s="28"/>
      <c r="M908" s="28"/>
      <c r="T908" s="28"/>
      <c r="U908" s="28"/>
      <c r="V908" s="28"/>
      <c r="W908" s="28"/>
      <c r="AD908" s="28"/>
      <c r="AE908" s="28"/>
      <c r="AF908" s="28"/>
      <c r="AG908" s="28"/>
      <c r="AN908" s="28"/>
      <c r="AO908" s="28"/>
      <c r="AP908" s="28"/>
      <c r="AQ908" s="28"/>
    </row>
    <row r="909">
      <c r="J909" s="28"/>
      <c r="K909" s="28"/>
      <c r="L909" s="28"/>
      <c r="M909" s="28"/>
      <c r="T909" s="28"/>
      <c r="U909" s="28"/>
      <c r="V909" s="28"/>
      <c r="W909" s="28"/>
      <c r="AD909" s="28"/>
      <c r="AE909" s="28"/>
      <c r="AF909" s="28"/>
      <c r="AG909" s="28"/>
      <c r="AN909" s="28"/>
      <c r="AO909" s="28"/>
      <c r="AP909" s="28"/>
      <c r="AQ909" s="28"/>
    </row>
    <row r="910">
      <c r="J910" s="28"/>
      <c r="K910" s="28"/>
      <c r="L910" s="28"/>
      <c r="M910" s="28"/>
      <c r="T910" s="28"/>
      <c r="U910" s="28"/>
      <c r="V910" s="28"/>
      <c r="W910" s="28"/>
      <c r="AD910" s="28"/>
      <c r="AE910" s="28"/>
      <c r="AF910" s="28"/>
      <c r="AG910" s="28"/>
      <c r="AN910" s="28"/>
      <c r="AO910" s="28"/>
      <c r="AP910" s="28"/>
      <c r="AQ910" s="28"/>
    </row>
    <row r="911">
      <c r="J911" s="28"/>
      <c r="K911" s="28"/>
      <c r="L911" s="28"/>
      <c r="M911" s="28"/>
      <c r="T911" s="28"/>
      <c r="U911" s="28"/>
      <c r="V911" s="28"/>
      <c r="W911" s="28"/>
      <c r="AD911" s="28"/>
      <c r="AE911" s="28"/>
      <c r="AF911" s="28"/>
      <c r="AG911" s="28"/>
      <c r="AN911" s="28"/>
      <c r="AO911" s="28"/>
      <c r="AP911" s="28"/>
      <c r="AQ911" s="28"/>
    </row>
    <row r="912">
      <c r="J912" s="28"/>
      <c r="K912" s="28"/>
      <c r="L912" s="28"/>
      <c r="M912" s="28"/>
      <c r="T912" s="28"/>
      <c r="U912" s="28"/>
      <c r="V912" s="28"/>
      <c r="W912" s="28"/>
      <c r="AD912" s="28"/>
      <c r="AE912" s="28"/>
      <c r="AF912" s="28"/>
      <c r="AG912" s="28"/>
      <c r="AN912" s="28"/>
      <c r="AO912" s="28"/>
      <c r="AP912" s="28"/>
      <c r="AQ912" s="28"/>
    </row>
    <row r="913">
      <c r="J913" s="28"/>
      <c r="K913" s="28"/>
      <c r="L913" s="28"/>
      <c r="M913" s="28"/>
      <c r="T913" s="28"/>
      <c r="U913" s="28"/>
      <c r="V913" s="28"/>
      <c r="W913" s="28"/>
      <c r="AD913" s="28"/>
      <c r="AE913" s="28"/>
      <c r="AF913" s="28"/>
      <c r="AG913" s="28"/>
      <c r="AN913" s="28"/>
      <c r="AO913" s="28"/>
      <c r="AP913" s="28"/>
      <c r="AQ913" s="28"/>
    </row>
    <row r="914">
      <c r="J914" s="28"/>
      <c r="K914" s="28"/>
      <c r="L914" s="28"/>
      <c r="M914" s="28"/>
      <c r="T914" s="28"/>
      <c r="U914" s="28"/>
      <c r="V914" s="28"/>
      <c r="W914" s="28"/>
      <c r="AD914" s="28"/>
      <c r="AE914" s="28"/>
      <c r="AF914" s="28"/>
      <c r="AG914" s="28"/>
      <c r="AN914" s="28"/>
      <c r="AO914" s="28"/>
      <c r="AP914" s="28"/>
      <c r="AQ914" s="28"/>
    </row>
    <row r="915">
      <c r="J915" s="28"/>
      <c r="K915" s="28"/>
      <c r="L915" s="28"/>
      <c r="M915" s="28"/>
      <c r="T915" s="28"/>
      <c r="U915" s="28"/>
      <c r="V915" s="28"/>
      <c r="W915" s="28"/>
      <c r="AD915" s="28"/>
      <c r="AE915" s="28"/>
      <c r="AF915" s="28"/>
      <c r="AG915" s="28"/>
      <c r="AN915" s="28"/>
      <c r="AO915" s="28"/>
      <c r="AP915" s="28"/>
      <c r="AQ915" s="28"/>
    </row>
    <row r="916">
      <c r="J916" s="28"/>
      <c r="K916" s="28"/>
      <c r="L916" s="28"/>
      <c r="M916" s="28"/>
      <c r="T916" s="28"/>
      <c r="U916" s="28"/>
      <c r="V916" s="28"/>
      <c r="W916" s="28"/>
      <c r="AD916" s="28"/>
      <c r="AE916" s="28"/>
      <c r="AF916" s="28"/>
      <c r="AG916" s="28"/>
      <c r="AN916" s="28"/>
      <c r="AO916" s="28"/>
      <c r="AP916" s="28"/>
      <c r="AQ916" s="28"/>
    </row>
    <row r="917">
      <c r="J917" s="28"/>
      <c r="K917" s="28"/>
      <c r="L917" s="28"/>
      <c r="M917" s="28"/>
      <c r="T917" s="28"/>
      <c r="U917" s="28"/>
      <c r="V917" s="28"/>
      <c r="W917" s="28"/>
      <c r="AD917" s="28"/>
      <c r="AE917" s="28"/>
      <c r="AF917" s="28"/>
      <c r="AG917" s="28"/>
      <c r="AN917" s="28"/>
      <c r="AO917" s="28"/>
      <c r="AP917" s="28"/>
      <c r="AQ917" s="28"/>
    </row>
    <row r="918">
      <c r="J918" s="28"/>
      <c r="K918" s="28"/>
      <c r="L918" s="28"/>
      <c r="M918" s="28"/>
      <c r="T918" s="28"/>
      <c r="U918" s="28"/>
      <c r="V918" s="28"/>
      <c r="W918" s="28"/>
      <c r="AD918" s="28"/>
      <c r="AE918" s="28"/>
      <c r="AF918" s="28"/>
      <c r="AG918" s="28"/>
      <c r="AN918" s="28"/>
      <c r="AO918" s="28"/>
      <c r="AP918" s="28"/>
      <c r="AQ918" s="28"/>
    </row>
    <row r="919">
      <c r="J919" s="28"/>
      <c r="K919" s="28"/>
      <c r="L919" s="28"/>
      <c r="M919" s="28"/>
      <c r="T919" s="28"/>
      <c r="U919" s="28"/>
      <c r="V919" s="28"/>
      <c r="W919" s="28"/>
      <c r="AD919" s="28"/>
      <c r="AE919" s="28"/>
      <c r="AF919" s="28"/>
      <c r="AG919" s="28"/>
      <c r="AN919" s="28"/>
      <c r="AO919" s="28"/>
      <c r="AP919" s="28"/>
      <c r="AQ919" s="28"/>
    </row>
    <row r="920">
      <c r="J920" s="28"/>
      <c r="K920" s="28"/>
      <c r="L920" s="28"/>
      <c r="M920" s="28"/>
      <c r="T920" s="28"/>
      <c r="U920" s="28"/>
      <c r="V920" s="28"/>
      <c r="W920" s="28"/>
      <c r="AD920" s="28"/>
      <c r="AE920" s="28"/>
      <c r="AF920" s="28"/>
      <c r="AG920" s="28"/>
      <c r="AN920" s="28"/>
      <c r="AO920" s="28"/>
      <c r="AP920" s="28"/>
      <c r="AQ920" s="28"/>
    </row>
    <row r="921">
      <c r="J921" s="28"/>
      <c r="K921" s="28"/>
      <c r="L921" s="28"/>
      <c r="M921" s="28"/>
      <c r="T921" s="28"/>
      <c r="U921" s="28"/>
      <c r="V921" s="28"/>
      <c r="W921" s="28"/>
      <c r="AD921" s="28"/>
      <c r="AE921" s="28"/>
      <c r="AF921" s="28"/>
      <c r="AG921" s="28"/>
      <c r="AN921" s="28"/>
      <c r="AO921" s="28"/>
      <c r="AP921" s="28"/>
      <c r="AQ921" s="28"/>
    </row>
    <row r="922">
      <c r="J922" s="28"/>
      <c r="K922" s="28"/>
      <c r="L922" s="28"/>
      <c r="M922" s="28"/>
      <c r="T922" s="28"/>
      <c r="U922" s="28"/>
      <c r="V922" s="28"/>
      <c r="W922" s="28"/>
      <c r="AD922" s="28"/>
      <c r="AE922" s="28"/>
      <c r="AF922" s="28"/>
      <c r="AG922" s="28"/>
      <c r="AN922" s="28"/>
      <c r="AO922" s="28"/>
      <c r="AP922" s="28"/>
      <c r="AQ922" s="28"/>
    </row>
    <row r="923">
      <c r="J923" s="28"/>
      <c r="K923" s="28"/>
      <c r="L923" s="28"/>
      <c r="M923" s="28"/>
      <c r="T923" s="28"/>
      <c r="U923" s="28"/>
      <c r="V923" s="28"/>
      <c r="W923" s="28"/>
      <c r="AD923" s="28"/>
      <c r="AE923" s="28"/>
      <c r="AF923" s="28"/>
      <c r="AG923" s="28"/>
      <c r="AN923" s="28"/>
      <c r="AO923" s="28"/>
      <c r="AP923" s="28"/>
      <c r="AQ923" s="28"/>
    </row>
    <row r="924">
      <c r="J924" s="28"/>
      <c r="K924" s="28"/>
      <c r="L924" s="28"/>
      <c r="M924" s="28"/>
      <c r="T924" s="28"/>
      <c r="U924" s="28"/>
      <c r="V924" s="28"/>
      <c r="W924" s="28"/>
      <c r="AD924" s="28"/>
      <c r="AE924" s="28"/>
      <c r="AF924" s="28"/>
      <c r="AG924" s="28"/>
      <c r="AN924" s="28"/>
      <c r="AO924" s="28"/>
      <c r="AP924" s="28"/>
      <c r="AQ924" s="28"/>
    </row>
    <row r="925">
      <c r="J925" s="28"/>
      <c r="K925" s="28"/>
      <c r="L925" s="28"/>
      <c r="M925" s="28"/>
      <c r="T925" s="28"/>
      <c r="U925" s="28"/>
      <c r="V925" s="28"/>
      <c r="W925" s="28"/>
      <c r="AD925" s="28"/>
      <c r="AE925" s="28"/>
      <c r="AF925" s="28"/>
      <c r="AG925" s="28"/>
      <c r="AN925" s="28"/>
      <c r="AO925" s="28"/>
      <c r="AP925" s="28"/>
      <c r="AQ925" s="28"/>
    </row>
    <row r="926">
      <c r="J926" s="28"/>
      <c r="K926" s="28"/>
      <c r="L926" s="28"/>
      <c r="M926" s="28"/>
      <c r="T926" s="28"/>
      <c r="U926" s="28"/>
      <c r="V926" s="28"/>
      <c r="W926" s="28"/>
      <c r="AD926" s="28"/>
      <c r="AE926" s="28"/>
      <c r="AF926" s="28"/>
      <c r="AG926" s="28"/>
      <c r="AN926" s="28"/>
      <c r="AO926" s="28"/>
      <c r="AP926" s="28"/>
      <c r="AQ926" s="28"/>
    </row>
    <row r="927">
      <c r="J927" s="28"/>
      <c r="K927" s="28"/>
      <c r="L927" s="28"/>
      <c r="M927" s="28"/>
      <c r="T927" s="28"/>
      <c r="U927" s="28"/>
      <c r="V927" s="28"/>
      <c r="W927" s="28"/>
      <c r="AD927" s="28"/>
      <c r="AE927" s="28"/>
      <c r="AF927" s="28"/>
      <c r="AG927" s="28"/>
      <c r="AN927" s="28"/>
      <c r="AO927" s="28"/>
      <c r="AP927" s="28"/>
      <c r="AQ927" s="28"/>
    </row>
    <row r="928">
      <c r="J928" s="28"/>
      <c r="K928" s="28"/>
      <c r="L928" s="28"/>
      <c r="M928" s="28"/>
      <c r="T928" s="28"/>
      <c r="U928" s="28"/>
      <c r="V928" s="28"/>
      <c r="W928" s="28"/>
      <c r="AD928" s="28"/>
      <c r="AE928" s="28"/>
      <c r="AF928" s="28"/>
      <c r="AG928" s="28"/>
      <c r="AN928" s="28"/>
      <c r="AO928" s="28"/>
      <c r="AP928" s="28"/>
      <c r="AQ928" s="28"/>
    </row>
    <row r="929">
      <c r="J929" s="28"/>
      <c r="K929" s="28"/>
      <c r="L929" s="28"/>
      <c r="M929" s="28"/>
      <c r="T929" s="28"/>
      <c r="U929" s="28"/>
      <c r="V929" s="28"/>
      <c r="W929" s="28"/>
      <c r="AD929" s="28"/>
      <c r="AE929" s="28"/>
      <c r="AF929" s="28"/>
      <c r="AG929" s="28"/>
      <c r="AN929" s="28"/>
      <c r="AO929" s="28"/>
      <c r="AP929" s="28"/>
      <c r="AQ929" s="28"/>
    </row>
    <row r="930">
      <c r="J930" s="28"/>
      <c r="K930" s="28"/>
      <c r="L930" s="28"/>
      <c r="M930" s="28"/>
      <c r="T930" s="28"/>
      <c r="U930" s="28"/>
      <c r="V930" s="28"/>
      <c r="W930" s="28"/>
      <c r="AD930" s="28"/>
      <c r="AE930" s="28"/>
      <c r="AF930" s="28"/>
      <c r="AG930" s="28"/>
      <c r="AN930" s="28"/>
      <c r="AO930" s="28"/>
      <c r="AP930" s="28"/>
      <c r="AQ930" s="28"/>
    </row>
    <row r="931">
      <c r="J931" s="28"/>
      <c r="K931" s="28"/>
      <c r="L931" s="28"/>
      <c r="M931" s="28"/>
      <c r="T931" s="28"/>
      <c r="U931" s="28"/>
      <c r="V931" s="28"/>
      <c r="W931" s="28"/>
      <c r="AD931" s="28"/>
      <c r="AE931" s="28"/>
      <c r="AF931" s="28"/>
      <c r="AG931" s="28"/>
      <c r="AN931" s="28"/>
      <c r="AO931" s="28"/>
      <c r="AP931" s="28"/>
      <c r="AQ931" s="28"/>
    </row>
    <row r="932">
      <c r="J932" s="28"/>
      <c r="K932" s="28"/>
      <c r="L932" s="28"/>
      <c r="M932" s="28"/>
      <c r="T932" s="28"/>
      <c r="U932" s="28"/>
      <c r="V932" s="28"/>
      <c r="W932" s="28"/>
      <c r="AD932" s="28"/>
      <c r="AE932" s="28"/>
      <c r="AF932" s="28"/>
      <c r="AG932" s="28"/>
      <c r="AN932" s="28"/>
      <c r="AO932" s="28"/>
      <c r="AP932" s="28"/>
      <c r="AQ932" s="28"/>
    </row>
    <row r="933">
      <c r="J933" s="28"/>
      <c r="K933" s="28"/>
      <c r="L933" s="28"/>
      <c r="M933" s="28"/>
      <c r="T933" s="28"/>
      <c r="U933" s="28"/>
      <c r="V933" s="28"/>
      <c r="W933" s="28"/>
      <c r="AD933" s="28"/>
      <c r="AE933" s="28"/>
      <c r="AF933" s="28"/>
      <c r="AG933" s="28"/>
      <c r="AN933" s="28"/>
      <c r="AO933" s="28"/>
      <c r="AP933" s="28"/>
      <c r="AQ933" s="28"/>
    </row>
    <row r="934">
      <c r="J934" s="28"/>
      <c r="K934" s="28"/>
      <c r="L934" s="28"/>
      <c r="M934" s="28"/>
      <c r="T934" s="28"/>
      <c r="U934" s="28"/>
      <c r="V934" s="28"/>
      <c r="W934" s="28"/>
      <c r="AD934" s="28"/>
      <c r="AE934" s="28"/>
      <c r="AF934" s="28"/>
      <c r="AG934" s="28"/>
      <c r="AN934" s="28"/>
      <c r="AO934" s="28"/>
      <c r="AP934" s="28"/>
      <c r="AQ934" s="28"/>
    </row>
    <row r="935">
      <c r="J935" s="28"/>
      <c r="K935" s="28"/>
      <c r="L935" s="28"/>
      <c r="M935" s="28"/>
      <c r="T935" s="28"/>
      <c r="U935" s="28"/>
      <c r="V935" s="28"/>
      <c r="W935" s="28"/>
      <c r="AD935" s="28"/>
      <c r="AE935" s="28"/>
      <c r="AF935" s="28"/>
      <c r="AG935" s="28"/>
      <c r="AN935" s="28"/>
      <c r="AO935" s="28"/>
      <c r="AP935" s="28"/>
      <c r="AQ935" s="28"/>
    </row>
    <row r="936">
      <c r="J936" s="28"/>
      <c r="K936" s="28"/>
      <c r="L936" s="28"/>
      <c r="M936" s="28"/>
      <c r="T936" s="28"/>
      <c r="U936" s="28"/>
      <c r="V936" s="28"/>
      <c r="W936" s="28"/>
      <c r="AD936" s="28"/>
      <c r="AE936" s="28"/>
      <c r="AF936" s="28"/>
      <c r="AG936" s="28"/>
      <c r="AN936" s="28"/>
      <c r="AO936" s="28"/>
      <c r="AP936" s="28"/>
      <c r="AQ936" s="28"/>
    </row>
    <row r="937">
      <c r="J937" s="28"/>
      <c r="K937" s="28"/>
      <c r="L937" s="28"/>
      <c r="M937" s="28"/>
      <c r="T937" s="28"/>
      <c r="U937" s="28"/>
      <c r="V937" s="28"/>
      <c r="W937" s="28"/>
      <c r="AD937" s="28"/>
      <c r="AE937" s="28"/>
      <c r="AF937" s="28"/>
      <c r="AG937" s="28"/>
      <c r="AN937" s="28"/>
      <c r="AO937" s="28"/>
      <c r="AP937" s="28"/>
      <c r="AQ937" s="28"/>
    </row>
    <row r="938">
      <c r="J938" s="28"/>
      <c r="K938" s="28"/>
      <c r="L938" s="28"/>
      <c r="M938" s="28"/>
      <c r="T938" s="28"/>
      <c r="U938" s="28"/>
      <c r="V938" s="28"/>
      <c r="W938" s="28"/>
      <c r="AD938" s="28"/>
      <c r="AE938" s="28"/>
      <c r="AF938" s="28"/>
      <c r="AG938" s="28"/>
      <c r="AN938" s="28"/>
      <c r="AO938" s="28"/>
      <c r="AP938" s="28"/>
      <c r="AQ938" s="28"/>
    </row>
    <row r="939">
      <c r="J939" s="28"/>
      <c r="K939" s="28"/>
      <c r="L939" s="28"/>
      <c r="M939" s="28"/>
      <c r="T939" s="28"/>
      <c r="U939" s="28"/>
      <c r="V939" s="28"/>
      <c r="W939" s="28"/>
      <c r="AD939" s="28"/>
      <c r="AE939" s="28"/>
      <c r="AF939" s="28"/>
      <c r="AG939" s="28"/>
      <c r="AN939" s="28"/>
      <c r="AO939" s="28"/>
      <c r="AP939" s="28"/>
      <c r="AQ939" s="28"/>
    </row>
    <row r="940">
      <c r="J940" s="28"/>
      <c r="K940" s="28"/>
      <c r="L940" s="28"/>
      <c r="M940" s="28"/>
      <c r="T940" s="28"/>
      <c r="U940" s="28"/>
      <c r="V940" s="28"/>
      <c r="W940" s="28"/>
      <c r="AD940" s="28"/>
      <c r="AE940" s="28"/>
      <c r="AF940" s="28"/>
      <c r="AG940" s="28"/>
      <c r="AN940" s="28"/>
      <c r="AO940" s="28"/>
      <c r="AP940" s="28"/>
      <c r="AQ940" s="28"/>
    </row>
    <row r="941">
      <c r="J941" s="28"/>
      <c r="K941" s="28"/>
      <c r="L941" s="28"/>
      <c r="M941" s="28"/>
      <c r="T941" s="28"/>
      <c r="U941" s="28"/>
      <c r="V941" s="28"/>
      <c r="W941" s="28"/>
      <c r="AD941" s="28"/>
      <c r="AE941" s="28"/>
      <c r="AF941" s="28"/>
      <c r="AG941" s="28"/>
      <c r="AN941" s="28"/>
      <c r="AO941" s="28"/>
      <c r="AP941" s="28"/>
      <c r="AQ941" s="28"/>
    </row>
    <row r="942">
      <c r="J942" s="28"/>
      <c r="K942" s="28"/>
      <c r="L942" s="28"/>
      <c r="M942" s="28"/>
      <c r="T942" s="28"/>
      <c r="U942" s="28"/>
      <c r="V942" s="28"/>
      <c r="W942" s="28"/>
      <c r="AD942" s="28"/>
      <c r="AE942" s="28"/>
      <c r="AF942" s="28"/>
      <c r="AG942" s="28"/>
      <c r="AN942" s="28"/>
      <c r="AO942" s="28"/>
      <c r="AP942" s="28"/>
      <c r="AQ942" s="28"/>
    </row>
    <row r="943">
      <c r="J943" s="28"/>
      <c r="K943" s="28"/>
      <c r="L943" s="28"/>
      <c r="M943" s="28"/>
      <c r="T943" s="28"/>
      <c r="U943" s="28"/>
      <c r="V943" s="28"/>
      <c r="W943" s="28"/>
      <c r="AD943" s="28"/>
      <c r="AE943" s="28"/>
      <c r="AF943" s="28"/>
      <c r="AG943" s="28"/>
      <c r="AN943" s="28"/>
      <c r="AO943" s="28"/>
      <c r="AP943" s="28"/>
      <c r="AQ943" s="28"/>
    </row>
    <row r="944">
      <c r="J944" s="28"/>
      <c r="K944" s="28"/>
      <c r="L944" s="28"/>
      <c r="M944" s="28"/>
      <c r="T944" s="28"/>
      <c r="U944" s="28"/>
      <c r="V944" s="28"/>
      <c r="W944" s="28"/>
      <c r="AD944" s="28"/>
      <c r="AE944" s="28"/>
      <c r="AF944" s="28"/>
      <c r="AG944" s="28"/>
      <c r="AN944" s="28"/>
      <c r="AO944" s="28"/>
      <c r="AP944" s="28"/>
      <c r="AQ944" s="28"/>
    </row>
    <row r="945">
      <c r="J945" s="28"/>
      <c r="K945" s="28"/>
      <c r="L945" s="28"/>
      <c r="M945" s="28"/>
      <c r="T945" s="28"/>
      <c r="U945" s="28"/>
      <c r="V945" s="28"/>
      <c r="W945" s="28"/>
      <c r="AD945" s="28"/>
      <c r="AE945" s="28"/>
      <c r="AF945" s="28"/>
      <c r="AG945" s="28"/>
      <c r="AN945" s="28"/>
      <c r="AO945" s="28"/>
      <c r="AP945" s="28"/>
      <c r="AQ945" s="28"/>
    </row>
    <row r="946">
      <c r="J946" s="28"/>
      <c r="K946" s="28"/>
      <c r="L946" s="28"/>
      <c r="M946" s="28"/>
      <c r="T946" s="28"/>
      <c r="U946" s="28"/>
      <c r="V946" s="28"/>
      <c r="W946" s="28"/>
      <c r="AD946" s="28"/>
      <c r="AE946" s="28"/>
      <c r="AF946" s="28"/>
      <c r="AG946" s="28"/>
      <c r="AN946" s="28"/>
      <c r="AO946" s="28"/>
      <c r="AP946" s="28"/>
      <c r="AQ946" s="28"/>
    </row>
    <row r="947">
      <c r="J947" s="28"/>
      <c r="K947" s="28"/>
      <c r="L947" s="28"/>
      <c r="M947" s="28"/>
      <c r="T947" s="28"/>
      <c r="U947" s="28"/>
      <c r="V947" s="28"/>
      <c r="W947" s="28"/>
      <c r="AD947" s="28"/>
      <c r="AE947" s="28"/>
      <c r="AF947" s="28"/>
      <c r="AG947" s="28"/>
      <c r="AN947" s="28"/>
      <c r="AO947" s="28"/>
      <c r="AP947" s="28"/>
      <c r="AQ947" s="28"/>
    </row>
    <row r="948">
      <c r="J948" s="28"/>
      <c r="K948" s="28"/>
      <c r="L948" s="28"/>
      <c r="M948" s="28"/>
      <c r="T948" s="28"/>
      <c r="U948" s="28"/>
      <c r="V948" s="28"/>
      <c r="W948" s="28"/>
      <c r="AD948" s="28"/>
      <c r="AE948" s="28"/>
      <c r="AF948" s="28"/>
      <c r="AG948" s="28"/>
      <c r="AN948" s="28"/>
      <c r="AO948" s="28"/>
      <c r="AP948" s="28"/>
      <c r="AQ948" s="28"/>
    </row>
    <row r="949">
      <c r="J949" s="28"/>
      <c r="K949" s="28"/>
      <c r="L949" s="28"/>
      <c r="M949" s="28"/>
      <c r="T949" s="28"/>
      <c r="U949" s="28"/>
      <c r="V949" s="28"/>
      <c r="W949" s="28"/>
      <c r="AD949" s="28"/>
      <c r="AE949" s="28"/>
      <c r="AF949" s="28"/>
      <c r="AG949" s="28"/>
      <c r="AN949" s="28"/>
      <c r="AO949" s="28"/>
      <c r="AP949" s="28"/>
      <c r="AQ949" s="28"/>
    </row>
    <row r="950">
      <c r="J950" s="28"/>
      <c r="K950" s="28"/>
      <c r="L950" s="28"/>
      <c r="M950" s="28"/>
      <c r="T950" s="28"/>
      <c r="U950" s="28"/>
      <c r="V950" s="28"/>
      <c r="W950" s="28"/>
      <c r="AD950" s="28"/>
      <c r="AE950" s="28"/>
      <c r="AF950" s="28"/>
      <c r="AG950" s="28"/>
      <c r="AN950" s="28"/>
      <c r="AO950" s="28"/>
      <c r="AP950" s="28"/>
      <c r="AQ950" s="28"/>
    </row>
    <row r="951">
      <c r="J951" s="28"/>
      <c r="K951" s="28"/>
      <c r="L951" s="28"/>
      <c r="M951" s="28"/>
      <c r="T951" s="28"/>
      <c r="U951" s="28"/>
      <c r="V951" s="28"/>
      <c r="W951" s="28"/>
      <c r="AD951" s="28"/>
      <c r="AE951" s="28"/>
      <c r="AF951" s="28"/>
      <c r="AG951" s="28"/>
      <c r="AN951" s="28"/>
      <c r="AO951" s="28"/>
      <c r="AP951" s="28"/>
      <c r="AQ951" s="28"/>
    </row>
    <row r="952">
      <c r="J952" s="28"/>
      <c r="K952" s="28"/>
      <c r="L952" s="28"/>
      <c r="M952" s="28"/>
      <c r="T952" s="28"/>
      <c r="U952" s="28"/>
      <c r="V952" s="28"/>
      <c r="W952" s="28"/>
      <c r="AD952" s="28"/>
      <c r="AE952" s="28"/>
      <c r="AF952" s="28"/>
      <c r="AG952" s="28"/>
      <c r="AN952" s="28"/>
      <c r="AO952" s="28"/>
      <c r="AP952" s="28"/>
      <c r="AQ952" s="28"/>
    </row>
    <row r="953">
      <c r="J953" s="28"/>
      <c r="K953" s="28"/>
      <c r="L953" s="28"/>
      <c r="M953" s="28"/>
      <c r="T953" s="28"/>
      <c r="U953" s="28"/>
      <c r="V953" s="28"/>
      <c r="W953" s="28"/>
      <c r="AD953" s="28"/>
      <c r="AE953" s="28"/>
      <c r="AF953" s="28"/>
      <c r="AG953" s="28"/>
      <c r="AN953" s="28"/>
      <c r="AO953" s="28"/>
      <c r="AP953" s="28"/>
      <c r="AQ953" s="28"/>
    </row>
    <row r="954">
      <c r="J954" s="28"/>
      <c r="K954" s="28"/>
      <c r="L954" s="28"/>
      <c r="M954" s="28"/>
      <c r="T954" s="28"/>
      <c r="U954" s="28"/>
      <c r="V954" s="28"/>
      <c r="W954" s="28"/>
      <c r="AD954" s="28"/>
      <c r="AE954" s="28"/>
      <c r="AF954" s="28"/>
      <c r="AG954" s="28"/>
      <c r="AN954" s="28"/>
      <c r="AO954" s="28"/>
      <c r="AP954" s="28"/>
      <c r="AQ954" s="28"/>
    </row>
    <row r="955">
      <c r="J955" s="28"/>
      <c r="K955" s="28"/>
      <c r="L955" s="28"/>
      <c r="M955" s="28"/>
      <c r="T955" s="28"/>
      <c r="U955" s="28"/>
      <c r="V955" s="28"/>
      <c r="W955" s="28"/>
      <c r="AD955" s="28"/>
      <c r="AE955" s="28"/>
      <c r="AF955" s="28"/>
      <c r="AG955" s="28"/>
      <c r="AN955" s="28"/>
      <c r="AO955" s="28"/>
      <c r="AP955" s="28"/>
      <c r="AQ955" s="28"/>
    </row>
    <row r="956">
      <c r="J956" s="28"/>
      <c r="K956" s="28"/>
      <c r="L956" s="28"/>
      <c r="M956" s="28"/>
      <c r="T956" s="28"/>
      <c r="U956" s="28"/>
      <c r="V956" s="28"/>
      <c r="W956" s="28"/>
      <c r="AD956" s="28"/>
      <c r="AE956" s="28"/>
      <c r="AF956" s="28"/>
      <c r="AG956" s="28"/>
      <c r="AN956" s="28"/>
      <c r="AO956" s="28"/>
      <c r="AP956" s="28"/>
      <c r="AQ956" s="28"/>
    </row>
    <row r="957">
      <c r="J957" s="28"/>
      <c r="K957" s="28"/>
      <c r="L957" s="28"/>
      <c r="M957" s="28"/>
      <c r="T957" s="28"/>
      <c r="U957" s="28"/>
      <c r="V957" s="28"/>
      <c r="W957" s="28"/>
      <c r="AD957" s="28"/>
      <c r="AE957" s="28"/>
      <c r="AF957" s="28"/>
      <c r="AG957" s="28"/>
      <c r="AN957" s="28"/>
      <c r="AO957" s="28"/>
      <c r="AP957" s="28"/>
      <c r="AQ957" s="28"/>
    </row>
    <row r="958">
      <c r="J958" s="28"/>
      <c r="K958" s="28"/>
      <c r="L958" s="28"/>
      <c r="M958" s="28"/>
      <c r="T958" s="28"/>
      <c r="U958" s="28"/>
      <c r="V958" s="28"/>
      <c r="W958" s="28"/>
      <c r="AD958" s="28"/>
      <c r="AE958" s="28"/>
      <c r="AF958" s="28"/>
      <c r="AG958" s="28"/>
      <c r="AN958" s="28"/>
      <c r="AO958" s="28"/>
      <c r="AP958" s="28"/>
      <c r="AQ958" s="28"/>
    </row>
    <row r="959">
      <c r="J959" s="28"/>
      <c r="K959" s="28"/>
      <c r="L959" s="28"/>
      <c r="M959" s="28"/>
      <c r="T959" s="28"/>
      <c r="U959" s="28"/>
      <c r="V959" s="28"/>
      <c r="W959" s="28"/>
      <c r="AD959" s="28"/>
      <c r="AE959" s="28"/>
      <c r="AF959" s="28"/>
      <c r="AG959" s="28"/>
      <c r="AN959" s="28"/>
      <c r="AO959" s="28"/>
      <c r="AP959" s="28"/>
      <c r="AQ959" s="28"/>
    </row>
    <row r="960">
      <c r="J960" s="28"/>
      <c r="K960" s="28"/>
      <c r="L960" s="28"/>
      <c r="M960" s="28"/>
      <c r="T960" s="28"/>
      <c r="U960" s="28"/>
      <c r="V960" s="28"/>
      <c r="W960" s="28"/>
      <c r="AD960" s="28"/>
      <c r="AE960" s="28"/>
      <c r="AF960" s="28"/>
      <c r="AG960" s="28"/>
      <c r="AN960" s="28"/>
      <c r="AO960" s="28"/>
      <c r="AP960" s="28"/>
      <c r="AQ960" s="28"/>
    </row>
    <row r="961">
      <c r="J961" s="28"/>
      <c r="K961" s="28"/>
      <c r="L961" s="28"/>
      <c r="M961" s="28"/>
      <c r="T961" s="28"/>
      <c r="U961" s="28"/>
      <c r="V961" s="28"/>
      <c r="W961" s="28"/>
      <c r="AD961" s="28"/>
      <c r="AE961" s="28"/>
      <c r="AF961" s="28"/>
      <c r="AG961" s="28"/>
      <c r="AN961" s="28"/>
      <c r="AO961" s="28"/>
      <c r="AP961" s="28"/>
      <c r="AQ961" s="28"/>
    </row>
    <row r="962">
      <c r="J962" s="28"/>
      <c r="K962" s="28"/>
      <c r="L962" s="28"/>
      <c r="M962" s="28"/>
      <c r="T962" s="28"/>
      <c r="U962" s="28"/>
      <c r="V962" s="28"/>
      <c r="W962" s="28"/>
      <c r="AD962" s="28"/>
      <c r="AE962" s="28"/>
      <c r="AF962" s="28"/>
      <c r="AG962" s="28"/>
      <c r="AN962" s="28"/>
      <c r="AO962" s="28"/>
      <c r="AP962" s="28"/>
      <c r="AQ962" s="28"/>
    </row>
    <row r="963">
      <c r="J963" s="28"/>
      <c r="K963" s="28"/>
      <c r="L963" s="28"/>
      <c r="M963" s="28"/>
      <c r="T963" s="28"/>
      <c r="U963" s="28"/>
      <c r="V963" s="28"/>
      <c r="W963" s="28"/>
      <c r="AD963" s="28"/>
      <c r="AE963" s="28"/>
      <c r="AF963" s="28"/>
      <c r="AG963" s="28"/>
      <c r="AN963" s="28"/>
      <c r="AO963" s="28"/>
      <c r="AP963" s="28"/>
      <c r="AQ963" s="28"/>
    </row>
    <row r="964">
      <c r="J964" s="28"/>
      <c r="K964" s="28"/>
      <c r="L964" s="28"/>
      <c r="M964" s="28"/>
      <c r="T964" s="28"/>
      <c r="U964" s="28"/>
      <c r="V964" s="28"/>
      <c r="W964" s="28"/>
      <c r="AD964" s="28"/>
      <c r="AE964" s="28"/>
      <c r="AF964" s="28"/>
      <c r="AG964" s="28"/>
      <c r="AN964" s="28"/>
      <c r="AO964" s="28"/>
      <c r="AP964" s="28"/>
      <c r="AQ964" s="28"/>
    </row>
    <row r="965">
      <c r="J965" s="28"/>
      <c r="K965" s="28"/>
      <c r="L965" s="28"/>
      <c r="M965" s="28"/>
      <c r="T965" s="28"/>
      <c r="U965" s="28"/>
      <c r="V965" s="28"/>
      <c r="W965" s="28"/>
      <c r="AD965" s="28"/>
      <c r="AE965" s="28"/>
      <c r="AF965" s="28"/>
      <c r="AG965" s="28"/>
      <c r="AN965" s="28"/>
      <c r="AO965" s="28"/>
      <c r="AP965" s="28"/>
      <c r="AQ965" s="28"/>
    </row>
    <row r="966">
      <c r="J966" s="28"/>
      <c r="K966" s="28"/>
      <c r="L966" s="28"/>
      <c r="M966" s="28"/>
      <c r="T966" s="28"/>
      <c r="U966" s="28"/>
      <c r="V966" s="28"/>
      <c r="W966" s="28"/>
      <c r="AD966" s="28"/>
      <c r="AE966" s="28"/>
      <c r="AF966" s="28"/>
      <c r="AG966" s="28"/>
      <c r="AN966" s="28"/>
      <c r="AO966" s="28"/>
      <c r="AP966" s="28"/>
      <c r="AQ966" s="28"/>
    </row>
    <row r="967">
      <c r="J967" s="28"/>
      <c r="K967" s="28"/>
      <c r="L967" s="28"/>
      <c r="M967" s="28"/>
      <c r="T967" s="28"/>
      <c r="U967" s="28"/>
      <c r="V967" s="28"/>
      <c r="W967" s="28"/>
      <c r="AD967" s="28"/>
      <c r="AE967" s="28"/>
      <c r="AF967" s="28"/>
      <c r="AG967" s="28"/>
      <c r="AN967" s="28"/>
      <c r="AO967" s="28"/>
      <c r="AP967" s="28"/>
      <c r="AQ967" s="28"/>
    </row>
    <row r="968">
      <c r="J968" s="28"/>
      <c r="K968" s="28"/>
      <c r="L968" s="28"/>
      <c r="M968" s="28"/>
      <c r="T968" s="28"/>
      <c r="U968" s="28"/>
      <c r="V968" s="28"/>
      <c r="W968" s="28"/>
      <c r="AD968" s="28"/>
      <c r="AE968" s="28"/>
      <c r="AF968" s="28"/>
      <c r="AG968" s="28"/>
      <c r="AN968" s="28"/>
      <c r="AO968" s="28"/>
      <c r="AP968" s="28"/>
      <c r="AQ968" s="28"/>
    </row>
    <row r="969">
      <c r="J969" s="28"/>
      <c r="K969" s="28"/>
      <c r="L969" s="28"/>
      <c r="M969" s="28"/>
      <c r="T969" s="28"/>
      <c r="U969" s="28"/>
      <c r="V969" s="28"/>
      <c r="W969" s="28"/>
      <c r="AD969" s="28"/>
      <c r="AE969" s="28"/>
      <c r="AF969" s="28"/>
      <c r="AG969" s="28"/>
      <c r="AN969" s="28"/>
      <c r="AO969" s="28"/>
      <c r="AP969" s="28"/>
      <c r="AQ969" s="28"/>
    </row>
    <row r="970">
      <c r="J970" s="28"/>
      <c r="K970" s="28"/>
      <c r="L970" s="28"/>
      <c r="M970" s="28"/>
      <c r="T970" s="28"/>
      <c r="U970" s="28"/>
      <c r="V970" s="28"/>
      <c r="W970" s="28"/>
      <c r="AD970" s="28"/>
      <c r="AE970" s="28"/>
      <c r="AF970" s="28"/>
      <c r="AG970" s="28"/>
      <c r="AN970" s="28"/>
      <c r="AO970" s="28"/>
      <c r="AP970" s="28"/>
      <c r="AQ970" s="28"/>
    </row>
    <row r="971">
      <c r="J971" s="28"/>
      <c r="K971" s="28"/>
      <c r="L971" s="28"/>
      <c r="M971" s="28"/>
      <c r="T971" s="28"/>
      <c r="U971" s="28"/>
      <c r="V971" s="28"/>
      <c r="W971" s="28"/>
      <c r="AD971" s="28"/>
      <c r="AE971" s="28"/>
      <c r="AF971" s="28"/>
      <c r="AG971" s="28"/>
      <c r="AN971" s="28"/>
      <c r="AO971" s="28"/>
      <c r="AP971" s="28"/>
      <c r="AQ971" s="28"/>
    </row>
    <row r="972">
      <c r="J972" s="28"/>
      <c r="K972" s="28"/>
      <c r="L972" s="28"/>
      <c r="M972" s="28"/>
      <c r="T972" s="28"/>
      <c r="U972" s="28"/>
      <c r="V972" s="28"/>
      <c r="W972" s="28"/>
      <c r="AD972" s="28"/>
      <c r="AE972" s="28"/>
      <c r="AF972" s="28"/>
      <c r="AG972" s="28"/>
      <c r="AN972" s="28"/>
      <c r="AO972" s="28"/>
      <c r="AP972" s="28"/>
      <c r="AQ972" s="28"/>
    </row>
    <row r="973">
      <c r="J973" s="28"/>
      <c r="K973" s="28"/>
      <c r="L973" s="28"/>
      <c r="M973" s="28"/>
      <c r="T973" s="28"/>
      <c r="U973" s="28"/>
      <c r="V973" s="28"/>
      <c r="W973" s="28"/>
      <c r="AD973" s="28"/>
      <c r="AE973" s="28"/>
      <c r="AF973" s="28"/>
      <c r="AG973" s="28"/>
      <c r="AN973" s="28"/>
      <c r="AO973" s="28"/>
      <c r="AP973" s="28"/>
      <c r="AQ973" s="28"/>
    </row>
    <row r="974">
      <c r="J974" s="28"/>
      <c r="K974" s="28"/>
      <c r="L974" s="28"/>
      <c r="M974" s="28"/>
      <c r="T974" s="28"/>
      <c r="U974" s="28"/>
      <c r="V974" s="28"/>
      <c r="W974" s="28"/>
      <c r="AD974" s="28"/>
      <c r="AE974" s="28"/>
      <c r="AF974" s="28"/>
      <c r="AG974" s="28"/>
      <c r="AN974" s="28"/>
      <c r="AO974" s="28"/>
      <c r="AP974" s="28"/>
      <c r="AQ974" s="28"/>
    </row>
    <row r="975">
      <c r="J975" s="28"/>
      <c r="K975" s="28"/>
      <c r="L975" s="28"/>
      <c r="M975" s="28"/>
      <c r="T975" s="28"/>
      <c r="U975" s="28"/>
      <c r="V975" s="28"/>
      <c r="W975" s="28"/>
      <c r="AD975" s="28"/>
      <c r="AE975" s="28"/>
      <c r="AF975" s="28"/>
      <c r="AG975" s="28"/>
      <c r="AN975" s="28"/>
      <c r="AO975" s="28"/>
      <c r="AP975" s="28"/>
      <c r="AQ975" s="28"/>
    </row>
    <row r="976">
      <c r="J976" s="28"/>
      <c r="K976" s="28"/>
      <c r="L976" s="28"/>
      <c r="M976" s="28"/>
      <c r="T976" s="28"/>
      <c r="U976" s="28"/>
      <c r="V976" s="28"/>
      <c r="W976" s="28"/>
      <c r="AD976" s="28"/>
      <c r="AE976" s="28"/>
      <c r="AF976" s="28"/>
      <c r="AG976" s="28"/>
      <c r="AN976" s="28"/>
      <c r="AO976" s="28"/>
      <c r="AP976" s="28"/>
      <c r="AQ976" s="28"/>
    </row>
    <row r="977">
      <c r="J977" s="28"/>
      <c r="K977" s="28"/>
      <c r="L977" s="28"/>
      <c r="M977" s="28"/>
      <c r="T977" s="28"/>
      <c r="U977" s="28"/>
      <c r="V977" s="28"/>
      <c r="W977" s="28"/>
      <c r="AD977" s="28"/>
      <c r="AE977" s="28"/>
      <c r="AF977" s="28"/>
      <c r="AG977" s="28"/>
      <c r="AN977" s="28"/>
      <c r="AO977" s="28"/>
      <c r="AP977" s="28"/>
      <c r="AQ977" s="28"/>
    </row>
    <row r="978">
      <c r="J978" s="28"/>
      <c r="K978" s="28"/>
      <c r="L978" s="28"/>
      <c r="M978" s="28"/>
      <c r="T978" s="28"/>
      <c r="U978" s="28"/>
      <c r="V978" s="28"/>
      <c r="W978" s="28"/>
      <c r="AD978" s="28"/>
      <c r="AE978" s="28"/>
      <c r="AF978" s="28"/>
      <c r="AG978" s="28"/>
      <c r="AN978" s="28"/>
      <c r="AO978" s="28"/>
      <c r="AP978" s="28"/>
      <c r="AQ978" s="28"/>
    </row>
    <row r="979">
      <c r="J979" s="28"/>
      <c r="K979" s="28"/>
      <c r="L979" s="28"/>
      <c r="M979" s="28"/>
      <c r="T979" s="28"/>
      <c r="U979" s="28"/>
      <c r="V979" s="28"/>
      <c r="W979" s="28"/>
      <c r="AD979" s="28"/>
      <c r="AE979" s="28"/>
      <c r="AF979" s="28"/>
      <c r="AG979" s="28"/>
      <c r="AN979" s="28"/>
      <c r="AO979" s="28"/>
      <c r="AP979" s="28"/>
      <c r="AQ979" s="28"/>
    </row>
    <row r="980">
      <c r="J980" s="28"/>
      <c r="K980" s="28"/>
      <c r="L980" s="28"/>
      <c r="M980" s="28"/>
      <c r="T980" s="28"/>
      <c r="U980" s="28"/>
      <c r="V980" s="28"/>
      <c r="W980" s="28"/>
      <c r="AD980" s="28"/>
      <c r="AE980" s="28"/>
      <c r="AF980" s="28"/>
      <c r="AG980" s="28"/>
      <c r="AN980" s="28"/>
      <c r="AO980" s="28"/>
      <c r="AP980" s="28"/>
      <c r="AQ980" s="28"/>
    </row>
    <row r="981">
      <c r="J981" s="28"/>
      <c r="K981" s="28"/>
      <c r="L981" s="28"/>
      <c r="M981" s="28"/>
      <c r="T981" s="28"/>
      <c r="U981" s="28"/>
      <c r="V981" s="28"/>
      <c r="W981" s="28"/>
      <c r="AD981" s="28"/>
      <c r="AE981" s="28"/>
      <c r="AF981" s="28"/>
      <c r="AG981" s="28"/>
      <c r="AN981" s="28"/>
      <c r="AO981" s="28"/>
      <c r="AP981" s="28"/>
      <c r="AQ981" s="28"/>
    </row>
    <row r="982">
      <c r="J982" s="28"/>
      <c r="K982" s="28"/>
      <c r="L982" s="28"/>
      <c r="M982" s="28"/>
      <c r="T982" s="28"/>
      <c r="U982" s="28"/>
      <c r="V982" s="28"/>
      <c r="W982" s="28"/>
      <c r="AD982" s="28"/>
      <c r="AE982" s="28"/>
      <c r="AF982" s="28"/>
      <c r="AG982" s="28"/>
      <c r="AN982" s="28"/>
      <c r="AO982" s="28"/>
      <c r="AP982" s="28"/>
      <c r="AQ982" s="28"/>
    </row>
    <row r="983">
      <c r="J983" s="28"/>
      <c r="K983" s="28"/>
      <c r="L983" s="28"/>
      <c r="M983" s="28"/>
      <c r="T983" s="28"/>
      <c r="U983" s="28"/>
      <c r="V983" s="28"/>
      <c r="W983" s="28"/>
      <c r="AD983" s="28"/>
      <c r="AE983" s="28"/>
      <c r="AF983" s="28"/>
      <c r="AG983" s="28"/>
      <c r="AN983" s="28"/>
      <c r="AO983" s="28"/>
      <c r="AP983" s="28"/>
      <c r="AQ983" s="28"/>
    </row>
    <row r="984">
      <c r="J984" s="28"/>
      <c r="K984" s="28"/>
      <c r="L984" s="28"/>
      <c r="M984" s="28"/>
      <c r="T984" s="28"/>
      <c r="U984" s="28"/>
      <c r="V984" s="28"/>
      <c r="W984" s="28"/>
      <c r="AD984" s="28"/>
      <c r="AE984" s="28"/>
      <c r="AF984" s="28"/>
      <c r="AG984" s="28"/>
      <c r="AN984" s="28"/>
      <c r="AO984" s="28"/>
      <c r="AP984" s="28"/>
      <c r="AQ984" s="28"/>
    </row>
    <row r="985">
      <c r="J985" s="28"/>
      <c r="K985" s="28"/>
      <c r="L985" s="28"/>
      <c r="M985" s="28"/>
      <c r="T985" s="28"/>
      <c r="U985" s="28"/>
      <c r="V985" s="28"/>
      <c r="W985" s="28"/>
      <c r="AD985" s="28"/>
      <c r="AE985" s="28"/>
      <c r="AF985" s="28"/>
      <c r="AG985" s="28"/>
      <c r="AN985" s="28"/>
      <c r="AO985" s="28"/>
      <c r="AP985" s="28"/>
      <c r="AQ985" s="28"/>
    </row>
    <row r="986">
      <c r="J986" s="28"/>
      <c r="K986" s="28"/>
      <c r="L986" s="28"/>
      <c r="M986" s="28"/>
      <c r="T986" s="28"/>
      <c r="U986" s="28"/>
      <c r="V986" s="28"/>
      <c r="W986" s="28"/>
      <c r="AD986" s="28"/>
      <c r="AE986" s="28"/>
      <c r="AF986" s="28"/>
      <c r="AG986" s="28"/>
      <c r="AN986" s="28"/>
      <c r="AO986" s="28"/>
      <c r="AP986" s="28"/>
      <c r="AQ986" s="28"/>
    </row>
    <row r="987">
      <c r="J987" s="28"/>
      <c r="K987" s="28"/>
      <c r="L987" s="28"/>
      <c r="M987" s="28"/>
      <c r="T987" s="28"/>
      <c r="U987" s="28"/>
      <c r="V987" s="28"/>
      <c r="W987" s="28"/>
      <c r="AD987" s="28"/>
      <c r="AE987" s="28"/>
      <c r="AF987" s="28"/>
      <c r="AG987" s="28"/>
      <c r="AN987" s="28"/>
      <c r="AO987" s="28"/>
      <c r="AP987" s="28"/>
      <c r="AQ987" s="28"/>
    </row>
    <row r="988">
      <c r="J988" s="28"/>
      <c r="K988" s="28"/>
      <c r="L988" s="28"/>
      <c r="M988" s="28"/>
      <c r="T988" s="28"/>
      <c r="U988" s="28"/>
      <c r="V988" s="28"/>
      <c r="W988" s="28"/>
      <c r="AD988" s="28"/>
      <c r="AE988" s="28"/>
      <c r="AF988" s="28"/>
      <c r="AG988" s="28"/>
      <c r="AN988" s="28"/>
      <c r="AO988" s="28"/>
      <c r="AP988" s="28"/>
      <c r="AQ988" s="28"/>
    </row>
    <row r="989">
      <c r="J989" s="28"/>
      <c r="K989" s="28"/>
      <c r="L989" s="28"/>
      <c r="M989" s="28"/>
      <c r="T989" s="28"/>
      <c r="U989" s="28"/>
      <c r="V989" s="28"/>
      <c r="W989" s="28"/>
      <c r="AD989" s="28"/>
      <c r="AE989" s="28"/>
      <c r="AF989" s="28"/>
      <c r="AG989" s="28"/>
      <c r="AN989" s="28"/>
      <c r="AO989" s="28"/>
      <c r="AP989" s="28"/>
      <c r="AQ989" s="28"/>
    </row>
    <row r="990">
      <c r="J990" s="28"/>
      <c r="K990" s="28"/>
      <c r="L990" s="28"/>
      <c r="M990" s="28"/>
      <c r="T990" s="28"/>
      <c r="U990" s="28"/>
      <c r="V990" s="28"/>
      <c r="W990" s="28"/>
      <c r="AD990" s="28"/>
      <c r="AE990" s="28"/>
      <c r="AF990" s="28"/>
      <c r="AG990" s="28"/>
      <c r="AN990" s="28"/>
      <c r="AO990" s="28"/>
      <c r="AP990" s="28"/>
      <c r="AQ990" s="28"/>
    </row>
    <row r="991">
      <c r="J991" s="28"/>
      <c r="K991" s="28"/>
      <c r="L991" s="28"/>
      <c r="M991" s="28"/>
      <c r="T991" s="28"/>
      <c r="U991" s="28"/>
      <c r="V991" s="28"/>
      <c r="W991" s="28"/>
      <c r="AD991" s="28"/>
      <c r="AE991" s="28"/>
      <c r="AF991" s="28"/>
      <c r="AG991" s="28"/>
      <c r="AN991" s="28"/>
      <c r="AO991" s="28"/>
      <c r="AP991" s="28"/>
      <c r="AQ991" s="28"/>
    </row>
    <row r="992">
      <c r="J992" s="28"/>
      <c r="K992" s="28"/>
      <c r="L992" s="28"/>
      <c r="M992" s="28"/>
      <c r="T992" s="28"/>
      <c r="U992" s="28"/>
      <c r="V992" s="28"/>
      <c r="W992" s="28"/>
      <c r="AD992" s="28"/>
      <c r="AE992" s="28"/>
      <c r="AF992" s="28"/>
      <c r="AG992" s="28"/>
      <c r="AN992" s="28"/>
      <c r="AO992" s="28"/>
      <c r="AP992" s="28"/>
      <c r="AQ992" s="28"/>
    </row>
    <row r="993">
      <c r="J993" s="28"/>
      <c r="K993" s="28"/>
      <c r="L993" s="28"/>
      <c r="M993" s="28"/>
      <c r="T993" s="28"/>
      <c r="U993" s="28"/>
      <c r="V993" s="28"/>
      <c r="W993" s="28"/>
      <c r="AD993" s="28"/>
      <c r="AE993" s="28"/>
      <c r="AF993" s="28"/>
      <c r="AG993" s="28"/>
      <c r="AN993" s="28"/>
      <c r="AO993" s="28"/>
      <c r="AP993" s="28"/>
      <c r="AQ993" s="28"/>
    </row>
    <row r="994">
      <c r="J994" s="28"/>
      <c r="K994" s="28"/>
      <c r="L994" s="28"/>
      <c r="M994" s="28"/>
      <c r="T994" s="28"/>
      <c r="U994" s="28"/>
      <c r="V994" s="28"/>
      <c r="W994" s="28"/>
      <c r="AD994" s="28"/>
      <c r="AE994" s="28"/>
      <c r="AF994" s="28"/>
      <c r="AG994" s="28"/>
      <c r="AN994" s="28"/>
      <c r="AO994" s="28"/>
      <c r="AP994" s="28"/>
      <c r="AQ994" s="28"/>
    </row>
    <row r="995">
      <c r="J995" s="28"/>
      <c r="K995" s="28"/>
      <c r="L995" s="28"/>
      <c r="M995" s="28"/>
      <c r="T995" s="28"/>
      <c r="U995" s="28"/>
      <c r="V995" s="28"/>
      <c r="W995" s="28"/>
      <c r="AD995" s="28"/>
      <c r="AE995" s="28"/>
      <c r="AF995" s="28"/>
      <c r="AG995" s="28"/>
      <c r="AN995" s="28"/>
      <c r="AO995" s="28"/>
      <c r="AP995" s="28"/>
      <c r="AQ995" s="28"/>
    </row>
    <row r="996">
      <c r="J996" s="28"/>
      <c r="K996" s="28"/>
      <c r="L996" s="28"/>
      <c r="M996" s="28"/>
      <c r="T996" s="28"/>
      <c r="U996" s="28"/>
      <c r="V996" s="28"/>
      <c r="W996" s="28"/>
      <c r="AD996" s="28"/>
      <c r="AE996" s="28"/>
      <c r="AF996" s="28"/>
      <c r="AG996" s="28"/>
      <c r="AN996" s="28"/>
      <c r="AO996" s="28"/>
      <c r="AP996" s="28"/>
      <c r="AQ996" s="28"/>
    </row>
    <row r="997">
      <c r="J997" s="28"/>
      <c r="K997" s="28"/>
      <c r="L997" s="28"/>
      <c r="M997" s="28"/>
      <c r="T997" s="28"/>
      <c r="U997" s="28"/>
      <c r="V997" s="28"/>
      <c r="W997" s="28"/>
      <c r="AD997" s="28"/>
      <c r="AE997" s="28"/>
      <c r="AF997" s="28"/>
      <c r="AG997" s="28"/>
      <c r="AN997" s="28"/>
      <c r="AO997" s="28"/>
      <c r="AP997" s="28"/>
      <c r="AQ997" s="28"/>
    </row>
    <row r="998">
      <c r="J998" s="28"/>
      <c r="K998" s="28"/>
      <c r="L998" s="28"/>
      <c r="M998" s="28"/>
      <c r="T998" s="28"/>
      <c r="U998" s="28"/>
      <c r="V998" s="28"/>
      <c r="W998" s="28"/>
      <c r="AD998" s="28"/>
      <c r="AE998" s="28"/>
      <c r="AF998" s="28"/>
      <c r="AG998" s="28"/>
      <c r="AN998" s="28"/>
      <c r="AO998" s="28"/>
      <c r="AP998" s="28"/>
      <c r="AQ998" s="28"/>
    </row>
    <row r="999">
      <c r="J999" s="28"/>
      <c r="K999" s="28"/>
      <c r="L999" s="28"/>
      <c r="M999" s="28"/>
      <c r="T999" s="28"/>
      <c r="U999" s="28"/>
      <c r="V999" s="28"/>
      <c r="W999" s="28"/>
      <c r="AD999" s="28"/>
      <c r="AE999" s="28"/>
      <c r="AF999" s="28"/>
      <c r="AG999" s="28"/>
      <c r="AN999" s="28"/>
      <c r="AO999" s="28"/>
      <c r="AP999" s="28"/>
      <c r="AQ999" s="28"/>
    </row>
    <row r="1000">
      <c r="J1000" s="28"/>
      <c r="K1000" s="28"/>
      <c r="L1000" s="28"/>
      <c r="M1000" s="28"/>
      <c r="T1000" s="28"/>
      <c r="U1000" s="28"/>
      <c r="V1000" s="28"/>
      <c r="W1000" s="28"/>
      <c r="AD1000" s="28"/>
      <c r="AE1000" s="28"/>
      <c r="AF1000" s="28"/>
      <c r="AG1000" s="28"/>
      <c r="AN1000" s="28"/>
      <c r="AO1000" s="28"/>
      <c r="AP1000" s="28"/>
      <c r="AQ1000" s="28"/>
    </row>
    <row r="1001">
      <c r="J1001" s="28"/>
      <c r="K1001" s="28"/>
      <c r="L1001" s="28"/>
      <c r="M1001" s="28"/>
      <c r="T1001" s="28"/>
      <c r="U1001" s="28"/>
      <c r="V1001" s="28"/>
      <c r="W1001" s="28"/>
      <c r="AD1001" s="28"/>
      <c r="AE1001" s="28"/>
      <c r="AF1001" s="28"/>
      <c r="AG1001" s="28"/>
      <c r="AN1001" s="28"/>
      <c r="AO1001" s="28"/>
      <c r="AP1001" s="28"/>
      <c r="AQ1001" s="28"/>
    </row>
    <row r="1002">
      <c r="J1002" s="28"/>
      <c r="K1002" s="28"/>
      <c r="L1002" s="28"/>
      <c r="M1002" s="28"/>
      <c r="T1002" s="28"/>
      <c r="U1002" s="28"/>
      <c r="V1002" s="28"/>
      <c r="W1002" s="28"/>
      <c r="AD1002" s="28"/>
      <c r="AE1002" s="28"/>
      <c r="AF1002" s="28"/>
      <c r="AG1002" s="28"/>
      <c r="AN1002" s="28"/>
      <c r="AO1002" s="28"/>
      <c r="AP1002" s="28"/>
      <c r="AQ1002" s="28"/>
    </row>
    <row r="1003">
      <c r="J1003" s="28"/>
      <c r="K1003" s="28"/>
      <c r="L1003" s="28"/>
      <c r="M1003" s="28"/>
      <c r="T1003" s="28"/>
      <c r="U1003" s="28"/>
      <c r="V1003" s="28"/>
      <c r="W1003" s="28"/>
      <c r="AD1003" s="28"/>
      <c r="AE1003" s="28"/>
      <c r="AF1003" s="28"/>
      <c r="AG1003" s="28"/>
      <c r="AN1003" s="28"/>
      <c r="AO1003" s="28"/>
      <c r="AP1003" s="28"/>
      <c r="AQ1003" s="28"/>
    </row>
    <row r="1004">
      <c r="J1004" s="28"/>
      <c r="K1004" s="28"/>
      <c r="L1004" s="28"/>
      <c r="M1004" s="28"/>
      <c r="T1004" s="28"/>
      <c r="U1004" s="28"/>
      <c r="V1004" s="28"/>
      <c r="W1004" s="28"/>
      <c r="AD1004" s="28"/>
      <c r="AE1004" s="28"/>
      <c r="AF1004" s="28"/>
      <c r="AG1004" s="28"/>
      <c r="AN1004" s="28"/>
      <c r="AO1004" s="28"/>
      <c r="AP1004" s="28"/>
      <c r="AQ1004" s="28"/>
    </row>
    <row r="1005">
      <c r="J1005" s="28"/>
      <c r="K1005" s="28"/>
      <c r="L1005" s="28"/>
      <c r="M1005" s="28"/>
      <c r="T1005" s="28"/>
      <c r="U1005" s="28"/>
      <c r="V1005" s="28"/>
      <c r="W1005" s="28"/>
      <c r="AD1005" s="28"/>
      <c r="AE1005" s="28"/>
      <c r="AF1005" s="28"/>
      <c r="AG1005" s="28"/>
      <c r="AN1005" s="28"/>
      <c r="AO1005" s="28"/>
      <c r="AP1005" s="28"/>
      <c r="AQ1005" s="28"/>
    </row>
    <row r="1006">
      <c r="J1006" s="28"/>
      <c r="K1006" s="28"/>
      <c r="L1006" s="28"/>
      <c r="M1006" s="28"/>
      <c r="T1006" s="28"/>
      <c r="U1006" s="28"/>
      <c r="V1006" s="28"/>
      <c r="W1006" s="28"/>
      <c r="AD1006" s="28"/>
      <c r="AE1006" s="28"/>
      <c r="AF1006" s="28"/>
      <c r="AG1006" s="28"/>
      <c r="AN1006" s="28"/>
      <c r="AO1006" s="28"/>
      <c r="AP1006" s="28"/>
      <c r="AQ1006" s="28"/>
    </row>
    <row r="1007">
      <c r="J1007" s="28"/>
      <c r="K1007" s="28"/>
      <c r="L1007" s="28"/>
      <c r="M1007" s="28"/>
      <c r="T1007" s="28"/>
      <c r="U1007" s="28"/>
      <c r="V1007" s="28"/>
      <c r="W1007" s="28"/>
      <c r="AD1007" s="28"/>
      <c r="AE1007" s="28"/>
      <c r="AF1007" s="28"/>
      <c r="AG1007" s="28"/>
      <c r="AN1007" s="28"/>
      <c r="AO1007" s="28"/>
      <c r="AP1007" s="28"/>
      <c r="AQ1007" s="28"/>
    </row>
    <row r="1008">
      <c r="J1008" s="28"/>
      <c r="K1008" s="28"/>
      <c r="L1008" s="28"/>
      <c r="M1008" s="28"/>
      <c r="T1008" s="28"/>
      <c r="U1008" s="28"/>
      <c r="V1008" s="28"/>
      <c r="W1008" s="28"/>
      <c r="AD1008" s="28"/>
      <c r="AE1008" s="28"/>
      <c r="AF1008" s="28"/>
      <c r="AG1008" s="28"/>
      <c r="AN1008" s="28"/>
      <c r="AO1008" s="28"/>
      <c r="AP1008" s="28"/>
      <c r="AQ1008" s="28"/>
    </row>
    <row r="1009">
      <c r="J1009" s="28"/>
      <c r="K1009" s="28"/>
      <c r="L1009" s="28"/>
      <c r="M1009" s="28"/>
      <c r="T1009" s="28"/>
      <c r="U1009" s="28"/>
      <c r="V1009" s="28"/>
      <c r="W1009" s="28"/>
      <c r="AD1009" s="28"/>
      <c r="AE1009" s="28"/>
      <c r="AF1009" s="28"/>
      <c r="AG1009" s="28"/>
      <c r="AN1009" s="28"/>
      <c r="AO1009" s="28"/>
      <c r="AP1009" s="28"/>
      <c r="AQ1009" s="28"/>
    </row>
    <row r="1010">
      <c r="J1010" s="28"/>
      <c r="K1010" s="28"/>
      <c r="L1010" s="28"/>
      <c r="M1010" s="28"/>
      <c r="T1010" s="28"/>
      <c r="U1010" s="28"/>
      <c r="V1010" s="28"/>
      <c r="W1010" s="28"/>
      <c r="AD1010" s="28"/>
      <c r="AE1010" s="28"/>
      <c r="AF1010" s="28"/>
      <c r="AG1010" s="28"/>
      <c r="AN1010" s="28"/>
      <c r="AO1010" s="28"/>
      <c r="AP1010" s="28"/>
      <c r="AQ1010" s="28"/>
    </row>
    <row r="1011">
      <c r="J1011" s="28"/>
      <c r="K1011" s="28"/>
      <c r="L1011" s="28"/>
      <c r="M1011" s="28"/>
      <c r="T1011" s="28"/>
      <c r="U1011" s="28"/>
      <c r="V1011" s="28"/>
      <c r="W1011" s="28"/>
      <c r="AD1011" s="28"/>
      <c r="AE1011" s="28"/>
      <c r="AF1011" s="28"/>
      <c r="AG1011" s="28"/>
      <c r="AN1011" s="28"/>
      <c r="AO1011" s="28"/>
      <c r="AP1011" s="28"/>
      <c r="AQ1011"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296</v>
      </c>
      <c r="C1" s="34" t="s">
        <v>3</v>
      </c>
      <c r="D1" s="35" t="s">
        <v>4</v>
      </c>
      <c r="E1" s="33" t="s">
        <v>298</v>
      </c>
      <c r="F1" s="36" t="s">
        <v>3</v>
      </c>
      <c r="G1" s="37" t="s">
        <v>4</v>
      </c>
      <c r="H1" s="37" t="s">
        <v>6</v>
      </c>
      <c r="I1" s="37" t="s">
        <v>8</v>
      </c>
      <c r="J1" s="38" t="s">
        <v>552</v>
      </c>
      <c r="K1" s="37" t="s">
        <v>9</v>
      </c>
    </row>
    <row r="2">
      <c r="A2" s="18">
        <v>1.0</v>
      </c>
      <c r="B2" s="39" t="s">
        <v>21</v>
      </c>
      <c r="C2" s="40">
        <v>1.0</v>
      </c>
      <c r="D2" s="41">
        <f>IFERROR(__xludf.DUMMYFUNCTION("IF(B2="""","""",COUNTA(SPLIT(B2,"" "")))"),31.0)</f>
        <v>31</v>
      </c>
      <c r="E2" s="39" t="s">
        <v>22</v>
      </c>
      <c r="F2" s="40">
        <v>1.0</v>
      </c>
      <c r="G2" s="16">
        <f>IFERROR(__xludf.DUMMYFUNCTION("IF(E2="""","""",COUNTA(SPLIT(E2,"" "")))"),34.0)</f>
        <v>34</v>
      </c>
      <c r="H2" s="16">
        <f t="shared" ref="H2:H4" si="1">compararRespostas(B2, E2)</f>
        <v>0.7106598985</v>
      </c>
      <c r="I2" s="16">
        <f t="shared" ref="I2:I30" si="2">(G2-D2)</f>
        <v>3</v>
      </c>
      <c r="J2" s="16">
        <f t="shared" ref="J2:J30" si="3">abs(I2)</f>
        <v>3</v>
      </c>
      <c r="K2" s="16">
        <f t="shared" ref="K2:K4" si="4">RANK(J2, J$2:J$30, 1)</f>
        <v>8</v>
      </c>
    </row>
    <row r="3">
      <c r="A3" s="18">
        <v>2.0</v>
      </c>
      <c r="B3" s="39" t="s">
        <v>553</v>
      </c>
      <c r="C3" s="40">
        <v>1.0</v>
      </c>
      <c r="D3" s="41">
        <f>IFERROR(__xludf.DUMMYFUNCTION("IF(B3="""","""",COUNTA(SPLIT(B3,"" "")))"),141.0)</f>
        <v>141</v>
      </c>
      <c r="E3" s="39" t="s">
        <v>554</v>
      </c>
      <c r="F3" s="40">
        <v>1.0</v>
      </c>
      <c r="G3" s="16">
        <f>IFERROR(__xludf.DUMMYFUNCTION("IF(E3="""","""",COUNTA(SPLIT(E3,"" "")))"),157.0)</f>
        <v>157</v>
      </c>
      <c r="H3" s="16">
        <f t="shared" si="1"/>
        <v>0.4561068702</v>
      </c>
      <c r="I3" s="16">
        <f t="shared" si="2"/>
        <v>16</v>
      </c>
      <c r="J3" s="16">
        <f t="shared" si="3"/>
        <v>16</v>
      </c>
      <c r="K3" s="16">
        <f t="shared" si="4"/>
        <v>12</v>
      </c>
    </row>
    <row r="4">
      <c r="A4" s="18">
        <v>3.0</v>
      </c>
      <c r="B4" s="39" t="s">
        <v>555</v>
      </c>
      <c r="C4" s="42">
        <v>1.0</v>
      </c>
      <c r="D4" s="41">
        <f>IFERROR(__xludf.DUMMYFUNCTION("IF(B4="""","""",COUNTA(SPLIT(B4,"" "")))"),320.0)</f>
        <v>320</v>
      </c>
      <c r="E4" s="39" t="s">
        <v>556</v>
      </c>
      <c r="F4" s="42">
        <v>1.0</v>
      </c>
      <c r="G4" s="16">
        <f>IFERROR(__xludf.DUMMYFUNCTION("IF(E4="""","""",COUNTA(SPLIT(E4,"" "")))"),404.0)</f>
        <v>404</v>
      </c>
      <c r="H4" s="16">
        <f t="shared" si="1"/>
        <v>0.4525217391</v>
      </c>
      <c r="I4" s="16">
        <f t="shared" si="2"/>
        <v>84</v>
      </c>
      <c r="J4" s="16">
        <f t="shared" si="3"/>
        <v>84</v>
      </c>
      <c r="K4" s="16">
        <f t="shared" si="4"/>
        <v>25</v>
      </c>
    </row>
    <row r="5">
      <c r="A5" s="18">
        <v>0.0</v>
      </c>
      <c r="B5" s="39" t="s">
        <v>557</v>
      </c>
      <c r="C5" s="42">
        <v>1.0</v>
      </c>
      <c r="D5" s="43">
        <v>0.0</v>
      </c>
      <c r="E5" s="39" t="s">
        <v>558</v>
      </c>
      <c r="F5" s="42">
        <v>1.0</v>
      </c>
      <c r="G5" s="44">
        <v>0.0</v>
      </c>
      <c r="H5" s="44">
        <v>0.0</v>
      </c>
      <c r="I5" s="16">
        <f t="shared" si="2"/>
        <v>0</v>
      </c>
      <c r="J5" s="16">
        <f t="shared" si="3"/>
        <v>0</v>
      </c>
      <c r="K5" s="44">
        <v>0.0</v>
      </c>
    </row>
    <row r="6">
      <c r="A6" s="18">
        <v>5.0</v>
      </c>
      <c r="B6" s="39" t="s">
        <v>559</v>
      </c>
      <c r="C6" s="42">
        <v>1.0</v>
      </c>
      <c r="D6" s="41">
        <f>IFERROR(__xludf.DUMMYFUNCTION("IF(B6="""","""",COUNTA(SPLIT(B6,"" "")))"),141.0)</f>
        <v>141</v>
      </c>
      <c r="E6" s="39" t="s">
        <v>58</v>
      </c>
      <c r="F6" s="42">
        <v>1.0</v>
      </c>
      <c r="G6" s="16">
        <f>IFERROR(__xludf.DUMMYFUNCTION("IF(E6="""","""",COUNTA(SPLIT(E6,"" "")))"),67.0)</f>
        <v>67</v>
      </c>
      <c r="H6" s="16">
        <f t="shared" ref="H6:H7" si="5">compararRespostas(B6, E6)</f>
        <v>0.3790123457</v>
      </c>
      <c r="I6" s="16">
        <f t="shared" si="2"/>
        <v>-74</v>
      </c>
      <c r="J6" s="16">
        <f t="shared" si="3"/>
        <v>74</v>
      </c>
      <c r="K6" s="16">
        <f t="shared" ref="K6:K7" si="6">RANK(J6, J$2:J$30, 1)</f>
        <v>24</v>
      </c>
    </row>
    <row r="7">
      <c r="A7" s="18">
        <v>6.0</v>
      </c>
      <c r="B7" s="39" t="s">
        <v>560</v>
      </c>
      <c r="C7" s="42">
        <v>1.0</v>
      </c>
      <c r="D7" s="41">
        <f>IFERROR(__xludf.DUMMYFUNCTION("IF(B7="""","""",COUNTA(SPLIT(B7,"" "")))"),158.0)</f>
        <v>158</v>
      </c>
      <c r="E7" s="39" t="s">
        <v>561</v>
      </c>
      <c r="F7" s="42">
        <v>1.0</v>
      </c>
      <c r="G7" s="16">
        <f>IFERROR(__xludf.DUMMYFUNCTION("IF(E7="""","""",COUNTA(SPLIT(E7,"" "")))"),329.0)</f>
        <v>329</v>
      </c>
      <c r="H7" s="16">
        <f t="shared" si="5"/>
        <v>0.3499566349</v>
      </c>
      <c r="I7" s="16">
        <f t="shared" si="2"/>
        <v>171</v>
      </c>
      <c r="J7" s="16">
        <f t="shared" si="3"/>
        <v>171</v>
      </c>
      <c r="K7" s="16">
        <f t="shared" si="6"/>
        <v>29</v>
      </c>
    </row>
    <row r="8">
      <c r="A8" s="18">
        <v>7.0</v>
      </c>
      <c r="B8" s="39" t="s">
        <v>562</v>
      </c>
      <c r="C8" s="42">
        <v>0.0</v>
      </c>
      <c r="D8" s="43">
        <v>0.0</v>
      </c>
      <c r="E8" s="39" t="s">
        <v>563</v>
      </c>
      <c r="F8" s="42">
        <v>1.0</v>
      </c>
      <c r="G8" s="44">
        <v>0.0</v>
      </c>
      <c r="H8" s="44">
        <v>0.0</v>
      </c>
      <c r="I8" s="16">
        <f t="shared" si="2"/>
        <v>0</v>
      </c>
      <c r="J8" s="16">
        <f t="shared" si="3"/>
        <v>0</v>
      </c>
      <c r="K8" s="44">
        <v>0.0</v>
      </c>
    </row>
    <row r="9">
      <c r="A9" s="18">
        <v>8.0</v>
      </c>
      <c r="B9" s="39" t="s">
        <v>564</v>
      </c>
      <c r="C9" s="42">
        <v>1.0</v>
      </c>
      <c r="D9" s="41">
        <f>IFERROR(__xludf.DUMMYFUNCTION("IF(B9="""","""",COUNTA(SPLIT(B9,"" "")))"),149.0)</f>
        <v>149</v>
      </c>
      <c r="E9" s="39" t="s">
        <v>565</v>
      </c>
      <c r="F9" s="42">
        <v>1.0</v>
      </c>
      <c r="G9" s="16">
        <f>IFERROR(__xludf.DUMMYFUNCTION("IF(E9="""","""",COUNTA(SPLIT(E9,"" "")))"),177.0)</f>
        <v>177</v>
      </c>
      <c r="H9" s="16">
        <f t="shared" ref="H9:H12" si="7">compararRespostas(B9, E9)</f>
        <v>0.3893188854</v>
      </c>
      <c r="I9" s="16">
        <f t="shared" si="2"/>
        <v>28</v>
      </c>
      <c r="J9" s="16">
        <f t="shared" si="3"/>
        <v>28</v>
      </c>
      <c r="K9" s="16">
        <f t="shared" ref="K9:K12" si="8">RANK(J9, J$2:J$30, 1)</f>
        <v>17</v>
      </c>
    </row>
    <row r="10">
      <c r="A10" s="18">
        <v>9.0</v>
      </c>
      <c r="B10" s="39" t="s">
        <v>566</v>
      </c>
      <c r="C10" s="42">
        <v>1.0</v>
      </c>
      <c r="D10" s="41">
        <f>IFERROR(__xludf.DUMMYFUNCTION("IF(B10="""","""",COUNTA(SPLIT(B10,"" "")))"),338.0)</f>
        <v>338</v>
      </c>
      <c r="E10" s="39" t="s">
        <v>567</v>
      </c>
      <c r="F10" s="42">
        <v>1.0</v>
      </c>
      <c r="G10" s="16">
        <f>IFERROR(__xludf.DUMMYFUNCTION("IF(E10="""","""",COUNTA(SPLIT(E10,"" "")))"),228.0)</f>
        <v>228</v>
      </c>
      <c r="H10" s="16">
        <f t="shared" si="7"/>
        <v>0.3440514469</v>
      </c>
      <c r="I10" s="16">
        <f t="shared" si="2"/>
        <v>-110</v>
      </c>
      <c r="J10" s="16">
        <f t="shared" si="3"/>
        <v>110</v>
      </c>
      <c r="K10" s="16">
        <f t="shared" si="8"/>
        <v>27</v>
      </c>
    </row>
    <row r="11">
      <c r="A11" s="18">
        <v>10.0</v>
      </c>
      <c r="B11" s="39" t="s">
        <v>102</v>
      </c>
      <c r="C11" s="42">
        <v>1.0</v>
      </c>
      <c r="D11" s="41">
        <f>IFERROR(__xludf.DUMMYFUNCTION("IF(B11="""","""",COUNTA(SPLIT(B11,"" "")))"),62.0)</f>
        <v>62</v>
      </c>
      <c r="E11" s="39" t="s">
        <v>103</v>
      </c>
      <c r="F11" s="42">
        <v>1.0</v>
      </c>
      <c r="G11" s="16">
        <f>IFERROR(__xludf.DUMMYFUNCTION("IF(E11="""","""",COUNTA(SPLIT(E11,"" "")))"),120.0)</f>
        <v>120</v>
      </c>
      <c r="H11" s="16">
        <f t="shared" si="7"/>
        <v>0.5164585698</v>
      </c>
      <c r="I11" s="16">
        <f t="shared" si="2"/>
        <v>58</v>
      </c>
      <c r="J11" s="16">
        <f t="shared" si="3"/>
        <v>58</v>
      </c>
      <c r="K11" s="16">
        <f t="shared" si="8"/>
        <v>21</v>
      </c>
    </row>
    <row r="12">
      <c r="A12" s="18">
        <v>11.0</v>
      </c>
      <c r="B12" s="39" t="s">
        <v>568</v>
      </c>
      <c r="C12" s="42">
        <v>1.0</v>
      </c>
      <c r="D12" s="41">
        <f>IFERROR(__xludf.DUMMYFUNCTION("IF(B12="""","""",COUNTA(SPLIT(B12,"" "")))"),170.0)</f>
        <v>170</v>
      </c>
      <c r="E12" s="39" t="s">
        <v>569</v>
      </c>
      <c r="F12" s="42">
        <v>1.0</v>
      </c>
      <c r="G12" s="16">
        <f>IFERROR(__xludf.DUMMYFUNCTION("IF(E12="""","""",COUNTA(SPLIT(E12,"" "")))"),105.0)</f>
        <v>105</v>
      </c>
      <c r="H12" s="16">
        <f t="shared" si="7"/>
        <v>0.4231536926</v>
      </c>
      <c r="I12" s="16">
        <f t="shared" si="2"/>
        <v>-65</v>
      </c>
      <c r="J12" s="16">
        <f t="shared" si="3"/>
        <v>65</v>
      </c>
      <c r="K12" s="16">
        <f t="shared" si="8"/>
        <v>22</v>
      </c>
    </row>
    <row r="13">
      <c r="A13" s="18">
        <v>12.0</v>
      </c>
      <c r="B13" s="39" t="s">
        <v>570</v>
      </c>
      <c r="C13" s="42">
        <v>0.0</v>
      </c>
      <c r="D13" s="43">
        <v>0.0</v>
      </c>
      <c r="E13" s="39" t="s">
        <v>571</v>
      </c>
      <c r="F13" s="42">
        <v>0.0</v>
      </c>
      <c r="G13" s="44">
        <v>0.0</v>
      </c>
      <c r="H13" s="44">
        <v>0.0</v>
      </c>
      <c r="I13" s="16">
        <f t="shared" si="2"/>
        <v>0</v>
      </c>
      <c r="J13" s="16">
        <f t="shared" si="3"/>
        <v>0</v>
      </c>
      <c r="K13" s="44">
        <v>0.0</v>
      </c>
    </row>
    <row r="14">
      <c r="A14" s="18">
        <v>13.0</v>
      </c>
      <c r="B14" s="39" t="s">
        <v>572</v>
      </c>
      <c r="C14" s="42">
        <v>1.0</v>
      </c>
      <c r="D14" s="41">
        <f>IFERROR(__xludf.DUMMYFUNCTION("IF(B14="""","""",COUNTA(SPLIT(B14,"" "")))"),1.0)</f>
        <v>1</v>
      </c>
      <c r="E14" s="39" t="s">
        <v>572</v>
      </c>
      <c r="F14" s="42">
        <v>1.0</v>
      </c>
      <c r="G14" s="16">
        <f>IFERROR(__xludf.DUMMYFUNCTION("IF(E14="""","""",COUNTA(SPLIT(E14,"" "")))"),1.0)</f>
        <v>1</v>
      </c>
      <c r="H14" s="16">
        <f t="shared" ref="H14:H16" si="9">compararRespostas(B14, E14)</f>
        <v>1</v>
      </c>
      <c r="I14" s="16">
        <f t="shared" si="2"/>
        <v>0</v>
      </c>
      <c r="J14" s="16">
        <f t="shared" si="3"/>
        <v>0</v>
      </c>
      <c r="K14" s="16">
        <f t="shared" ref="K14:K16" si="10">RANK(J14, J$2:J$30, 1)</f>
        <v>1</v>
      </c>
    </row>
    <row r="15">
      <c r="A15" s="18">
        <v>14.0</v>
      </c>
      <c r="B15" s="39" t="s">
        <v>573</v>
      </c>
      <c r="C15" s="42">
        <v>1.0</v>
      </c>
      <c r="D15" s="41">
        <f>IFERROR(__xludf.DUMMYFUNCTION("IF(B15="""","""",COUNTA(SPLIT(B15,"" "")))"),151.0)</f>
        <v>151</v>
      </c>
      <c r="E15" s="39" t="s">
        <v>574</v>
      </c>
      <c r="F15" s="42">
        <v>1.0</v>
      </c>
      <c r="G15" s="16">
        <f>IFERROR(__xludf.DUMMYFUNCTION("IF(E15="""","""",COUNTA(SPLIT(E15,"" "")))"),296.0)</f>
        <v>296</v>
      </c>
      <c r="H15" s="16">
        <f t="shared" si="9"/>
        <v>0.3244382022</v>
      </c>
      <c r="I15" s="16">
        <f t="shared" si="2"/>
        <v>145</v>
      </c>
      <c r="J15" s="16">
        <f t="shared" si="3"/>
        <v>145</v>
      </c>
      <c r="K15" s="16">
        <f t="shared" si="10"/>
        <v>28</v>
      </c>
    </row>
    <row r="16">
      <c r="A16" s="18">
        <v>15.0</v>
      </c>
      <c r="B16" s="39" t="s">
        <v>147</v>
      </c>
      <c r="C16" s="42">
        <v>1.0</v>
      </c>
      <c r="D16" s="41">
        <f>IFERROR(__xludf.DUMMYFUNCTION("IF(B16="""","""",COUNTA(SPLIT(B16,"" "")))"),57.0)</f>
        <v>57</v>
      </c>
      <c r="E16" s="39" t="s">
        <v>148</v>
      </c>
      <c r="F16" s="42">
        <v>1.0</v>
      </c>
      <c r="G16" s="16">
        <f>IFERROR(__xludf.DUMMYFUNCTION("IF(E16="""","""",COUNTA(SPLIT(E16,"" "")))"),79.0)</f>
        <v>79</v>
      </c>
      <c r="H16" s="16">
        <f t="shared" si="9"/>
        <v>0.6365313653</v>
      </c>
      <c r="I16" s="16">
        <f t="shared" si="2"/>
        <v>22</v>
      </c>
      <c r="J16" s="16">
        <f t="shared" si="3"/>
        <v>22</v>
      </c>
      <c r="K16" s="16">
        <f t="shared" si="10"/>
        <v>15</v>
      </c>
    </row>
    <row r="17">
      <c r="A17" s="18">
        <v>16.0</v>
      </c>
      <c r="B17" s="39" t="s">
        <v>575</v>
      </c>
      <c r="C17" s="42">
        <v>0.0</v>
      </c>
      <c r="D17" s="43">
        <v>0.0</v>
      </c>
      <c r="E17" s="39" t="s">
        <v>576</v>
      </c>
      <c r="F17" s="42">
        <v>1.0</v>
      </c>
      <c r="G17" s="44">
        <v>0.0</v>
      </c>
      <c r="H17" s="44">
        <v>0.0</v>
      </c>
      <c r="I17" s="16">
        <f t="shared" si="2"/>
        <v>0</v>
      </c>
      <c r="J17" s="16">
        <f t="shared" si="3"/>
        <v>0</v>
      </c>
      <c r="K17" s="44">
        <v>0.0</v>
      </c>
    </row>
    <row r="18">
      <c r="A18" s="18">
        <v>17.0</v>
      </c>
      <c r="B18" s="39" t="s">
        <v>577</v>
      </c>
      <c r="C18" s="42">
        <v>1.0</v>
      </c>
      <c r="D18" s="41">
        <f>IFERROR(__xludf.DUMMYFUNCTION("IF(B18="""","""",COUNTA(SPLIT(B18,"" "")))"),254.0)</f>
        <v>254</v>
      </c>
      <c r="E18" s="39" t="s">
        <v>578</v>
      </c>
      <c r="F18" s="42">
        <v>1.0</v>
      </c>
      <c r="G18" s="16">
        <f>IFERROR(__xludf.DUMMYFUNCTION("IF(E18="""","""",COUNTA(SPLIT(E18,"" "")))"),250.0)</f>
        <v>250</v>
      </c>
      <c r="H18" s="16">
        <f t="shared" ref="H18:H24" si="11">compararRespostas(B18, E18)</f>
        <v>0.4451718494</v>
      </c>
      <c r="I18" s="16">
        <f t="shared" si="2"/>
        <v>-4</v>
      </c>
      <c r="J18" s="16">
        <f t="shared" si="3"/>
        <v>4</v>
      </c>
      <c r="K18" s="16">
        <f t="shared" ref="K18:K24" si="12">RANK(J18, J$2:J$30, 1)</f>
        <v>9</v>
      </c>
    </row>
    <row r="19">
      <c r="A19" s="18">
        <v>18.0</v>
      </c>
      <c r="B19" s="39" t="s">
        <v>579</v>
      </c>
      <c r="C19" s="42">
        <v>1.0</v>
      </c>
      <c r="D19" s="41">
        <f>IFERROR(__xludf.DUMMYFUNCTION("IF(B19="""","""",COUNTA(SPLIT(B19,"" "")))"),387.0)</f>
        <v>387</v>
      </c>
      <c r="E19" s="39" t="s">
        <v>580</v>
      </c>
      <c r="F19" s="42">
        <v>1.0</v>
      </c>
      <c r="G19" s="16">
        <f>IFERROR(__xludf.DUMMYFUNCTION("IF(E19="""","""",COUNTA(SPLIT(E19,"" "")))"),386.0)</f>
        <v>386</v>
      </c>
      <c r="H19" s="16">
        <f t="shared" si="11"/>
        <v>0.3473254086</v>
      </c>
      <c r="I19" s="16">
        <f t="shared" si="2"/>
        <v>-1</v>
      </c>
      <c r="J19" s="16">
        <f t="shared" si="3"/>
        <v>1</v>
      </c>
      <c r="K19" s="16">
        <f t="shared" si="12"/>
        <v>7</v>
      </c>
    </row>
    <row r="20">
      <c r="A20" s="18">
        <v>19.0</v>
      </c>
      <c r="B20" s="39" t="s">
        <v>581</v>
      </c>
      <c r="C20" s="42">
        <v>1.0</v>
      </c>
      <c r="D20" s="41">
        <f>IFERROR(__xludf.DUMMYFUNCTION("IF(B20="""","""",COUNTA(SPLIT(B20,"" "")))"),179.0)</f>
        <v>179</v>
      </c>
      <c r="E20" s="39" t="s">
        <v>582</v>
      </c>
      <c r="F20" s="42">
        <v>1.0</v>
      </c>
      <c r="G20" s="16">
        <f>IFERROR(__xludf.DUMMYFUNCTION("IF(E20="""","""",COUNTA(SPLIT(E20,"" "")))"),196.0)</f>
        <v>196</v>
      </c>
      <c r="H20" s="16">
        <f t="shared" si="11"/>
        <v>0.7078576226</v>
      </c>
      <c r="I20" s="16">
        <f t="shared" si="2"/>
        <v>17</v>
      </c>
      <c r="J20" s="16">
        <f t="shared" si="3"/>
        <v>17</v>
      </c>
      <c r="K20" s="16">
        <f t="shared" si="12"/>
        <v>13</v>
      </c>
    </row>
    <row r="21">
      <c r="A21" s="18">
        <v>20.0</v>
      </c>
      <c r="B21" s="39" t="s">
        <v>583</v>
      </c>
      <c r="C21" s="42">
        <v>1.0</v>
      </c>
      <c r="D21" s="41">
        <f>IFERROR(__xludf.DUMMYFUNCTION("IF(B21="""","""",COUNTA(SPLIT(B21,"" "")))"),405.0)</f>
        <v>405</v>
      </c>
      <c r="E21" s="39" t="s">
        <v>584</v>
      </c>
      <c r="F21" s="42">
        <v>1.0</v>
      </c>
      <c r="G21" s="16">
        <f>IFERROR(__xludf.DUMMYFUNCTION("IF(E21="""","""",COUNTA(SPLIT(E21,"" "")))"),339.0)</f>
        <v>339</v>
      </c>
      <c r="H21" s="16">
        <f t="shared" si="11"/>
        <v>0.4768076398</v>
      </c>
      <c r="I21" s="16">
        <f t="shared" si="2"/>
        <v>-66</v>
      </c>
      <c r="J21" s="16">
        <f t="shared" si="3"/>
        <v>66</v>
      </c>
      <c r="K21" s="16">
        <f t="shared" si="12"/>
        <v>23</v>
      </c>
    </row>
    <row r="22">
      <c r="A22" s="18">
        <v>21.0</v>
      </c>
      <c r="B22" s="39" t="s">
        <v>585</v>
      </c>
      <c r="C22" s="42">
        <v>1.0</v>
      </c>
      <c r="D22" s="41">
        <f>IFERROR(__xludf.DUMMYFUNCTION("IF(B22="""","""",COUNTA(SPLIT(B22,"" "")))"),177.0)</f>
        <v>177</v>
      </c>
      <c r="E22" s="39" t="s">
        <v>586</v>
      </c>
      <c r="F22" s="42">
        <v>1.0</v>
      </c>
      <c r="G22" s="16">
        <f>IFERROR(__xludf.DUMMYFUNCTION("IF(E22="""","""",COUNTA(SPLIT(E22,"" "")))"),151.0)</f>
        <v>151</v>
      </c>
      <c r="H22" s="16">
        <f t="shared" si="11"/>
        <v>0.4036418816</v>
      </c>
      <c r="I22" s="16">
        <f t="shared" si="2"/>
        <v>-26</v>
      </c>
      <c r="J22" s="16">
        <f t="shared" si="3"/>
        <v>26</v>
      </c>
      <c r="K22" s="16">
        <f t="shared" si="12"/>
        <v>16</v>
      </c>
    </row>
    <row r="23">
      <c r="A23" s="18">
        <v>22.0</v>
      </c>
      <c r="B23" s="39" t="s">
        <v>587</v>
      </c>
      <c r="C23" s="42">
        <v>1.0</v>
      </c>
      <c r="D23" s="41">
        <f>IFERROR(__xludf.DUMMYFUNCTION("IF(B23="""","""",COUNTA(SPLIT(B23,"" "")))"),317.0)</f>
        <v>317</v>
      </c>
      <c r="E23" s="39" t="s">
        <v>588</v>
      </c>
      <c r="F23" s="42">
        <v>1.0</v>
      </c>
      <c r="G23" s="16">
        <f>IFERROR(__xludf.DUMMYFUNCTION("IF(E23="""","""",COUNTA(SPLIT(E23,"" "")))"),281.0)</f>
        <v>281</v>
      </c>
      <c r="H23" s="16">
        <f t="shared" si="11"/>
        <v>0.4139130435</v>
      </c>
      <c r="I23" s="16">
        <f t="shared" si="2"/>
        <v>-36</v>
      </c>
      <c r="J23" s="16">
        <f t="shared" si="3"/>
        <v>36</v>
      </c>
      <c r="K23" s="16">
        <f t="shared" si="12"/>
        <v>19</v>
      </c>
    </row>
    <row r="24">
      <c r="A24" s="18">
        <v>23.0</v>
      </c>
      <c r="B24" s="39" t="s">
        <v>589</v>
      </c>
      <c r="C24" s="42">
        <v>1.0</v>
      </c>
      <c r="D24" s="41">
        <f>IFERROR(__xludf.DUMMYFUNCTION("IF(B24="""","""",COUNTA(SPLIT(B24,"" "")))"),280.0)</f>
        <v>280</v>
      </c>
      <c r="E24" s="39" t="s">
        <v>590</v>
      </c>
      <c r="F24" s="42">
        <v>1.0</v>
      </c>
      <c r="G24" s="16">
        <f>IFERROR(__xludf.DUMMYFUNCTION("IF(E24="""","""",COUNTA(SPLIT(E24,"" "")))"),250.0)</f>
        <v>250</v>
      </c>
      <c r="H24" s="16">
        <f t="shared" si="11"/>
        <v>0.3488714426</v>
      </c>
      <c r="I24" s="16">
        <f t="shared" si="2"/>
        <v>-30</v>
      </c>
      <c r="J24" s="16">
        <f t="shared" si="3"/>
        <v>30</v>
      </c>
      <c r="K24" s="16">
        <f t="shared" si="12"/>
        <v>18</v>
      </c>
    </row>
    <row r="25">
      <c r="A25" s="18">
        <v>24.0</v>
      </c>
      <c r="B25" s="39" t="s">
        <v>591</v>
      </c>
      <c r="C25" s="42">
        <v>0.0</v>
      </c>
      <c r="D25" s="43">
        <v>0.0</v>
      </c>
      <c r="E25" s="39" t="s">
        <v>592</v>
      </c>
      <c r="F25" s="42">
        <v>1.0</v>
      </c>
      <c r="G25" s="44">
        <v>0.0</v>
      </c>
      <c r="H25" s="44">
        <v>0.0</v>
      </c>
      <c r="I25" s="16">
        <f t="shared" si="2"/>
        <v>0</v>
      </c>
      <c r="J25" s="16">
        <f t="shared" si="3"/>
        <v>0</v>
      </c>
      <c r="K25" s="44">
        <v>0.0</v>
      </c>
    </row>
    <row r="26">
      <c r="A26" s="18">
        <v>25.0</v>
      </c>
      <c r="B26" s="39" t="s">
        <v>593</v>
      </c>
      <c r="C26" s="42">
        <v>1.0</v>
      </c>
      <c r="D26" s="41">
        <f>IFERROR(__xludf.DUMMYFUNCTION("IF(B26="""","""",COUNTA(SPLIT(B26,"" "")))"),370.0)</f>
        <v>370</v>
      </c>
      <c r="E26" s="39" t="s">
        <v>594</v>
      </c>
      <c r="F26" s="42">
        <v>1.0</v>
      </c>
      <c r="G26" s="16">
        <f>IFERROR(__xludf.DUMMYFUNCTION("IF(E26="""","""",COUNTA(SPLIT(E26,"" "")))"),421.0)</f>
        <v>421</v>
      </c>
      <c r="H26" s="16">
        <f t="shared" ref="H26:H30" si="13">compararRespostas(B26, E26)</f>
        <v>0.371324744</v>
      </c>
      <c r="I26" s="16">
        <f t="shared" si="2"/>
        <v>51</v>
      </c>
      <c r="J26" s="16">
        <f t="shared" si="3"/>
        <v>51</v>
      </c>
      <c r="K26" s="16">
        <f t="shared" ref="K26:K30" si="14">RANK(J26, J$2:J$30, 1)</f>
        <v>20</v>
      </c>
    </row>
    <row r="27">
      <c r="A27" s="18">
        <v>26.0</v>
      </c>
      <c r="B27" s="39" t="s">
        <v>595</v>
      </c>
      <c r="C27" s="42">
        <v>1.0</v>
      </c>
      <c r="D27" s="41">
        <f>IFERROR(__xludf.DUMMYFUNCTION("IF(B27="""","""",COUNTA(SPLIT(B27,"" "")))"),200.0)</f>
        <v>200</v>
      </c>
      <c r="E27" s="39" t="s">
        <v>596</v>
      </c>
      <c r="F27" s="42">
        <v>1.0</v>
      </c>
      <c r="G27" s="16">
        <f>IFERROR(__xludf.DUMMYFUNCTION("IF(E27="""","""",COUNTA(SPLIT(E27,"" "")))"),193.0)</f>
        <v>193</v>
      </c>
      <c r="H27" s="16">
        <f t="shared" si="13"/>
        <v>0.3697135061</v>
      </c>
      <c r="I27" s="16">
        <f t="shared" si="2"/>
        <v>-7</v>
      </c>
      <c r="J27" s="16">
        <f t="shared" si="3"/>
        <v>7</v>
      </c>
      <c r="K27" s="16">
        <f t="shared" si="14"/>
        <v>10</v>
      </c>
    </row>
    <row r="28">
      <c r="A28" s="18">
        <v>27.0</v>
      </c>
      <c r="B28" s="39" t="s">
        <v>597</v>
      </c>
      <c r="C28" s="42">
        <v>1.0</v>
      </c>
      <c r="D28" s="41">
        <f>IFERROR(__xludf.DUMMYFUNCTION("IF(B28="""","""",COUNTA(SPLIT(B28,"" "")))"),269.0)</f>
        <v>269</v>
      </c>
      <c r="E28" s="39" t="s">
        <v>598</v>
      </c>
      <c r="F28" s="42">
        <v>1.0</v>
      </c>
      <c r="G28" s="16">
        <f>IFERROR(__xludf.DUMMYFUNCTION("IF(E28="""","""",COUNTA(SPLIT(E28,"" "")))"),280.0)</f>
        <v>280</v>
      </c>
      <c r="H28" s="16">
        <f t="shared" si="13"/>
        <v>0.2543021033</v>
      </c>
      <c r="I28" s="16">
        <f t="shared" si="2"/>
        <v>11</v>
      </c>
      <c r="J28" s="16">
        <f t="shared" si="3"/>
        <v>11</v>
      </c>
      <c r="K28" s="16">
        <f t="shared" si="14"/>
        <v>11</v>
      </c>
    </row>
    <row r="29">
      <c r="A29" s="18">
        <v>28.0</v>
      </c>
      <c r="B29" s="39" t="s">
        <v>599</v>
      </c>
      <c r="C29" s="42">
        <v>1.0</v>
      </c>
      <c r="D29" s="41">
        <f>IFERROR(__xludf.DUMMYFUNCTION("IF(B29="""","""",COUNTA(SPLIT(B29,"" "")))"),302.0)</f>
        <v>302</v>
      </c>
      <c r="E29" s="39" t="s">
        <v>600</v>
      </c>
      <c r="F29" s="42">
        <v>1.0</v>
      </c>
      <c r="G29" s="16">
        <f>IFERROR(__xludf.DUMMYFUNCTION("IF(E29="""","""",COUNTA(SPLIT(E29,"" "")))"),323.0)</f>
        <v>323</v>
      </c>
      <c r="H29" s="16">
        <f t="shared" si="13"/>
        <v>0.4707805476</v>
      </c>
      <c r="I29" s="16">
        <f t="shared" si="2"/>
        <v>21</v>
      </c>
      <c r="J29" s="16">
        <f t="shared" si="3"/>
        <v>21</v>
      </c>
      <c r="K29" s="16">
        <f t="shared" si="14"/>
        <v>14</v>
      </c>
    </row>
    <row r="30">
      <c r="A30" s="18">
        <v>29.0</v>
      </c>
      <c r="B30" s="39" t="s">
        <v>601</v>
      </c>
      <c r="C30" s="42">
        <v>1.0</v>
      </c>
      <c r="D30" s="41">
        <f>IFERROR(__xludf.DUMMYFUNCTION("IF(B30="""","""",COUNTA(SPLIT(B30,"" "")))"),112.0)</f>
        <v>112</v>
      </c>
      <c r="E30" s="39" t="s">
        <v>602</v>
      </c>
      <c r="F30" s="42">
        <v>1.0</v>
      </c>
      <c r="G30" s="16">
        <f>IFERROR(__xludf.DUMMYFUNCTION("IF(E30="""","""",COUNTA(SPLIT(E30,"" "")))"),208.0)</f>
        <v>208</v>
      </c>
      <c r="H30" s="16">
        <f t="shared" si="13"/>
        <v>0.4062937063</v>
      </c>
      <c r="I30" s="16">
        <f t="shared" si="2"/>
        <v>96</v>
      </c>
      <c r="J30" s="16">
        <f t="shared" si="3"/>
        <v>96</v>
      </c>
      <c r="K30" s="16">
        <f t="shared" si="14"/>
        <v>26</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10.99821315</v>
      </c>
      <c r="C35" s="46"/>
      <c r="D35" s="49"/>
      <c r="E35" s="45"/>
      <c r="F35" s="48"/>
      <c r="G35" s="19"/>
      <c r="H35" s="19"/>
      <c r="I35" s="19"/>
      <c r="J35" s="19"/>
      <c r="K35" s="19"/>
    </row>
    <row r="36">
      <c r="A36" s="7"/>
      <c r="B36" s="7"/>
      <c r="C36" s="46"/>
      <c r="D36" s="49"/>
      <c r="E36" s="45"/>
      <c r="F36" s="48"/>
      <c r="G36" s="19"/>
      <c r="H36" s="19"/>
      <c r="I36" s="19"/>
      <c r="J36" s="19"/>
      <c r="K36" s="19"/>
    </row>
    <row r="37">
      <c r="B37" s="50"/>
      <c r="C37" s="46"/>
      <c r="D37" s="49"/>
      <c r="E37" s="45"/>
      <c r="F37" s="48"/>
      <c r="G37" s="19"/>
      <c r="H37" s="19"/>
      <c r="I37" s="19"/>
      <c r="J37" s="19"/>
      <c r="K37" s="19"/>
    </row>
    <row r="38">
      <c r="A38" s="7" t="s">
        <v>603</v>
      </c>
      <c r="B38" s="7">
        <f>SUM(K2:K30)</f>
        <v>415</v>
      </c>
      <c r="C38" s="46"/>
      <c r="D38" s="49"/>
      <c r="E38" s="45"/>
      <c r="F38" s="48"/>
      <c r="G38" s="19"/>
      <c r="H38" s="19"/>
      <c r="I38" s="19"/>
      <c r="J38" s="19"/>
      <c r="K38" s="19"/>
    </row>
    <row r="39">
      <c r="A39" s="7" t="s">
        <v>287</v>
      </c>
      <c r="B39" s="7" t="s">
        <v>604</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40">
        <v>1.0</v>
      </c>
      <c r="D2" s="41">
        <f>IFERROR(__xludf.DUMMYFUNCTION("IF(B2="""","""",COUNTA(SPLIT(B2,"" "")))"),214.0)</f>
        <v>214</v>
      </c>
      <c r="E2" s="50" t="s">
        <v>607</v>
      </c>
      <c r="F2" s="40">
        <v>1.0</v>
      </c>
      <c r="G2" s="16">
        <f>IFERROR(__xludf.DUMMYFUNCTION("IF(E2="""","""",COUNTA(SPLIT(E2,"" "")))"),175.0)</f>
        <v>175</v>
      </c>
      <c r="H2" s="16">
        <f t="shared" ref="H2:H6" si="1">compararRespostas(B2, E2)</f>
        <v>0.4119850187</v>
      </c>
      <c r="I2" s="16">
        <f t="shared" ref="I2:I6" si="2">(G2-D2)</f>
        <v>-39</v>
      </c>
      <c r="J2" s="16">
        <f t="shared" ref="J2:J6" si="3">abs(I2)</f>
        <v>39</v>
      </c>
      <c r="K2" s="16">
        <f t="shared" ref="K2:K6" si="4">RANK(J2, J$2:J$30, 1)</f>
        <v>14</v>
      </c>
    </row>
    <row r="3">
      <c r="A3" s="18">
        <v>2.0</v>
      </c>
      <c r="B3" s="50" t="s">
        <v>608</v>
      </c>
      <c r="C3" s="40">
        <v>1.0</v>
      </c>
      <c r="D3" s="41">
        <f>IFERROR(__xludf.DUMMYFUNCTION("IF(B3="""","""",COUNTA(SPLIT(B3,"" "")))"),219.0)</f>
        <v>219</v>
      </c>
      <c r="E3" s="50" t="s">
        <v>609</v>
      </c>
      <c r="F3" s="40">
        <v>1.0</v>
      </c>
      <c r="G3" s="16">
        <f>IFERROR(__xludf.DUMMYFUNCTION("IF(E3="""","""",COUNTA(SPLIT(E3,"" "")))"),341.0)</f>
        <v>341</v>
      </c>
      <c r="H3" s="16">
        <f t="shared" si="1"/>
        <v>0.3825275657</v>
      </c>
      <c r="I3" s="16">
        <f t="shared" si="2"/>
        <v>122</v>
      </c>
      <c r="J3" s="16">
        <f t="shared" si="3"/>
        <v>122</v>
      </c>
      <c r="K3" s="16">
        <f t="shared" si="4"/>
        <v>29</v>
      </c>
    </row>
    <row r="4">
      <c r="A4" s="18">
        <v>3.0</v>
      </c>
      <c r="B4" s="50" t="s">
        <v>610</v>
      </c>
      <c r="C4" s="42">
        <v>1.0</v>
      </c>
      <c r="D4" s="41">
        <f>IFERROR(__xludf.DUMMYFUNCTION("IF(B4="""","""",COUNTA(SPLIT(B4,"" "")))"),504.0)</f>
        <v>504</v>
      </c>
      <c r="E4" s="50" t="s">
        <v>611</v>
      </c>
      <c r="F4" s="42">
        <v>1.0</v>
      </c>
      <c r="G4" s="16">
        <f>IFERROR(__xludf.DUMMYFUNCTION("IF(E4="""","""",COUNTA(SPLIT(E4,"" "")))"),401.0)</f>
        <v>401</v>
      </c>
      <c r="H4" s="16">
        <f t="shared" si="1"/>
        <v>0.3726201269</v>
      </c>
      <c r="I4" s="16">
        <f t="shared" si="2"/>
        <v>-103</v>
      </c>
      <c r="J4" s="16">
        <f t="shared" si="3"/>
        <v>103</v>
      </c>
      <c r="K4" s="16">
        <f t="shared" si="4"/>
        <v>27</v>
      </c>
    </row>
    <row r="5">
      <c r="A5" s="18">
        <v>4.0</v>
      </c>
      <c r="B5" s="50" t="s">
        <v>612</v>
      </c>
      <c r="C5" s="42">
        <v>1.0</v>
      </c>
      <c r="D5" s="41">
        <f>IFERROR(__xludf.DUMMYFUNCTION("IF(B5="""","""",COUNTA(SPLIT(B5,"" "")))"),285.0)</f>
        <v>285</v>
      </c>
      <c r="E5" s="50" t="s">
        <v>613</v>
      </c>
      <c r="F5" s="42">
        <v>1.0</v>
      </c>
      <c r="G5" s="16">
        <f>IFERROR(__xludf.DUMMYFUNCTION("IF(E5="""","""",COUNTA(SPLIT(E5,"" "")))"),276.0)</f>
        <v>276</v>
      </c>
      <c r="H5" s="16">
        <f t="shared" si="1"/>
        <v>0.308815576</v>
      </c>
      <c r="I5" s="16">
        <f t="shared" si="2"/>
        <v>-9</v>
      </c>
      <c r="J5" s="16">
        <f t="shared" si="3"/>
        <v>9</v>
      </c>
      <c r="K5" s="16">
        <f t="shared" si="4"/>
        <v>8</v>
      </c>
    </row>
    <row r="6">
      <c r="A6" s="18">
        <v>5.0</v>
      </c>
      <c r="B6" s="50" t="s">
        <v>614</v>
      </c>
      <c r="C6" s="42">
        <v>1.0</v>
      </c>
      <c r="D6" s="41">
        <f>IFERROR(__xludf.DUMMYFUNCTION("IF(B6="""","""",COUNTA(SPLIT(B6,"" "")))"),181.0)</f>
        <v>181</v>
      </c>
      <c r="E6" s="50" t="s">
        <v>615</v>
      </c>
      <c r="F6" s="42">
        <v>1.0</v>
      </c>
      <c r="G6" s="16">
        <f>IFERROR(__xludf.DUMMYFUNCTION("IF(E6="""","""",COUNTA(SPLIT(E6,"" "")))"),184.0)</f>
        <v>184</v>
      </c>
      <c r="H6" s="16">
        <f t="shared" si="1"/>
        <v>0.3698510079</v>
      </c>
      <c r="I6" s="16">
        <f t="shared" si="2"/>
        <v>3</v>
      </c>
      <c r="J6" s="16">
        <f t="shared" si="3"/>
        <v>3</v>
      </c>
      <c r="K6" s="16">
        <f t="shared" si="4"/>
        <v>7</v>
      </c>
    </row>
    <row r="7">
      <c r="A7" s="18">
        <v>6.0</v>
      </c>
      <c r="B7" s="50" t="s">
        <v>616</v>
      </c>
      <c r="C7" s="42">
        <v>0.0</v>
      </c>
      <c r="D7" s="43">
        <v>0.0</v>
      </c>
      <c r="E7" s="50" t="s">
        <v>617</v>
      </c>
      <c r="F7" s="42">
        <v>1.0</v>
      </c>
      <c r="G7" s="44">
        <v>0.0</v>
      </c>
      <c r="H7" s="44">
        <v>0.0</v>
      </c>
      <c r="I7" s="44">
        <v>0.0</v>
      </c>
      <c r="J7" s="44">
        <v>0.0</v>
      </c>
      <c r="K7" s="44">
        <v>0.0</v>
      </c>
    </row>
    <row r="8">
      <c r="A8" s="18">
        <v>7.0</v>
      </c>
      <c r="B8" s="50" t="s">
        <v>618</v>
      </c>
      <c r="C8" s="42">
        <v>0.0</v>
      </c>
      <c r="D8" s="43">
        <v>0.0</v>
      </c>
      <c r="E8" s="50" t="s">
        <v>619</v>
      </c>
      <c r="F8" s="42">
        <v>1.0</v>
      </c>
      <c r="G8" s="44">
        <v>0.0</v>
      </c>
      <c r="H8" s="44">
        <v>0.0</v>
      </c>
      <c r="I8" s="44">
        <v>0.0</v>
      </c>
      <c r="J8" s="44">
        <v>0.0</v>
      </c>
      <c r="K8" s="44">
        <v>0.0</v>
      </c>
    </row>
    <row r="9">
      <c r="A9" s="18">
        <v>8.0</v>
      </c>
      <c r="B9" s="50" t="s">
        <v>620</v>
      </c>
      <c r="C9" s="42">
        <v>1.0</v>
      </c>
      <c r="D9" s="41">
        <f>IFERROR(__xludf.DUMMYFUNCTION("IF(B9="""","""",COUNTA(SPLIT(B9,"" "")))"),319.0)</f>
        <v>319</v>
      </c>
      <c r="E9" s="50" t="s">
        <v>621</v>
      </c>
      <c r="F9" s="42">
        <v>1.0</v>
      </c>
      <c r="G9" s="16">
        <f>IFERROR(__xludf.DUMMYFUNCTION("IF(E9="""","""",COUNTA(SPLIT(E9,"" "")))"),289.0)</f>
        <v>289</v>
      </c>
      <c r="H9" s="16">
        <f t="shared" ref="H9:H12" si="5">compararRespostas(B9, E9)</f>
        <v>0.3261552266</v>
      </c>
      <c r="I9" s="16">
        <f t="shared" ref="I9:I12" si="6">(G9-D9)</f>
        <v>-30</v>
      </c>
      <c r="J9" s="16">
        <f t="shared" ref="J9:J24" si="7">abs(I9)</f>
        <v>30</v>
      </c>
      <c r="K9" s="16">
        <f t="shared" ref="K9:K12" si="8">RANK(J9, J$2:J$30, 1)</f>
        <v>12</v>
      </c>
    </row>
    <row r="10">
      <c r="A10" s="18">
        <v>9.0</v>
      </c>
      <c r="B10" s="50" t="s">
        <v>622</v>
      </c>
      <c r="C10" s="42">
        <v>1.0</v>
      </c>
      <c r="D10" s="41">
        <f>IFERROR(__xludf.DUMMYFUNCTION("IF(B10="""","""",COUNTA(SPLIT(B10,"" "")))"),212.0)</f>
        <v>212</v>
      </c>
      <c r="E10" s="50" t="s">
        <v>623</v>
      </c>
      <c r="F10" s="42">
        <v>1.0</v>
      </c>
      <c r="G10" s="16">
        <f>IFERROR(__xludf.DUMMYFUNCTION("IF(E10="""","""",COUNTA(SPLIT(E10,"" "")))"),257.0)</f>
        <v>257</v>
      </c>
      <c r="H10" s="16">
        <f t="shared" si="5"/>
        <v>0.3670015865</v>
      </c>
      <c r="I10" s="16">
        <f t="shared" si="6"/>
        <v>45</v>
      </c>
      <c r="J10" s="16">
        <f t="shared" si="7"/>
        <v>45</v>
      </c>
      <c r="K10" s="16">
        <f t="shared" si="8"/>
        <v>16</v>
      </c>
    </row>
    <row r="11">
      <c r="A11" s="18">
        <v>10.0</v>
      </c>
      <c r="B11" s="50" t="s">
        <v>624</v>
      </c>
      <c r="C11" s="42">
        <v>1.0</v>
      </c>
      <c r="D11" s="41">
        <f>IFERROR(__xludf.DUMMYFUNCTION("IF(B11="""","""",COUNTA(SPLIT(B11,"" "")))"),179.0)</f>
        <v>179</v>
      </c>
      <c r="E11" s="50" t="s">
        <v>625</v>
      </c>
      <c r="F11" s="42">
        <v>1.0</v>
      </c>
      <c r="G11" s="16">
        <f>IFERROR(__xludf.DUMMYFUNCTION("IF(E11="""","""",COUNTA(SPLIT(E11,"" "")))"),210.0)</f>
        <v>210</v>
      </c>
      <c r="H11" s="16">
        <f t="shared" si="5"/>
        <v>0.3420860686</v>
      </c>
      <c r="I11" s="16">
        <f t="shared" si="6"/>
        <v>31</v>
      </c>
      <c r="J11" s="16">
        <f t="shared" si="7"/>
        <v>31</v>
      </c>
      <c r="K11" s="16">
        <f t="shared" si="8"/>
        <v>13</v>
      </c>
    </row>
    <row r="12">
      <c r="A12" s="18">
        <v>11.0</v>
      </c>
      <c r="B12" s="50" t="s">
        <v>626</v>
      </c>
      <c r="C12" s="42">
        <v>1.0</v>
      </c>
      <c r="D12" s="41">
        <f>IFERROR(__xludf.DUMMYFUNCTION("IF(B12="""","""",COUNTA(SPLIT(B12,"" "")))"),177.0)</f>
        <v>177</v>
      </c>
      <c r="E12" s="50" t="s">
        <v>627</v>
      </c>
      <c r="F12" s="42">
        <v>1.0</v>
      </c>
      <c r="G12" s="16">
        <f>IFERROR(__xludf.DUMMYFUNCTION("IF(E12="""","""",COUNTA(SPLIT(E12,"" "")))"),273.0)</f>
        <v>273</v>
      </c>
      <c r="H12" s="16">
        <f t="shared" si="5"/>
        <v>0.3970414201</v>
      </c>
      <c r="I12" s="16">
        <f t="shared" si="6"/>
        <v>96</v>
      </c>
      <c r="J12" s="16">
        <f t="shared" si="7"/>
        <v>96</v>
      </c>
      <c r="K12" s="16">
        <f t="shared" si="8"/>
        <v>26</v>
      </c>
    </row>
    <row r="13">
      <c r="A13" s="18">
        <v>12.0</v>
      </c>
      <c r="B13" s="50" t="s">
        <v>628</v>
      </c>
      <c r="C13" s="42">
        <v>0.0</v>
      </c>
      <c r="D13" s="43">
        <v>0.0</v>
      </c>
      <c r="E13" s="50" t="s">
        <v>629</v>
      </c>
      <c r="F13" s="42">
        <v>0.0</v>
      </c>
      <c r="G13" s="44">
        <v>0.0</v>
      </c>
      <c r="H13" s="44">
        <v>0.0</v>
      </c>
      <c r="I13" s="44">
        <v>0.0</v>
      </c>
      <c r="J13" s="16">
        <f t="shared" si="7"/>
        <v>0</v>
      </c>
      <c r="K13" s="44">
        <v>0.0</v>
      </c>
    </row>
    <row r="14">
      <c r="A14" s="18">
        <v>13.0</v>
      </c>
      <c r="B14" s="50" t="s">
        <v>630</v>
      </c>
      <c r="C14" s="42">
        <v>1.0</v>
      </c>
      <c r="D14" s="41">
        <f>IFERROR(__xludf.DUMMYFUNCTION("IF(B14="""","""",COUNTA(SPLIT(B14,"" "")))"),120.0)</f>
        <v>120</v>
      </c>
      <c r="E14" s="50" t="s">
        <v>631</v>
      </c>
      <c r="F14" s="42">
        <v>1.0</v>
      </c>
      <c r="G14" s="16">
        <f>IFERROR(__xludf.DUMMYFUNCTION("IF(E14="""","""",COUNTA(SPLIT(E14,"" "")))"),60.0)</f>
        <v>60</v>
      </c>
      <c r="H14" s="16">
        <f t="shared" ref="H14:H16" si="9">compararRespostas(B14, E14)</f>
        <v>0.3108614232</v>
      </c>
      <c r="I14" s="16">
        <f t="shared" ref="I14:I17" si="10">(G14-D14)</f>
        <v>-60</v>
      </c>
      <c r="J14" s="16">
        <f t="shared" si="7"/>
        <v>60</v>
      </c>
      <c r="K14" s="16">
        <f t="shared" ref="K14:K16" si="11">RANK(J14, J$2:J$30, 1)</f>
        <v>19</v>
      </c>
    </row>
    <row r="15">
      <c r="A15" s="18">
        <v>14.0</v>
      </c>
      <c r="B15" s="50" t="s">
        <v>632</v>
      </c>
      <c r="C15" s="42">
        <v>1.0</v>
      </c>
      <c r="D15" s="41">
        <f>IFERROR(__xludf.DUMMYFUNCTION("IF(B15="""","""",COUNTA(SPLIT(B15,"" "")))"),490.0)</f>
        <v>490</v>
      </c>
      <c r="E15" s="56" t="s">
        <v>633</v>
      </c>
      <c r="F15" s="42">
        <v>1.0</v>
      </c>
      <c r="G15" s="16">
        <f>IFERROR(__xludf.DUMMYFUNCTION("IF(E15="""","""",COUNTA(SPLIT(E15,"" "")))"),382.0)</f>
        <v>382</v>
      </c>
      <c r="H15" s="16">
        <f t="shared" si="9"/>
        <v>0.387374462</v>
      </c>
      <c r="I15" s="16">
        <f t="shared" si="10"/>
        <v>-108</v>
      </c>
      <c r="J15" s="16">
        <f t="shared" si="7"/>
        <v>108</v>
      </c>
      <c r="K15" s="16">
        <f t="shared" si="11"/>
        <v>28</v>
      </c>
    </row>
    <row r="16">
      <c r="A16" s="18">
        <v>15.0</v>
      </c>
      <c r="B16" s="50" t="s">
        <v>634</v>
      </c>
      <c r="C16" s="42">
        <v>1.0</v>
      </c>
      <c r="D16" s="41">
        <f>IFERROR(__xludf.DUMMYFUNCTION("IF(B16="""","""",COUNTA(SPLIT(B16,"" "")))"),80.0)</f>
        <v>80</v>
      </c>
      <c r="E16" s="50" t="s">
        <v>635</v>
      </c>
      <c r="F16" s="42">
        <v>1.0</v>
      </c>
      <c r="G16" s="16">
        <f>IFERROR(__xludf.DUMMYFUNCTION("IF(E16="""","""",COUNTA(SPLIT(E16,"" "")))"),142.0)</f>
        <v>142</v>
      </c>
      <c r="H16" s="16">
        <f t="shared" si="9"/>
        <v>0.4249737671</v>
      </c>
      <c r="I16" s="16">
        <f t="shared" si="10"/>
        <v>62</v>
      </c>
      <c r="J16" s="16">
        <f t="shared" si="7"/>
        <v>62</v>
      </c>
      <c r="K16" s="16">
        <f t="shared" si="11"/>
        <v>20</v>
      </c>
    </row>
    <row r="17">
      <c r="A17" s="18">
        <v>16.0</v>
      </c>
      <c r="B17" s="50" t="s">
        <v>636</v>
      </c>
      <c r="C17" s="42">
        <v>0.0</v>
      </c>
      <c r="D17" s="43">
        <v>0.0</v>
      </c>
      <c r="E17" s="50" t="s">
        <v>637</v>
      </c>
      <c r="F17" s="42">
        <v>1.0</v>
      </c>
      <c r="G17" s="44">
        <v>0.0</v>
      </c>
      <c r="H17" s="44">
        <v>0.0</v>
      </c>
      <c r="I17" s="16">
        <f t="shared" si="10"/>
        <v>0</v>
      </c>
      <c r="J17" s="16">
        <f t="shared" si="7"/>
        <v>0</v>
      </c>
      <c r="K17" s="44">
        <v>0.0</v>
      </c>
    </row>
    <row r="18">
      <c r="A18" s="18">
        <v>17.0</v>
      </c>
      <c r="B18" s="50" t="s">
        <v>638</v>
      </c>
      <c r="C18" s="42">
        <v>0.0</v>
      </c>
      <c r="D18" s="43">
        <v>0.0</v>
      </c>
      <c r="E18" s="50" t="s">
        <v>639</v>
      </c>
      <c r="F18" s="42">
        <v>1.0</v>
      </c>
      <c r="G18" s="44">
        <v>0.0</v>
      </c>
      <c r="H18" s="44">
        <v>0.0</v>
      </c>
      <c r="I18" s="44">
        <v>0.0</v>
      </c>
      <c r="J18" s="16">
        <f t="shared" si="7"/>
        <v>0</v>
      </c>
      <c r="K18" s="44">
        <v>0.0</v>
      </c>
    </row>
    <row r="19">
      <c r="A19" s="18">
        <v>18.0</v>
      </c>
      <c r="B19" s="50" t="s">
        <v>640</v>
      </c>
      <c r="C19" s="42">
        <v>1.0</v>
      </c>
      <c r="D19" s="41">
        <f>IFERROR(__xludf.DUMMYFUNCTION("IF(B19="""","""",COUNTA(SPLIT(B19,"" "")))"),360.0)</f>
        <v>360</v>
      </c>
      <c r="E19" s="50" t="s">
        <v>641</v>
      </c>
      <c r="F19" s="42">
        <v>1.0</v>
      </c>
      <c r="G19" s="16">
        <f>IFERROR(__xludf.DUMMYFUNCTION("IF(E19="""","""",COUNTA(SPLIT(E19,"" "")))"),349.0)</f>
        <v>349</v>
      </c>
      <c r="H19" s="16">
        <f t="shared" ref="H19:H24" si="12">compararRespostas(B19, E19)</f>
        <v>0.3786024477</v>
      </c>
      <c r="I19" s="16">
        <f t="shared" ref="I19:I24" si="13">(G19-D19)</f>
        <v>-11</v>
      </c>
      <c r="J19" s="16">
        <f t="shared" si="7"/>
        <v>11</v>
      </c>
      <c r="K19" s="16">
        <f t="shared" ref="K19:K24" si="14">RANK(J19, J$2:J$30, 1)</f>
        <v>9</v>
      </c>
    </row>
    <row r="20">
      <c r="A20" s="18">
        <v>19.0</v>
      </c>
      <c r="B20" s="50" t="s">
        <v>642</v>
      </c>
      <c r="C20" s="42">
        <v>1.0</v>
      </c>
      <c r="D20" s="41">
        <f>IFERROR(__xludf.DUMMYFUNCTION("IF(B20="""","""",COUNTA(SPLIT(B20,"" "")))"),344.0)</f>
        <v>344</v>
      </c>
      <c r="E20" s="50" t="s">
        <v>643</v>
      </c>
      <c r="F20" s="42">
        <v>1.0</v>
      </c>
      <c r="G20" s="16">
        <f>IFERROR(__xludf.DUMMYFUNCTION("IF(E20="""","""",COUNTA(SPLIT(E20,"" "")))"),301.0)</f>
        <v>301</v>
      </c>
      <c r="H20" s="16">
        <f t="shared" si="12"/>
        <v>0.4733360893</v>
      </c>
      <c r="I20" s="16">
        <f t="shared" si="13"/>
        <v>-43</v>
      </c>
      <c r="J20" s="16">
        <f t="shared" si="7"/>
        <v>43</v>
      </c>
      <c r="K20" s="16">
        <f t="shared" si="14"/>
        <v>15</v>
      </c>
    </row>
    <row r="21">
      <c r="A21" s="18">
        <v>20.0</v>
      </c>
      <c r="B21" s="50" t="s">
        <v>644</v>
      </c>
      <c r="C21" s="42">
        <v>1.0</v>
      </c>
      <c r="D21" s="41">
        <f>IFERROR(__xludf.DUMMYFUNCTION("IF(B21="""","""",COUNTA(SPLIT(B21,"" "")))"),265.0)</f>
        <v>265</v>
      </c>
      <c r="E21" s="50" t="s">
        <v>645</v>
      </c>
      <c r="F21" s="42">
        <v>1.0</v>
      </c>
      <c r="G21" s="16">
        <f>IFERROR(__xludf.DUMMYFUNCTION("IF(E21="""","""",COUNTA(SPLIT(E21,"" "")))"),313.0)</f>
        <v>313</v>
      </c>
      <c r="H21" s="16">
        <f t="shared" si="12"/>
        <v>0.2920240137</v>
      </c>
      <c r="I21" s="16">
        <f t="shared" si="13"/>
        <v>48</v>
      </c>
      <c r="J21" s="16">
        <f t="shared" si="7"/>
        <v>48</v>
      </c>
      <c r="K21" s="16">
        <f t="shared" si="14"/>
        <v>18</v>
      </c>
    </row>
    <row r="22">
      <c r="A22" s="18">
        <v>21.0</v>
      </c>
      <c r="B22" s="50" t="s">
        <v>646</v>
      </c>
      <c r="C22" s="42">
        <v>1.0</v>
      </c>
      <c r="D22" s="41">
        <f>IFERROR(__xludf.DUMMYFUNCTION("IF(B22="""","""",COUNTA(SPLIT(B22,"" "")))"),314.0)</f>
        <v>314</v>
      </c>
      <c r="E22" s="50" t="s">
        <v>647</v>
      </c>
      <c r="F22" s="42">
        <v>1.0</v>
      </c>
      <c r="G22" s="16">
        <f>IFERROR(__xludf.DUMMYFUNCTION("IF(E22="""","""",COUNTA(SPLIT(E22,"" "")))"),229.0)</f>
        <v>229</v>
      </c>
      <c r="H22" s="16">
        <f t="shared" si="12"/>
        <v>0.3713751169</v>
      </c>
      <c r="I22" s="16">
        <f t="shared" si="13"/>
        <v>-85</v>
      </c>
      <c r="J22" s="16">
        <f t="shared" si="7"/>
        <v>85</v>
      </c>
      <c r="K22" s="16">
        <f t="shared" si="14"/>
        <v>24</v>
      </c>
    </row>
    <row r="23">
      <c r="A23" s="18">
        <v>22.0</v>
      </c>
      <c r="B23" s="50" t="s">
        <v>648</v>
      </c>
      <c r="C23" s="42">
        <v>1.0</v>
      </c>
      <c r="D23" s="41">
        <f>IFERROR(__xludf.DUMMYFUNCTION("IF(B23="""","""",COUNTA(SPLIT(B23,"" "")))"),445.0)</f>
        <v>445</v>
      </c>
      <c r="E23" s="50" t="s">
        <v>649</v>
      </c>
      <c r="F23" s="42">
        <v>1.0</v>
      </c>
      <c r="G23" s="16">
        <f>IFERROR(__xludf.DUMMYFUNCTION("IF(E23="""","""",COUNTA(SPLIT(E23,"" "")))"),378.0)</f>
        <v>378</v>
      </c>
      <c r="H23" s="16">
        <f t="shared" si="12"/>
        <v>0.3674171357</v>
      </c>
      <c r="I23" s="16">
        <f t="shared" si="13"/>
        <v>-67</v>
      </c>
      <c r="J23" s="16">
        <f t="shared" si="7"/>
        <v>67</v>
      </c>
      <c r="K23" s="16">
        <f t="shared" si="14"/>
        <v>22</v>
      </c>
    </row>
    <row r="24">
      <c r="A24" s="18">
        <v>23.0</v>
      </c>
      <c r="B24" s="50" t="s">
        <v>650</v>
      </c>
      <c r="C24" s="42">
        <v>1.0</v>
      </c>
      <c r="D24" s="41">
        <f>IFERROR(__xludf.DUMMYFUNCTION("IF(B24="""","""",COUNTA(SPLIT(B24,"" "")))"),370.0)</f>
        <v>370</v>
      </c>
      <c r="E24" s="50" t="s">
        <v>651</v>
      </c>
      <c r="F24" s="42">
        <v>1.0</v>
      </c>
      <c r="G24" s="16">
        <f>IFERROR(__xludf.DUMMYFUNCTION("IF(E24="""","""",COUNTA(SPLIT(E24,"" "")))"),351.0)</f>
        <v>351</v>
      </c>
      <c r="H24" s="16">
        <f t="shared" si="12"/>
        <v>0.3547140649</v>
      </c>
      <c r="I24" s="16">
        <f t="shared" si="13"/>
        <v>-19</v>
      </c>
      <c r="J24" s="16">
        <f t="shared" si="7"/>
        <v>19</v>
      </c>
      <c r="K24" s="16">
        <f t="shared" si="14"/>
        <v>11</v>
      </c>
    </row>
    <row r="25">
      <c r="A25" s="18">
        <v>24.0</v>
      </c>
      <c r="B25" s="50" t="s">
        <v>652</v>
      </c>
      <c r="C25" s="42">
        <v>0.0</v>
      </c>
      <c r="D25" s="43">
        <v>0.0</v>
      </c>
      <c r="E25" s="50" t="s">
        <v>653</v>
      </c>
      <c r="F25" s="42">
        <v>1.0</v>
      </c>
      <c r="G25" s="44">
        <v>0.0</v>
      </c>
      <c r="H25" s="44">
        <v>0.0</v>
      </c>
      <c r="I25" s="44">
        <v>0.0</v>
      </c>
      <c r="J25" s="44">
        <v>0.0</v>
      </c>
      <c r="K25" s="44">
        <v>0.0</v>
      </c>
    </row>
    <row r="26">
      <c r="A26" s="18">
        <v>25.0</v>
      </c>
      <c r="B26" s="50" t="s">
        <v>654</v>
      </c>
      <c r="C26" s="42">
        <v>1.0</v>
      </c>
      <c r="D26" s="41">
        <f>IFERROR(__xludf.DUMMYFUNCTION("IF(B26="""","""",COUNTA(SPLIT(B26,"" "")))"),344.0)</f>
        <v>344</v>
      </c>
      <c r="E26" s="50" t="s">
        <v>655</v>
      </c>
      <c r="F26" s="42">
        <v>1.0</v>
      </c>
      <c r="G26" s="16">
        <f>IFERROR(__xludf.DUMMYFUNCTION("IF(E26="""","""",COUNTA(SPLIT(E26,"" "")))"),413.0)</f>
        <v>413</v>
      </c>
      <c r="H26" s="16">
        <f t="shared" ref="H26:H30" si="15">compararRespostas(B26, E26)</f>
        <v>0.5489859058</v>
      </c>
      <c r="I26" s="16">
        <f t="shared" ref="I26:I30" si="16">(G26-D26)</f>
        <v>69</v>
      </c>
      <c r="J26" s="16">
        <f t="shared" ref="J26:J30" si="17">abs(I26)</f>
        <v>69</v>
      </c>
      <c r="K26" s="16">
        <f t="shared" ref="K26:K30" si="18">RANK(J26, J$2:J$30, 1)</f>
        <v>23</v>
      </c>
    </row>
    <row r="27">
      <c r="A27" s="18">
        <v>26.0</v>
      </c>
      <c r="B27" s="50" t="s">
        <v>656</v>
      </c>
      <c r="C27" s="42">
        <v>1.0</v>
      </c>
      <c r="D27" s="41">
        <f>IFERROR(__xludf.DUMMYFUNCTION("IF(B27="""","""",COUNTA(SPLIT(B27,"" "")))"),200.0)</f>
        <v>200</v>
      </c>
      <c r="E27" s="50" t="s">
        <v>657</v>
      </c>
      <c r="F27" s="42">
        <v>1.0</v>
      </c>
      <c r="G27" s="16">
        <f>IFERROR(__xludf.DUMMYFUNCTION("IF(E27="""","""",COUNTA(SPLIT(E27,"" "")))"),264.0)</f>
        <v>264</v>
      </c>
      <c r="H27" s="16">
        <f t="shared" si="15"/>
        <v>0.3052341598</v>
      </c>
      <c r="I27" s="16">
        <f t="shared" si="16"/>
        <v>64</v>
      </c>
      <c r="J27" s="16">
        <f t="shared" si="17"/>
        <v>64</v>
      </c>
      <c r="K27" s="16">
        <f t="shared" si="18"/>
        <v>21</v>
      </c>
    </row>
    <row r="28">
      <c r="A28" s="18">
        <v>27.0</v>
      </c>
      <c r="B28" s="50" t="s">
        <v>658</v>
      </c>
      <c r="C28" s="42">
        <v>1.0</v>
      </c>
      <c r="D28" s="41">
        <f>IFERROR(__xludf.DUMMYFUNCTION("IF(B28="""","""",COUNTA(SPLIT(B28,"" "")))"),160.0)</f>
        <v>160</v>
      </c>
      <c r="E28" s="50" t="s">
        <v>659</v>
      </c>
      <c r="F28" s="42">
        <v>1.0</v>
      </c>
      <c r="G28" s="16">
        <f>IFERROR(__xludf.DUMMYFUNCTION("IF(E28="""","""",COUNTA(SPLIT(E28,"" "")))"),69.0)</f>
        <v>69</v>
      </c>
      <c r="H28" s="16">
        <f t="shared" si="15"/>
        <v>0.3601462523</v>
      </c>
      <c r="I28" s="16">
        <f t="shared" si="16"/>
        <v>-91</v>
      </c>
      <c r="J28" s="16">
        <f t="shared" si="17"/>
        <v>91</v>
      </c>
      <c r="K28" s="16">
        <f t="shared" si="18"/>
        <v>25</v>
      </c>
    </row>
    <row r="29">
      <c r="A29" s="18">
        <v>28.0</v>
      </c>
      <c r="B29" s="50" t="s">
        <v>660</v>
      </c>
      <c r="C29" s="42">
        <v>1.0</v>
      </c>
      <c r="D29" s="41">
        <f>IFERROR(__xludf.DUMMYFUNCTION("IF(B29="""","""",COUNTA(SPLIT(B29,"" "")))"),163.0)</f>
        <v>163</v>
      </c>
      <c r="E29" s="50" t="s">
        <v>661</v>
      </c>
      <c r="F29" s="42">
        <v>1.0</v>
      </c>
      <c r="G29" s="16">
        <f>IFERROR(__xludf.DUMMYFUNCTION("IF(E29="""","""",COUNTA(SPLIT(E29,"" "")))"),118.0)</f>
        <v>118</v>
      </c>
      <c r="H29" s="16">
        <f t="shared" si="15"/>
        <v>0.5921985816</v>
      </c>
      <c r="I29" s="16">
        <f t="shared" si="16"/>
        <v>-45</v>
      </c>
      <c r="J29" s="16">
        <f t="shared" si="17"/>
        <v>45</v>
      </c>
      <c r="K29" s="16">
        <f t="shared" si="18"/>
        <v>16</v>
      </c>
    </row>
    <row r="30">
      <c r="A30" s="18">
        <v>29.0</v>
      </c>
      <c r="B30" s="50" t="s">
        <v>662</v>
      </c>
      <c r="C30" s="42">
        <v>1.0</v>
      </c>
      <c r="D30" s="41">
        <f>IFERROR(__xludf.DUMMYFUNCTION("IF(B30="""","""",COUNTA(SPLIT(B30,"" "")))"),187.0)</f>
        <v>187</v>
      </c>
      <c r="E30" s="50" t="s">
        <v>663</v>
      </c>
      <c r="F30" s="42">
        <v>1.0</v>
      </c>
      <c r="G30" s="16">
        <f>IFERROR(__xludf.DUMMYFUNCTION("IF(E30="""","""",COUNTA(SPLIT(E30,"" "")))"),172.0)</f>
        <v>172</v>
      </c>
      <c r="H30" s="16">
        <f t="shared" si="15"/>
        <v>0.2803278689</v>
      </c>
      <c r="I30" s="16">
        <f t="shared" si="16"/>
        <v>-15</v>
      </c>
      <c r="J30" s="16">
        <f t="shared" si="17"/>
        <v>15</v>
      </c>
      <c r="K30" s="16">
        <f t="shared" si="18"/>
        <v>10</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8.725654886</v>
      </c>
      <c r="C35" s="46"/>
      <c r="D35" s="49"/>
      <c r="E35" s="45"/>
      <c r="F35" s="48"/>
      <c r="G35" s="19"/>
      <c r="H35" s="19"/>
      <c r="I35" s="19"/>
      <c r="J35" s="19"/>
      <c r="K35" s="19"/>
    </row>
    <row r="36">
      <c r="A36" s="7"/>
      <c r="B36" s="7">
        <v>8.725654886</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413</v>
      </c>
      <c r="C38" s="46"/>
      <c r="D38" s="49"/>
      <c r="E38" s="45"/>
      <c r="F38" s="48"/>
      <c r="G38" s="19"/>
      <c r="H38" s="19"/>
      <c r="I38" s="19"/>
      <c r="J38" s="19"/>
      <c r="K38" s="19"/>
    </row>
    <row r="39">
      <c r="A39" s="7" t="s">
        <v>287</v>
      </c>
      <c r="B39" s="7" t="s">
        <v>664</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57">
        <v>1.0</v>
      </c>
      <c r="D2" s="41">
        <f>IFERROR(__xludf.DUMMYFUNCTION("IF(B2="""","""",COUNTA(SPLIT(B2,"" "")))"),214.0)</f>
        <v>214</v>
      </c>
      <c r="E2" s="50" t="s">
        <v>607</v>
      </c>
      <c r="F2" s="57">
        <v>1.0</v>
      </c>
      <c r="G2" s="16">
        <f>IFERROR(__xludf.DUMMYFUNCTION("IF(E2="""","""",COUNTA(SPLIT(E2,"" "")))"),175.0)</f>
        <v>175</v>
      </c>
      <c r="H2" s="16">
        <f t="shared" ref="H2:H7" si="1">compararRespostas(B2, E2)</f>
        <v>0.4119850187</v>
      </c>
      <c r="I2" s="16">
        <f t="shared" ref="I2:I7" si="2">(G2-D2)</f>
        <v>-39</v>
      </c>
      <c r="J2" s="16">
        <f t="shared" ref="J2:J7" si="3">abs(I2)</f>
        <v>39</v>
      </c>
      <c r="K2" s="16">
        <f t="shared" ref="K2:K7" si="4">RANK(J2, J$2:J$30, 1)</f>
        <v>12</v>
      </c>
    </row>
    <row r="3">
      <c r="A3" s="18">
        <v>2.0</v>
      </c>
      <c r="B3" s="50" t="s">
        <v>608</v>
      </c>
      <c r="C3" s="57">
        <v>1.0</v>
      </c>
      <c r="D3" s="41">
        <f>IFERROR(__xludf.DUMMYFUNCTION("IF(B3="""","""",COUNTA(SPLIT(B3,"" "")))"),219.0)</f>
        <v>219</v>
      </c>
      <c r="E3" s="50" t="s">
        <v>609</v>
      </c>
      <c r="F3" s="57">
        <v>1.0</v>
      </c>
      <c r="G3" s="16">
        <f>IFERROR(__xludf.DUMMYFUNCTION("IF(E3="""","""",COUNTA(SPLIT(E3,"" "")))"),341.0)</f>
        <v>341</v>
      </c>
      <c r="H3" s="16">
        <f t="shared" si="1"/>
        <v>0.3825275657</v>
      </c>
      <c r="I3" s="16">
        <f t="shared" si="2"/>
        <v>122</v>
      </c>
      <c r="J3" s="16">
        <f t="shared" si="3"/>
        <v>122</v>
      </c>
      <c r="K3" s="16">
        <f t="shared" si="4"/>
        <v>29</v>
      </c>
    </row>
    <row r="4">
      <c r="A4" s="18">
        <v>3.0</v>
      </c>
      <c r="B4" s="50" t="s">
        <v>610</v>
      </c>
      <c r="C4" s="58">
        <v>1.0</v>
      </c>
      <c r="D4" s="41">
        <f>IFERROR(__xludf.DUMMYFUNCTION("IF(B4="""","""",COUNTA(SPLIT(B4,"" "")))"),504.0)</f>
        <v>504</v>
      </c>
      <c r="E4" s="50" t="s">
        <v>611</v>
      </c>
      <c r="F4" s="58">
        <v>1.0</v>
      </c>
      <c r="G4" s="16">
        <f>IFERROR(__xludf.DUMMYFUNCTION("IF(E4="""","""",COUNTA(SPLIT(E4,"" "")))"),401.0)</f>
        <v>401</v>
      </c>
      <c r="H4" s="16">
        <f t="shared" si="1"/>
        <v>0.3726201269</v>
      </c>
      <c r="I4" s="16">
        <f t="shared" si="2"/>
        <v>-103</v>
      </c>
      <c r="J4" s="16">
        <f t="shared" si="3"/>
        <v>103</v>
      </c>
      <c r="K4" s="16">
        <f t="shared" si="4"/>
        <v>27</v>
      </c>
    </row>
    <row r="5">
      <c r="A5" s="18">
        <v>4.0</v>
      </c>
      <c r="B5" s="50" t="s">
        <v>612</v>
      </c>
      <c r="C5" s="58">
        <v>1.0</v>
      </c>
      <c r="D5" s="41">
        <f>IFERROR(__xludf.DUMMYFUNCTION("IF(B5="""","""",COUNTA(SPLIT(B5,"" "")))"),285.0)</f>
        <v>285</v>
      </c>
      <c r="E5" s="50" t="s">
        <v>613</v>
      </c>
      <c r="F5" s="58">
        <v>1.0</v>
      </c>
      <c r="G5" s="16">
        <f>IFERROR(__xludf.DUMMYFUNCTION("IF(E5="""","""",COUNTA(SPLIT(E5,"" "")))"),276.0)</f>
        <v>276</v>
      </c>
      <c r="H5" s="16">
        <f t="shared" si="1"/>
        <v>0.308815576</v>
      </c>
      <c r="I5" s="16">
        <f t="shared" si="2"/>
        <v>-9</v>
      </c>
      <c r="J5" s="16">
        <f t="shared" si="3"/>
        <v>9</v>
      </c>
      <c r="K5" s="16">
        <f t="shared" si="4"/>
        <v>6</v>
      </c>
    </row>
    <row r="6">
      <c r="A6" s="18">
        <v>5.0</v>
      </c>
      <c r="B6" s="50" t="s">
        <v>614</v>
      </c>
      <c r="C6" s="58">
        <v>1.0</v>
      </c>
      <c r="D6" s="41">
        <f>IFERROR(__xludf.DUMMYFUNCTION("IF(B6="""","""",COUNTA(SPLIT(B6,"" "")))"),181.0)</f>
        <v>181</v>
      </c>
      <c r="E6" s="50" t="s">
        <v>615</v>
      </c>
      <c r="F6" s="58">
        <v>1.0</v>
      </c>
      <c r="G6" s="16">
        <f>IFERROR(__xludf.DUMMYFUNCTION("IF(E6="""","""",COUNTA(SPLIT(E6,"" "")))"),184.0)</f>
        <v>184</v>
      </c>
      <c r="H6" s="16">
        <f t="shared" si="1"/>
        <v>0.3698510079</v>
      </c>
      <c r="I6" s="16">
        <f t="shared" si="2"/>
        <v>3</v>
      </c>
      <c r="J6" s="16">
        <f t="shared" si="3"/>
        <v>3</v>
      </c>
      <c r="K6" s="16">
        <f t="shared" si="4"/>
        <v>5</v>
      </c>
    </row>
    <row r="7">
      <c r="A7" s="18">
        <v>6.0</v>
      </c>
      <c r="B7" s="50" t="s">
        <v>616</v>
      </c>
      <c r="C7" s="58">
        <v>1.0</v>
      </c>
      <c r="D7" s="41">
        <f>IFERROR(__xludf.DUMMYFUNCTION("IF(B7="""","""",COUNTA(SPLIT(B7,"" "")))"),127.0)</f>
        <v>127</v>
      </c>
      <c r="E7" s="50" t="s">
        <v>617</v>
      </c>
      <c r="F7" s="58">
        <v>1.0</v>
      </c>
      <c r="G7" s="16">
        <f>IFERROR(__xludf.DUMMYFUNCTION("IF(E7="""","""",COUNTA(SPLIT(E7,"" "")))"),183.0)</f>
        <v>183</v>
      </c>
      <c r="H7" s="16">
        <f t="shared" si="1"/>
        <v>0.4905660377</v>
      </c>
      <c r="I7" s="16">
        <f t="shared" si="2"/>
        <v>56</v>
      </c>
      <c r="J7" s="16">
        <f t="shared" si="3"/>
        <v>56</v>
      </c>
      <c r="K7" s="16">
        <f t="shared" si="4"/>
        <v>17</v>
      </c>
    </row>
    <row r="8">
      <c r="A8" s="18">
        <v>7.0</v>
      </c>
      <c r="B8" s="50" t="s">
        <v>618</v>
      </c>
      <c r="C8" s="58">
        <v>0.0</v>
      </c>
      <c r="D8" s="43">
        <v>0.0</v>
      </c>
      <c r="E8" s="50" t="s">
        <v>619</v>
      </c>
      <c r="F8" s="58">
        <v>1.0</v>
      </c>
      <c r="G8" s="44">
        <v>0.0</v>
      </c>
      <c r="H8" s="44">
        <v>0.0</v>
      </c>
      <c r="I8" s="44">
        <v>0.0</v>
      </c>
      <c r="J8" s="44">
        <v>0.0</v>
      </c>
      <c r="K8" s="44">
        <v>0.0</v>
      </c>
    </row>
    <row r="9">
      <c r="A9" s="18">
        <v>8.0</v>
      </c>
      <c r="B9" s="50" t="s">
        <v>620</v>
      </c>
      <c r="C9" s="58">
        <v>1.0</v>
      </c>
      <c r="D9" s="41">
        <f>IFERROR(__xludf.DUMMYFUNCTION("IF(B9="""","""",COUNTA(SPLIT(B9,"" "")))"),319.0)</f>
        <v>319</v>
      </c>
      <c r="E9" s="50" t="s">
        <v>621</v>
      </c>
      <c r="F9" s="58">
        <v>1.0</v>
      </c>
      <c r="G9" s="16">
        <f>IFERROR(__xludf.DUMMYFUNCTION("IF(E9="""","""",COUNTA(SPLIT(E9,"" "")))"),289.0)</f>
        <v>289</v>
      </c>
      <c r="H9" s="16">
        <f t="shared" ref="H9:H12" si="5">compararRespostas(B9, E9)</f>
        <v>0.3261552266</v>
      </c>
      <c r="I9" s="16">
        <f t="shared" ref="I9:I12" si="6">(G9-D9)</f>
        <v>-30</v>
      </c>
      <c r="J9" s="16">
        <f t="shared" ref="J9:J24" si="7">abs(I9)</f>
        <v>30</v>
      </c>
      <c r="K9" s="16">
        <f t="shared" ref="K9:K12" si="8">RANK(J9, J$2:J$30, 1)</f>
        <v>10</v>
      </c>
    </row>
    <row r="10">
      <c r="A10" s="18">
        <v>9.0</v>
      </c>
      <c r="B10" s="50" t="s">
        <v>622</v>
      </c>
      <c r="C10" s="58">
        <v>1.0</v>
      </c>
      <c r="D10" s="41">
        <f>IFERROR(__xludf.DUMMYFUNCTION("IF(B10="""","""",COUNTA(SPLIT(B10,"" "")))"),212.0)</f>
        <v>212</v>
      </c>
      <c r="E10" s="50" t="s">
        <v>623</v>
      </c>
      <c r="F10" s="58">
        <v>1.0</v>
      </c>
      <c r="G10" s="16">
        <f>IFERROR(__xludf.DUMMYFUNCTION("IF(E10="""","""",COUNTA(SPLIT(E10,"" "")))"),257.0)</f>
        <v>257</v>
      </c>
      <c r="H10" s="16">
        <f t="shared" si="5"/>
        <v>0.3670015865</v>
      </c>
      <c r="I10" s="16">
        <f t="shared" si="6"/>
        <v>45</v>
      </c>
      <c r="J10" s="16">
        <f t="shared" si="7"/>
        <v>45</v>
      </c>
      <c r="K10" s="16">
        <f t="shared" si="8"/>
        <v>14</v>
      </c>
    </row>
    <row r="11">
      <c r="A11" s="18">
        <v>10.0</v>
      </c>
      <c r="B11" s="50" t="s">
        <v>624</v>
      </c>
      <c r="C11" s="58">
        <v>1.0</v>
      </c>
      <c r="D11" s="41">
        <f>IFERROR(__xludf.DUMMYFUNCTION("IF(B11="""","""",COUNTA(SPLIT(B11,"" "")))"),179.0)</f>
        <v>179</v>
      </c>
      <c r="E11" s="50" t="s">
        <v>625</v>
      </c>
      <c r="F11" s="58">
        <v>1.0</v>
      </c>
      <c r="G11" s="16">
        <f>IFERROR(__xludf.DUMMYFUNCTION("IF(E11="""","""",COUNTA(SPLIT(E11,"" "")))"),210.0)</f>
        <v>210</v>
      </c>
      <c r="H11" s="16">
        <f t="shared" si="5"/>
        <v>0.3420860686</v>
      </c>
      <c r="I11" s="16">
        <f t="shared" si="6"/>
        <v>31</v>
      </c>
      <c r="J11" s="16">
        <f t="shared" si="7"/>
        <v>31</v>
      </c>
      <c r="K11" s="16">
        <f t="shared" si="8"/>
        <v>11</v>
      </c>
    </row>
    <row r="12">
      <c r="A12" s="18">
        <v>11.0</v>
      </c>
      <c r="B12" s="50" t="s">
        <v>626</v>
      </c>
      <c r="C12" s="58">
        <v>1.0</v>
      </c>
      <c r="D12" s="41">
        <f>IFERROR(__xludf.DUMMYFUNCTION("IF(B12="""","""",COUNTA(SPLIT(B12,"" "")))"),177.0)</f>
        <v>177</v>
      </c>
      <c r="E12" s="50" t="s">
        <v>627</v>
      </c>
      <c r="F12" s="58">
        <v>1.0</v>
      </c>
      <c r="G12" s="16">
        <f>IFERROR(__xludf.DUMMYFUNCTION("IF(E12="""","""",COUNTA(SPLIT(E12,"" "")))"),273.0)</f>
        <v>273</v>
      </c>
      <c r="H12" s="16">
        <f t="shared" si="5"/>
        <v>0.3970414201</v>
      </c>
      <c r="I12" s="16">
        <f t="shared" si="6"/>
        <v>96</v>
      </c>
      <c r="J12" s="16">
        <f t="shared" si="7"/>
        <v>96</v>
      </c>
      <c r="K12" s="16">
        <f t="shared" si="8"/>
        <v>26</v>
      </c>
    </row>
    <row r="13">
      <c r="A13" s="18">
        <v>12.0</v>
      </c>
      <c r="B13" s="50" t="s">
        <v>628</v>
      </c>
      <c r="C13" s="58">
        <v>0.0</v>
      </c>
      <c r="D13" s="43">
        <v>0.0</v>
      </c>
      <c r="E13" s="50" t="s">
        <v>629</v>
      </c>
      <c r="F13" s="58">
        <v>0.0</v>
      </c>
      <c r="G13" s="44">
        <v>0.0</v>
      </c>
      <c r="H13" s="44">
        <v>0.0</v>
      </c>
      <c r="I13" s="44">
        <v>0.0</v>
      </c>
      <c r="J13" s="16">
        <f t="shared" si="7"/>
        <v>0</v>
      </c>
      <c r="K13" s="44">
        <v>0.0</v>
      </c>
    </row>
    <row r="14">
      <c r="A14" s="18">
        <v>13.0</v>
      </c>
      <c r="B14" s="50" t="s">
        <v>630</v>
      </c>
      <c r="C14" s="58">
        <v>1.0</v>
      </c>
      <c r="D14" s="41">
        <f>IFERROR(__xludf.DUMMYFUNCTION("IF(B14="""","""",COUNTA(SPLIT(B14,"" "")))"),120.0)</f>
        <v>120</v>
      </c>
      <c r="E14" s="50" t="s">
        <v>631</v>
      </c>
      <c r="F14" s="58">
        <v>1.0</v>
      </c>
      <c r="G14" s="16">
        <f>IFERROR(__xludf.DUMMYFUNCTION("IF(E14="""","""",COUNTA(SPLIT(E14,"" "")))"),60.0)</f>
        <v>60</v>
      </c>
      <c r="H14" s="16">
        <f t="shared" ref="H14:H16" si="9">compararRespostas(B14, E14)</f>
        <v>0.3108614232</v>
      </c>
      <c r="I14" s="16">
        <f t="shared" ref="I14:I24" si="10">(G14-D14)</f>
        <v>-60</v>
      </c>
      <c r="J14" s="16">
        <f t="shared" si="7"/>
        <v>60</v>
      </c>
      <c r="K14" s="16">
        <f t="shared" ref="K14:K16" si="11">RANK(J14, J$2:J$30, 1)</f>
        <v>19</v>
      </c>
    </row>
    <row r="15">
      <c r="A15" s="18">
        <v>14.0</v>
      </c>
      <c r="B15" s="50" t="s">
        <v>632</v>
      </c>
      <c r="C15" s="58">
        <v>1.0</v>
      </c>
      <c r="D15" s="41">
        <f>IFERROR(__xludf.DUMMYFUNCTION("IF(B15="""","""",COUNTA(SPLIT(B15,"" "")))"),490.0)</f>
        <v>490</v>
      </c>
      <c r="E15" s="56" t="s">
        <v>665</v>
      </c>
      <c r="F15" s="58">
        <v>1.0</v>
      </c>
      <c r="G15" s="16">
        <f>IFERROR(__xludf.DUMMYFUNCTION("IF(E15="""","""",COUNTA(SPLIT(E15,"" "")))"),382.0)</f>
        <v>382</v>
      </c>
      <c r="H15" s="16">
        <f t="shared" si="9"/>
        <v>0.387374462</v>
      </c>
      <c r="I15" s="16">
        <f t="shared" si="10"/>
        <v>-108</v>
      </c>
      <c r="J15" s="16">
        <f t="shared" si="7"/>
        <v>108</v>
      </c>
      <c r="K15" s="16">
        <f t="shared" si="11"/>
        <v>28</v>
      </c>
    </row>
    <row r="16">
      <c r="A16" s="18">
        <v>15.0</v>
      </c>
      <c r="B16" s="50" t="s">
        <v>634</v>
      </c>
      <c r="C16" s="58">
        <v>1.0</v>
      </c>
      <c r="D16" s="41">
        <f>IFERROR(__xludf.DUMMYFUNCTION("IF(B16="""","""",COUNTA(SPLIT(B16,"" "")))"),80.0)</f>
        <v>80</v>
      </c>
      <c r="E16" s="50" t="s">
        <v>635</v>
      </c>
      <c r="F16" s="58">
        <v>1.0</v>
      </c>
      <c r="G16" s="16">
        <f>IFERROR(__xludf.DUMMYFUNCTION("IF(E16="""","""",COUNTA(SPLIT(E16,"" "")))"),142.0)</f>
        <v>142</v>
      </c>
      <c r="H16" s="16">
        <f t="shared" si="9"/>
        <v>0.4249737671</v>
      </c>
      <c r="I16" s="16">
        <f t="shared" si="10"/>
        <v>62</v>
      </c>
      <c r="J16" s="16">
        <f t="shared" si="7"/>
        <v>62</v>
      </c>
      <c r="K16" s="16">
        <f t="shared" si="11"/>
        <v>20</v>
      </c>
    </row>
    <row r="17">
      <c r="A17" s="18">
        <v>16.0</v>
      </c>
      <c r="B17" s="50" t="s">
        <v>636</v>
      </c>
      <c r="C17" s="58">
        <v>0.0</v>
      </c>
      <c r="D17" s="43">
        <v>0.0</v>
      </c>
      <c r="E17" s="50" t="s">
        <v>637</v>
      </c>
      <c r="F17" s="58">
        <v>1.0</v>
      </c>
      <c r="G17" s="44">
        <v>0.0</v>
      </c>
      <c r="H17" s="44">
        <v>0.0</v>
      </c>
      <c r="I17" s="16">
        <f t="shared" si="10"/>
        <v>0</v>
      </c>
      <c r="J17" s="16">
        <f t="shared" si="7"/>
        <v>0</v>
      </c>
      <c r="K17" s="44">
        <v>0.0</v>
      </c>
    </row>
    <row r="18">
      <c r="A18" s="18">
        <v>17.0</v>
      </c>
      <c r="B18" s="50" t="s">
        <v>638</v>
      </c>
      <c r="C18" s="58">
        <v>1.0</v>
      </c>
      <c r="D18" s="41">
        <f>IFERROR(__xludf.DUMMYFUNCTION("IF(B18="""","""",COUNTA(SPLIT(B18,"" "")))"),348.0)</f>
        <v>348</v>
      </c>
      <c r="E18" s="50" t="s">
        <v>639</v>
      </c>
      <c r="F18" s="58">
        <v>1.0</v>
      </c>
      <c r="G18" s="16">
        <f>IFERROR(__xludf.DUMMYFUNCTION("IF(E18="""","""",COUNTA(SPLIT(E18,"" "")))"),406.0)</f>
        <v>406</v>
      </c>
      <c r="H18" s="16">
        <f t="shared" ref="H18:H24" si="12">compararRespostas(B18, E18)</f>
        <v>0.4718079302</v>
      </c>
      <c r="I18" s="16">
        <f t="shared" si="10"/>
        <v>58</v>
      </c>
      <c r="J18" s="16">
        <f t="shared" si="7"/>
        <v>58</v>
      </c>
      <c r="K18" s="16">
        <f t="shared" ref="K18:K24" si="13">RANK(J18, J$2:J$30, 1)</f>
        <v>18</v>
      </c>
    </row>
    <row r="19">
      <c r="A19" s="18">
        <v>18.0</v>
      </c>
      <c r="B19" s="50" t="s">
        <v>640</v>
      </c>
      <c r="C19" s="58">
        <v>1.0</v>
      </c>
      <c r="D19" s="41">
        <f>IFERROR(__xludf.DUMMYFUNCTION("IF(B19="""","""",COUNTA(SPLIT(B19,"" "")))"),360.0)</f>
        <v>360</v>
      </c>
      <c r="E19" s="50" t="s">
        <v>641</v>
      </c>
      <c r="F19" s="58">
        <v>1.0</v>
      </c>
      <c r="G19" s="16">
        <f>IFERROR(__xludf.DUMMYFUNCTION("IF(E19="""","""",COUNTA(SPLIT(E19,"" "")))"),349.0)</f>
        <v>349</v>
      </c>
      <c r="H19" s="16">
        <f t="shared" si="12"/>
        <v>0.3786024477</v>
      </c>
      <c r="I19" s="16">
        <f t="shared" si="10"/>
        <v>-11</v>
      </c>
      <c r="J19" s="16">
        <f t="shared" si="7"/>
        <v>11</v>
      </c>
      <c r="K19" s="16">
        <f t="shared" si="13"/>
        <v>7</v>
      </c>
    </row>
    <row r="20">
      <c r="A20" s="18">
        <v>19.0</v>
      </c>
      <c r="B20" s="50" t="s">
        <v>642</v>
      </c>
      <c r="C20" s="58">
        <v>1.0</v>
      </c>
      <c r="D20" s="41">
        <f>IFERROR(__xludf.DUMMYFUNCTION("IF(B20="""","""",COUNTA(SPLIT(B20,"" "")))"),344.0)</f>
        <v>344</v>
      </c>
      <c r="E20" s="50" t="s">
        <v>643</v>
      </c>
      <c r="F20" s="58">
        <v>1.0</v>
      </c>
      <c r="G20" s="16">
        <f>IFERROR(__xludf.DUMMYFUNCTION("IF(E20="""","""",COUNTA(SPLIT(E20,"" "")))"),301.0)</f>
        <v>301</v>
      </c>
      <c r="H20" s="16">
        <f t="shared" si="12"/>
        <v>0.4733360893</v>
      </c>
      <c r="I20" s="16">
        <f t="shared" si="10"/>
        <v>-43</v>
      </c>
      <c r="J20" s="16">
        <f t="shared" si="7"/>
        <v>43</v>
      </c>
      <c r="K20" s="16">
        <f t="shared" si="13"/>
        <v>13</v>
      </c>
    </row>
    <row r="21">
      <c r="A21" s="18">
        <v>20.0</v>
      </c>
      <c r="B21" s="50" t="s">
        <v>644</v>
      </c>
      <c r="C21" s="58">
        <v>1.0</v>
      </c>
      <c r="D21" s="41">
        <f>IFERROR(__xludf.DUMMYFUNCTION("IF(B21="""","""",COUNTA(SPLIT(B21,"" "")))"),265.0)</f>
        <v>265</v>
      </c>
      <c r="E21" s="50" t="s">
        <v>645</v>
      </c>
      <c r="F21" s="58">
        <v>1.0</v>
      </c>
      <c r="G21" s="16">
        <f>IFERROR(__xludf.DUMMYFUNCTION("IF(E21="""","""",COUNTA(SPLIT(E21,"" "")))"),313.0)</f>
        <v>313</v>
      </c>
      <c r="H21" s="16">
        <f t="shared" si="12"/>
        <v>0.2920240137</v>
      </c>
      <c r="I21" s="16">
        <f t="shared" si="10"/>
        <v>48</v>
      </c>
      <c r="J21" s="16">
        <f t="shared" si="7"/>
        <v>48</v>
      </c>
      <c r="K21" s="16">
        <f t="shared" si="13"/>
        <v>16</v>
      </c>
    </row>
    <row r="22">
      <c r="A22" s="18">
        <v>21.0</v>
      </c>
      <c r="B22" s="50" t="s">
        <v>646</v>
      </c>
      <c r="C22" s="58">
        <v>1.0</v>
      </c>
      <c r="D22" s="41">
        <f>IFERROR(__xludf.DUMMYFUNCTION("IF(B22="""","""",COUNTA(SPLIT(B22,"" "")))"),314.0)</f>
        <v>314</v>
      </c>
      <c r="E22" s="50" t="s">
        <v>647</v>
      </c>
      <c r="F22" s="58">
        <v>1.0</v>
      </c>
      <c r="G22" s="16">
        <f>IFERROR(__xludf.DUMMYFUNCTION("IF(E22="""","""",COUNTA(SPLIT(E22,"" "")))"),229.0)</f>
        <v>229</v>
      </c>
      <c r="H22" s="16">
        <f t="shared" si="12"/>
        <v>0.3713751169</v>
      </c>
      <c r="I22" s="16">
        <f t="shared" si="10"/>
        <v>-85</v>
      </c>
      <c r="J22" s="16">
        <f t="shared" si="7"/>
        <v>85</v>
      </c>
      <c r="K22" s="16">
        <f t="shared" si="13"/>
        <v>24</v>
      </c>
    </row>
    <row r="23">
      <c r="A23" s="18">
        <v>22.0</v>
      </c>
      <c r="B23" s="50" t="s">
        <v>648</v>
      </c>
      <c r="C23" s="58">
        <v>1.0</v>
      </c>
      <c r="D23" s="41">
        <f>IFERROR(__xludf.DUMMYFUNCTION("IF(B23="""","""",COUNTA(SPLIT(B23,"" "")))"),445.0)</f>
        <v>445</v>
      </c>
      <c r="E23" s="50" t="s">
        <v>649</v>
      </c>
      <c r="F23" s="58">
        <v>1.0</v>
      </c>
      <c r="G23" s="16">
        <f>IFERROR(__xludf.DUMMYFUNCTION("IF(E23="""","""",COUNTA(SPLIT(E23,"" "")))"),378.0)</f>
        <v>378</v>
      </c>
      <c r="H23" s="16">
        <f t="shared" si="12"/>
        <v>0.3674171357</v>
      </c>
      <c r="I23" s="16">
        <f t="shared" si="10"/>
        <v>-67</v>
      </c>
      <c r="J23" s="16">
        <f t="shared" si="7"/>
        <v>67</v>
      </c>
      <c r="K23" s="16">
        <f t="shared" si="13"/>
        <v>22</v>
      </c>
    </row>
    <row r="24">
      <c r="A24" s="18">
        <v>23.0</v>
      </c>
      <c r="B24" s="50" t="s">
        <v>650</v>
      </c>
      <c r="C24" s="58">
        <v>1.0</v>
      </c>
      <c r="D24" s="41">
        <f>IFERROR(__xludf.DUMMYFUNCTION("IF(B24="""","""",COUNTA(SPLIT(B24,"" "")))"),370.0)</f>
        <v>370</v>
      </c>
      <c r="E24" s="50" t="s">
        <v>651</v>
      </c>
      <c r="F24" s="58">
        <v>1.0</v>
      </c>
      <c r="G24" s="16">
        <f>IFERROR(__xludf.DUMMYFUNCTION("IF(E24="""","""",COUNTA(SPLIT(E24,"" "")))"),351.0)</f>
        <v>351</v>
      </c>
      <c r="H24" s="16">
        <f t="shared" si="12"/>
        <v>0.3547140649</v>
      </c>
      <c r="I24" s="16">
        <f t="shared" si="10"/>
        <v>-19</v>
      </c>
      <c r="J24" s="16">
        <f t="shared" si="7"/>
        <v>19</v>
      </c>
      <c r="K24" s="16">
        <f t="shared" si="13"/>
        <v>9</v>
      </c>
    </row>
    <row r="25">
      <c r="A25" s="18">
        <v>24.0</v>
      </c>
      <c r="B25" s="50" t="s">
        <v>652</v>
      </c>
      <c r="C25" s="58">
        <v>0.0</v>
      </c>
      <c r="D25" s="43">
        <v>0.0</v>
      </c>
      <c r="E25" s="50" t="s">
        <v>653</v>
      </c>
      <c r="F25" s="58">
        <v>1.0</v>
      </c>
      <c r="G25" s="44">
        <v>0.0</v>
      </c>
      <c r="H25" s="44">
        <v>0.0</v>
      </c>
      <c r="I25" s="44">
        <v>0.0</v>
      </c>
      <c r="J25" s="44">
        <v>0.0</v>
      </c>
      <c r="K25" s="44">
        <v>0.0</v>
      </c>
    </row>
    <row r="26">
      <c r="A26" s="18">
        <v>25.0</v>
      </c>
      <c r="B26" s="50" t="s">
        <v>654</v>
      </c>
      <c r="C26" s="58">
        <v>1.0</v>
      </c>
      <c r="D26" s="41">
        <f>IFERROR(__xludf.DUMMYFUNCTION("IF(B26="""","""",COUNTA(SPLIT(B26,"" "")))"),344.0)</f>
        <v>344</v>
      </c>
      <c r="E26" s="50" t="s">
        <v>655</v>
      </c>
      <c r="F26" s="58">
        <v>1.0</v>
      </c>
      <c r="G26" s="16">
        <f>IFERROR(__xludf.DUMMYFUNCTION("IF(E26="""","""",COUNTA(SPLIT(E26,"" "")))"),413.0)</f>
        <v>413</v>
      </c>
      <c r="H26" s="16">
        <f t="shared" ref="H26:H30" si="14">compararRespostas(B26, E26)</f>
        <v>0.5489859058</v>
      </c>
      <c r="I26" s="16">
        <f t="shared" ref="I26:I30" si="15">(G26-D26)</f>
        <v>69</v>
      </c>
      <c r="J26" s="16">
        <f t="shared" ref="J26:J30" si="16">abs(I26)</f>
        <v>69</v>
      </c>
      <c r="K26" s="16">
        <f t="shared" ref="K26:K30" si="17">RANK(J26, J$2:J$30, 1)</f>
        <v>23</v>
      </c>
    </row>
    <row r="27">
      <c r="A27" s="18">
        <v>26.0</v>
      </c>
      <c r="B27" s="50" t="s">
        <v>656</v>
      </c>
      <c r="C27" s="58">
        <v>1.0</v>
      </c>
      <c r="D27" s="41">
        <f>IFERROR(__xludf.DUMMYFUNCTION("IF(B27="""","""",COUNTA(SPLIT(B27,"" "")))"),200.0)</f>
        <v>200</v>
      </c>
      <c r="E27" s="50" t="s">
        <v>657</v>
      </c>
      <c r="F27" s="58">
        <v>1.0</v>
      </c>
      <c r="G27" s="16">
        <f>IFERROR(__xludf.DUMMYFUNCTION("IF(E27="""","""",COUNTA(SPLIT(E27,"" "")))"),264.0)</f>
        <v>264</v>
      </c>
      <c r="H27" s="16">
        <f t="shared" si="14"/>
        <v>0.3052341598</v>
      </c>
      <c r="I27" s="16">
        <f t="shared" si="15"/>
        <v>64</v>
      </c>
      <c r="J27" s="16">
        <f t="shared" si="16"/>
        <v>64</v>
      </c>
      <c r="K27" s="16">
        <f t="shared" si="17"/>
        <v>21</v>
      </c>
    </row>
    <row r="28">
      <c r="A28" s="18">
        <v>27.0</v>
      </c>
      <c r="B28" s="50" t="s">
        <v>658</v>
      </c>
      <c r="C28" s="58">
        <v>1.0</v>
      </c>
      <c r="D28" s="41">
        <f>IFERROR(__xludf.DUMMYFUNCTION("IF(B28="""","""",COUNTA(SPLIT(B28,"" "")))"),160.0)</f>
        <v>160</v>
      </c>
      <c r="E28" s="50" t="s">
        <v>659</v>
      </c>
      <c r="F28" s="58">
        <v>1.0</v>
      </c>
      <c r="G28" s="16">
        <f>IFERROR(__xludf.DUMMYFUNCTION("IF(E28="""","""",COUNTA(SPLIT(E28,"" "")))"),69.0)</f>
        <v>69</v>
      </c>
      <c r="H28" s="16">
        <f t="shared" si="14"/>
        <v>0.3601462523</v>
      </c>
      <c r="I28" s="16">
        <f t="shared" si="15"/>
        <v>-91</v>
      </c>
      <c r="J28" s="16">
        <f t="shared" si="16"/>
        <v>91</v>
      </c>
      <c r="K28" s="16">
        <f t="shared" si="17"/>
        <v>25</v>
      </c>
    </row>
    <row r="29">
      <c r="A29" s="18">
        <v>28.0</v>
      </c>
      <c r="B29" s="50" t="s">
        <v>660</v>
      </c>
      <c r="C29" s="58">
        <v>1.0</v>
      </c>
      <c r="D29" s="41">
        <f>IFERROR(__xludf.DUMMYFUNCTION("IF(B29="""","""",COUNTA(SPLIT(B29,"" "")))"),163.0)</f>
        <v>163</v>
      </c>
      <c r="E29" s="50" t="s">
        <v>661</v>
      </c>
      <c r="F29" s="58">
        <v>1.0</v>
      </c>
      <c r="G29" s="16">
        <f>IFERROR(__xludf.DUMMYFUNCTION("IF(E29="""","""",COUNTA(SPLIT(E29,"" "")))"),118.0)</f>
        <v>118</v>
      </c>
      <c r="H29" s="16">
        <f t="shared" si="14"/>
        <v>0.5921985816</v>
      </c>
      <c r="I29" s="16">
        <f t="shared" si="15"/>
        <v>-45</v>
      </c>
      <c r="J29" s="16">
        <f t="shared" si="16"/>
        <v>45</v>
      </c>
      <c r="K29" s="16">
        <f t="shared" si="17"/>
        <v>14</v>
      </c>
    </row>
    <row r="30">
      <c r="A30" s="18">
        <v>29.0</v>
      </c>
      <c r="B30" s="50" t="s">
        <v>662</v>
      </c>
      <c r="C30" s="58">
        <v>1.0</v>
      </c>
      <c r="D30" s="41">
        <f>IFERROR(__xludf.DUMMYFUNCTION("IF(B30="""","""",COUNTA(SPLIT(B30,"" "")))"),187.0)</f>
        <v>187</v>
      </c>
      <c r="E30" s="50" t="s">
        <v>663</v>
      </c>
      <c r="F30" s="58">
        <v>1.0</v>
      </c>
      <c r="G30" s="16">
        <f>IFERROR(__xludf.DUMMYFUNCTION("IF(E30="""","""",COUNTA(SPLIT(E30,"" "")))"),172.0)</f>
        <v>172</v>
      </c>
      <c r="H30" s="16">
        <f t="shared" si="14"/>
        <v>0.2803278689</v>
      </c>
      <c r="I30" s="16">
        <f t="shared" si="15"/>
        <v>-15</v>
      </c>
      <c r="J30" s="16">
        <f t="shared" si="16"/>
        <v>15</v>
      </c>
      <c r="K30" s="16">
        <f t="shared" si="17"/>
        <v>8</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9.688028854</v>
      </c>
      <c r="C35" s="46"/>
      <c r="D35" s="49"/>
      <c r="E35" s="45"/>
      <c r="F35" s="48"/>
      <c r="G35" s="19"/>
      <c r="H35" s="19"/>
      <c r="I35" s="19"/>
      <c r="J35" s="19"/>
      <c r="K35" s="19"/>
    </row>
    <row r="36">
      <c r="A36" s="7"/>
      <c r="B36" s="7">
        <v>9.688028854</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424</v>
      </c>
      <c r="C38" s="46"/>
      <c r="D38" s="49"/>
      <c r="E38" s="45"/>
      <c r="F38" s="48"/>
      <c r="G38" s="19"/>
      <c r="H38" s="19"/>
      <c r="I38" s="19"/>
      <c r="J38" s="19"/>
      <c r="K38" s="19"/>
    </row>
    <row r="39">
      <c r="A39" s="7" t="s">
        <v>287</v>
      </c>
      <c r="B39" s="7" t="s">
        <v>664</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18</v>
      </c>
      <c r="C1" s="34" t="s">
        <v>3</v>
      </c>
      <c r="D1" s="35" t="s">
        <v>4</v>
      </c>
      <c r="E1" s="33" t="s">
        <v>19</v>
      </c>
      <c r="F1" s="36" t="s">
        <v>3</v>
      </c>
      <c r="G1" s="37" t="s">
        <v>4</v>
      </c>
      <c r="H1" s="37" t="s">
        <v>6</v>
      </c>
      <c r="I1" s="37" t="s">
        <v>8</v>
      </c>
      <c r="J1" s="38" t="s">
        <v>552</v>
      </c>
      <c r="K1" s="37" t="s">
        <v>9</v>
      </c>
    </row>
    <row r="2">
      <c r="A2" s="18">
        <v>1.0</v>
      </c>
      <c r="B2" s="50" t="s">
        <v>27</v>
      </c>
      <c r="C2" s="59">
        <v>1.0</v>
      </c>
      <c r="D2" s="41">
        <f>IFERROR(__xludf.DUMMYFUNCTION("IF(B2="""","""",COUNTA(SPLIT(B2,"" "")))"),31.0)</f>
        <v>31</v>
      </c>
      <c r="E2" s="50" t="s">
        <v>28</v>
      </c>
      <c r="F2" s="40">
        <v>1.0</v>
      </c>
      <c r="G2" s="16">
        <f>IFERROR(__xludf.DUMMYFUNCTION("IF(E2="""","""",COUNTA(SPLIT(E2,"" "")))"),32.0)</f>
        <v>32</v>
      </c>
      <c r="H2" s="16">
        <f t="shared" ref="H2:H6" si="1">compararRespostas(B2, E2)</f>
        <v>0.7701149425</v>
      </c>
      <c r="I2" s="16">
        <f t="shared" ref="I2:I4" si="2">(G2-D2)</f>
        <v>1</v>
      </c>
      <c r="J2" s="16">
        <f t="shared" ref="J2:J30" si="3">abs(I2)</f>
        <v>1</v>
      </c>
      <c r="K2" s="16">
        <f>RANK(J2, J$2:J$30, 1)</f>
        <v>5</v>
      </c>
    </row>
    <row r="3">
      <c r="A3" s="18">
        <v>2.0</v>
      </c>
      <c r="B3" s="50" t="s">
        <v>666</v>
      </c>
      <c r="C3" s="59">
        <v>1.0</v>
      </c>
      <c r="D3" s="41">
        <f>IFERROR(__xludf.DUMMYFUNCTION("IF(B3="""","""",COUNTA(SPLIT(B3,"" "")))"),106.0)</f>
        <v>106</v>
      </c>
      <c r="E3" s="50" t="s">
        <v>667</v>
      </c>
      <c r="F3" s="40">
        <v>1.0</v>
      </c>
      <c r="G3" s="16">
        <f>IFERROR(__xludf.DUMMYFUNCTION("IF(E3="""","""",COUNTA(SPLIT(E3,"" "")))"),113.0)</f>
        <v>113</v>
      </c>
      <c r="H3" s="16">
        <f t="shared" si="1"/>
        <v>0.3946251768</v>
      </c>
      <c r="I3" s="16">
        <f t="shared" si="2"/>
        <v>7</v>
      </c>
      <c r="J3" s="16">
        <f t="shared" si="3"/>
        <v>7</v>
      </c>
      <c r="K3" s="16">
        <f t="shared" ref="K3:K6" si="4">_xlfn.RANK.EQ(J3, $J$2:$J$30, 1)</f>
        <v>11</v>
      </c>
    </row>
    <row r="4">
      <c r="A4" s="18">
        <v>3.0</v>
      </c>
      <c r="B4" s="50" t="s">
        <v>668</v>
      </c>
      <c r="C4" s="59">
        <v>1.0</v>
      </c>
      <c r="D4" s="41">
        <f>IFERROR(__xludf.DUMMYFUNCTION("IF(B4="""","""",COUNTA(SPLIT(B4,"" "")))"),216.0)</f>
        <v>216</v>
      </c>
      <c r="E4" s="50" t="s">
        <v>669</v>
      </c>
      <c r="F4" s="42">
        <v>1.0</v>
      </c>
      <c r="G4" s="16">
        <f>IFERROR(__xludf.DUMMYFUNCTION("IF(E4="""","""",COUNTA(SPLIT(E4,"" "")))"),236.0)</f>
        <v>236</v>
      </c>
      <c r="H4" s="16">
        <f t="shared" si="1"/>
        <v>0.3404634581</v>
      </c>
      <c r="I4" s="16">
        <f t="shared" si="2"/>
        <v>20</v>
      </c>
      <c r="J4" s="16">
        <f t="shared" si="3"/>
        <v>20</v>
      </c>
      <c r="K4" s="16">
        <f t="shared" si="4"/>
        <v>20</v>
      </c>
    </row>
    <row r="5">
      <c r="A5" s="18">
        <v>4.0</v>
      </c>
      <c r="B5" s="50" t="s">
        <v>670</v>
      </c>
      <c r="C5" s="59">
        <v>1.0</v>
      </c>
      <c r="D5" s="41">
        <f>IFERROR(__xludf.DUMMYFUNCTION("IF(B5="""","""",COUNTA(SPLIT(B5,"" "")))"),276.0)</f>
        <v>276</v>
      </c>
      <c r="E5" s="50" t="s">
        <v>671</v>
      </c>
      <c r="F5" s="42">
        <v>1.0</v>
      </c>
      <c r="G5" s="16">
        <f>IFERROR(__xludf.DUMMYFUNCTION("IF(E5="""","""",COUNTA(SPLIT(E5,"" "")))"),293.0)</f>
        <v>293</v>
      </c>
      <c r="H5" s="16">
        <f t="shared" si="1"/>
        <v>0.4035989717</v>
      </c>
      <c r="I5" s="16">
        <f>G5-D5</f>
        <v>17</v>
      </c>
      <c r="J5" s="16">
        <f t="shared" si="3"/>
        <v>17</v>
      </c>
      <c r="K5" s="16">
        <f t="shared" si="4"/>
        <v>17</v>
      </c>
    </row>
    <row r="6">
      <c r="A6" s="18">
        <v>5.0</v>
      </c>
      <c r="B6" s="50" t="s">
        <v>63</v>
      </c>
      <c r="C6" s="59">
        <v>1.0</v>
      </c>
      <c r="D6" s="41">
        <f>IFERROR(__xludf.DUMMYFUNCTION("IF(B6="""","""",COUNTA(SPLIT(B6,"" "")))"),46.0)</f>
        <v>46</v>
      </c>
      <c r="E6" s="50" t="s">
        <v>64</v>
      </c>
      <c r="F6" s="42">
        <v>1.0</v>
      </c>
      <c r="G6" s="16">
        <f>IFERROR(__xludf.DUMMYFUNCTION("IF(E6="""","""",COUNTA(SPLIT(E6,"" "")))"),64.0)</f>
        <v>64</v>
      </c>
      <c r="H6" s="16">
        <f t="shared" si="1"/>
        <v>0.4789473684</v>
      </c>
      <c r="I6" s="16">
        <f>(G6-D6)</f>
        <v>18</v>
      </c>
      <c r="J6" s="16">
        <f t="shared" si="3"/>
        <v>18</v>
      </c>
      <c r="K6" s="16">
        <f t="shared" si="4"/>
        <v>18</v>
      </c>
    </row>
    <row r="7">
      <c r="A7" s="18">
        <v>6.0</v>
      </c>
      <c r="B7" s="50" t="s">
        <v>672</v>
      </c>
      <c r="C7" s="59">
        <v>1.0</v>
      </c>
      <c r="D7" s="41">
        <f>IFERROR(__xludf.DUMMYFUNCTION("IF(B7="""","""",COUNTA(SPLIT(B7,"" "")))"),106.0)</f>
        <v>106</v>
      </c>
      <c r="E7" s="50" t="s">
        <v>673</v>
      </c>
      <c r="F7" s="42">
        <v>0.0</v>
      </c>
      <c r="G7" s="44">
        <v>0.0</v>
      </c>
      <c r="H7" s="44">
        <v>0.0</v>
      </c>
      <c r="I7" s="44">
        <v>0.0</v>
      </c>
      <c r="J7" s="16">
        <f t="shared" si="3"/>
        <v>0</v>
      </c>
      <c r="K7" s="44">
        <v>0.0</v>
      </c>
    </row>
    <row r="8">
      <c r="A8" s="18">
        <v>7.0</v>
      </c>
      <c r="B8" s="50" t="s">
        <v>81</v>
      </c>
      <c r="C8" s="59">
        <v>1.0</v>
      </c>
      <c r="D8" s="41">
        <f>IFERROR(__xludf.DUMMYFUNCTION("IF(B8="""","""",COUNTA(SPLIT(B8,"" "")))"),69.0)</f>
        <v>69</v>
      </c>
      <c r="E8" s="50" t="s">
        <v>82</v>
      </c>
      <c r="F8" s="42">
        <v>1.0</v>
      </c>
      <c r="G8" s="16">
        <f>IFERROR(__xludf.DUMMYFUNCTION("IF(E8="""","""",COUNTA(SPLIT(E8,"" "")))"),84.0)</f>
        <v>84</v>
      </c>
      <c r="H8" s="16">
        <f t="shared" ref="H8:H10" si="5">compararRespostas(B8, E8)</f>
        <v>0.3414239482</v>
      </c>
      <c r="I8" s="16">
        <f t="shared" ref="I8:I30" si="6">(G8-D8)</f>
        <v>15</v>
      </c>
      <c r="J8" s="16">
        <f t="shared" si="3"/>
        <v>15</v>
      </c>
      <c r="K8" s="16">
        <f t="shared" ref="K8:K10" si="7">_xlfn.RANK.EQ(J8, $J$2:$J$30, 1)</f>
        <v>14</v>
      </c>
    </row>
    <row r="9">
      <c r="A9" s="18">
        <v>8.0</v>
      </c>
      <c r="B9" s="50" t="s">
        <v>674</v>
      </c>
      <c r="C9" s="59">
        <v>1.0</v>
      </c>
      <c r="D9" s="41">
        <f>IFERROR(__xludf.DUMMYFUNCTION("IF(B9="""","""",COUNTA(SPLIT(B9,"" "")))"),174.0)</f>
        <v>174</v>
      </c>
      <c r="E9" s="50" t="s">
        <v>675</v>
      </c>
      <c r="F9" s="42">
        <v>1.0</v>
      </c>
      <c r="G9" s="16">
        <f>IFERROR(__xludf.DUMMYFUNCTION("IF(E9="""","""",COUNTA(SPLIT(E9,"" "")))"),175.0)</f>
        <v>175</v>
      </c>
      <c r="H9" s="16">
        <f t="shared" si="5"/>
        <v>0.4077901431</v>
      </c>
      <c r="I9" s="16">
        <f t="shared" si="6"/>
        <v>1</v>
      </c>
      <c r="J9" s="16">
        <f t="shared" si="3"/>
        <v>1</v>
      </c>
      <c r="K9" s="16">
        <f t="shared" si="7"/>
        <v>5</v>
      </c>
    </row>
    <row r="10">
      <c r="A10" s="18">
        <v>9.0</v>
      </c>
      <c r="B10" s="50" t="s">
        <v>676</v>
      </c>
      <c r="C10" s="59">
        <v>1.0</v>
      </c>
      <c r="D10" s="41">
        <f>IFERROR(__xludf.DUMMYFUNCTION("IF(B10="""","""",COUNTA(SPLIT(B10,"" "")))"),200.0)</f>
        <v>200</v>
      </c>
      <c r="E10" s="50" t="s">
        <v>100</v>
      </c>
      <c r="F10" s="42">
        <v>1.0</v>
      </c>
      <c r="G10" s="16">
        <f>IFERROR(__xludf.DUMMYFUNCTION("IF(E10="""","""",COUNTA(SPLIT(E10,"" "")))"),90.0)</f>
        <v>90</v>
      </c>
      <c r="H10" s="16">
        <f t="shared" si="5"/>
        <v>0.2885017422</v>
      </c>
      <c r="I10" s="16">
        <f t="shared" si="6"/>
        <v>-110</v>
      </c>
      <c r="J10" s="16">
        <f t="shared" si="3"/>
        <v>110</v>
      </c>
      <c r="K10" s="16">
        <f t="shared" si="7"/>
        <v>28</v>
      </c>
    </row>
    <row r="11">
      <c r="A11" s="18">
        <v>10.0</v>
      </c>
      <c r="B11" s="50" t="s">
        <v>108</v>
      </c>
      <c r="C11" s="60"/>
      <c r="D11" s="43">
        <v>0.0</v>
      </c>
      <c r="E11" s="50" t="s">
        <v>109</v>
      </c>
      <c r="F11" s="61"/>
      <c r="G11" s="44">
        <v>0.0</v>
      </c>
      <c r="H11" s="44">
        <v>0.0</v>
      </c>
      <c r="I11" s="16">
        <f t="shared" si="6"/>
        <v>0</v>
      </c>
      <c r="J11" s="16">
        <f t="shared" si="3"/>
        <v>0</v>
      </c>
      <c r="K11" s="44">
        <v>0.0</v>
      </c>
    </row>
    <row r="12">
      <c r="A12" s="18">
        <v>11.0</v>
      </c>
      <c r="B12" s="50" t="s">
        <v>677</v>
      </c>
      <c r="C12" s="59">
        <v>1.0</v>
      </c>
      <c r="D12" s="41">
        <f>IFERROR(__xludf.DUMMYFUNCTION("IF(B12="""","""",COUNTA(SPLIT(B12,"" "")))"),74.0)</f>
        <v>74</v>
      </c>
      <c r="E12" s="50" t="s">
        <v>118</v>
      </c>
      <c r="F12" s="42">
        <v>1.0</v>
      </c>
      <c r="G12" s="16">
        <f>IFERROR(__xludf.DUMMYFUNCTION("IF(E12="""","""",COUNTA(SPLIT(E12,"" "")))"),88.0)</f>
        <v>88</v>
      </c>
      <c r="H12" s="16">
        <f t="shared" ref="H12:H15" si="8">compararRespostas(B12, E12)</f>
        <v>0.4118738404</v>
      </c>
      <c r="I12" s="16">
        <f t="shared" si="6"/>
        <v>14</v>
      </c>
      <c r="J12" s="16">
        <f t="shared" si="3"/>
        <v>14</v>
      </c>
      <c r="K12" s="16">
        <f t="shared" ref="K12:K15" si="9">_xlfn.RANK.EQ(J12, $J$2:$J$30, 1)</f>
        <v>13</v>
      </c>
    </row>
    <row r="13">
      <c r="A13" s="18">
        <v>12.0</v>
      </c>
      <c r="B13" s="50" t="s">
        <v>678</v>
      </c>
      <c r="C13" s="59">
        <v>1.0</v>
      </c>
      <c r="D13" s="41">
        <f>IFERROR(__xludf.DUMMYFUNCTION("IF(B13="""","""",COUNTA(SPLIT(B13,"" "")))"),189.0)</f>
        <v>189</v>
      </c>
      <c r="E13" s="50" t="s">
        <v>679</v>
      </c>
      <c r="F13" s="42">
        <v>1.0</v>
      </c>
      <c r="G13" s="16">
        <f>IFERROR(__xludf.DUMMYFUNCTION("IF(E13="""","""",COUNTA(SPLIT(E13,"" "")))"),174.0)</f>
        <v>174</v>
      </c>
      <c r="H13" s="16">
        <f t="shared" si="8"/>
        <v>0.3517186251</v>
      </c>
      <c r="I13" s="16">
        <f t="shared" si="6"/>
        <v>-15</v>
      </c>
      <c r="J13" s="16">
        <f t="shared" si="3"/>
        <v>15</v>
      </c>
      <c r="K13" s="16">
        <f t="shared" si="9"/>
        <v>14</v>
      </c>
    </row>
    <row r="14">
      <c r="A14" s="18">
        <v>13.0</v>
      </c>
      <c r="B14" s="50" t="s">
        <v>680</v>
      </c>
      <c r="C14" s="59">
        <v>1.0</v>
      </c>
      <c r="D14" s="41">
        <f>IFERROR(__xludf.DUMMYFUNCTION("IF(B14="""","""",COUNTA(SPLIT(B14,"" "")))"),204.0)</f>
        <v>204</v>
      </c>
      <c r="E14" s="50" t="s">
        <v>681</v>
      </c>
      <c r="F14" s="42">
        <v>1.0</v>
      </c>
      <c r="G14" s="16">
        <f>IFERROR(__xludf.DUMMYFUNCTION("IF(E14="""","""",COUNTA(SPLIT(E14,"" "")))"),210.0)</f>
        <v>210</v>
      </c>
      <c r="H14" s="16">
        <f t="shared" si="8"/>
        <v>0.468707483</v>
      </c>
      <c r="I14" s="16">
        <f t="shared" si="6"/>
        <v>6</v>
      </c>
      <c r="J14" s="16">
        <f t="shared" si="3"/>
        <v>6</v>
      </c>
      <c r="K14" s="16">
        <f t="shared" si="9"/>
        <v>9</v>
      </c>
    </row>
    <row r="15">
      <c r="A15" s="18">
        <v>14.0</v>
      </c>
      <c r="B15" s="50" t="s">
        <v>682</v>
      </c>
      <c r="C15" s="59">
        <v>1.0</v>
      </c>
      <c r="D15" s="41">
        <f>IFERROR(__xludf.DUMMYFUNCTION("IF(B15="""","""",COUNTA(SPLIT(B15,"" "")))"),378.0)</f>
        <v>378</v>
      </c>
      <c r="E15" s="56" t="s">
        <v>683</v>
      </c>
      <c r="F15" s="42">
        <v>1.0</v>
      </c>
      <c r="G15" s="16">
        <f>IFERROR(__xludf.DUMMYFUNCTION("IF(E15="""","""",COUNTA(SPLIT(E15,"" "")))"),341.0)</f>
        <v>341</v>
      </c>
      <c r="H15" s="16">
        <f t="shared" si="8"/>
        <v>0.3247831007</v>
      </c>
      <c r="I15" s="16">
        <f t="shared" si="6"/>
        <v>-37</v>
      </c>
      <c r="J15" s="16">
        <f t="shared" si="3"/>
        <v>37</v>
      </c>
      <c r="K15" s="16">
        <f t="shared" si="9"/>
        <v>23</v>
      </c>
    </row>
    <row r="16">
      <c r="A16" s="18">
        <v>15.0</v>
      </c>
      <c r="B16" s="50" t="s">
        <v>684</v>
      </c>
      <c r="C16" s="59">
        <v>0.0</v>
      </c>
      <c r="D16" s="43">
        <v>0.0</v>
      </c>
      <c r="E16" s="50" t="s">
        <v>154</v>
      </c>
      <c r="F16" s="42">
        <v>1.0</v>
      </c>
      <c r="G16" s="44">
        <v>0.0</v>
      </c>
      <c r="H16" s="44">
        <v>0.0</v>
      </c>
      <c r="I16" s="16">
        <f t="shared" si="6"/>
        <v>0</v>
      </c>
      <c r="J16" s="16">
        <f t="shared" si="3"/>
        <v>0</v>
      </c>
      <c r="K16" s="44">
        <v>0.0</v>
      </c>
    </row>
    <row r="17">
      <c r="A17" s="18">
        <v>16.0</v>
      </c>
      <c r="B17" s="50" t="s">
        <v>685</v>
      </c>
      <c r="C17" s="59">
        <v>1.0</v>
      </c>
      <c r="D17" s="41">
        <f>IFERROR(__xludf.DUMMYFUNCTION("IF(B17="""","""",COUNTA(SPLIT(B17,"" "")))"),240.0)</f>
        <v>240</v>
      </c>
      <c r="E17" s="50" t="s">
        <v>686</v>
      </c>
      <c r="F17" s="42">
        <v>1.0</v>
      </c>
      <c r="G17" s="16">
        <f>IFERROR(__xludf.DUMMYFUNCTION("IF(E17="""","""",COUNTA(SPLIT(E17,"" "")))"),190.0)</f>
        <v>190</v>
      </c>
      <c r="H17" s="16">
        <f t="shared" ref="H17:H24" si="10">compararRespostas(B17, E17)</f>
        <v>0.3889943074</v>
      </c>
      <c r="I17" s="16">
        <f t="shared" si="6"/>
        <v>-50</v>
      </c>
      <c r="J17" s="16">
        <f t="shared" si="3"/>
        <v>50</v>
      </c>
      <c r="K17" s="16">
        <f t="shared" ref="K17:K24" si="11">_xlfn.RANK.EQ(J17, $J$2:$J$30, 1)</f>
        <v>24</v>
      </c>
    </row>
    <row r="18">
      <c r="A18" s="18">
        <v>17.0</v>
      </c>
      <c r="B18" s="50" t="s">
        <v>687</v>
      </c>
      <c r="C18" s="59">
        <v>1.0</v>
      </c>
      <c r="D18" s="41">
        <f>IFERROR(__xludf.DUMMYFUNCTION("IF(B18="""","""",COUNTA(SPLIT(B18,"" "")))"),260.0)</f>
        <v>260</v>
      </c>
      <c r="E18" s="50" t="s">
        <v>688</v>
      </c>
      <c r="F18" s="42">
        <v>1.0</v>
      </c>
      <c r="G18" s="16">
        <f>IFERROR(__xludf.DUMMYFUNCTION("IF(E18="""","""",COUNTA(SPLIT(E18,"" "")))"),186.0)</f>
        <v>186</v>
      </c>
      <c r="H18" s="16">
        <f t="shared" si="10"/>
        <v>0.3342906376</v>
      </c>
      <c r="I18" s="16">
        <f t="shared" si="6"/>
        <v>-74</v>
      </c>
      <c r="J18" s="16">
        <f t="shared" si="3"/>
        <v>74</v>
      </c>
      <c r="K18" s="16">
        <f t="shared" si="11"/>
        <v>26</v>
      </c>
    </row>
    <row r="19">
      <c r="A19" s="18">
        <v>18.0</v>
      </c>
      <c r="B19" s="50" t="s">
        <v>689</v>
      </c>
      <c r="C19" s="59">
        <v>1.0</v>
      </c>
      <c r="D19" s="41">
        <f>IFERROR(__xludf.DUMMYFUNCTION("IF(B19="""","""",COUNTA(SPLIT(B19,"" "")))"),387.0)</f>
        <v>387</v>
      </c>
      <c r="E19" s="50" t="s">
        <v>690</v>
      </c>
      <c r="F19" s="42">
        <v>1.0</v>
      </c>
      <c r="G19" s="16">
        <f>IFERROR(__xludf.DUMMYFUNCTION("IF(E19="""","""",COUNTA(SPLIT(E19,"" "")))"),363.0)</f>
        <v>363</v>
      </c>
      <c r="H19" s="16">
        <f t="shared" si="10"/>
        <v>0.2967590785</v>
      </c>
      <c r="I19" s="16">
        <f t="shared" si="6"/>
        <v>-24</v>
      </c>
      <c r="J19" s="16">
        <f t="shared" si="3"/>
        <v>24</v>
      </c>
      <c r="K19" s="16">
        <f t="shared" si="11"/>
        <v>21</v>
      </c>
    </row>
    <row r="20">
      <c r="A20" s="18">
        <v>19.0</v>
      </c>
      <c r="B20" s="50" t="s">
        <v>691</v>
      </c>
      <c r="C20" s="59">
        <v>1.0</v>
      </c>
      <c r="D20" s="41">
        <f>IFERROR(__xludf.DUMMYFUNCTION("IF(B20="""","""",COUNTA(SPLIT(B20,"" "")))"),201.0)</f>
        <v>201</v>
      </c>
      <c r="E20" s="50" t="s">
        <v>692</v>
      </c>
      <c r="F20" s="42">
        <v>1.0</v>
      </c>
      <c r="G20" s="16">
        <f>IFERROR(__xludf.DUMMYFUNCTION("IF(E20="""","""",COUNTA(SPLIT(E20,"" "")))"),281.0)</f>
        <v>281</v>
      </c>
      <c r="H20" s="16">
        <f t="shared" si="10"/>
        <v>0.3718466196</v>
      </c>
      <c r="I20" s="16">
        <f t="shared" si="6"/>
        <v>80</v>
      </c>
      <c r="J20" s="16">
        <f t="shared" si="3"/>
        <v>80</v>
      </c>
      <c r="K20" s="16">
        <f t="shared" si="11"/>
        <v>27</v>
      </c>
    </row>
    <row r="21">
      <c r="A21" s="18">
        <v>20.0</v>
      </c>
      <c r="B21" s="50" t="s">
        <v>693</v>
      </c>
      <c r="C21" s="59">
        <v>1.0</v>
      </c>
      <c r="D21" s="41">
        <f>IFERROR(__xludf.DUMMYFUNCTION("IF(B21="""","""",COUNTA(SPLIT(B21,"" "")))"),384.0)</f>
        <v>384</v>
      </c>
      <c r="E21" s="50" t="s">
        <v>694</v>
      </c>
      <c r="F21" s="42">
        <v>1.0</v>
      </c>
      <c r="G21" s="16">
        <f>IFERROR(__xludf.DUMMYFUNCTION("IF(E21="""","""",COUNTA(SPLIT(E21,"" "")))"),252.0)</f>
        <v>252</v>
      </c>
      <c r="H21" s="16">
        <f t="shared" si="10"/>
        <v>0.4510869565</v>
      </c>
      <c r="I21" s="16">
        <f t="shared" si="6"/>
        <v>-132</v>
      </c>
      <c r="J21" s="16">
        <f t="shared" si="3"/>
        <v>132</v>
      </c>
      <c r="K21" s="16">
        <f t="shared" si="11"/>
        <v>29</v>
      </c>
    </row>
    <row r="22">
      <c r="A22" s="18">
        <v>21.0</v>
      </c>
      <c r="B22" s="50" t="s">
        <v>695</v>
      </c>
      <c r="C22" s="59">
        <v>1.0</v>
      </c>
      <c r="D22" s="41">
        <f>IFERROR(__xludf.DUMMYFUNCTION("IF(B22="""","""",COUNTA(SPLIT(B22,"" "")))"),146.0)</f>
        <v>146</v>
      </c>
      <c r="E22" s="50" t="s">
        <v>696</v>
      </c>
      <c r="F22" s="42">
        <v>1.0</v>
      </c>
      <c r="G22" s="16">
        <f>IFERROR(__xludf.DUMMYFUNCTION("IF(E22="""","""",COUNTA(SPLIT(E22,"" "")))"),162.0)</f>
        <v>162</v>
      </c>
      <c r="H22" s="16">
        <f t="shared" si="10"/>
        <v>0.3184306569</v>
      </c>
      <c r="I22" s="16">
        <f t="shared" si="6"/>
        <v>16</v>
      </c>
      <c r="J22" s="16">
        <f t="shared" si="3"/>
        <v>16</v>
      </c>
      <c r="K22" s="16">
        <f t="shared" si="11"/>
        <v>16</v>
      </c>
    </row>
    <row r="23">
      <c r="A23" s="18">
        <v>22.0</v>
      </c>
      <c r="B23" s="50" t="s">
        <v>697</v>
      </c>
      <c r="C23" s="59">
        <v>1.0</v>
      </c>
      <c r="D23" s="41">
        <f>IFERROR(__xludf.DUMMYFUNCTION("IF(B23="""","""",COUNTA(SPLIT(B23,"" "")))"),301.0)</f>
        <v>301</v>
      </c>
      <c r="E23" s="50" t="s">
        <v>698</v>
      </c>
      <c r="F23" s="42">
        <v>1.0</v>
      </c>
      <c r="G23" s="16">
        <f>IFERROR(__xludf.DUMMYFUNCTION("IF(E23="""","""",COUNTA(SPLIT(E23,"" "")))"),292.0)</f>
        <v>292</v>
      </c>
      <c r="H23" s="16">
        <f t="shared" si="10"/>
        <v>0.3293885602</v>
      </c>
      <c r="I23" s="16">
        <f t="shared" si="6"/>
        <v>-9</v>
      </c>
      <c r="J23" s="16">
        <f t="shared" si="3"/>
        <v>9</v>
      </c>
      <c r="K23" s="16">
        <f t="shared" si="11"/>
        <v>12</v>
      </c>
    </row>
    <row r="24">
      <c r="A24" s="18">
        <v>23.0</v>
      </c>
      <c r="B24" s="50" t="s">
        <v>699</v>
      </c>
      <c r="C24" s="59">
        <v>1.0</v>
      </c>
      <c r="D24" s="41">
        <f>IFERROR(__xludf.DUMMYFUNCTION("IF(B24="""","""",COUNTA(SPLIT(B24,"" "")))"),322.0)</f>
        <v>322</v>
      </c>
      <c r="E24" s="50" t="s">
        <v>700</v>
      </c>
      <c r="F24" s="42">
        <v>1.0</v>
      </c>
      <c r="G24" s="16">
        <f>IFERROR(__xludf.DUMMYFUNCTION("IF(E24="""","""",COUNTA(SPLIT(E24,"" "")))"),293.0)</f>
        <v>293</v>
      </c>
      <c r="H24" s="16">
        <f t="shared" si="10"/>
        <v>0.3829499323</v>
      </c>
      <c r="I24" s="16">
        <f t="shared" si="6"/>
        <v>-29</v>
      </c>
      <c r="J24" s="16">
        <f t="shared" si="3"/>
        <v>29</v>
      </c>
      <c r="K24" s="16">
        <f t="shared" si="11"/>
        <v>22</v>
      </c>
    </row>
    <row r="25">
      <c r="A25" s="18">
        <v>24.0</v>
      </c>
      <c r="B25" s="50" t="s">
        <v>701</v>
      </c>
      <c r="C25" s="59">
        <v>0.0</v>
      </c>
      <c r="D25" s="43">
        <v>0.0</v>
      </c>
      <c r="E25" s="50" t="s">
        <v>702</v>
      </c>
      <c r="F25" s="42">
        <v>1.0</v>
      </c>
      <c r="G25" s="44">
        <v>0.0</v>
      </c>
      <c r="H25" s="44">
        <v>0.0</v>
      </c>
      <c r="I25" s="16">
        <f t="shared" si="6"/>
        <v>0</v>
      </c>
      <c r="J25" s="16">
        <f t="shared" si="3"/>
        <v>0</v>
      </c>
      <c r="K25" s="44">
        <v>0.0</v>
      </c>
    </row>
    <row r="26">
      <c r="A26" s="18">
        <v>25.0</v>
      </c>
      <c r="B26" s="50" t="s">
        <v>703</v>
      </c>
      <c r="C26" s="59">
        <v>1.0</v>
      </c>
      <c r="D26" s="41">
        <f>IFERROR(__xludf.DUMMYFUNCTION("IF(B26="""","""",COUNTA(SPLIT(B26,"" "")))"),341.0)</f>
        <v>341</v>
      </c>
      <c r="E26" s="50" t="s">
        <v>704</v>
      </c>
      <c r="F26" s="42">
        <v>1.0</v>
      </c>
      <c r="G26" s="16">
        <f>IFERROR(__xludf.DUMMYFUNCTION("IF(E26="""","""",COUNTA(SPLIT(E26,"" "")))"),335.0)</f>
        <v>335</v>
      </c>
      <c r="H26" s="16">
        <f t="shared" ref="H26:H30" si="12">compararRespostas(B26, E26)</f>
        <v>0.3790149893</v>
      </c>
      <c r="I26" s="16">
        <f t="shared" si="6"/>
        <v>-6</v>
      </c>
      <c r="J26" s="16">
        <f t="shared" si="3"/>
        <v>6</v>
      </c>
      <c r="K26" s="16">
        <f t="shared" ref="K26:K30" si="13">_xlfn.RANK.EQ(J26, $J$2:$J$30, 1)</f>
        <v>9</v>
      </c>
    </row>
    <row r="27">
      <c r="A27" s="18">
        <v>26.0</v>
      </c>
      <c r="B27" s="50" t="s">
        <v>705</v>
      </c>
      <c r="C27" s="59">
        <v>1.0</v>
      </c>
      <c r="D27" s="41">
        <f>IFERROR(__xludf.DUMMYFUNCTION("IF(B27="""","""",COUNTA(SPLIT(B27,"" "")))"),184.0)</f>
        <v>184</v>
      </c>
      <c r="E27" s="50" t="s">
        <v>706</v>
      </c>
      <c r="F27" s="42">
        <v>1.0</v>
      </c>
      <c r="G27" s="16">
        <f>IFERROR(__xludf.DUMMYFUNCTION("IF(E27="""","""",COUNTA(SPLIT(E27,"" "")))"),166.0)</f>
        <v>166</v>
      </c>
      <c r="H27" s="16">
        <f t="shared" si="12"/>
        <v>0.3518379595</v>
      </c>
      <c r="I27" s="16">
        <f t="shared" si="6"/>
        <v>-18</v>
      </c>
      <c r="J27" s="16">
        <f t="shared" si="3"/>
        <v>18</v>
      </c>
      <c r="K27" s="16">
        <f t="shared" si="13"/>
        <v>18</v>
      </c>
    </row>
    <row r="28">
      <c r="A28" s="18">
        <v>27.0</v>
      </c>
      <c r="B28" s="50" t="s">
        <v>707</v>
      </c>
      <c r="C28" s="59">
        <v>1.0</v>
      </c>
      <c r="D28" s="41">
        <f>IFERROR(__xludf.DUMMYFUNCTION("IF(B28="""","""",COUNTA(SPLIT(B28,"" "")))"),164.0)</f>
        <v>164</v>
      </c>
      <c r="E28" s="50" t="s">
        <v>262</v>
      </c>
      <c r="F28" s="42">
        <v>1.0</v>
      </c>
      <c r="G28" s="16">
        <f>IFERROR(__xludf.DUMMYFUNCTION("IF(E28="""","""",COUNTA(SPLIT(E28,"" "")))"),99.0)</f>
        <v>99</v>
      </c>
      <c r="H28" s="16">
        <f t="shared" si="12"/>
        <v>0.3641524736</v>
      </c>
      <c r="I28" s="16">
        <f t="shared" si="6"/>
        <v>-65</v>
      </c>
      <c r="J28" s="16">
        <f t="shared" si="3"/>
        <v>65</v>
      </c>
      <c r="K28" s="16">
        <f t="shared" si="13"/>
        <v>25</v>
      </c>
    </row>
    <row r="29">
      <c r="A29" s="18">
        <v>28.0</v>
      </c>
      <c r="B29" s="50" t="s">
        <v>708</v>
      </c>
      <c r="C29" s="59">
        <v>1.0</v>
      </c>
      <c r="D29" s="41">
        <f>IFERROR(__xludf.DUMMYFUNCTION("IF(B29="""","""",COUNTA(SPLIT(B29,"" "")))"),146.0)</f>
        <v>146</v>
      </c>
      <c r="E29" s="50" t="s">
        <v>709</v>
      </c>
      <c r="F29" s="42">
        <v>1.0</v>
      </c>
      <c r="G29" s="16">
        <f>IFERROR(__xludf.DUMMYFUNCTION("IF(E29="""","""",COUNTA(SPLIT(E29,"" "")))"),148.0)</f>
        <v>148</v>
      </c>
      <c r="H29" s="16">
        <f t="shared" si="12"/>
        <v>0.3333333333</v>
      </c>
      <c r="I29" s="16">
        <f t="shared" si="6"/>
        <v>2</v>
      </c>
      <c r="J29" s="16">
        <f t="shared" si="3"/>
        <v>2</v>
      </c>
      <c r="K29" s="16">
        <f t="shared" si="13"/>
        <v>7</v>
      </c>
    </row>
    <row r="30">
      <c r="A30" s="18">
        <v>29.0</v>
      </c>
      <c r="B30" s="50" t="s">
        <v>710</v>
      </c>
      <c r="C30" s="59">
        <v>1.0</v>
      </c>
      <c r="D30" s="41">
        <f>IFERROR(__xludf.DUMMYFUNCTION("IF(B30="""","""",COUNTA(SPLIT(B30,"" "")))"),133.0)</f>
        <v>133</v>
      </c>
      <c r="E30" s="50" t="s">
        <v>711</v>
      </c>
      <c r="F30" s="42">
        <v>1.0</v>
      </c>
      <c r="G30" s="16">
        <f>IFERROR(__xludf.DUMMYFUNCTION("IF(E30="""","""",COUNTA(SPLIT(E30,"" "")))"),137.0)</f>
        <v>137</v>
      </c>
      <c r="H30" s="16">
        <f t="shared" si="12"/>
        <v>0.3314732143</v>
      </c>
      <c r="I30" s="16">
        <f t="shared" si="6"/>
        <v>4</v>
      </c>
      <c r="J30" s="16">
        <f t="shared" si="3"/>
        <v>4</v>
      </c>
      <c r="K30" s="16">
        <f t="shared" si="13"/>
        <v>8</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712</v>
      </c>
      <c r="B35" s="7">
        <f>SUM(H2:H30)</f>
        <v>9.616107519</v>
      </c>
      <c r="C35" s="46"/>
      <c r="D35" s="49"/>
      <c r="E35" s="45"/>
      <c r="F35" s="48"/>
      <c r="G35" s="19"/>
      <c r="H35" s="19"/>
      <c r="I35" s="19"/>
      <c r="J35" s="19"/>
      <c r="K35" s="19"/>
    </row>
    <row r="36">
      <c r="A36" s="7"/>
      <c r="B36" s="7">
        <v>9.616107519</v>
      </c>
      <c r="C36" s="46"/>
      <c r="D36" s="49"/>
      <c r="E36" s="45"/>
      <c r="F36" s="48"/>
      <c r="G36" s="19"/>
      <c r="H36" s="19"/>
      <c r="I36" s="19"/>
      <c r="J36" s="19"/>
      <c r="K36" s="19"/>
    </row>
    <row r="37">
      <c r="B37" s="45"/>
      <c r="C37" s="46"/>
      <c r="D37" s="49"/>
      <c r="E37" s="45"/>
      <c r="F37" s="48"/>
      <c r="G37" s="19"/>
      <c r="H37" s="19"/>
      <c r="I37" s="19"/>
      <c r="J37" s="19"/>
      <c r="K37" s="19"/>
    </row>
    <row r="38">
      <c r="A38" s="7" t="s">
        <v>713</v>
      </c>
      <c r="B38" s="7">
        <f>SUM(K2:K30)</f>
        <v>421</v>
      </c>
      <c r="C38" s="46"/>
      <c r="D38" s="49"/>
      <c r="E38" s="45"/>
      <c r="F38" s="48"/>
      <c r="G38" s="19"/>
      <c r="H38" s="19"/>
      <c r="I38" s="19"/>
      <c r="J38" s="19"/>
      <c r="K38" s="19"/>
    </row>
    <row r="39">
      <c r="A39" s="7" t="s">
        <v>714</v>
      </c>
      <c r="B39" s="7" t="s">
        <v>715</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44.5"/>
    <col customWidth="1" min="3" max="4" width="8.38"/>
    <col customWidth="1" min="5" max="5" width="45.63"/>
  </cols>
  <sheetData>
    <row r="1">
      <c r="A1" s="32" t="s">
        <v>0</v>
      </c>
      <c r="B1" s="33" t="s">
        <v>716</v>
      </c>
      <c r="C1" s="34" t="s">
        <v>3</v>
      </c>
      <c r="D1" s="35" t="s">
        <v>4</v>
      </c>
      <c r="E1" s="33" t="s">
        <v>13</v>
      </c>
      <c r="F1" s="36" t="s">
        <v>3</v>
      </c>
      <c r="G1" s="37" t="s">
        <v>4</v>
      </c>
      <c r="H1" s="37" t="s">
        <v>6</v>
      </c>
      <c r="I1" s="37" t="s">
        <v>8</v>
      </c>
      <c r="J1" s="38" t="s">
        <v>552</v>
      </c>
      <c r="K1" s="37" t="s">
        <v>9</v>
      </c>
    </row>
    <row r="2">
      <c r="A2" s="18">
        <v>1.0</v>
      </c>
      <c r="B2" s="62" t="s">
        <v>606</v>
      </c>
      <c r="C2" s="40">
        <v>1.0</v>
      </c>
      <c r="D2" s="41">
        <f>IFERROR(__xludf.DUMMYFUNCTION("IF(B2="""","""",COUNTA(SPLIT(B2,"" "")))"),214.0)</f>
        <v>214</v>
      </c>
      <c r="E2" s="63" t="s">
        <v>24</v>
      </c>
      <c r="F2" s="40">
        <v>1.0</v>
      </c>
      <c r="G2" s="16">
        <f>IFERROR(__xludf.DUMMYFUNCTION("IF(E2="""","""",COUNTA(SPLIT(E2,"" "")))"),71.0)</f>
        <v>71</v>
      </c>
      <c r="H2" s="16">
        <f t="shared" ref="H2:H15" si="1">compararRespostas(B2, E2)</f>
        <v>0.2314606742</v>
      </c>
      <c r="I2" s="16">
        <f t="shared" ref="I2:I15" si="2">(G2-D2)</f>
        <v>-143</v>
      </c>
      <c r="J2" s="16">
        <f t="shared" ref="J2:J15" si="3">abs(I2)</f>
        <v>143</v>
      </c>
      <c r="K2" s="16">
        <f t="shared" ref="K2:K15" si="4">RANK(J2, J$2:J$30, 1)</f>
        <v>22</v>
      </c>
    </row>
    <row r="3">
      <c r="A3" s="18">
        <v>2.0</v>
      </c>
      <c r="B3" s="62" t="s">
        <v>608</v>
      </c>
      <c r="C3" s="40">
        <v>1.0</v>
      </c>
      <c r="D3" s="41">
        <f>IFERROR(__xludf.DUMMYFUNCTION("IF(B3="""","""",COUNTA(SPLIT(B3,"" "")))"),219.0)</f>
        <v>219</v>
      </c>
      <c r="E3" s="63" t="s">
        <v>717</v>
      </c>
      <c r="F3" s="40">
        <v>1.0</v>
      </c>
      <c r="G3" s="16">
        <f>IFERROR(__xludf.DUMMYFUNCTION("IF(E3="""","""",COUNTA(SPLIT(E3,"" "")))"),141.0)</f>
        <v>141</v>
      </c>
      <c r="H3" s="16">
        <f t="shared" si="1"/>
        <v>0.3539362394</v>
      </c>
      <c r="I3" s="16">
        <f t="shared" si="2"/>
        <v>-78</v>
      </c>
      <c r="J3" s="16">
        <f t="shared" si="3"/>
        <v>78</v>
      </c>
      <c r="K3" s="16">
        <f t="shared" si="4"/>
        <v>10</v>
      </c>
    </row>
    <row r="4">
      <c r="A4" s="18">
        <v>3.0</v>
      </c>
      <c r="B4" s="62" t="s">
        <v>610</v>
      </c>
      <c r="C4" s="42">
        <v>1.0</v>
      </c>
      <c r="D4" s="41">
        <f>IFERROR(__xludf.DUMMYFUNCTION("IF(B4="""","""",COUNTA(SPLIT(B4,"" "")))"),504.0)</f>
        <v>504</v>
      </c>
      <c r="E4" s="63" t="s">
        <v>718</v>
      </c>
      <c r="F4" s="42">
        <v>1.0</v>
      </c>
      <c r="G4" s="16">
        <f>IFERROR(__xludf.DUMMYFUNCTION("IF(E4="""","""",COUNTA(SPLIT(E4,"" "")))"),155.0)</f>
        <v>155</v>
      </c>
      <c r="H4" s="16">
        <f t="shared" si="1"/>
        <v>0.2221214869</v>
      </c>
      <c r="I4" s="16">
        <f t="shared" si="2"/>
        <v>-349</v>
      </c>
      <c r="J4" s="16">
        <f t="shared" si="3"/>
        <v>349</v>
      </c>
      <c r="K4" s="16">
        <f t="shared" si="4"/>
        <v>29</v>
      </c>
    </row>
    <row r="5">
      <c r="A5" s="18">
        <v>4.0</v>
      </c>
      <c r="B5" s="62" t="s">
        <v>612</v>
      </c>
      <c r="C5" s="42">
        <v>1.0</v>
      </c>
      <c r="D5" s="41">
        <f>IFERROR(__xludf.DUMMYFUNCTION("IF(B5="""","""",COUNTA(SPLIT(B5,"" "")))"),285.0)</f>
        <v>285</v>
      </c>
      <c r="E5" s="63" t="s">
        <v>719</v>
      </c>
      <c r="F5" s="42">
        <v>1.0</v>
      </c>
      <c r="G5" s="16">
        <f>IFERROR(__xludf.DUMMYFUNCTION("IF(E5="""","""",COUNTA(SPLIT(E5,"" "")))"),246.0)</f>
        <v>246</v>
      </c>
      <c r="H5" s="16">
        <f t="shared" si="1"/>
        <v>0.2990805841</v>
      </c>
      <c r="I5" s="16">
        <f t="shared" si="2"/>
        <v>-39</v>
      </c>
      <c r="J5" s="16">
        <f t="shared" si="3"/>
        <v>39</v>
      </c>
      <c r="K5" s="16">
        <f t="shared" si="4"/>
        <v>6</v>
      </c>
    </row>
    <row r="6">
      <c r="A6" s="18">
        <v>5.0</v>
      </c>
      <c r="B6" s="62" t="s">
        <v>614</v>
      </c>
      <c r="C6" s="42">
        <v>1.0</v>
      </c>
      <c r="D6" s="41">
        <f>IFERROR(__xludf.DUMMYFUNCTION("IF(B6="""","""",COUNTA(SPLIT(B6,"" "")))"),181.0)</f>
        <v>181</v>
      </c>
      <c r="E6" s="63" t="s">
        <v>60</v>
      </c>
      <c r="F6" s="42">
        <v>1.0</v>
      </c>
      <c r="G6" s="16">
        <f>IFERROR(__xludf.DUMMYFUNCTION("IF(E6="""","""",COUNTA(SPLIT(E6,"" "")))"),63.0)</f>
        <v>63</v>
      </c>
      <c r="H6" s="16">
        <f t="shared" si="1"/>
        <v>0.276459854</v>
      </c>
      <c r="I6" s="16">
        <f t="shared" si="2"/>
        <v>-118</v>
      </c>
      <c r="J6" s="16">
        <f t="shared" si="3"/>
        <v>118</v>
      </c>
      <c r="K6" s="16">
        <f t="shared" si="4"/>
        <v>19</v>
      </c>
    </row>
    <row r="7">
      <c r="A7" s="18">
        <v>6.0</v>
      </c>
      <c r="B7" s="62" t="s">
        <v>616</v>
      </c>
      <c r="C7" s="42">
        <v>1.0</v>
      </c>
      <c r="D7" s="41">
        <f>IFERROR(__xludf.DUMMYFUNCTION("IF(B7="""","""",COUNTA(SPLIT(B7,"" "")))"),127.0)</f>
        <v>127</v>
      </c>
      <c r="E7" s="63" t="s">
        <v>720</v>
      </c>
      <c r="F7" s="42">
        <v>1.0</v>
      </c>
      <c r="G7" s="16">
        <f>IFERROR(__xludf.DUMMYFUNCTION("IF(E7="""","""",COUNTA(SPLIT(E7,"" "")))"),173.0)</f>
        <v>173</v>
      </c>
      <c r="H7" s="16">
        <f t="shared" si="1"/>
        <v>0.4457236842</v>
      </c>
      <c r="I7" s="16">
        <f t="shared" si="2"/>
        <v>46</v>
      </c>
      <c r="J7" s="16">
        <f t="shared" si="3"/>
        <v>46</v>
      </c>
      <c r="K7" s="16">
        <f t="shared" si="4"/>
        <v>8</v>
      </c>
    </row>
    <row r="8">
      <c r="A8" s="18">
        <v>7.0</v>
      </c>
      <c r="B8" s="62" t="s">
        <v>618</v>
      </c>
      <c r="C8" s="42">
        <v>1.0</v>
      </c>
      <c r="D8" s="41">
        <f>IFERROR(__xludf.DUMMYFUNCTION("IF(B8="""","""",COUNTA(SPLIT(B8,"" "")))"),216.0)</f>
        <v>216</v>
      </c>
      <c r="E8" s="63" t="s">
        <v>78</v>
      </c>
      <c r="F8" s="42">
        <v>1.0</v>
      </c>
      <c r="G8" s="16">
        <f>IFERROR(__xludf.DUMMYFUNCTION("IF(E8="""","""",COUNTA(SPLIT(E8,"" "")))"),79.0)</f>
        <v>79</v>
      </c>
      <c r="H8" s="16">
        <f t="shared" si="1"/>
        <v>0.2908732764</v>
      </c>
      <c r="I8" s="16">
        <f t="shared" si="2"/>
        <v>-137</v>
      </c>
      <c r="J8" s="16">
        <f t="shared" si="3"/>
        <v>137</v>
      </c>
      <c r="K8" s="16">
        <f t="shared" si="4"/>
        <v>21</v>
      </c>
    </row>
    <row r="9">
      <c r="A9" s="18">
        <v>8.0</v>
      </c>
      <c r="B9" s="62" t="s">
        <v>620</v>
      </c>
      <c r="C9" s="42">
        <v>1.0</v>
      </c>
      <c r="D9" s="41">
        <f>IFERROR(__xludf.DUMMYFUNCTION("IF(B9="""","""",COUNTA(SPLIT(B9,"" "")))"),319.0)</f>
        <v>319</v>
      </c>
      <c r="E9" s="63" t="s">
        <v>721</v>
      </c>
      <c r="F9" s="42">
        <v>1.0</v>
      </c>
      <c r="G9" s="16">
        <f>IFERROR(__xludf.DUMMYFUNCTION("IF(E9="""","""",COUNTA(SPLIT(E9,"" "")))"),169.0)</f>
        <v>169</v>
      </c>
      <c r="H9" s="16">
        <f t="shared" si="1"/>
        <v>0.3077613279</v>
      </c>
      <c r="I9" s="16">
        <f t="shared" si="2"/>
        <v>-150</v>
      </c>
      <c r="J9" s="16">
        <f t="shared" si="3"/>
        <v>150</v>
      </c>
      <c r="K9" s="16">
        <f t="shared" si="4"/>
        <v>23</v>
      </c>
    </row>
    <row r="10">
      <c r="A10" s="18">
        <v>9.0</v>
      </c>
      <c r="B10" s="62" t="s">
        <v>622</v>
      </c>
      <c r="C10" s="42">
        <v>1.0</v>
      </c>
      <c r="D10" s="41">
        <f>IFERROR(__xludf.DUMMYFUNCTION("IF(B10="""","""",COUNTA(SPLIT(B10,"" "")))"),212.0)</f>
        <v>212</v>
      </c>
      <c r="E10" s="63" t="s">
        <v>96</v>
      </c>
      <c r="F10" s="42">
        <v>1.0</v>
      </c>
      <c r="G10" s="16">
        <f>IFERROR(__xludf.DUMMYFUNCTION("IF(E10="""","""",COUNTA(SPLIT(E10,"" "")))"),99.0)</f>
        <v>99</v>
      </c>
      <c r="H10" s="16">
        <f t="shared" si="1"/>
        <v>0.2611749681</v>
      </c>
      <c r="I10" s="16">
        <f t="shared" si="2"/>
        <v>-113</v>
      </c>
      <c r="J10" s="16">
        <f t="shared" si="3"/>
        <v>113</v>
      </c>
      <c r="K10" s="16">
        <f t="shared" si="4"/>
        <v>18</v>
      </c>
    </row>
    <row r="11">
      <c r="A11" s="18">
        <v>10.0</v>
      </c>
      <c r="B11" s="62" t="s">
        <v>624</v>
      </c>
      <c r="C11" s="42">
        <v>1.0</v>
      </c>
      <c r="D11" s="41">
        <f>IFERROR(__xludf.DUMMYFUNCTION("IF(B11="""","""",COUNTA(SPLIT(B11,"" "")))"),179.0)</f>
        <v>179</v>
      </c>
      <c r="E11" s="63" t="s">
        <v>105</v>
      </c>
      <c r="F11" s="42">
        <v>1.0</v>
      </c>
      <c r="G11" s="16">
        <f>IFERROR(__xludf.DUMMYFUNCTION("IF(E11="""","""",COUNTA(SPLIT(E11,"" "")))"),76.0)</f>
        <v>76</v>
      </c>
      <c r="H11" s="16">
        <f t="shared" si="1"/>
        <v>0.309807516</v>
      </c>
      <c r="I11" s="16">
        <f t="shared" si="2"/>
        <v>-103</v>
      </c>
      <c r="J11" s="16">
        <f t="shared" si="3"/>
        <v>103</v>
      </c>
      <c r="K11" s="16">
        <f t="shared" si="4"/>
        <v>17</v>
      </c>
    </row>
    <row r="12">
      <c r="A12" s="18">
        <v>11.0</v>
      </c>
      <c r="B12" s="62" t="s">
        <v>626</v>
      </c>
      <c r="C12" s="42">
        <v>1.0</v>
      </c>
      <c r="D12" s="41">
        <f>IFERROR(__xludf.DUMMYFUNCTION("IF(B12="""","""",COUNTA(SPLIT(B12,"" "")))"),177.0)</f>
        <v>177</v>
      </c>
      <c r="E12" s="63" t="s">
        <v>114</v>
      </c>
      <c r="F12" s="42">
        <v>1.0</v>
      </c>
      <c r="G12" s="16">
        <f>IFERROR(__xludf.DUMMYFUNCTION("IF(E12="""","""",COUNTA(SPLIT(E12,"" "")))"),86.0)</f>
        <v>86</v>
      </c>
      <c r="H12" s="16">
        <f t="shared" si="1"/>
        <v>0.314108252</v>
      </c>
      <c r="I12" s="16">
        <f t="shared" si="2"/>
        <v>-91</v>
      </c>
      <c r="J12" s="16">
        <f t="shared" si="3"/>
        <v>91</v>
      </c>
      <c r="K12" s="16">
        <f t="shared" si="4"/>
        <v>14</v>
      </c>
    </row>
    <row r="13">
      <c r="A13" s="18">
        <v>12.0</v>
      </c>
      <c r="B13" s="62" t="s">
        <v>628</v>
      </c>
      <c r="C13" s="42">
        <v>1.0</v>
      </c>
      <c r="D13" s="41">
        <f>IFERROR(__xludf.DUMMYFUNCTION("IF(B13="""","""",COUNTA(SPLIT(B13,"" "")))"),278.0)</f>
        <v>278</v>
      </c>
      <c r="E13" s="63" t="s">
        <v>722</v>
      </c>
      <c r="F13" s="42">
        <v>1.0</v>
      </c>
      <c r="G13" s="16">
        <f>IFERROR(__xludf.DUMMYFUNCTION("IF(E13="""","""",COUNTA(SPLIT(E13,"" "")))"),237.0)</f>
        <v>237</v>
      </c>
      <c r="H13" s="16">
        <f t="shared" si="1"/>
        <v>0.3401898734</v>
      </c>
      <c r="I13" s="16">
        <f t="shared" si="2"/>
        <v>-41</v>
      </c>
      <c r="J13" s="16">
        <f t="shared" si="3"/>
        <v>41</v>
      </c>
      <c r="K13" s="16">
        <f t="shared" si="4"/>
        <v>7</v>
      </c>
    </row>
    <row r="14">
      <c r="A14" s="18">
        <v>13.0</v>
      </c>
      <c r="B14" s="62" t="s">
        <v>630</v>
      </c>
      <c r="C14" s="40">
        <v>1.0</v>
      </c>
      <c r="D14" s="41">
        <f>IFERROR(__xludf.DUMMYFUNCTION("IF(B14="""","""",COUNTA(SPLIT(B14,"" "")))"),120.0)</f>
        <v>120</v>
      </c>
      <c r="E14" s="63" t="s">
        <v>723</v>
      </c>
      <c r="F14" s="40">
        <v>1.0</v>
      </c>
      <c r="G14" s="16">
        <f>IFERROR(__xludf.DUMMYFUNCTION("IF(E14="""","""",COUNTA(SPLIT(E14,"" "")))"),247.0)</f>
        <v>247</v>
      </c>
      <c r="H14" s="16">
        <f t="shared" si="1"/>
        <v>0.2649914335</v>
      </c>
      <c r="I14" s="16">
        <f t="shared" si="2"/>
        <v>127</v>
      </c>
      <c r="J14" s="16">
        <f t="shared" si="3"/>
        <v>127</v>
      </c>
      <c r="K14" s="16">
        <f t="shared" si="4"/>
        <v>20</v>
      </c>
    </row>
    <row r="15">
      <c r="A15" s="18">
        <v>14.0</v>
      </c>
      <c r="B15" s="62" t="s">
        <v>632</v>
      </c>
      <c r="C15" s="42">
        <v>1.0</v>
      </c>
      <c r="D15" s="41">
        <f>IFERROR(__xludf.DUMMYFUNCTION("IF(B15="""","""",COUNTA(SPLIT(B15,"" "")))"),490.0)</f>
        <v>490</v>
      </c>
      <c r="E15" s="63" t="s">
        <v>724</v>
      </c>
      <c r="F15" s="42">
        <v>1.0</v>
      </c>
      <c r="G15" s="16">
        <f>IFERROR(__xludf.DUMMYFUNCTION("IF(E15="""","""",COUNTA(SPLIT(E15,"" "")))"),264.0)</f>
        <v>264</v>
      </c>
      <c r="H15" s="16">
        <f t="shared" si="1"/>
        <v>0.2903873745</v>
      </c>
      <c r="I15" s="16">
        <f t="shared" si="2"/>
        <v>-226</v>
      </c>
      <c r="J15" s="16">
        <f t="shared" si="3"/>
        <v>226</v>
      </c>
      <c r="K15" s="16">
        <f t="shared" si="4"/>
        <v>28</v>
      </c>
    </row>
    <row r="16">
      <c r="A16" s="18">
        <v>15.0</v>
      </c>
      <c r="B16" s="62" t="s">
        <v>634</v>
      </c>
      <c r="C16" s="42">
        <v>0.0</v>
      </c>
      <c r="D16" s="43">
        <v>0.0</v>
      </c>
      <c r="E16" s="63" t="s">
        <v>150</v>
      </c>
      <c r="F16" s="42">
        <v>0.0</v>
      </c>
      <c r="G16" s="44">
        <v>0.0</v>
      </c>
      <c r="H16" s="44">
        <v>0.0</v>
      </c>
      <c r="I16" s="44">
        <v>0.0</v>
      </c>
      <c r="J16" s="44">
        <v>0.0</v>
      </c>
      <c r="K16" s="44">
        <v>0.0</v>
      </c>
    </row>
    <row r="17">
      <c r="A17" s="18">
        <v>16.0</v>
      </c>
      <c r="B17" s="62" t="s">
        <v>636</v>
      </c>
      <c r="C17" s="42">
        <v>1.0</v>
      </c>
      <c r="D17" s="41">
        <f>IFERROR(__xludf.DUMMYFUNCTION("IF(B17="""","""",COUNTA(SPLIT(B17,"" "")))"),389.0)</f>
        <v>389</v>
      </c>
      <c r="E17" s="63" t="s">
        <v>725</v>
      </c>
      <c r="F17" s="42">
        <v>1.0</v>
      </c>
      <c r="G17" s="16">
        <f>IFERROR(__xludf.DUMMYFUNCTION("IF(E17="""","""",COUNTA(SPLIT(E17,"" "")))"),301.0)</f>
        <v>301</v>
      </c>
      <c r="H17" s="16">
        <f t="shared" ref="H17:H30" si="5">compararRespostas(B17, E17)</f>
        <v>0.3289224953</v>
      </c>
      <c r="I17" s="16">
        <f t="shared" ref="I17:I30" si="6">(G17-D17)</f>
        <v>-88</v>
      </c>
      <c r="J17" s="16">
        <f t="shared" ref="J17:J30" si="7">abs(I17)</f>
        <v>88</v>
      </c>
      <c r="K17" s="16">
        <f t="shared" ref="K17:K30" si="8">RANK(J17, J$2:J$30, 1)</f>
        <v>13</v>
      </c>
    </row>
    <row r="18">
      <c r="A18" s="18">
        <v>17.0</v>
      </c>
      <c r="B18" s="62" t="s">
        <v>638</v>
      </c>
      <c r="C18" s="42">
        <v>1.0</v>
      </c>
      <c r="D18" s="41">
        <f>IFERROR(__xludf.DUMMYFUNCTION("IF(B18="""","""",COUNTA(SPLIT(B18,"" "")))"),348.0)</f>
        <v>348</v>
      </c>
      <c r="E18" s="63" t="s">
        <v>726</v>
      </c>
      <c r="F18" s="42">
        <v>1.0</v>
      </c>
      <c r="G18" s="16">
        <f>IFERROR(__xludf.DUMMYFUNCTION("IF(E18="""","""",COUNTA(SPLIT(E18,"" "")))"),269.0)</f>
        <v>269</v>
      </c>
      <c r="H18" s="16">
        <f t="shared" si="5"/>
        <v>0.3136915078</v>
      </c>
      <c r="I18" s="16">
        <f t="shared" si="6"/>
        <v>-79</v>
      </c>
      <c r="J18" s="16">
        <f t="shared" si="7"/>
        <v>79</v>
      </c>
      <c r="K18" s="16">
        <f t="shared" si="8"/>
        <v>11</v>
      </c>
    </row>
    <row r="19">
      <c r="A19" s="18">
        <v>18.0</v>
      </c>
      <c r="B19" s="62" t="s">
        <v>640</v>
      </c>
      <c r="C19" s="42">
        <v>1.0</v>
      </c>
      <c r="D19" s="41">
        <f>IFERROR(__xludf.DUMMYFUNCTION("IF(B19="""","""",COUNTA(SPLIT(B19,"" "")))"),360.0)</f>
        <v>360</v>
      </c>
      <c r="E19" s="63" t="s">
        <v>727</v>
      </c>
      <c r="F19" s="42">
        <v>1.0</v>
      </c>
      <c r="G19" s="16">
        <f>IFERROR(__xludf.DUMMYFUNCTION("IF(E19="""","""",COUNTA(SPLIT(E19,"" "")))"),267.0)</f>
        <v>267</v>
      </c>
      <c r="H19" s="16">
        <f t="shared" si="5"/>
        <v>0.3568788501</v>
      </c>
      <c r="I19" s="16">
        <f t="shared" si="6"/>
        <v>-93</v>
      </c>
      <c r="J19" s="16">
        <f t="shared" si="7"/>
        <v>93</v>
      </c>
      <c r="K19" s="16">
        <f t="shared" si="8"/>
        <v>15</v>
      </c>
    </row>
    <row r="20">
      <c r="A20" s="18">
        <v>19.0</v>
      </c>
      <c r="B20" s="62" t="s">
        <v>642</v>
      </c>
      <c r="C20" s="42">
        <v>1.0</v>
      </c>
      <c r="D20" s="41">
        <f>IFERROR(__xludf.DUMMYFUNCTION("IF(B20="""","""",COUNTA(SPLIT(B20,"" "")))"),344.0)</f>
        <v>344</v>
      </c>
      <c r="E20" s="63" t="s">
        <v>728</v>
      </c>
      <c r="F20" s="42">
        <v>1.0</v>
      </c>
      <c r="G20" s="16">
        <f>IFERROR(__xludf.DUMMYFUNCTION("IF(E20="""","""",COUNTA(SPLIT(E20,"" "")))"),186.0)</f>
        <v>186</v>
      </c>
      <c r="H20" s="16">
        <f t="shared" si="5"/>
        <v>0.2968168665</v>
      </c>
      <c r="I20" s="16">
        <f t="shared" si="6"/>
        <v>-158</v>
      </c>
      <c r="J20" s="16">
        <f t="shared" si="7"/>
        <v>158</v>
      </c>
      <c r="K20" s="16">
        <f t="shared" si="8"/>
        <v>24</v>
      </c>
    </row>
    <row r="21">
      <c r="A21" s="18">
        <v>20.0</v>
      </c>
      <c r="B21" s="62" t="s">
        <v>644</v>
      </c>
      <c r="C21" s="42">
        <v>1.0</v>
      </c>
      <c r="D21" s="41">
        <f>IFERROR(__xludf.DUMMYFUNCTION("IF(B21="""","""",COUNTA(SPLIT(B21,"" "")))"),265.0)</f>
        <v>265</v>
      </c>
      <c r="E21" s="63" t="s">
        <v>729</v>
      </c>
      <c r="F21" s="42">
        <v>1.0</v>
      </c>
      <c r="G21" s="16">
        <f>IFERROR(__xludf.DUMMYFUNCTION("IF(E21="""","""",COUNTA(SPLIT(E21,"" "")))"),219.0)</f>
        <v>219</v>
      </c>
      <c r="H21" s="16">
        <f t="shared" si="5"/>
        <v>0.2998084291</v>
      </c>
      <c r="I21" s="16">
        <f t="shared" si="6"/>
        <v>-46</v>
      </c>
      <c r="J21" s="16">
        <f t="shared" si="7"/>
        <v>46</v>
      </c>
      <c r="K21" s="16">
        <f t="shared" si="8"/>
        <v>8</v>
      </c>
    </row>
    <row r="22">
      <c r="A22" s="18">
        <v>21.0</v>
      </c>
      <c r="B22" s="62" t="s">
        <v>646</v>
      </c>
      <c r="C22" s="42">
        <v>1.0</v>
      </c>
      <c r="D22" s="41">
        <f>IFERROR(__xludf.DUMMYFUNCTION("IF(B22="""","""",COUNTA(SPLIT(B22,"" "")))"),314.0)</f>
        <v>314</v>
      </c>
      <c r="E22" s="63" t="s">
        <v>730</v>
      </c>
      <c r="F22" s="42">
        <v>1.0</v>
      </c>
      <c r="G22" s="16">
        <f>IFERROR(__xludf.DUMMYFUNCTION("IF(E22="""","""",COUNTA(SPLIT(E22,"" "")))"),155.0)</f>
        <v>155</v>
      </c>
      <c r="H22" s="16">
        <f t="shared" si="5"/>
        <v>0.2956033676</v>
      </c>
      <c r="I22" s="16">
        <f t="shared" si="6"/>
        <v>-159</v>
      </c>
      <c r="J22" s="16">
        <f t="shared" si="7"/>
        <v>159</v>
      </c>
      <c r="K22" s="16">
        <f t="shared" si="8"/>
        <v>25</v>
      </c>
    </row>
    <row r="23">
      <c r="A23" s="18">
        <v>22.0</v>
      </c>
      <c r="B23" s="62" t="s">
        <v>648</v>
      </c>
      <c r="C23" s="42">
        <v>1.0</v>
      </c>
      <c r="D23" s="41">
        <f>IFERROR(__xludf.DUMMYFUNCTION("IF(B23="""","""",COUNTA(SPLIT(B23,"" "")))"),445.0)</f>
        <v>445</v>
      </c>
      <c r="E23" s="63" t="s">
        <v>731</v>
      </c>
      <c r="F23" s="42">
        <v>1.0</v>
      </c>
      <c r="G23" s="16">
        <f>IFERROR(__xludf.DUMMYFUNCTION("IF(E23="""","""",COUNTA(SPLIT(E23,"" "")))"),251.0)</f>
        <v>251</v>
      </c>
      <c r="H23" s="16">
        <f t="shared" si="5"/>
        <v>0.2951844903</v>
      </c>
      <c r="I23" s="16">
        <f t="shared" si="6"/>
        <v>-194</v>
      </c>
      <c r="J23" s="16">
        <f t="shared" si="7"/>
        <v>194</v>
      </c>
      <c r="K23" s="16">
        <f t="shared" si="8"/>
        <v>27</v>
      </c>
    </row>
    <row r="24">
      <c r="A24" s="18">
        <v>23.0</v>
      </c>
      <c r="B24" s="62" t="s">
        <v>650</v>
      </c>
      <c r="C24" s="42">
        <v>1.0</v>
      </c>
      <c r="D24" s="41">
        <f>IFERROR(__xludf.DUMMYFUNCTION("IF(B24="""","""",COUNTA(SPLIT(B24,"" "")))"),370.0)</f>
        <v>370</v>
      </c>
      <c r="E24" s="63" t="s">
        <v>732</v>
      </c>
      <c r="F24" s="42">
        <v>1.0</v>
      </c>
      <c r="G24" s="16">
        <f>IFERROR(__xludf.DUMMYFUNCTION("IF(E24="""","""",COUNTA(SPLIT(E24,"" "")))"),285.0)</f>
        <v>285</v>
      </c>
      <c r="H24" s="16">
        <f t="shared" si="5"/>
        <v>0.3218301667</v>
      </c>
      <c r="I24" s="16">
        <f t="shared" si="6"/>
        <v>-85</v>
      </c>
      <c r="J24" s="16">
        <f t="shared" si="7"/>
        <v>85</v>
      </c>
      <c r="K24" s="16">
        <f t="shared" si="8"/>
        <v>12</v>
      </c>
    </row>
    <row r="25">
      <c r="A25" s="18">
        <v>24.0</v>
      </c>
      <c r="B25" s="62" t="s">
        <v>652</v>
      </c>
      <c r="C25" s="42">
        <v>1.0</v>
      </c>
      <c r="D25" s="41">
        <f>IFERROR(__xludf.DUMMYFUNCTION("IF(B25="""","""",COUNTA(SPLIT(B25,"" "")))"),384.0)</f>
        <v>384</v>
      </c>
      <c r="E25" s="63" t="s">
        <v>733</v>
      </c>
      <c r="F25" s="42">
        <v>1.0</v>
      </c>
      <c r="G25" s="16">
        <f>IFERROR(__xludf.DUMMYFUNCTION("IF(E25="""","""",COUNTA(SPLIT(E25,"" "")))"),202.0)</f>
        <v>202</v>
      </c>
      <c r="H25" s="16">
        <f t="shared" si="5"/>
        <v>0.302677532</v>
      </c>
      <c r="I25" s="16">
        <f t="shared" si="6"/>
        <v>-182</v>
      </c>
      <c r="J25" s="16">
        <f t="shared" si="7"/>
        <v>182</v>
      </c>
      <c r="K25" s="16">
        <f t="shared" si="8"/>
        <v>26</v>
      </c>
    </row>
    <row r="26">
      <c r="A26" s="18">
        <v>25.0</v>
      </c>
      <c r="B26" s="62" t="s">
        <v>654</v>
      </c>
      <c r="C26" s="42">
        <v>1.0</v>
      </c>
      <c r="D26" s="41">
        <f>IFERROR(__xludf.DUMMYFUNCTION("IF(B26="""","""",COUNTA(SPLIT(B26,"" "")))"),344.0)</f>
        <v>344</v>
      </c>
      <c r="E26" s="63" t="s">
        <v>734</v>
      </c>
      <c r="F26" s="42">
        <v>1.0</v>
      </c>
      <c r="G26" s="16">
        <f>IFERROR(__xludf.DUMMYFUNCTION("IF(E26="""","""",COUNTA(SPLIT(E26,"" "")))"),248.0)</f>
        <v>248</v>
      </c>
      <c r="H26" s="16">
        <f t="shared" si="5"/>
        <v>0.3225806452</v>
      </c>
      <c r="I26" s="16">
        <f t="shared" si="6"/>
        <v>-96</v>
      </c>
      <c r="J26" s="16">
        <f t="shared" si="7"/>
        <v>96</v>
      </c>
      <c r="K26" s="16">
        <f t="shared" si="8"/>
        <v>16</v>
      </c>
    </row>
    <row r="27">
      <c r="A27" s="18">
        <v>26.0</v>
      </c>
      <c r="B27" s="62" t="s">
        <v>656</v>
      </c>
      <c r="C27" s="42">
        <v>1.0</v>
      </c>
      <c r="D27" s="41">
        <f>IFERROR(__xludf.DUMMYFUNCTION("IF(B27="""","""",COUNTA(SPLIT(B27,"" "")))"),200.0)</f>
        <v>200</v>
      </c>
      <c r="E27" s="63" t="s">
        <v>735</v>
      </c>
      <c r="F27" s="42">
        <v>1.0</v>
      </c>
      <c r="G27" s="16">
        <f>IFERROR(__xludf.DUMMYFUNCTION("IF(E27="""","""",COUNTA(SPLIT(E27,"" "")))"),206.0)</f>
        <v>206</v>
      </c>
      <c r="H27" s="16">
        <f t="shared" si="5"/>
        <v>0.2854195323</v>
      </c>
      <c r="I27" s="16">
        <f t="shared" si="6"/>
        <v>6</v>
      </c>
      <c r="J27" s="16">
        <f t="shared" si="7"/>
        <v>6</v>
      </c>
      <c r="K27" s="16">
        <f t="shared" si="8"/>
        <v>2</v>
      </c>
    </row>
    <row r="28">
      <c r="A28" s="18">
        <v>27.0</v>
      </c>
      <c r="B28" s="62" t="s">
        <v>658</v>
      </c>
      <c r="C28" s="42">
        <v>1.0</v>
      </c>
      <c r="D28" s="41">
        <f>IFERROR(__xludf.DUMMYFUNCTION("IF(B28="""","""",COUNTA(SPLIT(B28,"" "")))"),160.0)</f>
        <v>160</v>
      </c>
      <c r="E28" s="63" t="s">
        <v>736</v>
      </c>
      <c r="F28" s="42">
        <v>1.0</v>
      </c>
      <c r="G28" s="16">
        <f>IFERROR(__xludf.DUMMYFUNCTION("IF(E28="""","""",COUNTA(SPLIT(E28,"" "")))"),136.0)</f>
        <v>136</v>
      </c>
      <c r="H28" s="16">
        <f t="shared" si="5"/>
        <v>0.302559415</v>
      </c>
      <c r="I28" s="16">
        <f t="shared" si="6"/>
        <v>-24</v>
      </c>
      <c r="J28" s="16">
        <f t="shared" si="7"/>
        <v>24</v>
      </c>
      <c r="K28" s="16">
        <f t="shared" si="8"/>
        <v>4</v>
      </c>
    </row>
    <row r="29">
      <c r="A29" s="18">
        <v>28.0</v>
      </c>
      <c r="B29" s="62" t="s">
        <v>660</v>
      </c>
      <c r="C29" s="42">
        <v>1.0</v>
      </c>
      <c r="D29" s="41">
        <f>IFERROR(__xludf.DUMMYFUNCTION("IF(B29="""","""",COUNTA(SPLIT(B29,"" "")))"),163.0)</f>
        <v>163</v>
      </c>
      <c r="E29" s="63" t="s">
        <v>737</v>
      </c>
      <c r="F29" s="42">
        <v>1.0</v>
      </c>
      <c r="G29" s="16">
        <f>IFERROR(__xludf.DUMMYFUNCTION("IF(E29="""","""",COUNTA(SPLIT(E29,"" "")))"),182.0)</f>
        <v>182</v>
      </c>
      <c r="H29" s="16">
        <f t="shared" si="5"/>
        <v>0.3470286134</v>
      </c>
      <c r="I29" s="16">
        <f t="shared" si="6"/>
        <v>19</v>
      </c>
      <c r="J29" s="16">
        <f t="shared" si="7"/>
        <v>19</v>
      </c>
      <c r="K29" s="16">
        <f t="shared" si="8"/>
        <v>3</v>
      </c>
    </row>
    <row r="30">
      <c r="A30" s="18">
        <v>29.0</v>
      </c>
      <c r="B30" s="62" t="s">
        <v>662</v>
      </c>
      <c r="C30" s="42">
        <v>1.0</v>
      </c>
      <c r="D30" s="41">
        <f>IFERROR(__xludf.DUMMYFUNCTION("IF(B30="""","""",COUNTA(SPLIT(B30,"" "")))"),187.0)</f>
        <v>187</v>
      </c>
      <c r="E30" s="63" t="s">
        <v>738</v>
      </c>
      <c r="F30" s="42">
        <v>1.0</v>
      </c>
      <c r="G30" s="16">
        <f>IFERROR(__xludf.DUMMYFUNCTION("IF(E30="""","""",COUNTA(SPLIT(E30,"" "")))"),159.0)</f>
        <v>159</v>
      </c>
      <c r="H30" s="16">
        <f t="shared" si="5"/>
        <v>0.3450819672</v>
      </c>
      <c r="I30" s="16">
        <f t="shared" si="6"/>
        <v>-28</v>
      </c>
      <c r="J30" s="16">
        <f t="shared" si="7"/>
        <v>28</v>
      </c>
      <c r="K30" s="16">
        <f t="shared" si="8"/>
        <v>5</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8.622160423</v>
      </c>
      <c r="C35" s="46"/>
      <c r="D35" s="49"/>
      <c r="E35" s="45"/>
      <c r="F35" s="48"/>
      <c r="G35" s="19"/>
      <c r="H35" s="19"/>
      <c r="I35" s="19"/>
      <c r="J35" s="19"/>
      <c r="K35" s="19"/>
    </row>
    <row r="36">
      <c r="A36" s="7"/>
      <c r="B36" s="7">
        <v>8.622160423</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433</v>
      </c>
      <c r="C38" s="46"/>
      <c r="D38" s="49"/>
      <c r="E38" s="45"/>
      <c r="F38" s="48"/>
      <c r="G38" s="19"/>
      <c r="H38" s="19"/>
      <c r="I38" s="19"/>
      <c r="J38" s="19"/>
      <c r="K38" s="19"/>
    </row>
    <row r="39">
      <c r="A39" s="7" t="s">
        <v>287</v>
      </c>
      <c r="B39" s="7" t="s">
        <v>739</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44.5"/>
    <col customWidth="1" min="3" max="4" width="8.38"/>
    <col customWidth="1" min="5" max="5" width="45.63"/>
  </cols>
  <sheetData>
    <row r="1">
      <c r="A1" s="32" t="s">
        <v>0</v>
      </c>
      <c r="B1" s="33" t="s">
        <v>16</v>
      </c>
      <c r="C1" s="34" t="s">
        <v>3</v>
      </c>
      <c r="D1" s="35" t="s">
        <v>4</v>
      </c>
      <c r="E1" s="33" t="s">
        <v>605</v>
      </c>
      <c r="F1" s="36" t="s">
        <v>3</v>
      </c>
      <c r="G1" s="37" t="s">
        <v>4</v>
      </c>
      <c r="H1" s="37" t="s">
        <v>6</v>
      </c>
      <c r="I1" s="37" t="s">
        <v>8</v>
      </c>
      <c r="J1" s="38" t="s">
        <v>552</v>
      </c>
      <c r="K1" s="37" t="s">
        <v>9</v>
      </c>
    </row>
    <row r="2">
      <c r="A2" s="18">
        <v>1.0</v>
      </c>
      <c r="B2" s="50" t="s">
        <v>606</v>
      </c>
      <c r="C2" s="64">
        <v>1.0</v>
      </c>
      <c r="D2" s="41">
        <f>IFERROR(__xludf.DUMMYFUNCTION("IF(B2="""","""",COUNTA(SPLIT(B2,"" "")))"),214.0)</f>
        <v>214</v>
      </c>
      <c r="E2" s="50" t="s">
        <v>607</v>
      </c>
      <c r="F2" s="64">
        <v>1.0</v>
      </c>
      <c r="G2" s="16">
        <f>IFERROR(__xludf.DUMMYFUNCTION("IF(E2="""","""",COUNTA(SPLIT(E2,"" "")))"),175.0)</f>
        <v>175</v>
      </c>
      <c r="H2" s="16">
        <f t="shared" ref="H2:H10" si="1">compararRespostas(B2, E2)</f>
        <v>0.4119850187</v>
      </c>
      <c r="I2" s="16">
        <f t="shared" ref="I2:I10" si="2">(G2-D2)</f>
        <v>-39</v>
      </c>
      <c r="J2" s="16">
        <f t="shared" ref="J2:J30" si="3">abs(I2)</f>
        <v>39</v>
      </c>
      <c r="K2" s="16">
        <f t="shared" ref="K2:K10" si="4">RANK(J2, J$2:J$30, 1)</f>
        <v>13</v>
      </c>
    </row>
    <row r="3">
      <c r="A3" s="18">
        <v>2.0</v>
      </c>
      <c r="B3" s="50" t="s">
        <v>608</v>
      </c>
      <c r="C3" s="64">
        <v>1.0</v>
      </c>
      <c r="D3" s="41">
        <f>IFERROR(__xludf.DUMMYFUNCTION("IF(B3="""","""",COUNTA(SPLIT(B3,"" "")))"),219.0)</f>
        <v>219</v>
      </c>
      <c r="E3" s="50" t="s">
        <v>609</v>
      </c>
      <c r="F3" s="64">
        <v>1.0</v>
      </c>
      <c r="G3" s="16">
        <f>IFERROR(__xludf.DUMMYFUNCTION("IF(E3="""","""",COUNTA(SPLIT(E3,"" "")))"),341.0)</f>
        <v>341</v>
      </c>
      <c r="H3" s="16">
        <f t="shared" si="1"/>
        <v>0.3825275657</v>
      </c>
      <c r="I3" s="16">
        <f t="shared" si="2"/>
        <v>122</v>
      </c>
      <c r="J3" s="16">
        <f t="shared" si="3"/>
        <v>122</v>
      </c>
      <c r="K3" s="16">
        <f t="shared" si="4"/>
        <v>29</v>
      </c>
    </row>
    <row r="4">
      <c r="A4" s="18">
        <v>3.0</v>
      </c>
      <c r="B4" s="50" t="s">
        <v>610</v>
      </c>
      <c r="C4" s="65">
        <v>1.0</v>
      </c>
      <c r="D4" s="41">
        <f>IFERROR(__xludf.DUMMYFUNCTION("IF(B4="""","""",COUNTA(SPLIT(B4,"" "")))"),504.0)</f>
        <v>504</v>
      </c>
      <c r="E4" s="50" t="s">
        <v>611</v>
      </c>
      <c r="F4" s="65">
        <v>1.0</v>
      </c>
      <c r="G4" s="16">
        <f>IFERROR(__xludf.DUMMYFUNCTION("IF(E4="""","""",COUNTA(SPLIT(E4,"" "")))"),401.0)</f>
        <v>401</v>
      </c>
      <c r="H4" s="16">
        <f t="shared" si="1"/>
        <v>0.3726201269</v>
      </c>
      <c r="I4" s="16">
        <f t="shared" si="2"/>
        <v>-103</v>
      </c>
      <c r="J4" s="16">
        <f t="shared" si="3"/>
        <v>103</v>
      </c>
      <c r="K4" s="16">
        <f t="shared" si="4"/>
        <v>27</v>
      </c>
    </row>
    <row r="5">
      <c r="A5" s="18">
        <v>4.0</v>
      </c>
      <c r="B5" s="50" t="s">
        <v>612</v>
      </c>
      <c r="C5" s="65">
        <v>1.0</v>
      </c>
      <c r="D5" s="41">
        <f>IFERROR(__xludf.DUMMYFUNCTION("IF(B5="""","""",COUNTA(SPLIT(B5,"" "")))"),285.0)</f>
        <v>285</v>
      </c>
      <c r="E5" s="50" t="s">
        <v>613</v>
      </c>
      <c r="F5" s="65">
        <v>1.0</v>
      </c>
      <c r="G5" s="16">
        <f>IFERROR(__xludf.DUMMYFUNCTION("IF(E5="""","""",COUNTA(SPLIT(E5,"" "")))"),276.0)</f>
        <v>276</v>
      </c>
      <c r="H5" s="16">
        <f t="shared" si="1"/>
        <v>0.308815576</v>
      </c>
      <c r="I5" s="16">
        <f t="shared" si="2"/>
        <v>-9</v>
      </c>
      <c r="J5" s="16">
        <f t="shared" si="3"/>
        <v>9</v>
      </c>
      <c r="K5" s="16">
        <f t="shared" si="4"/>
        <v>4</v>
      </c>
    </row>
    <row r="6">
      <c r="A6" s="18">
        <v>5.0</v>
      </c>
      <c r="B6" s="50" t="s">
        <v>614</v>
      </c>
      <c r="C6" s="65">
        <v>1.0</v>
      </c>
      <c r="D6" s="41">
        <f>IFERROR(__xludf.DUMMYFUNCTION("IF(B6="""","""",COUNTA(SPLIT(B6,"" "")))"),181.0)</f>
        <v>181</v>
      </c>
      <c r="E6" s="50" t="s">
        <v>615</v>
      </c>
      <c r="F6" s="65">
        <v>1.0</v>
      </c>
      <c r="G6" s="16">
        <f>IFERROR(__xludf.DUMMYFUNCTION("IF(E6="""","""",COUNTA(SPLIT(E6,"" "")))"),184.0)</f>
        <v>184</v>
      </c>
      <c r="H6" s="16">
        <f t="shared" si="1"/>
        <v>0.3698510079</v>
      </c>
      <c r="I6" s="16">
        <f t="shared" si="2"/>
        <v>3</v>
      </c>
      <c r="J6" s="16">
        <f t="shared" si="3"/>
        <v>3</v>
      </c>
      <c r="K6" s="16">
        <f t="shared" si="4"/>
        <v>3</v>
      </c>
    </row>
    <row r="7">
      <c r="A7" s="18">
        <v>6.0</v>
      </c>
      <c r="B7" s="50" t="s">
        <v>616</v>
      </c>
      <c r="C7" s="65">
        <v>1.0</v>
      </c>
      <c r="D7" s="41">
        <f>IFERROR(__xludf.DUMMYFUNCTION("IF(B7="""","""",COUNTA(SPLIT(B7,"" "")))"),127.0)</f>
        <v>127</v>
      </c>
      <c r="E7" s="50" t="s">
        <v>617</v>
      </c>
      <c r="F7" s="65">
        <v>1.0</v>
      </c>
      <c r="G7" s="16">
        <f>IFERROR(__xludf.DUMMYFUNCTION("IF(E7="""","""",COUNTA(SPLIT(E7,"" "")))"),183.0)</f>
        <v>183</v>
      </c>
      <c r="H7" s="16">
        <f t="shared" si="1"/>
        <v>0.4905660377</v>
      </c>
      <c r="I7" s="16">
        <f t="shared" si="2"/>
        <v>56</v>
      </c>
      <c r="J7" s="16">
        <f t="shared" si="3"/>
        <v>56</v>
      </c>
      <c r="K7" s="16">
        <f t="shared" si="4"/>
        <v>18</v>
      </c>
    </row>
    <row r="8">
      <c r="A8" s="18">
        <v>7.0</v>
      </c>
      <c r="B8" s="50" t="s">
        <v>618</v>
      </c>
      <c r="C8" s="65">
        <v>1.0</v>
      </c>
      <c r="D8" s="41">
        <f>IFERROR(__xludf.DUMMYFUNCTION("IF(B8="""","""",COUNTA(SPLIT(B8,"" "")))"),216.0)</f>
        <v>216</v>
      </c>
      <c r="E8" s="50" t="s">
        <v>619</v>
      </c>
      <c r="F8" s="65">
        <v>1.0</v>
      </c>
      <c r="G8" s="16">
        <f>IFERROR(__xludf.DUMMYFUNCTION("IF(E8="""","""",COUNTA(SPLIT(E8,"" "")))"),238.0)</f>
        <v>238</v>
      </c>
      <c r="H8" s="16">
        <f t="shared" si="1"/>
        <v>0.2485136742</v>
      </c>
      <c r="I8" s="16">
        <f t="shared" si="2"/>
        <v>22</v>
      </c>
      <c r="J8" s="16">
        <f t="shared" si="3"/>
        <v>22</v>
      </c>
      <c r="K8" s="16">
        <f t="shared" si="4"/>
        <v>10</v>
      </c>
    </row>
    <row r="9">
      <c r="A9" s="18">
        <v>8.0</v>
      </c>
      <c r="B9" s="50" t="s">
        <v>620</v>
      </c>
      <c r="C9" s="65">
        <v>1.0</v>
      </c>
      <c r="D9" s="41">
        <f>IFERROR(__xludf.DUMMYFUNCTION("IF(B9="""","""",COUNTA(SPLIT(B9,"" "")))"),319.0)</f>
        <v>319</v>
      </c>
      <c r="E9" s="50" t="s">
        <v>621</v>
      </c>
      <c r="F9" s="65">
        <v>1.0</v>
      </c>
      <c r="G9" s="16">
        <f>IFERROR(__xludf.DUMMYFUNCTION("IF(E9="""","""",COUNTA(SPLIT(E9,"" "")))"),289.0)</f>
        <v>289</v>
      </c>
      <c r="H9" s="16">
        <f t="shared" si="1"/>
        <v>0.3261552266</v>
      </c>
      <c r="I9" s="16">
        <f t="shared" si="2"/>
        <v>-30</v>
      </c>
      <c r="J9" s="16">
        <f t="shared" si="3"/>
        <v>30</v>
      </c>
      <c r="K9" s="16">
        <f t="shared" si="4"/>
        <v>12</v>
      </c>
    </row>
    <row r="10">
      <c r="A10" s="18">
        <v>9.0</v>
      </c>
      <c r="B10" s="50" t="s">
        <v>622</v>
      </c>
      <c r="C10" s="65">
        <v>1.0</v>
      </c>
      <c r="D10" s="41">
        <f>IFERROR(__xludf.DUMMYFUNCTION("IF(B10="""","""",COUNTA(SPLIT(B10,"" "")))"),212.0)</f>
        <v>212</v>
      </c>
      <c r="E10" s="50" t="s">
        <v>623</v>
      </c>
      <c r="F10" s="65">
        <v>1.0</v>
      </c>
      <c r="G10" s="16">
        <f>IFERROR(__xludf.DUMMYFUNCTION("IF(E10="""","""",COUNTA(SPLIT(E10,"" "")))"),257.0)</f>
        <v>257</v>
      </c>
      <c r="H10" s="16">
        <f t="shared" si="1"/>
        <v>0.3670015865</v>
      </c>
      <c r="I10" s="16">
        <f t="shared" si="2"/>
        <v>45</v>
      </c>
      <c r="J10" s="16">
        <f t="shared" si="3"/>
        <v>45</v>
      </c>
      <c r="K10" s="16">
        <f t="shared" si="4"/>
        <v>15</v>
      </c>
    </row>
    <row r="11">
      <c r="A11" s="18">
        <v>10.0</v>
      </c>
      <c r="B11" s="50" t="s">
        <v>624</v>
      </c>
      <c r="C11" s="65">
        <v>0.0</v>
      </c>
      <c r="D11" s="43">
        <v>0.0</v>
      </c>
      <c r="E11" s="50" t="s">
        <v>625</v>
      </c>
      <c r="F11" s="65">
        <v>0.0</v>
      </c>
      <c r="G11" s="44">
        <v>0.0</v>
      </c>
      <c r="H11" s="44">
        <v>0.0</v>
      </c>
      <c r="I11" s="44">
        <v>0.0</v>
      </c>
      <c r="J11" s="16">
        <f t="shared" si="3"/>
        <v>0</v>
      </c>
      <c r="K11" s="44">
        <v>0.0</v>
      </c>
    </row>
    <row r="12">
      <c r="A12" s="18">
        <v>11.0</v>
      </c>
      <c r="B12" s="50" t="s">
        <v>626</v>
      </c>
      <c r="C12" s="65">
        <v>1.0</v>
      </c>
      <c r="D12" s="41">
        <f>IFERROR(__xludf.DUMMYFUNCTION("IF(B12="""","""",COUNTA(SPLIT(B12,"" "")))"),177.0)</f>
        <v>177</v>
      </c>
      <c r="E12" s="50" t="s">
        <v>627</v>
      </c>
      <c r="F12" s="65">
        <v>1.0</v>
      </c>
      <c r="G12" s="16">
        <f>IFERROR(__xludf.DUMMYFUNCTION("IF(E12="""","""",COUNTA(SPLIT(E12,"" "")))"),273.0)</f>
        <v>273</v>
      </c>
      <c r="H12" s="16">
        <f t="shared" ref="H12:H15" si="5">compararRespostas(B12, E12)</f>
        <v>0.3970414201</v>
      </c>
      <c r="I12" s="16">
        <f t="shared" ref="I12:I30" si="6">(G12-D12)</f>
        <v>96</v>
      </c>
      <c r="J12" s="16">
        <f t="shared" si="3"/>
        <v>96</v>
      </c>
      <c r="K12" s="16">
        <f t="shared" ref="K12:K15" si="7">RANK(J12, J$2:J$30, 1)</f>
        <v>26</v>
      </c>
    </row>
    <row r="13">
      <c r="A13" s="18">
        <v>12.0</v>
      </c>
      <c r="B13" s="50" t="s">
        <v>628</v>
      </c>
      <c r="C13" s="65">
        <v>1.0</v>
      </c>
      <c r="D13" s="41">
        <f>IFERROR(__xludf.DUMMYFUNCTION("IF(B13="""","""",COUNTA(SPLIT(B13,"" "")))"),278.0)</f>
        <v>278</v>
      </c>
      <c r="E13" s="50" t="s">
        <v>629</v>
      </c>
      <c r="F13" s="65">
        <v>1.0</v>
      </c>
      <c r="G13" s="16">
        <f>IFERROR(__xludf.DUMMYFUNCTION("IF(E13="""","""",COUNTA(SPLIT(E13,"" "")))"),256.0)</f>
        <v>256</v>
      </c>
      <c r="H13" s="16">
        <f t="shared" si="5"/>
        <v>0.3422995781</v>
      </c>
      <c r="I13" s="16">
        <f t="shared" si="6"/>
        <v>-22</v>
      </c>
      <c r="J13" s="16">
        <f t="shared" si="3"/>
        <v>22</v>
      </c>
      <c r="K13" s="16">
        <f t="shared" si="7"/>
        <v>10</v>
      </c>
    </row>
    <row r="14">
      <c r="A14" s="18">
        <v>13.0</v>
      </c>
      <c r="B14" s="50" t="s">
        <v>630</v>
      </c>
      <c r="C14" s="65">
        <v>1.0</v>
      </c>
      <c r="D14" s="41">
        <f>IFERROR(__xludf.DUMMYFUNCTION("IF(B14="""","""",COUNTA(SPLIT(B14,"" "")))"),120.0)</f>
        <v>120</v>
      </c>
      <c r="E14" s="50" t="s">
        <v>631</v>
      </c>
      <c r="F14" s="64">
        <v>1.0</v>
      </c>
      <c r="G14" s="16">
        <f>IFERROR(__xludf.DUMMYFUNCTION("IF(E14="""","""",COUNTA(SPLIT(E14,"" "")))"),60.0)</f>
        <v>60</v>
      </c>
      <c r="H14" s="16">
        <f t="shared" si="5"/>
        <v>0.3108614232</v>
      </c>
      <c r="I14" s="16">
        <f t="shared" si="6"/>
        <v>-60</v>
      </c>
      <c r="J14" s="16">
        <f t="shared" si="3"/>
        <v>60</v>
      </c>
      <c r="K14" s="16">
        <f t="shared" si="7"/>
        <v>20</v>
      </c>
    </row>
    <row r="15">
      <c r="A15" s="18">
        <v>14.0</v>
      </c>
      <c r="B15" s="50" t="s">
        <v>632</v>
      </c>
      <c r="C15" s="65">
        <v>1.0</v>
      </c>
      <c r="D15" s="41">
        <f>IFERROR(__xludf.DUMMYFUNCTION("IF(B15="""","""",COUNTA(SPLIT(B15,"" "")))"),490.0)</f>
        <v>490</v>
      </c>
      <c r="E15" s="56" t="s">
        <v>740</v>
      </c>
      <c r="F15" s="65">
        <v>1.0</v>
      </c>
      <c r="G15" s="16">
        <f>IFERROR(__xludf.DUMMYFUNCTION("IF(E15="""","""",COUNTA(SPLIT(E15,"" "")))"),382.0)</f>
        <v>382</v>
      </c>
      <c r="H15" s="16">
        <f t="shared" si="5"/>
        <v>0.387374462</v>
      </c>
      <c r="I15" s="16">
        <f t="shared" si="6"/>
        <v>-108</v>
      </c>
      <c r="J15" s="16">
        <f t="shared" si="3"/>
        <v>108</v>
      </c>
      <c r="K15" s="16">
        <f t="shared" si="7"/>
        <v>28</v>
      </c>
    </row>
    <row r="16">
      <c r="A16" s="18">
        <v>15.0</v>
      </c>
      <c r="B16" s="50" t="s">
        <v>634</v>
      </c>
      <c r="C16" s="65">
        <v>1.0</v>
      </c>
      <c r="D16" s="43">
        <v>0.0</v>
      </c>
      <c r="E16" s="50" t="s">
        <v>635</v>
      </c>
      <c r="F16" s="65">
        <v>1.0</v>
      </c>
      <c r="G16" s="44">
        <v>0.0</v>
      </c>
      <c r="H16" s="44">
        <v>0.0</v>
      </c>
      <c r="I16" s="16">
        <f t="shared" si="6"/>
        <v>0</v>
      </c>
      <c r="J16" s="16">
        <f t="shared" si="3"/>
        <v>0</v>
      </c>
      <c r="K16" s="44">
        <v>0.0</v>
      </c>
    </row>
    <row r="17">
      <c r="A17" s="18">
        <v>16.0</v>
      </c>
      <c r="B17" s="50" t="s">
        <v>636</v>
      </c>
      <c r="C17" s="65">
        <v>1.0</v>
      </c>
      <c r="D17" s="41">
        <f>IFERROR(__xludf.DUMMYFUNCTION("IF(B17="""","""",COUNTA(SPLIT(B17,"" "")))"),389.0)</f>
        <v>389</v>
      </c>
      <c r="E17" s="50" t="s">
        <v>637</v>
      </c>
      <c r="F17" s="65">
        <v>1.0</v>
      </c>
      <c r="G17" s="16">
        <f>IFERROR(__xludf.DUMMYFUNCTION("IF(E17="""","""",COUNTA(SPLIT(E17,"" "")))"),376.0)</f>
        <v>376</v>
      </c>
      <c r="H17" s="16">
        <f t="shared" ref="H17:H30" si="8">compararRespostas(B17, E17)</f>
        <v>0.3128812343</v>
      </c>
      <c r="I17" s="16">
        <f t="shared" si="6"/>
        <v>-13</v>
      </c>
      <c r="J17" s="16">
        <f t="shared" si="3"/>
        <v>13</v>
      </c>
      <c r="K17" s="16">
        <f t="shared" ref="K17:K30" si="9">RANK(J17, J$2:J$30, 1)</f>
        <v>7</v>
      </c>
    </row>
    <row r="18">
      <c r="A18" s="18">
        <v>17.0</v>
      </c>
      <c r="B18" s="50" t="s">
        <v>638</v>
      </c>
      <c r="C18" s="64">
        <v>1.0</v>
      </c>
      <c r="D18" s="41">
        <f>IFERROR(__xludf.DUMMYFUNCTION("IF(B18="""","""",COUNTA(SPLIT(B18,"" "")))"),348.0)</f>
        <v>348</v>
      </c>
      <c r="E18" s="50" t="s">
        <v>639</v>
      </c>
      <c r="F18" s="65">
        <v>1.0</v>
      </c>
      <c r="G18" s="16">
        <f>IFERROR(__xludf.DUMMYFUNCTION("IF(E18="""","""",COUNTA(SPLIT(E18,"" "")))"),406.0)</f>
        <v>406</v>
      </c>
      <c r="H18" s="16">
        <f t="shared" si="8"/>
        <v>0.4718079302</v>
      </c>
      <c r="I18" s="16">
        <f t="shared" si="6"/>
        <v>58</v>
      </c>
      <c r="J18" s="16">
        <f t="shared" si="3"/>
        <v>58</v>
      </c>
      <c r="K18" s="16">
        <f t="shared" si="9"/>
        <v>19</v>
      </c>
    </row>
    <row r="19">
      <c r="A19" s="18">
        <v>18.0</v>
      </c>
      <c r="B19" s="50" t="s">
        <v>640</v>
      </c>
      <c r="C19" s="65">
        <v>1.0</v>
      </c>
      <c r="D19" s="41">
        <f>IFERROR(__xludf.DUMMYFUNCTION("IF(B19="""","""",COUNTA(SPLIT(B19,"" "")))"),360.0)</f>
        <v>360</v>
      </c>
      <c r="E19" s="50" t="s">
        <v>641</v>
      </c>
      <c r="F19" s="65">
        <v>1.0</v>
      </c>
      <c r="G19" s="16">
        <f>IFERROR(__xludf.DUMMYFUNCTION("IF(E19="""","""",COUNTA(SPLIT(E19,"" "")))"),349.0)</f>
        <v>349</v>
      </c>
      <c r="H19" s="16">
        <f t="shared" si="8"/>
        <v>0.3786024477</v>
      </c>
      <c r="I19" s="16">
        <f t="shared" si="6"/>
        <v>-11</v>
      </c>
      <c r="J19" s="16">
        <f t="shared" si="3"/>
        <v>11</v>
      </c>
      <c r="K19" s="16">
        <f t="shared" si="9"/>
        <v>5</v>
      </c>
    </row>
    <row r="20">
      <c r="A20" s="18">
        <v>19.0</v>
      </c>
      <c r="B20" s="50" t="s">
        <v>642</v>
      </c>
      <c r="C20" s="65">
        <v>1.0</v>
      </c>
      <c r="D20" s="41">
        <f>IFERROR(__xludf.DUMMYFUNCTION("IF(B20="""","""",COUNTA(SPLIT(B20,"" "")))"),344.0)</f>
        <v>344</v>
      </c>
      <c r="E20" s="50" t="s">
        <v>643</v>
      </c>
      <c r="F20" s="65">
        <v>1.0</v>
      </c>
      <c r="G20" s="16">
        <f>IFERROR(__xludf.DUMMYFUNCTION("IF(E20="""","""",COUNTA(SPLIT(E20,"" "")))"),301.0)</f>
        <v>301</v>
      </c>
      <c r="H20" s="16">
        <f t="shared" si="8"/>
        <v>0.4733360893</v>
      </c>
      <c r="I20" s="16">
        <f t="shared" si="6"/>
        <v>-43</v>
      </c>
      <c r="J20" s="16">
        <f t="shared" si="3"/>
        <v>43</v>
      </c>
      <c r="K20" s="16">
        <f t="shared" si="9"/>
        <v>14</v>
      </c>
    </row>
    <row r="21">
      <c r="A21" s="18">
        <v>20.0</v>
      </c>
      <c r="B21" s="50" t="s">
        <v>644</v>
      </c>
      <c r="C21" s="65">
        <v>1.0</v>
      </c>
      <c r="D21" s="41">
        <f>IFERROR(__xludf.DUMMYFUNCTION("IF(B21="""","""",COUNTA(SPLIT(B21,"" "")))"),265.0)</f>
        <v>265</v>
      </c>
      <c r="E21" s="50" t="s">
        <v>645</v>
      </c>
      <c r="F21" s="65">
        <v>1.0</v>
      </c>
      <c r="G21" s="16">
        <f>IFERROR(__xludf.DUMMYFUNCTION("IF(E21="""","""",COUNTA(SPLIT(E21,"" "")))"),313.0)</f>
        <v>313</v>
      </c>
      <c r="H21" s="16">
        <f t="shared" si="8"/>
        <v>0.2920240137</v>
      </c>
      <c r="I21" s="16">
        <f t="shared" si="6"/>
        <v>48</v>
      </c>
      <c r="J21" s="16">
        <f t="shared" si="3"/>
        <v>48</v>
      </c>
      <c r="K21" s="16">
        <f t="shared" si="9"/>
        <v>17</v>
      </c>
    </row>
    <row r="22">
      <c r="A22" s="18">
        <v>21.0</v>
      </c>
      <c r="B22" s="50" t="s">
        <v>646</v>
      </c>
      <c r="C22" s="65">
        <v>1.0</v>
      </c>
      <c r="D22" s="41">
        <f>IFERROR(__xludf.DUMMYFUNCTION("IF(B22="""","""",COUNTA(SPLIT(B22,"" "")))"),314.0)</f>
        <v>314</v>
      </c>
      <c r="E22" s="50" t="s">
        <v>647</v>
      </c>
      <c r="F22" s="65">
        <v>1.0</v>
      </c>
      <c r="G22" s="16">
        <f>IFERROR(__xludf.DUMMYFUNCTION("IF(E22="""","""",COUNTA(SPLIT(E22,"" "")))"),229.0)</f>
        <v>229</v>
      </c>
      <c r="H22" s="16">
        <f t="shared" si="8"/>
        <v>0.3713751169</v>
      </c>
      <c r="I22" s="16">
        <f t="shared" si="6"/>
        <v>-85</v>
      </c>
      <c r="J22" s="16">
        <f t="shared" si="3"/>
        <v>85</v>
      </c>
      <c r="K22" s="16">
        <f t="shared" si="9"/>
        <v>24</v>
      </c>
    </row>
    <row r="23">
      <c r="A23" s="18">
        <v>22.0</v>
      </c>
      <c r="B23" s="50" t="s">
        <v>648</v>
      </c>
      <c r="C23" s="65">
        <v>1.0</v>
      </c>
      <c r="D23" s="41">
        <f>IFERROR(__xludf.DUMMYFUNCTION("IF(B23="""","""",COUNTA(SPLIT(B23,"" "")))"),445.0)</f>
        <v>445</v>
      </c>
      <c r="E23" s="50" t="s">
        <v>649</v>
      </c>
      <c r="F23" s="65">
        <v>1.0</v>
      </c>
      <c r="G23" s="16">
        <f>IFERROR(__xludf.DUMMYFUNCTION("IF(E23="""","""",COUNTA(SPLIT(E23,"" "")))"),378.0)</f>
        <v>378</v>
      </c>
      <c r="H23" s="16">
        <f t="shared" si="8"/>
        <v>0.3674171357</v>
      </c>
      <c r="I23" s="16">
        <f t="shared" si="6"/>
        <v>-67</v>
      </c>
      <c r="J23" s="16">
        <f t="shared" si="3"/>
        <v>67</v>
      </c>
      <c r="K23" s="16">
        <f t="shared" si="9"/>
        <v>22</v>
      </c>
    </row>
    <row r="24">
      <c r="A24" s="18">
        <v>23.0</v>
      </c>
      <c r="B24" s="50" t="s">
        <v>650</v>
      </c>
      <c r="C24" s="65">
        <v>1.0</v>
      </c>
      <c r="D24" s="41">
        <f>IFERROR(__xludf.DUMMYFUNCTION("IF(B24="""","""",COUNTA(SPLIT(B24,"" "")))"),370.0)</f>
        <v>370</v>
      </c>
      <c r="E24" s="50" t="s">
        <v>651</v>
      </c>
      <c r="F24" s="65">
        <v>1.0</v>
      </c>
      <c r="G24" s="16">
        <f>IFERROR(__xludf.DUMMYFUNCTION("IF(E24="""","""",COUNTA(SPLIT(E24,"" "")))"),351.0)</f>
        <v>351</v>
      </c>
      <c r="H24" s="16">
        <f t="shared" si="8"/>
        <v>0.3547140649</v>
      </c>
      <c r="I24" s="16">
        <f t="shared" si="6"/>
        <v>-19</v>
      </c>
      <c r="J24" s="16">
        <f t="shared" si="3"/>
        <v>19</v>
      </c>
      <c r="K24" s="16">
        <f t="shared" si="9"/>
        <v>9</v>
      </c>
    </row>
    <row r="25">
      <c r="A25" s="18">
        <v>24.0</v>
      </c>
      <c r="B25" s="50" t="s">
        <v>652</v>
      </c>
      <c r="C25" s="65">
        <v>1.0</v>
      </c>
      <c r="D25" s="41">
        <f>IFERROR(__xludf.DUMMYFUNCTION("IF(B25="""","""",COUNTA(SPLIT(B25,"" "")))"),384.0)</f>
        <v>384</v>
      </c>
      <c r="E25" s="50" t="s">
        <v>653</v>
      </c>
      <c r="F25" s="65">
        <v>1.0</v>
      </c>
      <c r="G25" s="16">
        <f>IFERROR(__xludf.DUMMYFUNCTION("IF(E25="""","""",COUNTA(SPLIT(E25,"" "")))"),373.0)</f>
        <v>373</v>
      </c>
      <c r="H25" s="16">
        <f t="shared" si="8"/>
        <v>0.3767947225</v>
      </c>
      <c r="I25" s="16">
        <f t="shared" si="6"/>
        <v>-11</v>
      </c>
      <c r="J25" s="16">
        <f t="shared" si="3"/>
        <v>11</v>
      </c>
      <c r="K25" s="16">
        <f t="shared" si="9"/>
        <v>5</v>
      </c>
    </row>
    <row r="26">
      <c r="A26" s="18">
        <v>25.0</v>
      </c>
      <c r="B26" s="50" t="s">
        <v>654</v>
      </c>
      <c r="C26" s="65">
        <v>1.0</v>
      </c>
      <c r="D26" s="41">
        <f>IFERROR(__xludf.DUMMYFUNCTION("IF(B26="""","""",COUNTA(SPLIT(B26,"" "")))"),344.0)</f>
        <v>344</v>
      </c>
      <c r="E26" s="50" t="s">
        <v>655</v>
      </c>
      <c r="F26" s="65">
        <v>1.0</v>
      </c>
      <c r="G26" s="16">
        <f>IFERROR(__xludf.DUMMYFUNCTION("IF(E26="""","""",COUNTA(SPLIT(E26,"" "")))"),413.0)</f>
        <v>413</v>
      </c>
      <c r="H26" s="16">
        <f t="shared" si="8"/>
        <v>0.5489859058</v>
      </c>
      <c r="I26" s="16">
        <f t="shared" si="6"/>
        <v>69</v>
      </c>
      <c r="J26" s="16">
        <f t="shared" si="3"/>
        <v>69</v>
      </c>
      <c r="K26" s="16">
        <f t="shared" si="9"/>
        <v>23</v>
      </c>
    </row>
    <row r="27">
      <c r="A27" s="18">
        <v>26.0</v>
      </c>
      <c r="B27" s="50" t="s">
        <v>656</v>
      </c>
      <c r="C27" s="65">
        <v>1.0</v>
      </c>
      <c r="D27" s="41">
        <f>IFERROR(__xludf.DUMMYFUNCTION("IF(B27="""","""",COUNTA(SPLIT(B27,"" "")))"),200.0)</f>
        <v>200</v>
      </c>
      <c r="E27" s="50" t="s">
        <v>657</v>
      </c>
      <c r="F27" s="65">
        <v>1.0</v>
      </c>
      <c r="G27" s="16">
        <f>IFERROR(__xludf.DUMMYFUNCTION("IF(E27="""","""",COUNTA(SPLIT(E27,"" "")))"),264.0)</f>
        <v>264</v>
      </c>
      <c r="H27" s="16">
        <f t="shared" si="8"/>
        <v>0.3052341598</v>
      </c>
      <c r="I27" s="16">
        <f t="shared" si="6"/>
        <v>64</v>
      </c>
      <c r="J27" s="16">
        <f t="shared" si="3"/>
        <v>64</v>
      </c>
      <c r="K27" s="16">
        <f t="shared" si="9"/>
        <v>21</v>
      </c>
    </row>
    <row r="28">
      <c r="A28" s="18">
        <v>27.0</v>
      </c>
      <c r="B28" s="50" t="s">
        <v>658</v>
      </c>
      <c r="C28" s="65">
        <v>1.0</v>
      </c>
      <c r="D28" s="41">
        <f>IFERROR(__xludf.DUMMYFUNCTION("IF(B28="""","""",COUNTA(SPLIT(B28,"" "")))"),160.0)</f>
        <v>160</v>
      </c>
      <c r="E28" s="50" t="s">
        <v>659</v>
      </c>
      <c r="F28" s="65">
        <v>1.0</v>
      </c>
      <c r="G28" s="16">
        <f>IFERROR(__xludf.DUMMYFUNCTION("IF(E28="""","""",COUNTA(SPLIT(E28,"" "")))"),69.0)</f>
        <v>69</v>
      </c>
      <c r="H28" s="16">
        <f t="shared" si="8"/>
        <v>0.3601462523</v>
      </c>
      <c r="I28" s="16">
        <f t="shared" si="6"/>
        <v>-91</v>
      </c>
      <c r="J28" s="16">
        <f t="shared" si="3"/>
        <v>91</v>
      </c>
      <c r="K28" s="16">
        <f t="shared" si="9"/>
        <v>25</v>
      </c>
    </row>
    <row r="29">
      <c r="A29" s="18">
        <v>28.0</v>
      </c>
      <c r="B29" s="50" t="s">
        <v>660</v>
      </c>
      <c r="C29" s="65">
        <v>1.0</v>
      </c>
      <c r="D29" s="41">
        <f>IFERROR(__xludf.DUMMYFUNCTION("IF(B29="""","""",COUNTA(SPLIT(B29,"" "")))"),163.0)</f>
        <v>163</v>
      </c>
      <c r="E29" s="50" t="s">
        <v>661</v>
      </c>
      <c r="F29" s="65">
        <v>1.0</v>
      </c>
      <c r="G29" s="16">
        <f>IFERROR(__xludf.DUMMYFUNCTION("IF(E29="""","""",COUNTA(SPLIT(E29,"" "")))"),118.0)</f>
        <v>118</v>
      </c>
      <c r="H29" s="16">
        <f t="shared" si="8"/>
        <v>0.5921985816</v>
      </c>
      <c r="I29" s="16">
        <f t="shared" si="6"/>
        <v>-45</v>
      </c>
      <c r="J29" s="16">
        <f t="shared" si="3"/>
        <v>45</v>
      </c>
      <c r="K29" s="16">
        <f t="shared" si="9"/>
        <v>15</v>
      </c>
    </row>
    <row r="30">
      <c r="A30" s="18">
        <v>29.0</v>
      </c>
      <c r="B30" s="50" t="s">
        <v>662</v>
      </c>
      <c r="C30" s="65">
        <v>1.0</v>
      </c>
      <c r="D30" s="41">
        <f>IFERROR(__xludf.DUMMYFUNCTION("IF(B30="""","""",COUNTA(SPLIT(B30,"" "")))"),187.0)</f>
        <v>187</v>
      </c>
      <c r="E30" s="50" t="s">
        <v>663</v>
      </c>
      <c r="F30" s="65">
        <v>1.0</v>
      </c>
      <c r="G30" s="16">
        <f>IFERROR(__xludf.DUMMYFUNCTION("IF(E30="""","""",COUNTA(SPLIT(E30,"" "")))"),172.0)</f>
        <v>172</v>
      </c>
      <c r="H30" s="16">
        <f t="shared" si="8"/>
        <v>0.2803278689</v>
      </c>
      <c r="I30" s="16">
        <f t="shared" si="6"/>
        <v>-15</v>
      </c>
      <c r="J30" s="16">
        <f t="shared" si="3"/>
        <v>15</v>
      </c>
      <c r="K30" s="16">
        <f t="shared" si="9"/>
        <v>8</v>
      </c>
    </row>
    <row r="31">
      <c r="B31" s="45"/>
      <c r="C31" s="46"/>
      <c r="D31" s="47"/>
      <c r="E31" s="45"/>
      <c r="F31" s="48"/>
      <c r="G31" s="19"/>
      <c r="H31" s="19"/>
      <c r="I31" s="19"/>
      <c r="J31" s="19"/>
      <c r="K31" s="19"/>
    </row>
    <row r="32">
      <c r="B32" s="45"/>
      <c r="C32" s="46"/>
      <c r="D32" s="47"/>
      <c r="E32" s="45"/>
      <c r="F32" s="48"/>
      <c r="G32" s="19"/>
      <c r="H32" s="19"/>
      <c r="I32" s="19"/>
      <c r="J32" s="19"/>
      <c r="K32" s="19"/>
    </row>
    <row r="33">
      <c r="B33" s="45"/>
      <c r="C33" s="46"/>
      <c r="D33" s="49"/>
      <c r="E33" s="45"/>
      <c r="F33" s="48"/>
      <c r="G33" s="19"/>
      <c r="H33" s="19"/>
      <c r="I33" s="19"/>
      <c r="J33" s="19"/>
      <c r="K33" s="19"/>
    </row>
    <row r="34">
      <c r="A34" s="7"/>
      <c r="B34" s="7"/>
      <c r="C34" s="46"/>
      <c r="D34" s="49"/>
      <c r="E34" s="45"/>
      <c r="F34" s="48"/>
      <c r="G34" s="19"/>
      <c r="H34" s="19"/>
      <c r="I34" s="19"/>
      <c r="J34" s="19"/>
      <c r="K34" s="19"/>
    </row>
    <row r="35">
      <c r="A35" s="7" t="s">
        <v>281</v>
      </c>
      <c r="B35" s="7">
        <f>SUM(H2:H30)</f>
        <v>10.20145823</v>
      </c>
      <c r="C35" s="46"/>
      <c r="D35" s="49"/>
      <c r="E35" s="45"/>
      <c r="F35" s="48"/>
      <c r="G35" s="19"/>
      <c r="H35" s="19"/>
      <c r="I35" s="19"/>
      <c r="J35" s="19"/>
      <c r="K35" s="19"/>
    </row>
    <row r="36">
      <c r="A36" s="7"/>
      <c r="B36" s="7">
        <v>10.20145823</v>
      </c>
      <c r="C36" s="46"/>
      <c r="D36" s="49"/>
      <c r="E36" s="45"/>
      <c r="F36" s="48"/>
      <c r="G36" s="19"/>
      <c r="H36" s="19"/>
      <c r="I36" s="19"/>
      <c r="J36" s="19"/>
      <c r="K36" s="19"/>
    </row>
    <row r="37">
      <c r="B37" s="45"/>
      <c r="C37" s="46"/>
      <c r="D37" s="49"/>
      <c r="E37" s="45"/>
      <c r="F37" s="48"/>
      <c r="G37" s="19"/>
      <c r="H37" s="19"/>
      <c r="I37" s="19"/>
      <c r="J37" s="19"/>
      <c r="K37" s="19"/>
    </row>
    <row r="38">
      <c r="A38" s="7" t="s">
        <v>603</v>
      </c>
      <c r="B38" s="7">
        <f>SUM(K2:K30)</f>
        <v>429</v>
      </c>
      <c r="C38" s="46"/>
      <c r="D38" s="49"/>
      <c r="E38" s="45"/>
      <c r="F38" s="48"/>
      <c r="G38" s="19"/>
      <c r="H38" s="19"/>
      <c r="I38" s="19"/>
      <c r="J38" s="19"/>
      <c r="K38" s="19"/>
    </row>
    <row r="39">
      <c r="A39" s="7" t="s">
        <v>287</v>
      </c>
      <c r="B39" s="7" t="s">
        <v>741</v>
      </c>
      <c r="C39" s="46"/>
      <c r="D39" s="49"/>
      <c r="E39" s="45"/>
      <c r="F39" s="48"/>
      <c r="G39" s="19"/>
      <c r="H39" s="19"/>
      <c r="I39" s="19"/>
      <c r="J39" s="19"/>
      <c r="K39" s="19"/>
    </row>
    <row r="40">
      <c r="B40" s="45"/>
      <c r="C40" s="46"/>
      <c r="D40" s="49"/>
      <c r="E40" s="45"/>
      <c r="F40" s="48"/>
      <c r="G40" s="19"/>
      <c r="H40" s="19"/>
      <c r="I40" s="19"/>
      <c r="J40" s="19"/>
      <c r="K40" s="19"/>
    </row>
    <row r="41">
      <c r="C41" s="46"/>
      <c r="D41" s="47"/>
      <c r="E41" s="45"/>
      <c r="F41" s="48"/>
      <c r="G41" s="19"/>
      <c r="H41" s="19"/>
      <c r="I41" s="19"/>
      <c r="J41" s="19"/>
      <c r="K41" s="19"/>
    </row>
    <row r="42">
      <c r="C42" s="46"/>
      <c r="D42" s="47"/>
      <c r="E42" s="45"/>
      <c r="F42" s="48"/>
      <c r="G42" s="19"/>
      <c r="H42" s="19"/>
      <c r="I42" s="19"/>
      <c r="J42" s="19"/>
      <c r="K42" s="19"/>
    </row>
    <row r="43">
      <c r="C43" s="46"/>
      <c r="D43" s="47"/>
      <c r="E43" s="45"/>
      <c r="F43" s="48"/>
      <c r="G43" s="19"/>
      <c r="H43" s="19"/>
      <c r="I43" s="19"/>
      <c r="J43" s="19"/>
      <c r="K43" s="19"/>
    </row>
    <row r="44">
      <c r="C44" s="46"/>
      <c r="D44" s="47"/>
      <c r="E44" s="45"/>
      <c r="F44" s="48"/>
      <c r="G44" s="19"/>
      <c r="H44" s="19"/>
      <c r="I44" s="19"/>
      <c r="J44" s="19"/>
      <c r="K44" s="19"/>
    </row>
    <row r="45">
      <c r="B45" s="45"/>
      <c r="C45" s="46"/>
      <c r="D45" s="47"/>
      <c r="E45" s="45"/>
      <c r="F45" s="48"/>
      <c r="G45" s="19"/>
      <c r="H45" s="19"/>
      <c r="I45" s="19"/>
      <c r="J45" s="19"/>
      <c r="K45" s="19"/>
    </row>
    <row r="46">
      <c r="B46" s="45"/>
      <c r="C46" s="46"/>
      <c r="D46" s="47"/>
      <c r="E46" s="45"/>
      <c r="F46" s="48"/>
      <c r="G46" s="19"/>
      <c r="H46" s="19"/>
      <c r="I46" s="19"/>
      <c r="J46" s="19"/>
      <c r="K46" s="19"/>
    </row>
    <row r="47">
      <c r="B47" s="45"/>
      <c r="C47" s="46"/>
      <c r="D47" s="47"/>
      <c r="E47" s="45"/>
      <c r="F47" s="48"/>
      <c r="G47" s="19"/>
      <c r="H47" s="19"/>
      <c r="I47" s="19"/>
      <c r="J47" s="19"/>
      <c r="K47" s="19"/>
    </row>
    <row r="48">
      <c r="B48" s="45"/>
      <c r="C48" s="46"/>
      <c r="D48" s="47"/>
      <c r="E48" s="45"/>
      <c r="F48" s="48"/>
      <c r="G48" s="19"/>
      <c r="H48" s="19"/>
      <c r="I48" s="19"/>
      <c r="J48" s="19"/>
      <c r="K48" s="19"/>
    </row>
    <row r="49">
      <c r="B49" s="45"/>
      <c r="C49" s="46"/>
      <c r="D49" s="47"/>
      <c r="E49" s="45"/>
      <c r="F49" s="48"/>
      <c r="G49" s="19"/>
      <c r="H49" s="19"/>
      <c r="I49" s="19"/>
      <c r="J49" s="19"/>
      <c r="K49" s="19"/>
    </row>
    <row r="50">
      <c r="B50" s="45"/>
      <c r="C50" s="46"/>
      <c r="D50" s="47"/>
      <c r="E50" s="45"/>
      <c r="F50" s="48"/>
      <c r="G50" s="19"/>
      <c r="H50" s="19"/>
      <c r="I50" s="19"/>
      <c r="J50" s="19"/>
      <c r="K50" s="19"/>
    </row>
    <row r="51">
      <c r="B51" s="45"/>
      <c r="C51" s="46"/>
      <c r="D51" s="47"/>
      <c r="E51" s="45"/>
      <c r="F51" s="48"/>
      <c r="G51" s="19"/>
      <c r="H51" s="19"/>
      <c r="I51" s="19"/>
      <c r="J51" s="19"/>
      <c r="K51" s="19"/>
    </row>
    <row r="52">
      <c r="B52" s="45"/>
      <c r="C52" s="46"/>
      <c r="D52" s="47"/>
      <c r="E52" s="45"/>
      <c r="F52" s="48"/>
      <c r="G52" s="19"/>
      <c r="H52" s="19"/>
      <c r="I52" s="19"/>
      <c r="J52" s="19"/>
      <c r="K52" s="19"/>
    </row>
    <row r="53">
      <c r="B53" s="45"/>
      <c r="C53" s="46"/>
      <c r="D53" s="47"/>
      <c r="E53" s="45"/>
      <c r="F53" s="48"/>
      <c r="G53" s="19"/>
      <c r="H53" s="19"/>
      <c r="I53" s="19"/>
      <c r="J53" s="19"/>
      <c r="K53" s="19"/>
    </row>
    <row r="54">
      <c r="B54" s="45"/>
      <c r="C54" s="46"/>
      <c r="D54" s="47"/>
      <c r="E54" s="45"/>
      <c r="F54" s="48"/>
      <c r="G54" s="19"/>
      <c r="H54" s="19"/>
      <c r="I54" s="19"/>
      <c r="J54" s="19"/>
      <c r="K54" s="19"/>
    </row>
    <row r="55">
      <c r="B55" s="45"/>
      <c r="C55" s="46"/>
      <c r="D55" s="47"/>
      <c r="E55" s="45"/>
      <c r="F55" s="48"/>
      <c r="G55" s="19"/>
      <c r="H55" s="19"/>
      <c r="I55" s="19"/>
      <c r="J55" s="19"/>
      <c r="K55" s="19"/>
    </row>
    <row r="56">
      <c r="B56" s="45"/>
      <c r="C56" s="46"/>
      <c r="D56" s="47"/>
      <c r="E56" s="45"/>
      <c r="F56" s="48"/>
      <c r="G56" s="19"/>
      <c r="H56" s="19"/>
      <c r="I56" s="19"/>
      <c r="J56" s="19"/>
      <c r="K56" s="19"/>
    </row>
    <row r="57">
      <c r="B57" s="45"/>
      <c r="C57" s="46"/>
      <c r="D57" s="47"/>
      <c r="E57" s="45"/>
      <c r="F57" s="48"/>
      <c r="G57" s="19"/>
      <c r="H57" s="19"/>
      <c r="I57" s="19"/>
      <c r="J57" s="19"/>
      <c r="K57" s="19"/>
    </row>
    <row r="58">
      <c r="B58" s="45"/>
      <c r="C58" s="46"/>
      <c r="D58" s="47"/>
      <c r="E58" s="45"/>
      <c r="F58" s="48"/>
      <c r="G58" s="19"/>
      <c r="H58" s="19"/>
      <c r="I58" s="19"/>
      <c r="J58" s="19"/>
      <c r="K58" s="19"/>
    </row>
    <row r="59">
      <c r="B59" s="51"/>
      <c r="C59" s="52"/>
      <c r="D59" s="53"/>
      <c r="E59" s="51"/>
      <c r="F59" s="54"/>
      <c r="G59" s="24"/>
      <c r="H59" s="24"/>
      <c r="I59" s="24"/>
      <c r="J59" s="24"/>
      <c r="K59" s="24"/>
    </row>
    <row r="60">
      <c r="B60" s="51"/>
      <c r="C60" s="52"/>
      <c r="D60" s="53"/>
      <c r="E60" s="51"/>
      <c r="F60" s="54"/>
      <c r="G60" s="24"/>
      <c r="H60" s="24"/>
      <c r="I60" s="24"/>
      <c r="J60" s="24"/>
      <c r="K60" s="24"/>
    </row>
    <row r="61">
      <c r="B61" s="51"/>
      <c r="C61" s="52"/>
      <c r="D61" s="53"/>
      <c r="E61" s="51"/>
      <c r="F61" s="54"/>
      <c r="G61" s="24"/>
      <c r="H61" s="24"/>
      <c r="I61" s="24"/>
      <c r="J61" s="24"/>
      <c r="K61" s="24"/>
    </row>
    <row r="62">
      <c r="B62" s="51"/>
      <c r="C62" s="52"/>
      <c r="D62" s="53"/>
      <c r="E62" s="51"/>
      <c r="F62" s="54"/>
      <c r="G62" s="24"/>
      <c r="H62" s="24"/>
      <c r="I62" s="24"/>
      <c r="J62" s="24"/>
      <c r="K62" s="24"/>
    </row>
    <row r="63">
      <c r="B63" s="51"/>
      <c r="C63" s="52"/>
      <c r="D63" s="53"/>
      <c r="E63" s="51"/>
      <c r="F63" s="54"/>
      <c r="G63" s="24"/>
      <c r="H63" s="24"/>
      <c r="I63" s="24"/>
      <c r="J63" s="24"/>
      <c r="K63" s="24"/>
    </row>
    <row r="64">
      <c r="B64" s="51"/>
      <c r="C64" s="52"/>
      <c r="D64" s="53"/>
      <c r="E64" s="51"/>
      <c r="F64" s="54"/>
      <c r="G64" s="24"/>
      <c r="H64" s="24"/>
      <c r="I64" s="24"/>
      <c r="J64" s="24"/>
      <c r="K64" s="24"/>
    </row>
    <row r="65">
      <c r="B65" s="51"/>
      <c r="C65" s="52"/>
      <c r="D65" s="53"/>
      <c r="E65" s="51"/>
      <c r="F65" s="54"/>
      <c r="G65" s="24"/>
      <c r="H65" s="24"/>
      <c r="I65" s="24"/>
      <c r="J65" s="24"/>
      <c r="K65" s="24"/>
    </row>
    <row r="66">
      <c r="B66" s="51"/>
      <c r="C66" s="52"/>
      <c r="D66" s="53"/>
      <c r="E66" s="51"/>
      <c r="F66" s="54"/>
      <c r="G66" s="24"/>
      <c r="H66" s="24"/>
      <c r="I66" s="24"/>
      <c r="J66" s="24"/>
      <c r="K66" s="24"/>
    </row>
    <row r="67">
      <c r="B67" s="51"/>
      <c r="C67" s="52"/>
      <c r="D67" s="53"/>
      <c r="E67" s="51"/>
      <c r="F67" s="54"/>
      <c r="G67" s="24"/>
      <c r="H67" s="24"/>
      <c r="I67" s="24"/>
      <c r="J67" s="24"/>
      <c r="K67" s="24"/>
    </row>
    <row r="68">
      <c r="B68" s="51"/>
      <c r="C68" s="52"/>
      <c r="D68" s="53"/>
      <c r="E68" s="51"/>
      <c r="F68" s="54"/>
      <c r="G68" s="24"/>
      <c r="H68" s="24"/>
      <c r="I68" s="24"/>
      <c r="J68" s="24"/>
      <c r="K68" s="24"/>
    </row>
    <row r="69">
      <c r="B69" s="51"/>
      <c r="C69" s="52"/>
      <c r="D69" s="53"/>
      <c r="E69" s="51"/>
      <c r="F69" s="54"/>
      <c r="G69" s="24"/>
      <c r="H69" s="24"/>
      <c r="I69" s="24"/>
      <c r="J69" s="24"/>
      <c r="K69" s="24"/>
    </row>
    <row r="70">
      <c r="B70" s="51"/>
      <c r="C70" s="52"/>
      <c r="D70" s="53"/>
      <c r="E70" s="51"/>
      <c r="F70" s="54"/>
      <c r="G70" s="24"/>
      <c r="H70" s="24"/>
      <c r="I70" s="24"/>
      <c r="J70" s="24"/>
      <c r="K70" s="24"/>
    </row>
    <row r="71">
      <c r="B71" s="51"/>
      <c r="C71" s="52"/>
      <c r="D71" s="53"/>
      <c r="E71" s="51"/>
      <c r="F71" s="54"/>
      <c r="G71" s="24"/>
      <c r="H71" s="24"/>
      <c r="I71" s="24"/>
      <c r="J71" s="24"/>
      <c r="K71" s="24"/>
    </row>
    <row r="72">
      <c r="B72" s="51"/>
      <c r="C72" s="52"/>
      <c r="D72" s="53"/>
      <c r="E72" s="51"/>
      <c r="F72" s="54"/>
      <c r="G72" s="24"/>
      <c r="H72" s="24"/>
      <c r="I72" s="24"/>
      <c r="J72" s="24"/>
      <c r="K72" s="24"/>
    </row>
    <row r="73">
      <c r="B73" s="51"/>
      <c r="C73" s="52"/>
      <c r="D73" s="53"/>
      <c r="E73" s="51"/>
      <c r="F73" s="54"/>
      <c r="G73" s="24"/>
      <c r="H73" s="24"/>
      <c r="I73" s="24"/>
      <c r="J73" s="24"/>
      <c r="K73" s="24"/>
    </row>
    <row r="74">
      <c r="B74" s="51"/>
      <c r="C74" s="52"/>
      <c r="D74" s="53"/>
      <c r="E74" s="51"/>
      <c r="F74" s="54"/>
      <c r="G74" s="24"/>
      <c r="H74" s="24"/>
      <c r="I74" s="24"/>
      <c r="J74" s="24"/>
      <c r="K74" s="24"/>
    </row>
    <row r="75">
      <c r="B75" s="51"/>
      <c r="C75" s="52"/>
      <c r="D75" s="53"/>
      <c r="E75" s="51"/>
      <c r="F75" s="54"/>
      <c r="G75" s="24"/>
      <c r="H75" s="24"/>
      <c r="I75" s="24"/>
      <c r="J75" s="24"/>
      <c r="K75" s="24"/>
    </row>
    <row r="76">
      <c r="B76" s="51"/>
      <c r="C76" s="52"/>
      <c r="D76" s="53"/>
      <c r="E76" s="51"/>
      <c r="F76" s="54"/>
      <c r="G76" s="24"/>
      <c r="H76" s="24"/>
      <c r="I76" s="24"/>
      <c r="J76" s="24"/>
      <c r="K76" s="24"/>
    </row>
    <row r="77">
      <c r="B77" s="51"/>
      <c r="C77" s="52"/>
      <c r="D77" s="53"/>
      <c r="E77" s="51"/>
      <c r="F77" s="54"/>
      <c r="G77" s="24"/>
      <c r="H77" s="24"/>
      <c r="I77" s="24"/>
      <c r="J77" s="24"/>
      <c r="K77" s="24"/>
    </row>
    <row r="78">
      <c r="B78" s="51"/>
      <c r="C78" s="52"/>
      <c r="D78" s="53"/>
      <c r="E78" s="51"/>
      <c r="F78" s="54"/>
      <c r="G78" s="24"/>
      <c r="H78" s="24"/>
      <c r="I78" s="24"/>
      <c r="J78" s="24"/>
      <c r="K78" s="24"/>
    </row>
    <row r="79">
      <c r="B79" s="51"/>
      <c r="C79" s="52"/>
      <c r="D79" s="53"/>
      <c r="E79" s="51"/>
      <c r="F79" s="54"/>
      <c r="G79" s="24"/>
      <c r="H79" s="24"/>
      <c r="I79" s="24"/>
      <c r="J79" s="24"/>
      <c r="K79" s="24"/>
    </row>
    <row r="80">
      <c r="B80" s="51"/>
      <c r="C80" s="52"/>
      <c r="D80" s="53"/>
      <c r="E80" s="51"/>
      <c r="F80" s="54"/>
      <c r="G80" s="24"/>
      <c r="H80" s="24"/>
      <c r="I80" s="24"/>
      <c r="J80" s="24"/>
      <c r="K80" s="24"/>
    </row>
    <row r="81">
      <c r="B81" s="51"/>
      <c r="C81" s="52"/>
      <c r="D81" s="53"/>
      <c r="E81" s="51"/>
      <c r="F81" s="54"/>
      <c r="G81" s="24"/>
      <c r="H81" s="24"/>
      <c r="I81" s="24"/>
      <c r="J81" s="24"/>
      <c r="K81" s="24"/>
    </row>
    <row r="82">
      <c r="B82" s="51"/>
      <c r="C82" s="52"/>
      <c r="D82" s="53"/>
      <c r="E82" s="51"/>
      <c r="F82" s="54"/>
      <c r="G82" s="24"/>
      <c r="H82" s="24"/>
      <c r="I82" s="24"/>
      <c r="J82" s="24"/>
      <c r="K82" s="24"/>
    </row>
    <row r="83">
      <c r="B83" s="51"/>
      <c r="C83" s="52"/>
      <c r="D83" s="53"/>
      <c r="E83" s="51"/>
      <c r="F83" s="54"/>
      <c r="G83" s="24"/>
      <c r="H83" s="24"/>
      <c r="I83" s="24"/>
      <c r="J83" s="24"/>
      <c r="K83" s="24"/>
    </row>
    <row r="84">
      <c r="B84" s="51"/>
      <c r="C84" s="52"/>
      <c r="D84" s="53"/>
      <c r="E84" s="51"/>
      <c r="F84" s="54"/>
      <c r="G84" s="24"/>
      <c r="H84" s="24"/>
      <c r="I84" s="24"/>
      <c r="J84" s="24"/>
      <c r="K84" s="24"/>
    </row>
    <row r="85">
      <c r="B85" s="51"/>
      <c r="C85" s="52"/>
      <c r="D85" s="53"/>
      <c r="E85" s="51"/>
      <c r="F85" s="54"/>
      <c r="G85" s="24"/>
      <c r="H85" s="24"/>
      <c r="I85" s="24"/>
      <c r="J85" s="24"/>
      <c r="K85" s="24"/>
    </row>
    <row r="86">
      <c r="B86" s="51"/>
      <c r="C86" s="52"/>
      <c r="D86" s="53"/>
      <c r="E86" s="51"/>
      <c r="F86" s="54"/>
      <c r="G86" s="24"/>
      <c r="H86" s="24"/>
      <c r="I86" s="24"/>
      <c r="J86" s="24"/>
      <c r="K86" s="24"/>
    </row>
    <row r="87">
      <c r="B87" s="51"/>
      <c r="C87" s="52"/>
      <c r="D87" s="53"/>
      <c r="E87" s="51"/>
      <c r="F87" s="54"/>
      <c r="G87" s="24"/>
      <c r="H87" s="24"/>
      <c r="I87" s="24"/>
      <c r="J87" s="24"/>
      <c r="K87" s="24"/>
    </row>
    <row r="88">
      <c r="B88" s="51"/>
      <c r="C88" s="52"/>
      <c r="D88" s="53"/>
      <c r="E88" s="51"/>
      <c r="F88" s="54"/>
      <c r="G88" s="24"/>
      <c r="H88" s="24"/>
      <c r="I88" s="24"/>
      <c r="J88" s="24"/>
      <c r="K88" s="24"/>
    </row>
    <row r="89">
      <c r="B89" s="51"/>
      <c r="C89" s="52"/>
      <c r="D89" s="53"/>
      <c r="E89" s="51"/>
      <c r="F89" s="54"/>
      <c r="G89" s="24"/>
      <c r="H89" s="24"/>
      <c r="I89" s="24"/>
      <c r="J89" s="24"/>
      <c r="K89" s="24"/>
    </row>
    <row r="90">
      <c r="B90" s="51"/>
      <c r="C90" s="52"/>
      <c r="D90" s="53"/>
      <c r="E90" s="51"/>
      <c r="F90" s="54"/>
      <c r="G90" s="24"/>
      <c r="H90" s="24"/>
      <c r="I90" s="24"/>
      <c r="J90" s="24"/>
      <c r="K90" s="24"/>
    </row>
    <row r="91">
      <c r="B91" s="51"/>
      <c r="C91" s="52"/>
      <c r="D91" s="53"/>
      <c r="E91" s="51"/>
      <c r="F91" s="54"/>
      <c r="G91" s="24"/>
      <c r="H91" s="24"/>
      <c r="I91" s="24"/>
      <c r="J91" s="24"/>
      <c r="K91" s="24"/>
    </row>
    <row r="92">
      <c r="B92" s="51"/>
      <c r="C92" s="52"/>
      <c r="D92" s="53"/>
      <c r="E92" s="51"/>
      <c r="F92" s="54"/>
      <c r="G92" s="24"/>
      <c r="H92" s="24"/>
      <c r="I92" s="24"/>
      <c r="J92" s="24"/>
      <c r="K92" s="24"/>
    </row>
    <row r="93">
      <c r="B93" s="51"/>
      <c r="C93" s="52"/>
      <c r="D93" s="53"/>
      <c r="E93" s="51"/>
      <c r="F93" s="54"/>
      <c r="G93" s="24"/>
      <c r="H93" s="24"/>
      <c r="I93" s="24"/>
      <c r="J93" s="24"/>
      <c r="K93" s="24"/>
    </row>
    <row r="94">
      <c r="B94" s="51"/>
      <c r="C94" s="52"/>
      <c r="D94" s="53"/>
      <c r="E94" s="51"/>
      <c r="F94" s="54"/>
      <c r="G94" s="24"/>
      <c r="H94" s="24"/>
      <c r="I94" s="24"/>
      <c r="J94" s="24"/>
      <c r="K94" s="24"/>
    </row>
    <row r="95">
      <c r="B95" s="51"/>
      <c r="C95" s="52"/>
      <c r="D95" s="53"/>
      <c r="E95" s="51"/>
      <c r="F95" s="54"/>
      <c r="G95" s="24"/>
      <c r="H95" s="24"/>
      <c r="I95" s="24"/>
      <c r="J95" s="24"/>
      <c r="K95" s="24"/>
    </row>
    <row r="96">
      <c r="B96" s="51"/>
      <c r="C96" s="52"/>
      <c r="D96" s="53"/>
      <c r="E96" s="51"/>
      <c r="F96" s="54"/>
      <c r="G96" s="24"/>
      <c r="H96" s="24"/>
      <c r="I96" s="24"/>
      <c r="J96" s="24"/>
      <c r="K96" s="24"/>
    </row>
    <row r="97">
      <c r="B97" s="51"/>
      <c r="C97" s="52"/>
      <c r="D97" s="53"/>
      <c r="E97" s="51"/>
      <c r="F97" s="54"/>
      <c r="G97" s="24"/>
      <c r="H97" s="24"/>
      <c r="I97" s="24"/>
      <c r="J97" s="24"/>
      <c r="K97" s="24"/>
    </row>
    <row r="98">
      <c r="B98" s="51"/>
      <c r="C98" s="52"/>
      <c r="D98" s="53"/>
      <c r="E98" s="51"/>
      <c r="F98" s="54"/>
      <c r="G98" s="24"/>
      <c r="H98" s="24"/>
      <c r="I98" s="24"/>
      <c r="J98" s="24"/>
      <c r="K98" s="24"/>
    </row>
    <row r="99">
      <c r="B99" s="51"/>
      <c r="C99" s="52"/>
      <c r="D99" s="53"/>
      <c r="E99" s="51"/>
      <c r="F99" s="54"/>
      <c r="G99" s="24"/>
      <c r="H99" s="24"/>
      <c r="I99" s="24"/>
      <c r="J99" s="24"/>
      <c r="K99" s="24"/>
    </row>
    <row r="100">
      <c r="B100" s="51"/>
      <c r="C100" s="52"/>
      <c r="D100" s="53"/>
      <c r="E100" s="51"/>
      <c r="F100" s="54"/>
      <c r="G100" s="24"/>
      <c r="H100" s="24"/>
      <c r="I100" s="24"/>
      <c r="J100" s="24"/>
      <c r="K100" s="24"/>
    </row>
    <row r="101">
      <c r="B101" s="51"/>
      <c r="C101" s="52"/>
      <c r="D101" s="53"/>
      <c r="E101" s="51"/>
      <c r="F101" s="54"/>
      <c r="G101" s="24"/>
      <c r="H101" s="24"/>
      <c r="I101" s="24"/>
      <c r="J101" s="24"/>
      <c r="K101" s="24"/>
    </row>
    <row r="102">
      <c r="B102" s="51"/>
      <c r="C102" s="52"/>
      <c r="D102" s="53"/>
      <c r="E102" s="51"/>
      <c r="F102" s="54"/>
      <c r="G102" s="24"/>
      <c r="H102" s="24"/>
      <c r="I102" s="24"/>
      <c r="J102" s="24"/>
      <c r="K102" s="24"/>
    </row>
    <row r="103">
      <c r="B103" s="51"/>
      <c r="C103" s="52"/>
      <c r="D103" s="53"/>
      <c r="E103" s="51"/>
      <c r="F103" s="54"/>
      <c r="G103" s="24"/>
      <c r="H103" s="24"/>
      <c r="I103" s="24"/>
      <c r="J103" s="24"/>
      <c r="K103" s="24"/>
    </row>
    <row r="104">
      <c r="B104" s="51"/>
      <c r="C104" s="52"/>
      <c r="D104" s="53"/>
      <c r="E104" s="51"/>
      <c r="F104" s="54"/>
      <c r="G104" s="24"/>
      <c r="H104" s="24"/>
      <c r="I104" s="24"/>
      <c r="J104" s="24"/>
      <c r="K104" s="24"/>
    </row>
    <row r="105">
      <c r="B105" s="51"/>
      <c r="C105" s="52"/>
      <c r="D105" s="53"/>
      <c r="E105" s="51"/>
      <c r="F105" s="54"/>
      <c r="G105" s="24"/>
      <c r="H105" s="24"/>
      <c r="I105" s="24"/>
      <c r="J105" s="24"/>
      <c r="K105" s="24"/>
    </row>
    <row r="106">
      <c r="B106" s="51"/>
      <c r="C106" s="52"/>
      <c r="D106" s="53"/>
      <c r="E106" s="51"/>
      <c r="F106" s="54"/>
      <c r="G106" s="24"/>
      <c r="H106" s="24"/>
      <c r="I106" s="24"/>
      <c r="J106" s="24"/>
      <c r="K106" s="24"/>
    </row>
    <row r="107">
      <c r="B107" s="51"/>
      <c r="C107" s="52"/>
      <c r="D107" s="53"/>
      <c r="E107" s="51"/>
      <c r="F107" s="54"/>
      <c r="G107" s="24"/>
      <c r="H107" s="24"/>
      <c r="I107" s="24"/>
      <c r="J107" s="24"/>
      <c r="K107" s="24"/>
    </row>
    <row r="108">
      <c r="B108" s="51"/>
      <c r="C108" s="52"/>
      <c r="D108" s="53"/>
      <c r="E108" s="51"/>
      <c r="F108" s="54"/>
      <c r="G108" s="24"/>
      <c r="H108" s="24"/>
      <c r="I108" s="24"/>
      <c r="J108" s="24"/>
      <c r="K108" s="24"/>
    </row>
    <row r="109">
      <c r="B109" s="51"/>
      <c r="C109" s="52"/>
      <c r="D109" s="53"/>
      <c r="E109" s="51"/>
      <c r="F109" s="54"/>
      <c r="G109" s="24"/>
      <c r="H109" s="24"/>
      <c r="I109" s="24"/>
      <c r="J109" s="24"/>
      <c r="K109" s="24"/>
    </row>
    <row r="110">
      <c r="B110" s="51"/>
      <c r="C110" s="52"/>
      <c r="D110" s="53"/>
      <c r="E110" s="51"/>
      <c r="F110" s="54"/>
      <c r="G110" s="24"/>
      <c r="H110" s="24"/>
      <c r="I110" s="24"/>
      <c r="J110" s="24"/>
      <c r="K110" s="24"/>
    </row>
    <row r="111">
      <c r="B111" s="51"/>
      <c r="C111" s="52"/>
      <c r="D111" s="53"/>
      <c r="E111" s="51"/>
      <c r="F111" s="54"/>
      <c r="G111" s="24"/>
      <c r="H111" s="24"/>
      <c r="I111" s="24"/>
      <c r="J111" s="24"/>
      <c r="K111" s="24"/>
    </row>
    <row r="112">
      <c r="B112" s="51"/>
      <c r="C112" s="52"/>
      <c r="D112" s="53"/>
      <c r="E112" s="51"/>
      <c r="F112" s="54"/>
      <c r="G112" s="24"/>
      <c r="H112" s="24"/>
      <c r="I112" s="24"/>
      <c r="J112" s="24"/>
      <c r="K112" s="24"/>
    </row>
    <row r="113">
      <c r="B113" s="51"/>
      <c r="C113" s="52"/>
      <c r="D113" s="53"/>
      <c r="E113" s="51"/>
      <c r="F113" s="54"/>
      <c r="G113" s="24"/>
      <c r="H113" s="24"/>
      <c r="I113" s="24"/>
      <c r="J113" s="24"/>
      <c r="K113" s="24"/>
    </row>
    <row r="114">
      <c r="B114" s="51"/>
      <c r="C114" s="52"/>
      <c r="D114" s="53"/>
      <c r="E114" s="51"/>
      <c r="F114" s="54"/>
      <c r="G114" s="24"/>
      <c r="H114" s="24"/>
      <c r="I114" s="24"/>
      <c r="J114" s="24"/>
      <c r="K114" s="24"/>
    </row>
    <row r="115">
      <c r="B115" s="51"/>
      <c r="C115" s="52"/>
      <c r="D115" s="53"/>
      <c r="E115" s="51"/>
      <c r="F115" s="54"/>
      <c r="G115" s="24"/>
      <c r="H115" s="24"/>
      <c r="I115" s="24"/>
      <c r="J115" s="24"/>
      <c r="K115" s="24"/>
    </row>
    <row r="116">
      <c r="B116" s="51"/>
      <c r="C116" s="52"/>
      <c r="D116" s="53"/>
      <c r="E116" s="51"/>
      <c r="F116" s="54"/>
      <c r="G116" s="24"/>
      <c r="H116" s="24"/>
      <c r="I116" s="24"/>
      <c r="J116" s="24"/>
      <c r="K116" s="24"/>
    </row>
    <row r="117">
      <c r="B117" s="51"/>
      <c r="C117" s="52"/>
      <c r="D117" s="53"/>
      <c r="E117" s="51"/>
      <c r="F117" s="54"/>
      <c r="G117" s="24"/>
      <c r="H117" s="24"/>
      <c r="I117" s="24"/>
      <c r="J117" s="24"/>
      <c r="K117" s="24"/>
    </row>
    <row r="118">
      <c r="B118" s="51"/>
      <c r="C118" s="52"/>
      <c r="D118" s="53"/>
      <c r="E118" s="51"/>
      <c r="F118" s="54"/>
      <c r="G118" s="24"/>
      <c r="H118" s="24"/>
      <c r="I118" s="24"/>
      <c r="J118" s="24"/>
      <c r="K118" s="24"/>
    </row>
    <row r="119">
      <c r="B119" s="51"/>
      <c r="C119" s="52"/>
      <c r="D119" s="53"/>
      <c r="E119" s="51"/>
      <c r="F119" s="54"/>
      <c r="G119" s="24"/>
      <c r="H119" s="24"/>
      <c r="I119" s="24"/>
      <c r="J119" s="24"/>
      <c r="K119" s="24"/>
    </row>
    <row r="120">
      <c r="B120" s="51"/>
      <c r="C120" s="52"/>
      <c r="D120" s="53"/>
      <c r="E120" s="51"/>
      <c r="F120" s="54"/>
      <c r="G120" s="24"/>
      <c r="H120" s="24"/>
      <c r="I120" s="24"/>
      <c r="J120" s="24"/>
      <c r="K120" s="24"/>
    </row>
    <row r="121">
      <c r="B121" s="51"/>
      <c r="C121" s="52"/>
      <c r="D121" s="53"/>
      <c r="E121" s="51"/>
      <c r="F121" s="54"/>
      <c r="G121" s="24"/>
      <c r="H121" s="24"/>
      <c r="I121" s="24"/>
      <c r="J121" s="24"/>
      <c r="K121" s="24"/>
    </row>
    <row r="122">
      <c r="B122" s="51"/>
      <c r="C122" s="52"/>
      <c r="D122" s="53"/>
      <c r="E122" s="51"/>
      <c r="F122" s="54"/>
      <c r="G122" s="24"/>
      <c r="H122" s="24"/>
      <c r="I122" s="24"/>
      <c r="J122" s="24"/>
      <c r="K122" s="24"/>
    </row>
    <row r="123">
      <c r="B123" s="51"/>
      <c r="C123" s="52"/>
      <c r="D123" s="53"/>
      <c r="E123" s="51"/>
      <c r="F123" s="54"/>
      <c r="G123" s="24"/>
      <c r="H123" s="24"/>
      <c r="I123" s="24"/>
      <c r="J123" s="24"/>
      <c r="K123" s="24"/>
    </row>
    <row r="124">
      <c r="B124" s="51"/>
      <c r="C124" s="52"/>
      <c r="D124" s="53"/>
      <c r="E124" s="51"/>
      <c r="F124" s="54"/>
      <c r="G124" s="24"/>
      <c r="H124" s="24"/>
      <c r="I124" s="24"/>
      <c r="J124" s="24"/>
      <c r="K124" s="24"/>
    </row>
    <row r="125">
      <c r="B125" s="51"/>
      <c r="C125" s="52"/>
      <c r="D125" s="53"/>
      <c r="E125" s="51"/>
      <c r="F125" s="54"/>
      <c r="G125" s="24"/>
      <c r="H125" s="24"/>
      <c r="I125" s="24"/>
      <c r="J125" s="24"/>
      <c r="K125" s="24"/>
    </row>
    <row r="126">
      <c r="B126" s="51"/>
      <c r="C126" s="52"/>
      <c r="D126" s="53"/>
      <c r="E126" s="51"/>
      <c r="F126" s="54"/>
      <c r="G126" s="24"/>
      <c r="H126" s="24"/>
      <c r="I126" s="24"/>
      <c r="J126" s="24"/>
      <c r="K126" s="24"/>
    </row>
    <row r="127">
      <c r="B127" s="51"/>
      <c r="C127" s="52"/>
      <c r="D127" s="53"/>
      <c r="E127" s="51"/>
      <c r="F127" s="54"/>
      <c r="G127" s="24"/>
      <c r="H127" s="24"/>
      <c r="I127" s="24"/>
      <c r="J127" s="24"/>
      <c r="K127" s="24"/>
    </row>
    <row r="128">
      <c r="B128" s="51"/>
      <c r="C128" s="52"/>
      <c r="D128" s="53"/>
      <c r="E128" s="51"/>
      <c r="F128" s="54"/>
      <c r="G128" s="24"/>
      <c r="H128" s="24"/>
      <c r="I128" s="24"/>
      <c r="J128" s="24"/>
      <c r="K128" s="24"/>
    </row>
    <row r="129">
      <c r="B129" s="51"/>
      <c r="C129" s="52"/>
      <c r="D129" s="53"/>
      <c r="E129" s="51"/>
      <c r="F129" s="54"/>
      <c r="G129" s="24"/>
      <c r="H129" s="24"/>
      <c r="I129" s="24"/>
      <c r="J129" s="24"/>
      <c r="K129" s="24"/>
    </row>
    <row r="130">
      <c r="B130" s="51"/>
      <c r="C130" s="52"/>
      <c r="D130" s="53"/>
      <c r="E130" s="51"/>
      <c r="F130" s="54"/>
      <c r="G130" s="24"/>
      <c r="H130" s="24"/>
      <c r="I130" s="24"/>
      <c r="J130" s="24"/>
      <c r="K130" s="24"/>
    </row>
    <row r="131">
      <c r="B131" s="51"/>
      <c r="C131" s="52"/>
      <c r="D131" s="53"/>
      <c r="E131" s="51"/>
      <c r="F131" s="54"/>
      <c r="G131" s="24"/>
      <c r="H131" s="24"/>
      <c r="I131" s="24"/>
      <c r="J131" s="24"/>
      <c r="K131" s="24"/>
    </row>
    <row r="132">
      <c r="B132" s="51"/>
      <c r="C132" s="52"/>
      <c r="D132" s="53"/>
      <c r="E132" s="51"/>
      <c r="F132" s="54"/>
      <c r="G132" s="24"/>
      <c r="H132" s="24"/>
      <c r="I132" s="24"/>
      <c r="J132" s="24"/>
      <c r="K132" s="24"/>
    </row>
    <row r="133">
      <c r="B133" s="51"/>
      <c r="C133" s="52"/>
      <c r="D133" s="53"/>
      <c r="E133" s="51"/>
      <c r="F133" s="54"/>
      <c r="G133" s="24"/>
      <c r="H133" s="24"/>
      <c r="I133" s="24"/>
      <c r="J133" s="24"/>
      <c r="K133" s="24"/>
    </row>
    <row r="134">
      <c r="B134" s="51"/>
      <c r="C134" s="52"/>
      <c r="D134" s="55"/>
      <c r="E134" s="51"/>
      <c r="F134" s="54"/>
      <c r="G134" s="25"/>
      <c r="H134" s="25"/>
      <c r="I134" s="25"/>
      <c r="J134" s="25"/>
      <c r="K134" s="25"/>
    </row>
    <row r="135">
      <c r="B135" s="51"/>
      <c r="C135" s="52"/>
      <c r="D135" s="55"/>
      <c r="E135" s="51"/>
      <c r="F135" s="54"/>
      <c r="G135" s="25"/>
      <c r="H135" s="25"/>
      <c r="I135" s="25"/>
      <c r="J135" s="25"/>
      <c r="K135" s="25"/>
    </row>
    <row r="136">
      <c r="B136" s="51"/>
      <c r="C136" s="52"/>
      <c r="D136" s="55"/>
      <c r="E136" s="51"/>
      <c r="F136" s="54"/>
      <c r="G136" s="25"/>
      <c r="H136" s="25"/>
      <c r="I136" s="25"/>
      <c r="J136" s="25"/>
      <c r="K136" s="25"/>
    </row>
    <row r="137">
      <c r="B137" s="51"/>
      <c r="C137" s="52"/>
      <c r="D137" s="55"/>
      <c r="E137" s="51"/>
      <c r="F137" s="54"/>
      <c r="G137" s="25"/>
      <c r="H137" s="25"/>
      <c r="I137" s="25"/>
      <c r="J137" s="25"/>
      <c r="K137" s="25"/>
    </row>
    <row r="138">
      <c r="B138" s="51"/>
      <c r="C138" s="52"/>
      <c r="D138" s="55"/>
      <c r="E138" s="51"/>
      <c r="F138" s="54"/>
      <c r="G138" s="25"/>
      <c r="H138" s="25"/>
      <c r="I138" s="25"/>
      <c r="J138" s="25"/>
      <c r="K138" s="25"/>
    </row>
    <row r="139">
      <c r="B139" s="51"/>
      <c r="C139" s="52"/>
      <c r="D139" s="55"/>
      <c r="E139" s="51"/>
      <c r="F139" s="54"/>
      <c r="G139" s="25"/>
      <c r="H139" s="25"/>
      <c r="I139" s="25"/>
      <c r="J139" s="25"/>
      <c r="K139" s="25"/>
    </row>
    <row r="140">
      <c r="B140" s="51"/>
      <c r="C140" s="52"/>
      <c r="D140" s="55"/>
      <c r="E140" s="51"/>
      <c r="F140" s="54"/>
      <c r="G140" s="25"/>
      <c r="H140" s="25"/>
      <c r="I140" s="25"/>
      <c r="J140" s="25"/>
      <c r="K140" s="25"/>
    </row>
    <row r="141">
      <c r="B141" s="51"/>
      <c r="C141" s="52"/>
      <c r="D141" s="55"/>
      <c r="E141" s="51"/>
      <c r="F141" s="54"/>
      <c r="G141" s="25"/>
      <c r="H141" s="25"/>
      <c r="I141" s="25"/>
      <c r="J141" s="25"/>
      <c r="K141" s="25"/>
    </row>
    <row r="142">
      <c r="B142" s="51"/>
      <c r="C142" s="52"/>
      <c r="D142" s="55"/>
      <c r="E142" s="51"/>
      <c r="F142" s="54"/>
      <c r="G142" s="25"/>
      <c r="H142" s="25"/>
      <c r="I142" s="25"/>
      <c r="J142" s="25"/>
      <c r="K142" s="25"/>
    </row>
    <row r="143">
      <c r="B143" s="51"/>
      <c r="C143" s="52"/>
      <c r="D143" s="55"/>
      <c r="E143" s="51"/>
      <c r="F143" s="54"/>
      <c r="G143" s="25"/>
      <c r="H143" s="25"/>
      <c r="I143" s="25"/>
      <c r="J143" s="25"/>
      <c r="K143" s="25"/>
    </row>
    <row r="144">
      <c r="B144" s="51"/>
      <c r="C144" s="52"/>
      <c r="D144" s="55"/>
      <c r="E144" s="51"/>
      <c r="F144" s="54"/>
      <c r="G144" s="25"/>
      <c r="H144" s="25"/>
      <c r="I144" s="25"/>
      <c r="J144" s="25"/>
      <c r="K144" s="25"/>
    </row>
    <row r="145">
      <c r="B145" s="51"/>
      <c r="C145" s="52"/>
      <c r="D145" s="55"/>
      <c r="E145" s="51"/>
      <c r="F145" s="54"/>
      <c r="G145" s="25"/>
      <c r="H145" s="25"/>
      <c r="I145" s="25"/>
      <c r="J145" s="25"/>
      <c r="K145" s="25"/>
    </row>
    <row r="146">
      <c r="B146" s="51"/>
      <c r="C146" s="52"/>
      <c r="D146" s="55"/>
      <c r="E146" s="51"/>
      <c r="F146" s="54"/>
      <c r="G146" s="25"/>
      <c r="H146" s="25"/>
      <c r="I146" s="25"/>
      <c r="J146" s="25"/>
      <c r="K146" s="25"/>
    </row>
    <row r="147">
      <c r="B147" s="51"/>
      <c r="C147" s="52"/>
      <c r="D147" s="55"/>
      <c r="E147" s="51"/>
      <c r="F147" s="54"/>
      <c r="G147" s="25"/>
      <c r="H147" s="25"/>
      <c r="I147" s="25"/>
      <c r="J147" s="25"/>
      <c r="K147" s="25"/>
    </row>
    <row r="148">
      <c r="B148" s="51"/>
      <c r="C148" s="52"/>
      <c r="D148" s="55"/>
      <c r="E148" s="51"/>
      <c r="F148" s="54"/>
      <c r="G148" s="25"/>
      <c r="H148" s="25"/>
      <c r="I148" s="25"/>
      <c r="J148" s="25"/>
      <c r="K148" s="25"/>
    </row>
    <row r="149">
      <c r="B149" s="51"/>
      <c r="C149" s="52"/>
      <c r="D149" s="55"/>
      <c r="E149" s="51"/>
      <c r="F149" s="54"/>
      <c r="G149" s="25"/>
      <c r="H149" s="25"/>
      <c r="I149" s="25"/>
      <c r="J149" s="25"/>
      <c r="K149" s="25"/>
    </row>
    <row r="150">
      <c r="B150" s="51"/>
      <c r="C150" s="52"/>
      <c r="D150" s="55"/>
      <c r="E150" s="51"/>
      <c r="F150" s="54"/>
      <c r="G150" s="25"/>
      <c r="H150" s="25"/>
      <c r="I150" s="25"/>
      <c r="J150" s="25"/>
      <c r="K150" s="25"/>
    </row>
    <row r="151">
      <c r="B151" s="51"/>
      <c r="C151" s="52"/>
      <c r="D151" s="55"/>
      <c r="E151" s="51"/>
      <c r="F151" s="54"/>
      <c r="G151" s="25"/>
      <c r="H151" s="25"/>
      <c r="I151" s="25"/>
      <c r="J151" s="25"/>
      <c r="K151" s="25"/>
    </row>
    <row r="152">
      <c r="B152" s="51"/>
      <c r="C152" s="52"/>
      <c r="D152" s="55"/>
      <c r="E152" s="51"/>
      <c r="F152" s="54"/>
      <c r="G152" s="25"/>
      <c r="H152" s="25"/>
      <c r="I152" s="25"/>
      <c r="J152" s="25"/>
      <c r="K152" s="25"/>
    </row>
    <row r="153">
      <c r="B153" s="51"/>
      <c r="C153" s="52"/>
      <c r="D153" s="55"/>
      <c r="E153" s="51"/>
      <c r="F153" s="54"/>
      <c r="G153" s="25"/>
      <c r="H153" s="25"/>
      <c r="I153" s="25"/>
      <c r="J153" s="25"/>
      <c r="K153" s="25"/>
    </row>
    <row r="154">
      <c r="B154" s="51"/>
      <c r="C154" s="52"/>
      <c r="D154" s="55"/>
      <c r="E154" s="51"/>
      <c r="F154" s="54"/>
      <c r="G154" s="25"/>
      <c r="H154" s="25"/>
      <c r="I154" s="25"/>
      <c r="J154" s="25"/>
      <c r="K154" s="25"/>
    </row>
    <row r="155">
      <c r="B155" s="51"/>
      <c r="C155" s="52"/>
      <c r="D155" s="55"/>
      <c r="E155" s="51"/>
      <c r="F155" s="54"/>
      <c r="G155" s="25"/>
      <c r="H155" s="25"/>
      <c r="I155" s="25"/>
      <c r="J155" s="25"/>
      <c r="K155" s="25"/>
    </row>
    <row r="156">
      <c r="B156" s="51"/>
      <c r="C156" s="52"/>
      <c r="D156" s="55"/>
      <c r="E156" s="51"/>
      <c r="F156" s="54"/>
      <c r="G156" s="25"/>
      <c r="H156" s="25"/>
      <c r="I156" s="25"/>
      <c r="J156" s="25"/>
      <c r="K156" s="25"/>
    </row>
    <row r="157">
      <c r="B157" s="51"/>
      <c r="C157" s="52"/>
      <c r="D157" s="55"/>
      <c r="E157" s="51"/>
      <c r="F157" s="54"/>
      <c r="G157" s="25"/>
      <c r="H157" s="25"/>
      <c r="I157" s="25"/>
      <c r="J157" s="25"/>
      <c r="K157" s="25"/>
    </row>
    <row r="158">
      <c r="B158" s="51"/>
      <c r="C158" s="52"/>
      <c r="D158" s="55"/>
      <c r="E158" s="51"/>
      <c r="F158" s="54"/>
      <c r="G158" s="25"/>
      <c r="H158" s="25"/>
      <c r="I158" s="25"/>
      <c r="J158" s="25"/>
      <c r="K158" s="25"/>
    </row>
    <row r="159">
      <c r="B159" s="51"/>
      <c r="C159" s="52"/>
      <c r="D159" s="55"/>
      <c r="E159" s="51"/>
      <c r="F159" s="54"/>
      <c r="G159" s="25"/>
      <c r="H159" s="25"/>
      <c r="I159" s="25"/>
      <c r="J159" s="25"/>
      <c r="K159" s="25"/>
    </row>
    <row r="160">
      <c r="B160" s="51"/>
      <c r="C160" s="52"/>
      <c r="D160" s="55"/>
      <c r="E160" s="51"/>
      <c r="F160" s="54"/>
      <c r="G160" s="25"/>
      <c r="H160" s="25"/>
      <c r="I160" s="25"/>
      <c r="J160" s="25"/>
      <c r="K160" s="25"/>
    </row>
    <row r="161">
      <c r="B161" s="51"/>
      <c r="C161" s="52"/>
      <c r="D161" s="55"/>
      <c r="E161" s="51"/>
      <c r="F161" s="54"/>
      <c r="G161" s="25"/>
      <c r="H161" s="25"/>
      <c r="I161" s="25"/>
      <c r="J161" s="25"/>
      <c r="K161" s="25"/>
    </row>
    <row r="162">
      <c r="B162" s="51"/>
      <c r="C162" s="52"/>
      <c r="D162" s="55"/>
      <c r="E162" s="51"/>
      <c r="F162" s="54"/>
      <c r="G162" s="25"/>
      <c r="H162" s="25"/>
      <c r="I162" s="25"/>
      <c r="J162" s="25"/>
      <c r="K162" s="25"/>
    </row>
    <row r="163">
      <c r="B163" s="51"/>
      <c r="C163" s="52"/>
      <c r="D163" s="55"/>
      <c r="E163" s="51"/>
      <c r="F163" s="54"/>
      <c r="G163" s="25"/>
      <c r="H163" s="25"/>
      <c r="I163" s="25"/>
      <c r="J163" s="25"/>
      <c r="K163" s="25"/>
    </row>
    <row r="164">
      <c r="B164" s="51"/>
      <c r="C164" s="52"/>
      <c r="D164" s="55"/>
      <c r="E164" s="51"/>
      <c r="F164" s="54"/>
      <c r="G164" s="25"/>
      <c r="H164" s="25"/>
      <c r="I164" s="25"/>
      <c r="J164" s="25"/>
      <c r="K164" s="25"/>
    </row>
    <row r="165">
      <c r="B165" s="51"/>
      <c r="C165" s="52"/>
      <c r="D165" s="55"/>
      <c r="E165" s="51"/>
      <c r="F165" s="54"/>
      <c r="G165" s="25"/>
      <c r="H165" s="25"/>
      <c r="I165" s="25"/>
      <c r="J165" s="25"/>
      <c r="K165" s="25"/>
    </row>
    <row r="166">
      <c r="B166" s="51"/>
      <c r="C166" s="52"/>
      <c r="D166" s="55"/>
      <c r="E166" s="51"/>
      <c r="F166" s="54"/>
      <c r="G166" s="25"/>
      <c r="H166" s="25"/>
      <c r="I166" s="25"/>
      <c r="J166" s="25"/>
      <c r="K166" s="25"/>
    </row>
    <row r="167">
      <c r="B167" s="51"/>
      <c r="C167" s="52"/>
      <c r="D167" s="55"/>
      <c r="E167" s="51"/>
      <c r="F167" s="54"/>
      <c r="G167" s="25"/>
      <c r="H167" s="25"/>
      <c r="I167" s="25"/>
      <c r="J167" s="25"/>
      <c r="K167" s="25"/>
    </row>
    <row r="168">
      <c r="B168" s="51"/>
      <c r="C168" s="52"/>
      <c r="D168" s="55"/>
      <c r="E168" s="51"/>
      <c r="F168" s="54"/>
      <c r="G168" s="25"/>
      <c r="H168" s="25"/>
      <c r="I168" s="25"/>
      <c r="J168" s="25"/>
      <c r="K168" s="25"/>
    </row>
    <row r="169">
      <c r="B169" s="51"/>
      <c r="C169" s="52"/>
      <c r="D169" s="55"/>
      <c r="E169" s="51"/>
      <c r="F169" s="54"/>
      <c r="G169" s="25"/>
      <c r="H169" s="25"/>
      <c r="I169" s="25"/>
      <c r="J169" s="25"/>
      <c r="K169" s="25"/>
    </row>
    <row r="170">
      <c r="B170" s="51"/>
      <c r="C170" s="52"/>
      <c r="D170" s="55"/>
      <c r="E170" s="51"/>
      <c r="F170" s="54"/>
      <c r="G170" s="25"/>
      <c r="H170" s="25"/>
      <c r="I170" s="25"/>
      <c r="J170" s="25"/>
      <c r="K170" s="25"/>
    </row>
    <row r="171">
      <c r="B171" s="51"/>
      <c r="C171" s="52"/>
      <c r="D171" s="55"/>
      <c r="E171" s="51"/>
      <c r="F171" s="54"/>
      <c r="G171" s="25"/>
      <c r="H171" s="25"/>
      <c r="I171" s="25"/>
      <c r="J171" s="25"/>
      <c r="K171" s="25"/>
    </row>
    <row r="172">
      <c r="B172" s="51"/>
      <c r="C172" s="52"/>
      <c r="D172" s="55"/>
      <c r="E172" s="51"/>
      <c r="F172" s="54"/>
      <c r="G172" s="25"/>
      <c r="H172" s="25"/>
      <c r="I172" s="25"/>
      <c r="J172" s="25"/>
      <c r="K172" s="25"/>
    </row>
    <row r="173">
      <c r="B173" s="51"/>
      <c r="C173" s="52"/>
      <c r="D173" s="55"/>
      <c r="E173" s="51"/>
      <c r="F173" s="54"/>
      <c r="G173" s="25"/>
      <c r="H173" s="25"/>
      <c r="I173" s="25"/>
      <c r="J173" s="25"/>
      <c r="K173" s="25"/>
    </row>
    <row r="174">
      <c r="B174" s="51"/>
      <c r="C174" s="52"/>
      <c r="D174" s="55"/>
      <c r="E174" s="51"/>
      <c r="F174" s="54"/>
      <c r="G174" s="25"/>
      <c r="H174" s="25"/>
      <c r="I174" s="25"/>
      <c r="J174" s="25"/>
      <c r="K174" s="25"/>
    </row>
    <row r="175">
      <c r="B175" s="51"/>
      <c r="C175" s="52"/>
      <c r="D175" s="55"/>
      <c r="E175" s="51"/>
      <c r="F175" s="54"/>
      <c r="G175" s="25"/>
      <c r="H175" s="25"/>
      <c r="I175" s="25"/>
      <c r="J175" s="25"/>
      <c r="K175" s="25"/>
    </row>
    <row r="176">
      <c r="B176" s="51"/>
      <c r="C176" s="52"/>
      <c r="D176" s="55"/>
      <c r="E176" s="51"/>
      <c r="F176" s="54"/>
      <c r="G176" s="25"/>
      <c r="H176" s="25"/>
      <c r="I176" s="25"/>
      <c r="J176" s="25"/>
      <c r="K176" s="25"/>
    </row>
    <row r="177">
      <c r="B177" s="51"/>
      <c r="C177" s="52"/>
      <c r="D177" s="55"/>
      <c r="E177" s="51"/>
      <c r="F177" s="54"/>
      <c r="G177" s="25"/>
      <c r="H177" s="25"/>
      <c r="I177" s="25"/>
      <c r="J177" s="25"/>
      <c r="K177" s="25"/>
    </row>
    <row r="178">
      <c r="B178" s="51"/>
      <c r="C178" s="52"/>
      <c r="D178" s="55"/>
      <c r="E178" s="51"/>
      <c r="F178" s="54"/>
      <c r="G178" s="25"/>
      <c r="H178" s="25"/>
      <c r="I178" s="25"/>
      <c r="J178" s="25"/>
      <c r="K178" s="25"/>
    </row>
    <row r="179">
      <c r="B179" s="51"/>
      <c r="C179" s="52"/>
      <c r="D179" s="55"/>
      <c r="E179" s="51"/>
      <c r="F179" s="54"/>
      <c r="G179" s="25"/>
      <c r="H179" s="25"/>
      <c r="I179" s="25"/>
      <c r="J179" s="25"/>
      <c r="K179" s="25"/>
    </row>
    <row r="180">
      <c r="B180" s="51"/>
      <c r="C180" s="52"/>
      <c r="D180" s="55"/>
      <c r="E180" s="51"/>
      <c r="F180" s="54"/>
      <c r="G180" s="25"/>
      <c r="H180" s="25"/>
      <c r="I180" s="25"/>
      <c r="J180" s="25"/>
      <c r="K180" s="25"/>
    </row>
    <row r="181">
      <c r="B181" s="51"/>
      <c r="C181" s="52"/>
      <c r="D181" s="55"/>
      <c r="E181" s="51"/>
      <c r="F181" s="54"/>
      <c r="G181" s="25"/>
      <c r="H181" s="25"/>
      <c r="I181" s="25"/>
      <c r="J181" s="25"/>
      <c r="K181" s="25"/>
    </row>
    <row r="182">
      <c r="B182" s="51"/>
      <c r="C182" s="52"/>
      <c r="D182" s="55"/>
      <c r="E182" s="51"/>
      <c r="F182" s="54"/>
      <c r="G182" s="25"/>
      <c r="H182" s="25"/>
      <c r="I182" s="25"/>
      <c r="J182" s="25"/>
      <c r="K182" s="25"/>
    </row>
    <row r="183">
      <c r="B183" s="51"/>
      <c r="C183" s="52"/>
      <c r="D183" s="55"/>
      <c r="E183" s="51"/>
      <c r="F183" s="54"/>
      <c r="G183" s="25"/>
      <c r="H183" s="25"/>
      <c r="I183" s="25"/>
      <c r="J183" s="25"/>
      <c r="K183" s="25"/>
    </row>
    <row r="184">
      <c r="B184" s="51"/>
      <c r="C184" s="52"/>
      <c r="D184" s="55"/>
      <c r="E184" s="51"/>
      <c r="F184" s="54"/>
      <c r="G184" s="25"/>
      <c r="H184" s="25"/>
      <c r="I184" s="25"/>
      <c r="J184" s="25"/>
      <c r="K184" s="25"/>
    </row>
    <row r="185">
      <c r="B185" s="51"/>
      <c r="C185" s="52"/>
      <c r="D185" s="55"/>
      <c r="E185" s="51"/>
      <c r="F185" s="54"/>
      <c r="G185" s="25"/>
      <c r="H185" s="25"/>
      <c r="I185" s="25"/>
      <c r="J185" s="25"/>
      <c r="K185" s="25"/>
    </row>
    <row r="186">
      <c r="B186" s="51"/>
      <c r="C186" s="52"/>
      <c r="D186" s="55"/>
      <c r="E186" s="51"/>
      <c r="F186" s="54"/>
      <c r="G186" s="25"/>
      <c r="H186" s="25"/>
      <c r="I186" s="25"/>
      <c r="J186" s="25"/>
      <c r="K186" s="25"/>
    </row>
    <row r="187">
      <c r="B187" s="51"/>
      <c r="C187" s="52"/>
      <c r="D187" s="55"/>
      <c r="E187" s="51"/>
      <c r="F187" s="54"/>
      <c r="G187" s="25"/>
      <c r="H187" s="25"/>
      <c r="I187" s="25"/>
      <c r="J187" s="25"/>
      <c r="K187" s="25"/>
    </row>
    <row r="188">
      <c r="B188" s="51"/>
      <c r="C188" s="52"/>
      <c r="D188" s="55"/>
      <c r="E188" s="51"/>
      <c r="F188" s="54"/>
      <c r="G188" s="25"/>
      <c r="H188" s="25"/>
      <c r="I188" s="25"/>
      <c r="J188" s="25"/>
      <c r="K188" s="25"/>
    </row>
    <row r="189">
      <c r="B189" s="51"/>
      <c r="C189" s="52"/>
      <c r="D189" s="55"/>
      <c r="E189" s="51"/>
      <c r="F189" s="54"/>
      <c r="G189" s="25"/>
      <c r="H189" s="25"/>
      <c r="I189" s="25"/>
      <c r="J189" s="25"/>
      <c r="K189" s="25"/>
    </row>
    <row r="190">
      <c r="B190" s="51"/>
      <c r="C190" s="52"/>
      <c r="D190" s="55"/>
      <c r="E190" s="51"/>
      <c r="F190" s="54"/>
      <c r="G190" s="25"/>
      <c r="H190" s="25"/>
      <c r="I190" s="25"/>
      <c r="J190" s="25"/>
      <c r="K190" s="25"/>
    </row>
    <row r="191">
      <c r="B191" s="51"/>
      <c r="C191" s="52"/>
      <c r="D191" s="55"/>
      <c r="E191" s="51"/>
      <c r="F191" s="54"/>
      <c r="G191" s="25"/>
      <c r="H191" s="25"/>
      <c r="I191" s="25"/>
      <c r="J191" s="25"/>
      <c r="K191" s="25"/>
    </row>
    <row r="192">
      <c r="B192" s="51"/>
      <c r="C192" s="52"/>
      <c r="D192" s="55"/>
      <c r="E192" s="51"/>
      <c r="F192" s="54"/>
      <c r="G192" s="25"/>
      <c r="H192" s="25"/>
      <c r="I192" s="25"/>
      <c r="J192" s="25"/>
      <c r="K192" s="25"/>
    </row>
    <row r="193">
      <c r="B193" s="51"/>
      <c r="C193" s="52"/>
      <c r="D193" s="55"/>
      <c r="E193" s="51"/>
      <c r="F193" s="54"/>
      <c r="G193" s="25"/>
      <c r="H193" s="25"/>
      <c r="I193" s="25"/>
      <c r="J193" s="25"/>
      <c r="K193" s="25"/>
    </row>
    <row r="194">
      <c r="B194" s="51"/>
      <c r="C194" s="52"/>
      <c r="D194" s="55"/>
      <c r="E194" s="51"/>
      <c r="F194" s="54"/>
      <c r="G194" s="25"/>
      <c r="H194" s="25"/>
      <c r="I194" s="25"/>
      <c r="J194" s="25"/>
      <c r="K194" s="25"/>
    </row>
    <row r="195">
      <c r="B195" s="51"/>
      <c r="C195" s="52"/>
      <c r="D195" s="55"/>
      <c r="E195" s="51"/>
      <c r="F195" s="54"/>
      <c r="G195" s="25"/>
      <c r="H195" s="25"/>
      <c r="I195" s="25"/>
      <c r="J195" s="25"/>
      <c r="K195" s="25"/>
    </row>
    <row r="196">
      <c r="B196" s="51"/>
      <c r="C196" s="52"/>
      <c r="D196" s="55"/>
      <c r="E196" s="51"/>
      <c r="F196" s="54"/>
      <c r="G196" s="25"/>
      <c r="H196" s="25"/>
      <c r="I196" s="25"/>
      <c r="J196" s="25"/>
      <c r="K196" s="25"/>
    </row>
    <row r="197">
      <c r="B197" s="51"/>
      <c r="C197" s="52"/>
      <c r="D197" s="55"/>
      <c r="E197" s="51"/>
      <c r="F197" s="54"/>
      <c r="G197" s="25"/>
      <c r="H197" s="25"/>
      <c r="I197" s="25"/>
      <c r="J197" s="25"/>
      <c r="K197" s="25"/>
    </row>
    <row r="198">
      <c r="B198" s="51"/>
      <c r="C198" s="52"/>
      <c r="D198" s="55"/>
      <c r="E198" s="51"/>
      <c r="F198" s="54"/>
      <c r="G198" s="25"/>
      <c r="H198" s="25"/>
      <c r="I198" s="25"/>
      <c r="J198" s="25"/>
      <c r="K198" s="25"/>
    </row>
    <row r="199">
      <c r="B199" s="51"/>
      <c r="C199" s="52"/>
      <c r="D199" s="55"/>
      <c r="E199" s="51"/>
      <c r="F199" s="54"/>
      <c r="G199" s="25"/>
      <c r="H199" s="25"/>
      <c r="I199" s="25"/>
      <c r="J199" s="25"/>
      <c r="K199" s="25"/>
    </row>
    <row r="200">
      <c r="B200" s="51"/>
      <c r="C200" s="52"/>
      <c r="D200" s="55"/>
      <c r="E200" s="51"/>
      <c r="F200" s="54"/>
      <c r="G200" s="25"/>
      <c r="H200" s="25"/>
      <c r="I200" s="25"/>
      <c r="J200" s="25"/>
      <c r="K200" s="25"/>
    </row>
    <row r="201">
      <c r="B201" s="51"/>
      <c r="C201" s="52"/>
      <c r="D201" s="55"/>
      <c r="E201" s="51"/>
      <c r="F201" s="54"/>
      <c r="G201" s="25"/>
      <c r="H201" s="25"/>
      <c r="I201" s="25"/>
      <c r="J201" s="25"/>
      <c r="K201" s="25"/>
    </row>
    <row r="202">
      <c r="B202" s="51"/>
      <c r="C202" s="52"/>
      <c r="D202" s="55"/>
      <c r="E202" s="51"/>
      <c r="F202" s="54"/>
      <c r="G202" s="25"/>
      <c r="H202" s="25"/>
      <c r="I202" s="25"/>
      <c r="J202" s="25"/>
      <c r="K202" s="25"/>
    </row>
    <row r="203">
      <c r="B203" s="51"/>
      <c r="C203" s="52"/>
      <c r="D203" s="55"/>
      <c r="E203" s="51"/>
      <c r="F203" s="54"/>
      <c r="G203" s="25"/>
      <c r="H203" s="25"/>
      <c r="I203" s="25"/>
      <c r="J203" s="25"/>
      <c r="K203" s="25"/>
    </row>
    <row r="204">
      <c r="B204" s="51"/>
      <c r="C204" s="52"/>
      <c r="D204" s="55"/>
      <c r="E204" s="51"/>
      <c r="F204" s="54"/>
      <c r="G204" s="25"/>
      <c r="H204" s="25"/>
      <c r="I204" s="25"/>
      <c r="J204" s="25"/>
      <c r="K204" s="25"/>
    </row>
    <row r="205">
      <c r="B205" s="51"/>
      <c r="C205" s="52"/>
      <c r="D205" s="55"/>
      <c r="E205" s="51"/>
      <c r="F205" s="54"/>
      <c r="G205" s="25"/>
      <c r="H205" s="25"/>
      <c r="I205" s="25"/>
      <c r="J205" s="25"/>
      <c r="K205" s="25"/>
    </row>
    <row r="206">
      <c r="B206" s="51"/>
      <c r="C206" s="52"/>
      <c r="D206" s="55"/>
      <c r="E206" s="51"/>
      <c r="F206" s="54"/>
      <c r="G206" s="25"/>
      <c r="H206" s="25"/>
      <c r="I206" s="25"/>
      <c r="J206" s="25"/>
      <c r="K206" s="25"/>
    </row>
    <row r="207">
      <c r="B207" s="51"/>
      <c r="C207" s="52"/>
      <c r="D207" s="55"/>
      <c r="E207" s="51"/>
      <c r="F207" s="54"/>
      <c r="G207" s="25"/>
      <c r="H207" s="25"/>
      <c r="I207" s="25"/>
      <c r="J207" s="25"/>
      <c r="K207" s="25"/>
    </row>
    <row r="208">
      <c r="B208" s="51"/>
      <c r="C208" s="52"/>
      <c r="D208" s="55"/>
      <c r="E208" s="51"/>
      <c r="F208" s="54"/>
      <c r="G208" s="25"/>
      <c r="H208" s="25"/>
      <c r="I208" s="25"/>
      <c r="J208" s="25"/>
      <c r="K208" s="25"/>
    </row>
    <row r="209">
      <c r="B209" s="51"/>
      <c r="C209" s="52"/>
      <c r="D209" s="55"/>
      <c r="E209" s="51"/>
      <c r="F209" s="54"/>
      <c r="G209" s="25"/>
      <c r="H209" s="25"/>
      <c r="I209" s="25"/>
      <c r="J209" s="25"/>
      <c r="K209" s="25"/>
    </row>
    <row r="210">
      <c r="B210" s="51"/>
      <c r="C210" s="52"/>
      <c r="D210" s="55"/>
      <c r="E210" s="51"/>
      <c r="F210" s="54"/>
      <c r="G210" s="25"/>
      <c r="H210" s="25"/>
      <c r="I210" s="25"/>
      <c r="J210" s="25"/>
      <c r="K210" s="25"/>
    </row>
    <row r="211">
      <c r="B211" s="51"/>
      <c r="C211" s="52"/>
      <c r="D211" s="55"/>
      <c r="E211" s="51"/>
      <c r="F211" s="54"/>
      <c r="G211" s="25"/>
      <c r="H211" s="25"/>
      <c r="I211" s="25"/>
      <c r="J211" s="25"/>
      <c r="K211" s="25"/>
    </row>
    <row r="212">
      <c r="B212" s="51"/>
      <c r="C212" s="52"/>
      <c r="D212" s="55"/>
      <c r="E212" s="51"/>
      <c r="F212" s="54"/>
      <c r="G212" s="25"/>
      <c r="H212" s="25"/>
      <c r="I212" s="25"/>
      <c r="J212" s="25"/>
      <c r="K212" s="25"/>
    </row>
    <row r="213">
      <c r="B213" s="51"/>
      <c r="C213" s="52"/>
      <c r="D213" s="55"/>
      <c r="E213" s="51"/>
      <c r="F213" s="54"/>
      <c r="G213" s="25"/>
      <c r="H213" s="25"/>
      <c r="I213" s="25"/>
      <c r="J213" s="25"/>
      <c r="K213" s="25"/>
    </row>
    <row r="214">
      <c r="B214" s="51"/>
      <c r="C214" s="52"/>
      <c r="D214" s="55"/>
      <c r="E214" s="51"/>
      <c r="F214" s="54"/>
      <c r="G214" s="25"/>
      <c r="H214" s="25"/>
      <c r="I214" s="25"/>
      <c r="J214" s="25"/>
      <c r="K214" s="25"/>
    </row>
    <row r="215">
      <c r="B215" s="51"/>
      <c r="C215" s="52"/>
      <c r="D215" s="55"/>
      <c r="E215" s="51"/>
      <c r="F215" s="54"/>
      <c r="G215" s="25"/>
      <c r="H215" s="25"/>
      <c r="I215" s="25"/>
      <c r="J215" s="25"/>
      <c r="K215" s="25"/>
    </row>
    <row r="216">
      <c r="B216" s="51"/>
      <c r="C216" s="52"/>
      <c r="D216" s="55"/>
      <c r="E216" s="51"/>
      <c r="F216" s="54"/>
      <c r="G216" s="25"/>
      <c r="H216" s="25"/>
      <c r="I216" s="25"/>
      <c r="J216" s="25"/>
      <c r="K216" s="25"/>
    </row>
    <row r="217">
      <c r="B217" s="51"/>
      <c r="C217" s="52"/>
      <c r="D217" s="55"/>
      <c r="E217" s="51"/>
      <c r="F217" s="54"/>
      <c r="G217" s="25"/>
      <c r="H217" s="25"/>
      <c r="I217" s="25"/>
      <c r="J217" s="25"/>
      <c r="K217" s="25"/>
    </row>
    <row r="218">
      <c r="B218" s="51"/>
      <c r="C218" s="52"/>
      <c r="D218" s="55"/>
      <c r="E218" s="51"/>
      <c r="F218" s="54"/>
      <c r="G218" s="25"/>
      <c r="H218" s="25"/>
      <c r="I218" s="25"/>
      <c r="J218" s="25"/>
      <c r="K218" s="25"/>
    </row>
    <row r="219">
      <c r="B219" s="51"/>
      <c r="C219" s="52"/>
      <c r="D219" s="55"/>
      <c r="E219" s="51"/>
      <c r="F219" s="54"/>
      <c r="G219" s="25"/>
      <c r="H219" s="25"/>
      <c r="I219" s="25"/>
      <c r="J219" s="25"/>
      <c r="K219" s="25"/>
    </row>
    <row r="220">
      <c r="B220" s="51"/>
      <c r="C220" s="52"/>
      <c r="D220" s="55"/>
      <c r="E220" s="51"/>
      <c r="F220" s="54"/>
      <c r="G220" s="25"/>
      <c r="H220" s="25"/>
      <c r="I220" s="25"/>
      <c r="J220" s="25"/>
      <c r="K220" s="25"/>
    </row>
    <row r="221">
      <c r="B221" s="51"/>
      <c r="C221" s="52"/>
      <c r="D221" s="55"/>
      <c r="E221" s="51"/>
      <c r="F221" s="54"/>
      <c r="G221" s="25"/>
      <c r="H221" s="25"/>
      <c r="I221" s="25"/>
      <c r="J221" s="25"/>
      <c r="K221" s="25"/>
    </row>
    <row r="222">
      <c r="B222" s="51"/>
      <c r="C222" s="52"/>
      <c r="D222" s="55"/>
      <c r="E222" s="51"/>
      <c r="F222" s="54"/>
      <c r="G222" s="25"/>
      <c r="H222" s="25"/>
      <c r="I222" s="25"/>
      <c r="J222" s="25"/>
      <c r="K222" s="25"/>
    </row>
    <row r="223">
      <c r="B223" s="51"/>
      <c r="C223" s="52"/>
      <c r="D223" s="55"/>
      <c r="E223" s="51"/>
      <c r="F223" s="54"/>
      <c r="G223" s="25"/>
      <c r="H223" s="25"/>
      <c r="I223" s="25"/>
      <c r="J223" s="25"/>
      <c r="K223" s="25"/>
    </row>
    <row r="224">
      <c r="B224" s="51"/>
      <c r="C224" s="52"/>
      <c r="D224" s="55"/>
      <c r="E224" s="51"/>
      <c r="F224" s="54"/>
      <c r="G224" s="25"/>
      <c r="H224" s="25"/>
      <c r="I224" s="25"/>
      <c r="J224" s="25"/>
      <c r="K224" s="25"/>
    </row>
    <row r="225">
      <c r="B225" s="51"/>
      <c r="C225" s="52"/>
      <c r="D225" s="55"/>
      <c r="E225" s="51"/>
      <c r="F225" s="54"/>
      <c r="G225" s="25"/>
      <c r="H225" s="25"/>
      <c r="I225" s="25"/>
      <c r="J225" s="25"/>
      <c r="K225" s="25"/>
    </row>
    <row r="226">
      <c r="B226" s="51"/>
      <c r="C226" s="52"/>
      <c r="D226" s="55"/>
      <c r="E226" s="51"/>
      <c r="F226" s="54"/>
      <c r="G226" s="25"/>
      <c r="H226" s="25"/>
      <c r="I226" s="25"/>
      <c r="J226" s="25"/>
      <c r="K226" s="25"/>
    </row>
    <row r="227">
      <c r="B227" s="51"/>
      <c r="C227" s="52"/>
      <c r="D227" s="55"/>
      <c r="E227" s="51"/>
      <c r="F227" s="54"/>
      <c r="G227" s="25"/>
      <c r="H227" s="25"/>
      <c r="I227" s="25"/>
      <c r="J227" s="25"/>
      <c r="K227" s="25"/>
    </row>
    <row r="228">
      <c r="B228" s="51"/>
      <c r="C228" s="52"/>
      <c r="D228" s="55"/>
      <c r="E228" s="51"/>
      <c r="F228" s="54"/>
      <c r="G228" s="25"/>
      <c r="H228" s="25"/>
      <c r="I228" s="25"/>
      <c r="J228" s="25"/>
      <c r="K228" s="25"/>
    </row>
    <row r="229">
      <c r="B229" s="51"/>
      <c r="C229" s="52"/>
      <c r="D229" s="55"/>
      <c r="E229" s="51"/>
      <c r="F229" s="54"/>
      <c r="G229" s="25"/>
      <c r="H229" s="25"/>
      <c r="I229" s="25"/>
      <c r="J229" s="25"/>
      <c r="K229" s="25"/>
    </row>
    <row r="230">
      <c r="B230" s="51"/>
      <c r="C230" s="52"/>
      <c r="D230" s="55"/>
      <c r="E230" s="51"/>
      <c r="F230" s="54"/>
      <c r="G230" s="25"/>
      <c r="H230" s="25"/>
      <c r="I230" s="25"/>
      <c r="J230" s="25"/>
      <c r="K230" s="25"/>
    </row>
    <row r="231">
      <c r="B231" s="51"/>
      <c r="C231" s="52"/>
      <c r="D231" s="55"/>
      <c r="E231" s="51"/>
      <c r="F231" s="54"/>
      <c r="G231" s="25"/>
      <c r="H231" s="25"/>
      <c r="I231" s="25"/>
      <c r="J231" s="25"/>
      <c r="K231" s="25"/>
    </row>
    <row r="232">
      <c r="B232" s="51"/>
      <c r="C232" s="52"/>
      <c r="D232" s="55"/>
      <c r="E232" s="51"/>
      <c r="F232" s="54"/>
      <c r="G232" s="25"/>
      <c r="H232" s="25"/>
      <c r="I232" s="25"/>
      <c r="J232" s="25"/>
      <c r="K232" s="25"/>
    </row>
    <row r="233">
      <c r="B233" s="51"/>
      <c r="C233" s="52"/>
      <c r="D233" s="55"/>
      <c r="E233" s="51"/>
      <c r="F233" s="54"/>
      <c r="G233" s="25"/>
      <c r="H233" s="25"/>
      <c r="I233" s="25"/>
      <c r="J233" s="25"/>
      <c r="K233" s="25"/>
    </row>
    <row r="234">
      <c r="B234" s="51"/>
      <c r="C234" s="52"/>
      <c r="D234" s="55"/>
      <c r="E234" s="51"/>
      <c r="F234" s="54"/>
      <c r="G234" s="25"/>
      <c r="H234" s="25"/>
      <c r="I234" s="25"/>
      <c r="J234" s="25"/>
      <c r="K234" s="25"/>
    </row>
    <row r="235">
      <c r="B235" s="51"/>
      <c r="C235" s="52"/>
      <c r="D235" s="55"/>
      <c r="E235" s="51"/>
      <c r="F235" s="54"/>
      <c r="G235" s="25"/>
      <c r="H235" s="25"/>
      <c r="I235" s="25"/>
      <c r="J235" s="25"/>
      <c r="K235" s="25"/>
    </row>
    <row r="236">
      <c r="B236" s="51"/>
      <c r="C236" s="52"/>
      <c r="D236" s="55"/>
      <c r="E236" s="51"/>
      <c r="F236" s="54"/>
      <c r="G236" s="25"/>
      <c r="H236" s="25"/>
      <c r="I236" s="25"/>
      <c r="J236" s="25"/>
      <c r="K236" s="25"/>
    </row>
    <row r="237">
      <c r="B237" s="51"/>
      <c r="C237" s="52"/>
      <c r="D237" s="55"/>
      <c r="E237" s="51"/>
      <c r="F237" s="54"/>
      <c r="G237" s="25"/>
      <c r="H237" s="25"/>
      <c r="I237" s="25"/>
      <c r="J237" s="25"/>
      <c r="K237" s="25"/>
    </row>
    <row r="238">
      <c r="B238" s="51"/>
      <c r="C238" s="52"/>
      <c r="D238" s="55"/>
      <c r="E238" s="51"/>
      <c r="F238" s="54"/>
      <c r="G238" s="25"/>
      <c r="H238" s="25"/>
      <c r="I238" s="25"/>
      <c r="J238" s="25"/>
      <c r="K238" s="25"/>
    </row>
    <row r="239">
      <c r="B239" s="51"/>
      <c r="C239" s="52"/>
      <c r="D239" s="55"/>
      <c r="E239" s="51"/>
      <c r="F239" s="54"/>
      <c r="G239" s="25"/>
      <c r="H239" s="25"/>
      <c r="I239" s="25"/>
      <c r="J239" s="25"/>
      <c r="K239" s="25"/>
    </row>
    <row r="240">
      <c r="B240" s="51"/>
      <c r="C240" s="52"/>
      <c r="D240" s="55"/>
      <c r="E240" s="51"/>
      <c r="F240" s="54"/>
      <c r="G240" s="25"/>
      <c r="H240" s="25"/>
      <c r="I240" s="25"/>
      <c r="J240" s="25"/>
      <c r="K240" s="25"/>
    </row>
    <row r="241">
      <c r="B241" s="51"/>
      <c r="C241" s="52"/>
      <c r="D241" s="55"/>
      <c r="E241" s="51"/>
      <c r="F241" s="54"/>
      <c r="G241" s="25"/>
      <c r="H241" s="25"/>
      <c r="I241" s="25"/>
      <c r="J241" s="25"/>
      <c r="K241" s="25"/>
    </row>
    <row r="242">
      <c r="B242" s="51"/>
      <c r="C242" s="52"/>
      <c r="D242" s="55"/>
      <c r="E242" s="51"/>
      <c r="F242" s="54"/>
      <c r="G242" s="25"/>
      <c r="H242" s="25"/>
      <c r="I242" s="25"/>
      <c r="J242" s="25"/>
      <c r="K242" s="25"/>
    </row>
    <row r="243">
      <c r="B243" s="51"/>
      <c r="C243" s="52"/>
      <c r="D243" s="55"/>
      <c r="E243" s="51"/>
      <c r="F243" s="54"/>
      <c r="G243" s="25"/>
      <c r="H243" s="25"/>
      <c r="I243" s="25"/>
      <c r="J243" s="25"/>
      <c r="K243" s="25"/>
    </row>
    <row r="244">
      <c r="B244" s="51"/>
      <c r="C244" s="52"/>
      <c r="D244" s="55"/>
      <c r="E244" s="51"/>
      <c r="F244" s="54"/>
      <c r="G244" s="25"/>
      <c r="H244" s="25"/>
      <c r="I244" s="25"/>
      <c r="J244" s="25"/>
      <c r="K244" s="25"/>
    </row>
    <row r="245">
      <c r="B245" s="51"/>
      <c r="C245" s="52"/>
      <c r="D245" s="55"/>
      <c r="E245" s="51"/>
      <c r="F245" s="54"/>
      <c r="G245" s="25"/>
      <c r="H245" s="25"/>
      <c r="I245" s="25"/>
      <c r="J245" s="25"/>
      <c r="K245" s="25"/>
    </row>
    <row r="246">
      <c r="B246" s="51"/>
      <c r="C246" s="52"/>
      <c r="D246" s="55"/>
      <c r="E246" s="51"/>
      <c r="F246" s="54"/>
      <c r="G246" s="25"/>
      <c r="H246" s="25"/>
      <c r="I246" s="25"/>
      <c r="J246" s="25"/>
      <c r="K246" s="25"/>
    </row>
    <row r="247">
      <c r="B247" s="51"/>
      <c r="C247" s="52"/>
      <c r="D247" s="55"/>
      <c r="E247" s="51"/>
      <c r="F247" s="54"/>
      <c r="G247" s="25"/>
      <c r="H247" s="25"/>
      <c r="I247" s="25"/>
      <c r="J247" s="25"/>
      <c r="K247" s="25"/>
    </row>
    <row r="248">
      <c r="B248" s="51"/>
      <c r="C248" s="52"/>
      <c r="D248" s="55"/>
      <c r="E248" s="51"/>
      <c r="F248" s="54"/>
      <c r="G248" s="25"/>
      <c r="H248" s="25"/>
      <c r="I248" s="25"/>
      <c r="J248" s="25"/>
      <c r="K248" s="25"/>
    </row>
    <row r="249">
      <c r="B249" s="51"/>
      <c r="C249" s="52"/>
      <c r="D249" s="55"/>
      <c r="E249" s="51"/>
      <c r="F249" s="54"/>
      <c r="G249" s="25"/>
      <c r="H249" s="25"/>
      <c r="I249" s="25"/>
      <c r="J249" s="25"/>
      <c r="K249" s="25"/>
    </row>
    <row r="250">
      <c r="B250" s="51"/>
      <c r="C250" s="52"/>
      <c r="D250" s="55"/>
      <c r="E250" s="51"/>
      <c r="F250" s="54"/>
      <c r="G250" s="25"/>
      <c r="H250" s="25"/>
      <c r="I250" s="25"/>
      <c r="J250" s="25"/>
      <c r="K250" s="25"/>
    </row>
    <row r="251">
      <c r="B251" s="51"/>
      <c r="C251" s="52"/>
      <c r="D251" s="55"/>
      <c r="E251" s="51"/>
      <c r="F251" s="54"/>
      <c r="G251" s="25"/>
      <c r="H251" s="25"/>
      <c r="I251" s="25"/>
      <c r="J251" s="25"/>
      <c r="K251" s="25"/>
    </row>
    <row r="252">
      <c r="B252" s="51"/>
      <c r="C252" s="52"/>
      <c r="D252" s="55"/>
      <c r="E252" s="51"/>
      <c r="F252" s="54"/>
      <c r="G252" s="25"/>
      <c r="H252" s="25"/>
      <c r="I252" s="25"/>
      <c r="J252" s="25"/>
      <c r="K252" s="25"/>
    </row>
    <row r="253">
      <c r="B253" s="51"/>
      <c r="C253" s="52"/>
      <c r="D253" s="55"/>
      <c r="E253" s="51"/>
      <c r="F253" s="54"/>
      <c r="G253" s="25"/>
      <c r="H253" s="25"/>
      <c r="I253" s="25"/>
      <c r="J253" s="25"/>
      <c r="K253" s="25"/>
    </row>
    <row r="254">
      <c r="B254" s="51"/>
      <c r="C254" s="52"/>
      <c r="D254" s="55"/>
      <c r="E254" s="51"/>
      <c r="F254" s="54"/>
      <c r="G254" s="25"/>
      <c r="H254" s="25"/>
      <c r="I254" s="25"/>
      <c r="J254" s="25"/>
      <c r="K254" s="25"/>
    </row>
    <row r="255">
      <c r="B255" s="51"/>
      <c r="C255" s="52"/>
      <c r="D255" s="55"/>
      <c r="E255" s="51"/>
      <c r="F255" s="54"/>
      <c r="G255" s="25"/>
      <c r="H255" s="25"/>
      <c r="I255" s="25"/>
      <c r="J255" s="25"/>
      <c r="K255" s="25"/>
    </row>
    <row r="256">
      <c r="B256" s="51"/>
      <c r="C256" s="52"/>
      <c r="D256" s="55"/>
      <c r="E256" s="51"/>
      <c r="F256" s="54"/>
      <c r="G256" s="25"/>
      <c r="H256" s="25"/>
      <c r="I256" s="25"/>
      <c r="J256" s="25"/>
      <c r="K256" s="25"/>
    </row>
    <row r="257">
      <c r="B257" s="51"/>
      <c r="C257" s="52"/>
      <c r="D257" s="55"/>
      <c r="E257" s="51"/>
      <c r="F257" s="54"/>
      <c r="G257" s="25"/>
      <c r="H257" s="25"/>
      <c r="I257" s="25"/>
      <c r="J257" s="25"/>
      <c r="K257" s="25"/>
    </row>
    <row r="258">
      <c r="B258" s="51"/>
      <c r="C258" s="52"/>
      <c r="D258" s="55"/>
      <c r="E258" s="51"/>
      <c r="F258" s="54"/>
      <c r="G258" s="25"/>
      <c r="H258" s="25"/>
      <c r="I258" s="25"/>
      <c r="J258" s="25"/>
      <c r="K258" s="25"/>
    </row>
    <row r="259">
      <c r="B259" s="51"/>
      <c r="C259" s="52"/>
      <c r="D259" s="55"/>
      <c r="E259" s="51"/>
      <c r="F259" s="54"/>
      <c r="G259" s="25"/>
      <c r="H259" s="25"/>
      <c r="I259" s="25"/>
      <c r="J259" s="25"/>
      <c r="K259" s="25"/>
    </row>
    <row r="260">
      <c r="B260" s="51"/>
      <c r="C260" s="52"/>
      <c r="D260" s="55"/>
      <c r="E260" s="51"/>
      <c r="F260" s="54"/>
      <c r="G260" s="25"/>
      <c r="H260" s="25"/>
      <c r="I260" s="25"/>
      <c r="J260" s="25"/>
      <c r="K260" s="25"/>
    </row>
    <row r="261">
      <c r="B261" s="51"/>
      <c r="C261" s="52"/>
      <c r="D261" s="55"/>
      <c r="E261" s="51"/>
      <c r="F261" s="54"/>
      <c r="G261" s="25"/>
      <c r="H261" s="25"/>
      <c r="I261" s="25"/>
      <c r="J261" s="25"/>
      <c r="K261" s="25"/>
    </row>
    <row r="262">
      <c r="B262" s="51"/>
      <c r="C262" s="52"/>
      <c r="D262" s="55"/>
      <c r="E262" s="51"/>
      <c r="F262" s="54"/>
      <c r="G262" s="25"/>
      <c r="H262" s="25"/>
      <c r="I262" s="25"/>
      <c r="J262" s="25"/>
      <c r="K262" s="25"/>
    </row>
    <row r="263">
      <c r="B263" s="51"/>
      <c r="C263" s="52"/>
      <c r="D263" s="55"/>
      <c r="E263" s="51"/>
      <c r="F263" s="54"/>
      <c r="G263" s="25"/>
      <c r="H263" s="25"/>
      <c r="I263" s="25"/>
      <c r="J263" s="25"/>
      <c r="K263" s="25"/>
    </row>
    <row r="264">
      <c r="B264" s="51"/>
      <c r="C264" s="52"/>
      <c r="D264" s="55"/>
      <c r="E264" s="51"/>
      <c r="F264" s="54"/>
      <c r="G264" s="25"/>
      <c r="H264" s="25"/>
      <c r="I264" s="25"/>
      <c r="J264" s="25"/>
      <c r="K264" s="25"/>
    </row>
    <row r="265">
      <c r="B265" s="51"/>
      <c r="C265" s="52"/>
      <c r="D265" s="55"/>
      <c r="E265" s="51"/>
      <c r="F265" s="54"/>
      <c r="G265" s="25"/>
      <c r="H265" s="25"/>
      <c r="I265" s="25"/>
      <c r="J265" s="25"/>
      <c r="K265" s="25"/>
    </row>
    <row r="266">
      <c r="B266" s="51"/>
      <c r="C266" s="52"/>
      <c r="D266" s="55"/>
      <c r="E266" s="51"/>
      <c r="F266" s="54"/>
      <c r="G266" s="25"/>
      <c r="H266" s="25"/>
      <c r="I266" s="25"/>
      <c r="J266" s="25"/>
      <c r="K266" s="25"/>
    </row>
    <row r="267">
      <c r="B267" s="51"/>
      <c r="C267" s="52"/>
      <c r="D267" s="55"/>
      <c r="E267" s="51"/>
      <c r="F267" s="54"/>
      <c r="G267" s="25"/>
      <c r="H267" s="25"/>
      <c r="I267" s="25"/>
      <c r="J267" s="25"/>
      <c r="K267" s="25"/>
    </row>
    <row r="268">
      <c r="B268" s="51"/>
      <c r="C268" s="52"/>
      <c r="D268" s="55"/>
      <c r="E268" s="51"/>
      <c r="F268" s="54"/>
      <c r="G268" s="25"/>
      <c r="H268" s="25"/>
      <c r="I268" s="25"/>
      <c r="J268" s="25"/>
      <c r="K268" s="25"/>
    </row>
    <row r="269">
      <c r="B269" s="51"/>
      <c r="C269" s="52"/>
      <c r="D269" s="55"/>
      <c r="E269" s="51"/>
      <c r="F269" s="54"/>
      <c r="G269" s="25"/>
      <c r="H269" s="25"/>
      <c r="I269" s="25"/>
      <c r="J269" s="25"/>
      <c r="K269" s="25"/>
    </row>
    <row r="270">
      <c r="B270" s="51"/>
      <c r="C270" s="52"/>
      <c r="D270" s="55"/>
      <c r="E270" s="51"/>
      <c r="F270" s="54"/>
      <c r="G270" s="25"/>
      <c r="H270" s="25"/>
      <c r="I270" s="25"/>
      <c r="J270" s="25"/>
      <c r="K270" s="25"/>
    </row>
    <row r="271">
      <c r="B271" s="51"/>
      <c r="C271" s="52"/>
      <c r="D271" s="55"/>
      <c r="E271" s="51"/>
      <c r="F271" s="54"/>
      <c r="G271" s="25"/>
      <c r="H271" s="25"/>
      <c r="I271" s="25"/>
      <c r="J271" s="25"/>
      <c r="K271" s="25"/>
    </row>
    <row r="272">
      <c r="B272" s="51"/>
      <c r="C272" s="52"/>
      <c r="D272" s="55"/>
      <c r="E272" s="51"/>
      <c r="F272" s="54"/>
      <c r="G272" s="25"/>
      <c r="H272" s="25"/>
      <c r="I272" s="25"/>
      <c r="J272" s="25"/>
      <c r="K272" s="25"/>
    </row>
    <row r="273">
      <c r="B273" s="51"/>
      <c r="C273" s="52"/>
      <c r="D273" s="55"/>
      <c r="E273" s="51"/>
      <c r="F273" s="54"/>
      <c r="G273" s="25"/>
      <c r="H273" s="25"/>
      <c r="I273" s="25"/>
      <c r="J273" s="25"/>
      <c r="K273" s="25"/>
    </row>
    <row r="274">
      <c r="B274" s="51"/>
      <c r="C274" s="52"/>
      <c r="D274" s="55"/>
      <c r="E274" s="51"/>
      <c r="F274" s="54"/>
      <c r="G274" s="25"/>
      <c r="H274" s="25"/>
      <c r="I274" s="25"/>
      <c r="J274" s="25"/>
      <c r="K274" s="25"/>
    </row>
    <row r="275">
      <c r="B275" s="51"/>
      <c r="C275" s="52"/>
      <c r="D275" s="55"/>
      <c r="E275" s="51"/>
      <c r="F275" s="54"/>
      <c r="G275" s="25"/>
      <c r="H275" s="25"/>
      <c r="I275" s="25"/>
      <c r="J275" s="25"/>
      <c r="K275" s="25"/>
    </row>
    <row r="276">
      <c r="B276" s="51"/>
      <c r="C276" s="52"/>
      <c r="D276" s="55"/>
      <c r="E276" s="51"/>
      <c r="F276" s="54"/>
      <c r="G276" s="25"/>
      <c r="H276" s="25"/>
      <c r="I276" s="25"/>
      <c r="J276" s="25"/>
      <c r="K276" s="25"/>
    </row>
    <row r="277">
      <c r="B277" s="51"/>
      <c r="C277" s="52"/>
      <c r="D277" s="55"/>
      <c r="E277" s="51"/>
      <c r="F277" s="54"/>
      <c r="G277" s="25"/>
      <c r="H277" s="25"/>
      <c r="I277" s="25"/>
      <c r="J277" s="25"/>
      <c r="K277" s="25"/>
    </row>
    <row r="278">
      <c r="B278" s="51"/>
      <c r="C278" s="52"/>
      <c r="D278" s="55"/>
      <c r="E278" s="51"/>
      <c r="F278" s="54"/>
      <c r="G278" s="25"/>
      <c r="H278" s="25"/>
      <c r="I278" s="25"/>
      <c r="J278" s="25"/>
      <c r="K278" s="25"/>
    </row>
    <row r="279">
      <c r="B279" s="51"/>
      <c r="C279" s="52"/>
      <c r="D279" s="55"/>
      <c r="E279" s="51"/>
      <c r="F279" s="54"/>
      <c r="G279" s="25"/>
      <c r="H279" s="25"/>
      <c r="I279" s="25"/>
      <c r="J279" s="25"/>
      <c r="K279" s="25"/>
    </row>
    <row r="280">
      <c r="B280" s="51"/>
      <c r="C280" s="52"/>
      <c r="D280" s="55"/>
      <c r="E280" s="51"/>
      <c r="F280" s="54"/>
      <c r="G280" s="25"/>
      <c r="H280" s="25"/>
      <c r="I280" s="25"/>
      <c r="J280" s="25"/>
      <c r="K280" s="25"/>
    </row>
    <row r="281">
      <c r="B281" s="51"/>
      <c r="C281" s="52"/>
      <c r="D281" s="55"/>
      <c r="E281" s="51"/>
      <c r="F281" s="54"/>
      <c r="G281" s="25"/>
      <c r="H281" s="25"/>
      <c r="I281" s="25"/>
      <c r="J281" s="25"/>
      <c r="K281" s="25"/>
    </row>
    <row r="282">
      <c r="B282" s="51"/>
      <c r="C282" s="52"/>
      <c r="D282" s="55"/>
      <c r="E282" s="51"/>
      <c r="F282" s="54"/>
      <c r="G282" s="25"/>
      <c r="H282" s="25"/>
      <c r="I282" s="25"/>
      <c r="J282" s="25"/>
      <c r="K282" s="25"/>
    </row>
    <row r="283">
      <c r="B283" s="51"/>
      <c r="C283" s="52"/>
      <c r="D283" s="55"/>
      <c r="E283" s="51"/>
      <c r="F283" s="54"/>
      <c r="G283" s="25"/>
      <c r="H283" s="25"/>
      <c r="I283" s="25"/>
      <c r="J283" s="25"/>
      <c r="K283" s="25"/>
    </row>
    <row r="284">
      <c r="B284" s="51"/>
      <c r="C284" s="52"/>
      <c r="D284" s="55"/>
      <c r="E284" s="51"/>
      <c r="F284" s="54"/>
      <c r="G284" s="25"/>
      <c r="H284" s="25"/>
      <c r="I284" s="25"/>
      <c r="J284" s="25"/>
      <c r="K284" s="25"/>
    </row>
    <row r="285">
      <c r="B285" s="51"/>
      <c r="C285" s="52"/>
      <c r="D285" s="55"/>
      <c r="E285" s="51"/>
      <c r="F285" s="54"/>
      <c r="G285" s="25"/>
      <c r="H285" s="25"/>
      <c r="I285" s="25"/>
      <c r="J285" s="25"/>
      <c r="K285" s="25"/>
    </row>
    <row r="286">
      <c r="B286" s="51"/>
      <c r="C286" s="52"/>
      <c r="D286" s="55"/>
      <c r="E286" s="51"/>
      <c r="F286" s="54"/>
      <c r="G286" s="25"/>
      <c r="H286" s="25"/>
      <c r="I286" s="25"/>
      <c r="J286" s="25"/>
      <c r="K286" s="25"/>
    </row>
    <row r="287">
      <c r="B287" s="51"/>
      <c r="C287" s="52"/>
      <c r="D287" s="55"/>
      <c r="E287" s="51"/>
      <c r="F287" s="54"/>
      <c r="G287" s="25"/>
      <c r="H287" s="25"/>
      <c r="I287" s="25"/>
      <c r="J287" s="25"/>
      <c r="K287" s="25"/>
    </row>
    <row r="288">
      <c r="B288" s="51"/>
      <c r="C288" s="52"/>
      <c r="D288" s="55"/>
      <c r="E288" s="51"/>
      <c r="F288" s="54"/>
      <c r="G288" s="25"/>
      <c r="H288" s="25"/>
      <c r="I288" s="25"/>
      <c r="J288" s="25"/>
      <c r="K288" s="25"/>
    </row>
    <row r="289">
      <c r="B289" s="51"/>
      <c r="C289" s="52"/>
      <c r="D289" s="55"/>
      <c r="E289" s="51"/>
      <c r="F289" s="54"/>
      <c r="G289" s="25"/>
      <c r="H289" s="25"/>
      <c r="I289" s="25"/>
      <c r="J289" s="25"/>
      <c r="K289" s="25"/>
    </row>
    <row r="290">
      <c r="B290" s="51"/>
      <c r="C290" s="52"/>
      <c r="D290" s="55"/>
      <c r="E290" s="51"/>
      <c r="F290" s="54"/>
      <c r="G290" s="25"/>
      <c r="H290" s="25"/>
      <c r="I290" s="25"/>
      <c r="J290" s="25"/>
      <c r="K290" s="25"/>
    </row>
    <row r="291">
      <c r="B291" s="51"/>
      <c r="C291" s="52"/>
      <c r="D291" s="55"/>
      <c r="E291" s="51"/>
      <c r="F291" s="54"/>
      <c r="G291" s="25"/>
      <c r="H291" s="25"/>
      <c r="I291" s="25"/>
      <c r="J291" s="25"/>
      <c r="K291" s="25"/>
    </row>
    <row r="292">
      <c r="B292" s="51"/>
      <c r="C292" s="52"/>
      <c r="D292" s="55"/>
      <c r="E292" s="51"/>
      <c r="F292" s="54"/>
      <c r="G292" s="25"/>
      <c r="H292" s="25"/>
      <c r="I292" s="25"/>
      <c r="J292" s="25"/>
      <c r="K292" s="25"/>
    </row>
    <row r="293">
      <c r="B293" s="51"/>
      <c r="C293" s="52"/>
      <c r="D293" s="55"/>
      <c r="E293" s="51"/>
      <c r="F293" s="54"/>
      <c r="G293" s="25"/>
      <c r="H293" s="25"/>
      <c r="I293" s="25"/>
      <c r="J293" s="25"/>
      <c r="K293" s="25"/>
    </row>
    <row r="294">
      <c r="B294" s="51"/>
      <c r="C294" s="52"/>
      <c r="D294" s="55"/>
      <c r="E294" s="51"/>
      <c r="F294" s="54"/>
      <c r="G294" s="25"/>
      <c r="H294" s="25"/>
      <c r="I294" s="25"/>
      <c r="J294" s="25"/>
      <c r="K294" s="25"/>
    </row>
    <row r="295">
      <c r="B295" s="51"/>
      <c r="C295" s="52"/>
      <c r="D295" s="55"/>
      <c r="E295" s="51"/>
      <c r="F295" s="54"/>
      <c r="G295" s="25"/>
      <c r="H295" s="25"/>
      <c r="I295" s="25"/>
      <c r="J295" s="25"/>
      <c r="K295" s="25"/>
    </row>
    <row r="296">
      <c r="B296" s="51"/>
      <c r="C296" s="52"/>
      <c r="D296" s="55"/>
      <c r="E296" s="51"/>
      <c r="F296" s="54"/>
      <c r="G296" s="25"/>
      <c r="H296" s="25"/>
      <c r="I296" s="25"/>
      <c r="J296" s="25"/>
      <c r="K296" s="25"/>
    </row>
    <row r="297">
      <c r="B297" s="51"/>
      <c r="C297" s="52"/>
      <c r="D297" s="55"/>
      <c r="E297" s="51"/>
      <c r="F297" s="54"/>
      <c r="G297" s="25"/>
      <c r="H297" s="25"/>
      <c r="I297" s="25"/>
      <c r="J297" s="25"/>
      <c r="K297" s="25"/>
    </row>
    <row r="298">
      <c r="B298" s="51"/>
      <c r="C298" s="52"/>
      <c r="D298" s="55"/>
      <c r="E298" s="51"/>
      <c r="F298" s="54"/>
      <c r="G298" s="25"/>
      <c r="H298" s="25"/>
      <c r="I298" s="25"/>
      <c r="J298" s="25"/>
      <c r="K298" s="25"/>
    </row>
    <row r="299">
      <c r="B299" s="51"/>
      <c r="C299" s="52"/>
      <c r="D299" s="55"/>
      <c r="E299" s="51"/>
      <c r="F299" s="54"/>
      <c r="G299" s="25"/>
      <c r="H299" s="25"/>
      <c r="I299" s="25"/>
      <c r="J299" s="25"/>
      <c r="K299" s="25"/>
    </row>
    <row r="300">
      <c r="B300" s="51"/>
      <c r="C300" s="52"/>
      <c r="D300" s="55"/>
      <c r="E300" s="51"/>
      <c r="F300" s="54"/>
      <c r="G300" s="25"/>
      <c r="H300" s="25"/>
      <c r="I300" s="25"/>
      <c r="J300" s="25"/>
      <c r="K300" s="25"/>
    </row>
    <row r="301">
      <c r="B301" s="51"/>
      <c r="C301" s="52"/>
      <c r="D301" s="55"/>
      <c r="E301" s="51"/>
      <c r="F301" s="54"/>
      <c r="G301" s="25"/>
      <c r="H301" s="25"/>
      <c r="I301" s="25"/>
      <c r="J301" s="25"/>
      <c r="K301" s="25"/>
    </row>
    <row r="302">
      <c r="B302" s="51"/>
      <c r="C302" s="52"/>
      <c r="D302" s="55"/>
      <c r="E302" s="51"/>
      <c r="F302" s="54"/>
      <c r="G302" s="25"/>
      <c r="H302" s="25"/>
      <c r="I302" s="25"/>
      <c r="J302" s="25"/>
      <c r="K302" s="25"/>
    </row>
    <row r="303">
      <c r="B303" s="51"/>
      <c r="C303" s="52"/>
      <c r="D303" s="55"/>
      <c r="E303" s="51"/>
      <c r="F303" s="54"/>
      <c r="G303" s="25"/>
      <c r="H303" s="25"/>
      <c r="I303" s="25"/>
      <c r="J303" s="25"/>
      <c r="K303" s="25"/>
    </row>
    <row r="304">
      <c r="B304" s="51"/>
      <c r="C304" s="52"/>
      <c r="D304" s="55"/>
      <c r="E304" s="51"/>
      <c r="F304" s="54"/>
      <c r="G304" s="25"/>
      <c r="H304" s="25"/>
      <c r="I304" s="25"/>
      <c r="J304" s="25"/>
      <c r="K304" s="25"/>
    </row>
    <row r="305">
      <c r="B305" s="51"/>
      <c r="C305" s="52"/>
      <c r="D305" s="55"/>
      <c r="E305" s="51"/>
      <c r="F305" s="54"/>
      <c r="G305" s="25"/>
      <c r="H305" s="25"/>
      <c r="I305" s="25"/>
      <c r="J305" s="25"/>
      <c r="K305" s="25"/>
    </row>
    <row r="306">
      <c r="B306" s="51"/>
      <c r="C306" s="52"/>
      <c r="D306" s="55"/>
      <c r="E306" s="51"/>
      <c r="F306" s="54"/>
      <c r="G306" s="25"/>
      <c r="H306" s="25"/>
      <c r="I306" s="25"/>
      <c r="J306" s="25"/>
      <c r="K306" s="25"/>
    </row>
    <row r="307">
      <c r="B307" s="51"/>
      <c r="C307" s="52"/>
      <c r="D307" s="55"/>
      <c r="E307" s="51"/>
      <c r="F307" s="54"/>
      <c r="G307" s="25"/>
      <c r="H307" s="25"/>
      <c r="I307" s="25"/>
      <c r="J307" s="25"/>
      <c r="K307" s="25"/>
    </row>
    <row r="308">
      <c r="B308" s="51"/>
      <c r="C308" s="52"/>
      <c r="D308" s="55"/>
      <c r="E308" s="51"/>
      <c r="F308" s="54"/>
      <c r="G308" s="25"/>
      <c r="H308" s="25"/>
      <c r="I308" s="25"/>
      <c r="J308" s="25"/>
      <c r="K308" s="25"/>
    </row>
    <row r="309">
      <c r="B309" s="51"/>
      <c r="C309" s="52"/>
      <c r="D309" s="55"/>
      <c r="E309" s="51"/>
      <c r="F309" s="54"/>
      <c r="G309" s="25"/>
      <c r="H309" s="25"/>
      <c r="I309" s="25"/>
      <c r="J309" s="25"/>
      <c r="K309" s="25"/>
    </row>
    <row r="310">
      <c r="B310" s="51"/>
      <c r="C310" s="52"/>
      <c r="D310" s="55"/>
      <c r="E310" s="51"/>
      <c r="F310" s="54"/>
      <c r="G310" s="25"/>
      <c r="H310" s="25"/>
      <c r="I310" s="25"/>
      <c r="J310" s="25"/>
      <c r="K310" s="25"/>
    </row>
    <row r="311">
      <c r="B311" s="51"/>
      <c r="C311" s="52"/>
      <c r="D311" s="55"/>
      <c r="E311" s="51"/>
      <c r="F311" s="54"/>
      <c r="G311" s="25"/>
      <c r="H311" s="25"/>
      <c r="I311" s="25"/>
      <c r="J311" s="25"/>
      <c r="K311" s="25"/>
    </row>
    <row r="312">
      <c r="B312" s="51"/>
      <c r="C312" s="52"/>
      <c r="D312" s="55"/>
      <c r="E312" s="51"/>
      <c r="F312" s="54"/>
      <c r="G312" s="25"/>
      <c r="H312" s="25"/>
      <c r="I312" s="25"/>
      <c r="J312" s="25"/>
      <c r="K312" s="25"/>
    </row>
    <row r="313">
      <c r="B313" s="51"/>
      <c r="C313" s="52"/>
      <c r="D313" s="55"/>
      <c r="E313" s="51"/>
      <c r="F313" s="54"/>
      <c r="G313" s="25"/>
      <c r="H313" s="25"/>
      <c r="I313" s="25"/>
      <c r="J313" s="25"/>
      <c r="K313" s="25"/>
    </row>
    <row r="314">
      <c r="B314" s="51"/>
      <c r="C314" s="52"/>
      <c r="D314" s="55"/>
      <c r="E314" s="51"/>
      <c r="F314" s="54"/>
      <c r="G314" s="25"/>
      <c r="H314" s="25"/>
      <c r="I314" s="25"/>
      <c r="J314" s="25"/>
      <c r="K314" s="25"/>
    </row>
    <row r="315">
      <c r="B315" s="51"/>
      <c r="C315" s="52"/>
      <c r="D315" s="55"/>
      <c r="E315" s="51"/>
      <c r="F315" s="54"/>
      <c r="G315" s="25"/>
      <c r="H315" s="25"/>
      <c r="I315" s="25"/>
      <c r="J315" s="25"/>
      <c r="K315" s="25"/>
    </row>
    <row r="316">
      <c r="B316" s="51"/>
      <c r="C316" s="52"/>
      <c r="D316" s="55"/>
      <c r="E316" s="51"/>
      <c r="F316" s="54"/>
      <c r="G316" s="25"/>
      <c r="H316" s="25"/>
      <c r="I316" s="25"/>
      <c r="J316" s="25"/>
      <c r="K316" s="25"/>
    </row>
    <row r="317">
      <c r="B317" s="51"/>
      <c r="C317" s="52"/>
      <c r="D317" s="55"/>
      <c r="E317" s="51"/>
      <c r="F317" s="54"/>
      <c r="G317" s="25"/>
      <c r="H317" s="25"/>
      <c r="I317" s="25"/>
      <c r="J317" s="25"/>
      <c r="K317" s="25"/>
    </row>
    <row r="318">
      <c r="B318" s="51"/>
      <c r="C318" s="52"/>
      <c r="D318" s="55"/>
      <c r="E318" s="51"/>
      <c r="F318" s="54"/>
      <c r="G318" s="25"/>
      <c r="H318" s="25"/>
      <c r="I318" s="25"/>
      <c r="J318" s="25"/>
      <c r="K318" s="25"/>
    </row>
    <row r="319">
      <c r="B319" s="51"/>
      <c r="C319" s="52"/>
      <c r="D319" s="55"/>
      <c r="E319" s="51"/>
      <c r="F319" s="54"/>
      <c r="G319" s="25"/>
      <c r="H319" s="25"/>
      <c r="I319" s="25"/>
      <c r="J319" s="25"/>
      <c r="K319" s="25"/>
    </row>
    <row r="320">
      <c r="B320" s="51"/>
      <c r="C320" s="52"/>
      <c r="D320" s="55"/>
      <c r="E320" s="51"/>
      <c r="F320" s="54"/>
      <c r="G320" s="25"/>
      <c r="H320" s="25"/>
      <c r="I320" s="25"/>
      <c r="J320" s="25"/>
      <c r="K320" s="25"/>
    </row>
    <row r="321">
      <c r="B321" s="51"/>
      <c r="C321" s="52"/>
      <c r="D321" s="55"/>
      <c r="E321" s="51"/>
      <c r="F321" s="54"/>
      <c r="G321" s="25"/>
      <c r="H321" s="25"/>
      <c r="I321" s="25"/>
      <c r="J321" s="25"/>
      <c r="K321" s="25"/>
    </row>
    <row r="322">
      <c r="B322" s="51"/>
      <c r="C322" s="52"/>
      <c r="D322" s="55"/>
      <c r="E322" s="51"/>
      <c r="F322" s="54"/>
      <c r="G322" s="25"/>
      <c r="H322" s="25"/>
      <c r="I322" s="25"/>
      <c r="J322" s="25"/>
      <c r="K322" s="25"/>
    </row>
    <row r="323">
      <c r="B323" s="51"/>
      <c r="C323" s="52"/>
      <c r="D323" s="55"/>
      <c r="E323" s="51"/>
      <c r="F323" s="54"/>
      <c r="G323" s="25"/>
      <c r="H323" s="25"/>
      <c r="I323" s="25"/>
      <c r="J323" s="25"/>
      <c r="K323" s="25"/>
    </row>
    <row r="324">
      <c r="B324" s="51"/>
      <c r="C324" s="52"/>
      <c r="D324" s="55"/>
      <c r="E324" s="51"/>
      <c r="F324" s="54"/>
      <c r="G324" s="25"/>
      <c r="H324" s="25"/>
      <c r="I324" s="25"/>
      <c r="J324" s="25"/>
      <c r="K324" s="25"/>
    </row>
    <row r="325">
      <c r="B325" s="51"/>
      <c r="C325" s="52"/>
      <c r="D325" s="55"/>
      <c r="E325" s="51"/>
      <c r="F325" s="54"/>
      <c r="G325" s="25"/>
      <c r="H325" s="25"/>
      <c r="I325" s="25"/>
      <c r="J325" s="25"/>
      <c r="K325" s="25"/>
    </row>
    <row r="326">
      <c r="B326" s="51"/>
      <c r="C326" s="52"/>
      <c r="D326" s="55"/>
      <c r="E326" s="51"/>
      <c r="F326" s="54"/>
      <c r="G326" s="25"/>
      <c r="H326" s="25"/>
      <c r="I326" s="25"/>
      <c r="J326" s="25"/>
      <c r="K326" s="25"/>
    </row>
    <row r="327">
      <c r="B327" s="51"/>
      <c r="C327" s="52"/>
      <c r="D327" s="55"/>
      <c r="E327" s="51"/>
      <c r="F327" s="54"/>
      <c r="G327" s="25"/>
      <c r="H327" s="25"/>
      <c r="I327" s="25"/>
      <c r="J327" s="25"/>
      <c r="K327" s="25"/>
    </row>
    <row r="328">
      <c r="B328" s="51"/>
      <c r="C328" s="52"/>
      <c r="D328" s="55"/>
      <c r="E328" s="51"/>
      <c r="F328" s="54"/>
      <c r="G328" s="25"/>
      <c r="H328" s="25"/>
      <c r="I328" s="25"/>
      <c r="J328" s="25"/>
      <c r="K328" s="25"/>
    </row>
    <row r="329">
      <c r="B329" s="51"/>
      <c r="C329" s="52"/>
      <c r="D329" s="55"/>
      <c r="E329" s="51"/>
      <c r="F329" s="54"/>
      <c r="G329" s="25"/>
      <c r="H329" s="25"/>
      <c r="I329" s="25"/>
      <c r="J329" s="25"/>
      <c r="K329" s="25"/>
    </row>
    <row r="330">
      <c r="B330" s="51"/>
      <c r="C330" s="52"/>
      <c r="D330" s="55"/>
      <c r="E330" s="51"/>
      <c r="F330" s="54"/>
      <c r="G330" s="25"/>
      <c r="H330" s="25"/>
      <c r="I330" s="25"/>
      <c r="J330" s="25"/>
      <c r="K330" s="25"/>
    </row>
    <row r="331">
      <c r="B331" s="51"/>
      <c r="C331" s="52"/>
      <c r="D331" s="55"/>
      <c r="E331" s="51"/>
      <c r="F331" s="54"/>
      <c r="G331" s="25"/>
      <c r="H331" s="25"/>
      <c r="I331" s="25"/>
      <c r="J331" s="25"/>
      <c r="K331" s="25"/>
    </row>
    <row r="332">
      <c r="B332" s="51"/>
      <c r="C332" s="52"/>
      <c r="D332" s="55"/>
      <c r="E332" s="51"/>
      <c r="F332" s="54"/>
      <c r="G332" s="25"/>
      <c r="H332" s="25"/>
      <c r="I332" s="25"/>
      <c r="J332" s="25"/>
      <c r="K332" s="25"/>
    </row>
    <row r="333">
      <c r="B333" s="51"/>
      <c r="C333" s="52"/>
      <c r="D333" s="55"/>
      <c r="E333" s="51"/>
      <c r="F333" s="54"/>
      <c r="G333" s="25"/>
      <c r="H333" s="25"/>
      <c r="I333" s="25"/>
      <c r="J333" s="25"/>
      <c r="K333" s="25"/>
    </row>
    <row r="334">
      <c r="B334" s="51"/>
      <c r="C334" s="52"/>
      <c r="D334" s="55"/>
      <c r="E334" s="51"/>
      <c r="F334" s="54"/>
      <c r="G334" s="25"/>
      <c r="H334" s="25"/>
      <c r="I334" s="25"/>
      <c r="J334" s="25"/>
      <c r="K334" s="25"/>
    </row>
    <row r="335">
      <c r="B335" s="51"/>
      <c r="C335" s="52"/>
      <c r="D335" s="55"/>
      <c r="E335" s="51"/>
      <c r="F335" s="54"/>
      <c r="G335" s="25"/>
      <c r="H335" s="25"/>
      <c r="I335" s="25"/>
      <c r="J335" s="25"/>
      <c r="K335" s="25"/>
    </row>
    <row r="336">
      <c r="B336" s="51"/>
      <c r="C336" s="52"/>
      <c r="D336" s="55"/>
      <c r="E336" s="51"/>
      <c r="F336" s="54"/>
      <c r="G336" s="25"/>
      <c r="H336" s="25"/>
      <c r="I336" s="25"/>
      <c r="J336" s="25"/>
      <c r="K336" s="25"/>
    </row>
    <row r="337">
      <c r="B337" s="51"/>
      <c r="C337" s="52"/>
      <c r="D337" s="55"/>
      <c r="E337" s="51"/>
      <c r="F337" s="54"/>
      <c r="G337" s="25"/>
      <c r="H337" s="25"/>
      <c r="I337" s="25"/>
      <c r="J337" s="25"/>
      <c r="K337" s="25"/>
    </row>
    <row r="338">
      <c r="B338" s="51"/>
      <c r="C338" s="52"/>
      <c r="D338" s="55"/>
      <c r="E338" s="51"/>
      <c r="F338" s="54"/>
      <c r="G338" s="25"/>
      <c r="H338" s="25"/>
      <c r="I338" s="25"/>
      <c r="J338" s="25"/>
      <c r="K338" s="25"/>
    </row>
    <row r="339">
      <c r="B339" s="51"/>
      <c r="C339" s="52"/>
      <c r="D339" s="55"/>
      <c r="E339" s="51"/>
      <c r="F339" s="54"/>
      <c r="G339" s="25"/>
      <c r="H339" s="25"/>
      <c r="I339" s="25"/>
      <c r="J339" s="25"/>
      <c r="K339" s="25"/>
    </row>
    <row r="340">
      <c r="B340" s="51"/>
      <c r="C340" s="52"/>
      <c r="D340" s="55"/>
      <c r="E340" s="51"/>
      <c r="F340" s="54"/>
      <c r="G340" s="25"/>
      <c r="H340" s="25"/>
      <c r="I340" s="25"/>
      <c r="J340" s="25"/>
      <c r="K340" s="25"/>
    </row>
    <row r="341">
      <c r="B341" s="51"/>
      <c r="C341" s="52"/>
      <c r="D341" s="55"/>
      <c r="E341" s="51"/>
      <c r="F341" s="54"/>
      <c r="G341" s="25"/>
      <c r="H341" s="25"/>
      <c r="I341" s="25"/>
      <c r="J341" s="25"/>
      <c r="K341" s="25"/>
    </row>
    <row r="342">
      <c r="B342" s="51"/>
      <c r="C342" s="52"/>
      <c r="D342" s="55"/>
      <c r="E342" s="51"/>
      <c r="F342" s="54"/>
      <c r="G342" s="25"/>
      <c r="H342" s="25"/>
      <c r="I342" s="25"/>
      <c r="J342" s="25"/>
      <c r="K342" s="25"/>
    </row>
    <row r="343">
      <c r="B343" s="51"/>
      <c r="C343" s="52"/>
      <c r="D343" s="55"/>
      <c r="E343" s="51"/>
      <c r="F343" s="54"/>
      <c r="G343" s="25"/>
      <c r="H343" s="25"/>
      <c r="I343" s="25"/>
      <c r="J343" s="25"/>
      <c r="K343" s="25"/>
    </row>
    <row r="344">
      <c r="B344" s="51"/>
      <c r="C344" s="52"/>
      <c r="D344" s="55"/>
      <c r="E344" s="51"/>
      <c r="F344" s="54"/>
      <c r="G344" s="25"/>
      <c r="H344" s="25"/>
      <c r="I344" s="25"/>
      <c r="J344" s="25"/>
      <c r="K344" s="25"/>
    </row>
    <row r="345">
      <c r="B345" s="51"/>
      <c r="C345" s="52"/>
      <c r="D345" s="55"/>
      <c r="E345" s="51"/>
      <c r="F345" s="54"/>
      <c r="G345" s="25"/>
      <c r="H345" s="25"/>
      <c r="I345" s="25"/>
      <c r="J345" s="25"/>
      <c r="K345" s="25"/>
    </row>
    <row r="346">
      <c r="B346" s="51"/>
      <c r="C346" s="52"/>
      <c r="D346" s="55"/>
      <c r="E346" s="51"/>
      <c r="F346" s="54"/>
      <c r="G346" s="25"/>
      <c r="H346" s="25"/>
      <c r="I346" s="25"/>
      <c r="J346" s="25"/>
      <c r="K346" s="25"/>
    </row>
    <row r="347">
      <c r="B347" s="51"/>
      <c r="C347" s="52"/>
      <c r="D347" s="55"/>
      <c r="E347" s="51"/>
      <c r="F347" s="54"/>
      <c r="G347" s="25"/>
      <c r="H347" s="25"/>
      <c r="I347" s="25"/>
      <c r="J347" s="25"/>
      <c r="K347" s="25"/>
    </row>
    <row r="348">
      <c r="B348" s="51"/>
      <c r="C348" s="52"/>
      <c r="D348" s="55"/>
      <c r="E348" s="51"/>
      <c r="F348" s="54"/>
      <c r="G348" s="25"/>
      <c r="H348" s="25"/>
      <c r="I348" s="25"/>
      <c r="J348" s="25"/>
      <c r="K348" s="25"/>
    </row>
    <row r="349">
      <c r="B349" s="51"/>
      <c r="C349" s="52"/>
      <c r="D349" s="55"/>
      <c r="E349" s="51"/>
      <c r="F349" s="54"/>
      <c r="G349" s="25"/>
      <c r="H349" s="25"/>
      <c r="I349" s="25"/>
      <c r="J349" s="25"/>
      <c r="K349" s="25"/>
    </row>
    <row r="350">
      <c r="B350" s="51"/>
      <c r="C350" s="52"/>
      <c r="D350" s="55"/>
      <c r="E350" s="51"/>
      <c r="F350" s="54"/>
      <c r="G350" s="25"/>
      <c r="H350" s="25"/>
      <c r="I350" s="25"/>
      <c r="J350" s="25"/>
      <c r="K350" s="25"/>
    </row>
    <row r="351">
      <c r="B351" s="51"/>
      <c r="C351" s="52"/>
      <c r="D351" s="55"/>
      <c r="E351" s="51"/>
      <c r="F351" s="54"/>
      <c r="G351" s="25"/>
      <c r="H351" s="25"/>
      <c r="I351" s="25"/>
      <c r="J351" s="25"/>
      <c r="K351" s="25"/>
    </row>
    <row r="352">
      <c r="B352" s="51"/>
      <c r="C352" s="52"/>
      <c r="D352" s="55"/>
      <c r="E352" s="51"/>
      <c r="F352" s="54"/>
      <c r="G352" s="25"/>
      <c r="H352" s="25"/>
      <c r="I352" s="25"/>
      <c r="J352" s="25"/>
      <c r="K352" s="25"/>
    </row>
    <row r="353">
      <c r="B353" s="51"/>
      <c r="C353" s="52"/>
      <c r="D353" s="55"/>
      <c r="E353" s="51"/>
      <c r="F353" s="54"/>
      <c r="G353" s="25"/>
      <c r="H353" s="25"/>
      <c r="I353" s="25"/>
      <c r="J353" s="25"/>
      <c r="K353" s="25"/>
    </row>
    <row r="354">
      <c r="B354" s="51"/>
      <c r="C354" s="52"/>
      <c r="D354" s="55"/>
      <c r="E354" s="51"/>
      <c r="F354" s="54"/>
      <c r="G354" s="25"/>
      <c r="H354" s="25"/>
      <c r="I354" s="25"/>
      <c r="J354" s="25"/>
      <c r="K354" s="25"/>
    </row>
    <row r="355">
      <c r="B355" s="51"/>
      <c r="C355" s="52"/>
      <c r="D355" s="55"/>
      <c r="E355" s="51"/>
      <c r="F355" s="54"/>
      <c r="G355" s="25"/>
      <c r="H355" s="25"/>
      <c r="I355" s="25"/>
      <c r="J355" s="25"/>
      <c r="K355" s="25"/>
    </row>
    <row r="356">
      <c r="B356" s="51"/>
      <c r="C356" s="52"/>
      <c r="D356" s="55"/>
      <c r="E356" s="51"/>
      <c r="F356" s="54"/>
      <c r="G356" s="25"/>
      <c r="H356" s="25"/>
      <c r="I356" s="25"/>
      <c r="J356" s="25"/>
      <c r="K356" s="25"/>
    </row>
    <row r="357">
      <c r="B357" s="51"/>
      <c r="C357" s="52"/>
      <c r="D357" s="55"/>
      <c r="E357" s="51"/>
      <c r="F357" s="54"/>
      <c r="G357" s="25"/>
      <c r="H357" s="25"/>
      <c r="I357" s="25"/>
      <c r="J357" s="25"/>
      <c r="K357" s="25"/>
    </row>
    <row r="358">
      <c r="B358" s="51"/>
      <c r="C358" s="52"/>
      <c r="D358" s="55"/>
      <c r="E358" s="51"/>
      <c r="F358" s="54"/>
      <c r="G358" s="25"/>
      <c r="H358" s="25"/>
      <c r="I358" s="25"/>
      <c r="J358" s="25"/>
      <c r="K358" s="25"/>
    </row>
    <row r="359">
      <c r="B359" s="51"/>
      <c r="C359" s="52"/>
      <c r="D359" s="55"/>
      <c r="E359" s="51"/>
      <c r="F359" s="54"/>
      <c r="G359" s="25"/>
      <c r="H359" s="25"/>
      <c r="I359" s="25"/>
      <c r="J359" s="25"/>
      <c r="K359" s="25"/>
    </row>
    <row r="360">
      <c r="B360" s="51"/>
      <c r="C360" s="52"/>
      <c r="D360" s="55"/>
      <c r="E360" s="51"/>
      <c r="F360" s="54"/>
      <c r="G360" s="25"/>
      <c r="H360" s="25"/>
      <c r="I360" s="25"/>
      <c r="J360" s="25"/>
      <c r="K360" s="25"/>
    </row>
    <row r="361">
      <c r="B361" s="51"/>
      <c r="C361" s="52"/>
      <c r="D361" s="55"/>
      <c r="E361" s="51"/>
      <c r="F361" s="54"/>
      <c r="G361" s="25"/>
      <c r="H361" s="25"/>
      <c r="I361" s="25"/>
      <c r="J361" s="25"/>
      <c r="K361" s="25"/>
    </row>
    <row r="362">
      <c r="B362" s="51"/>
      <c r="C362" s="52"/>
      <c r="D362" s="55"/>
      <c r="E362" s="51"/>
      <c r="F362" s="54"/>
      <c r="G362" s="25"/>
      <c r="H362" s="25"/>
      <c r="I362" s="25"/>
      <c r="J362" s="25"/>
      <c r="K362" s="25"/>
    </row>
    <row r="363">
      <c r="B363" s="51"/>
      <c r="C363" s="52"/>
      <c r="D363" s="55"/>
      <c r="E363" s="51"/>
      <c r="F363" s="54"/>
      <c r="G363" s="25"/>
      <c r="H363" s="25"/>
      <c r="I363" s="25"/>
      <c r="J363" s="25"/>
      <c r="K363" s="25"/>
    </row>
    <row r="364">
      <c r="B364" s="51"/>
      <c r="C364" s="52"/>
      <c r="D364" s="55"/>
      <c r="E364" s="51"/>
      <c r="F364" s="54"/>
      <c r="G364" s="25"/>
      <c r="H364" s="25"/>
      <c r="I364" s="25"/>
      <c r="J364" s="25"/>
      <c r="K364" s="25"/>
    </row>
    <row r="365">
      <c r="B365" s="51"/>
      <c r="C365" s="52"/>
      <c r="D365" s="55"/>
      <c r="E365" s="51"/>
      <c r="F365" s="54"/>
      <c r="G365" s="25"/>
      <c r="H365" s="25"/>
      <c r="I365" s="25"/>
      <c r="J365" s="25"/>
      <c r="K365" s="25"/>
    </row>
    <row r="366">
      <c r="B366" s="51"/>
      <c r="C366" s="52"/>
      <c r="D366" s="55"/>
      <c r="E366" s="51"/>
      <c r="F366" s="54"/>
      <c r="G366" s="25"/>
      <c r="H366" s="25"/>
      <c r="I366" s="25"/>
      <c r="J366" s="25"/>
      <c r="K366" s="25"/>
    </row>
    <row r="367">
      <c r="B367" s="51"/>
      <c r="C367" s="52"/>
      <c r="D367" s="55"/>
      <c r="E367" s="51"/>
      <c r="F367" s="54"/>
      <c r="G367" s="25"/>
      <c r="H367" s="25"/>
      <c r="I367" s="25"/>
      <c r="J367" s="25"/>
      <c r="K367" s="25"/>
    </row>
    <row r="368">
      <c r="B368" s="51"/>
      <c r="C368" s="52"/>
      <c r="D368" s="55"/>
      <c r="E368" s="51"/>
      <c r="F368" s="54"/>
      <c r="G368" s="25"/>
      <c r="H368" s="25"/>
      <c r="I368" s="25"/>
      <c r="J368" s="25"/>
      <c r="K368" s="25"/>
    </row>
    <row r="369">
      <c r="B369" s="51"/>
      <c r="C369" s="52"/>
      <c r="D369" s="55"/>
      <c r="E369" s="51"/>
      <c r="F369" s="54"/>
      <c r="G369" s="25"/>
      <c r="H369" s="25"/>
      <c r="I369" s="25"/>
      <c r="J369" s="25"/>
      <c r="K369" s="25"/>
    </row>
    <row r="370">
      <c r="B370" s="51"/>
      <c r="C370" s="52"/>
      <c r="D370" s="55"/>
      <c r="E370" s="51"/>
      <c r="F370" s="54"/>
      <c r="G370" s="25"/>
      <c r="H370" s="25"/>
      <c r="I370" s="25"/>
      <c r="J370" s="25"/>
      <c r="K370" s="25"/>
    </row>
    <row r="371">
      <c r="B371" s="51"/>
      <c r="C371" s="52"/>
      <c r="D371" s="55"/>
      <c r="E371" s="51"/>
      <c r="F371" s="54"/>
      <c r="G371" s="25"/>
      <c r="H371" s="25"/>
      <c r="I371" s="25"/>
      <c r="J371" s="25"/>
      <c r="K371" s="25"/>
    </row>
    <row r="372">
      <c r="B372" s="51"/>
      <c r="C372" s="52"/>
      <c r="D372" s="55"/>
      <c r="E372" s="51"/>
      <c r="F372" s="54"/>
      <c r="G372" s="25"/>
      <c r="H372" s="25"/>
      <c r="I372" s="25"/>
      <c r="J372" s="25"/>
      <c r="K372" s="25"/>
    </row>
    <row r="373">
      <c r="B373" s="51"/>
      <c r="C373" s="52"/>
      <c r="D373" s="55"/>
      <c r="E373" s="51"/>
      <c r="F373" s="54"/>
      <c r="G373" s="25"/>
      <c r="H373" s="25"/>
      <c r="I373" s="25"/>
      <c r="J373" s="25"/>
      <c r="K373" s="25"/>
    </row>
    <row r="374">
      <c r="B374" s="51"/>
      <c r="C374" s="52"/>
      <c r="D374" s="55"/>
      <c r="E374" s="51"/>
      <c r="F374" s="54"/>
      <c r="G374" s="25"/>
      <c r="H374" s="25"/>
      <c r="I374" s="25"/>
      <c r="J374" s="25"/>
      <c r="K374" s="25"/>
    </row>
    <row r="375">
      <c r="B375" s="51"/>
      <c r="C375" s="52"/>
      <c r="D375" s="55"/>
      <c r="E375" s="51"/>
      <c r="F375" s="54"/>
      <c r="G375" s="25"/>
      <c r="H375" s="25"/>
      <c r="I375" s="25"/>
      <c r="J375" s="25"/>
      <c r="K375" s="25"/>
    </row>
    <row r="376">
      <c r="B376" s="51"/>
      <c r="C376" s="52"/>
      <c r="D376" s="55"/>
      <c r="E376" s="51"/>
      <c r="F376" s="54"/>
      <c r="G376" s="25"/>
      <c r="H376" s="25"/>
      <c r="I376" s="25"/>
      <c r="J376" s="25"/>
      <c r="K376" s="25"/>
    </row>
    <row r="377">
      <c r="B377" s="51"/>
      <c r="C377" s="52"/>
      <c r="D377" s="55"/>
      <c r="E377" s="51"/>
      <c r="F377" s="54"/>
      <c r="G377" s="25"/>
      <c r="H377" s="25"/>
      <c r="I377" s="25"/>
      <c r="J377" s="25"/>
      <c r="K377" s="25"/>
    </row>
    <row r="378">
      <c r="B378" s="51"/>
      <c r="C378" s="52"/>
      <c r="D378" s="55"/>
      <c r="E378" s="51"/>
      <c r="F378" s="54"/>
      <c r="G378" s="25"/>
      <c r="H378" s="25"/>
      <c r="I378" s="25"/>
      <c r="J378" s="25"/>
      <c r="K378" s="25"/>
    </row>
    <row r="379">
      <c r="B379" s="51"/>
      <c r="C379" s="52"/>
      <c r="D379" s="55"/>
      <c r="E379" s="51"/>
      <c r="F379" s="54"/>
      <c r="G379" s="25"/>
      <c r="H379" s="25"/>
      <c r="I379" s="25"/>
      <c r="J379" s="25"/>
      <c r="K379" s="25"/>
    </row>
    <row r="380">
      <c r="B380" s="51"/>
      <c r="C380" s="52"/>
      <c r="D380" s="55"/>
      <c r="E380" s="51"/>
      <c r="F380" s="54"/>
      <c r="G380" s="25"/>
      <c r="H380" s="25"/>
      <c r="I380" s="25"/>
      <c r="J380" s="25"/>
      <c r="K380" s="25"/>
    </row>
    <row r="381">
      <c r="B381" s="51"/>
      <c r="C381" s="52"/>
      <c r="D381" s="55"/>
      <c r="E381" s="51"/>
      <c r="F381" s="54"/>
      <c r="G381" s="25"/>
      <c r="H381" s="25"/>
      <c r="I381" s="25"/>
      <c r="J381" s="25"/>
      <c r="K381" s="25"/>
    </row>
    <row r="382">
      <c r="B382" s="51"/>
      <c r="C382" s="52"/>
      <c r="D382" s="55"/>
      <c r="E382" s="51"/>
      <c r="F382" s="54"/>
      <c r="G382" s="25"/>
      <c r="H382" s="25"/>
      <c r="I382" s="25"/>
      <c r="J382" s="25"/>
      <c r="K382" s="25"/>
    </row>
    <row r="383">
      <c r="B383" s="51"/>
      <c r="C383" s="52"/>
      <c r="D383" s="55"/>
      <c r="E383" s="51"/>
      <c r="F383" s="54"/>
      <c r="G383" s="25"/>
      <c r="H383" s="25"/>
      <c r="I383" s="25"/>
      <c r="J383" s="25"/>
      <c r="K383" s="25"/>
    </row>
    <row r="384">
      <c r="B384" s="51"/>
      <c r="C384" s="52"/>
      <c r="D384" s="55"/>
      <c r="E384" s="51"/>
      <c r="F384" s="54"/>
      <c r="G384" s="25"/>
      <c r="H384" s="25"/>
      <c r="I384" s="25"/>
      <c r="J384" s="25"/>
      <c r="K384" s="25"/>
    </row>
    <row r="385">
      <c r="B385" s="51"/>
      <c r="C385" s="52"/>
      <c r="D385" s="55"/>
      <c r="E385" s="51"/>
      <c r="F385" s="54"/>
      <c r="G385" s="25"/>
      <c r="H385" s="25"/>
      <c r="I385" s="25"/>
      <c r="J385" s="25"/>
      <c r="K385" s="25"/>
    </row>
    <row r="386">
      <c r="B386" s="51"/>
      <c r="C386" s="52"/>
      <c r="D386" s="55"/>
      <c r="E386" s="51"/>
      <c r="F386" s="54"/>
      <c r="G386" s="25"/>
      <c r="H386" s="25"/>
      <c r="I386" s="25"/>
      <c r="J386" s="25"/>
      <c r="K386" s="25"/>
    </row>
    <row r="387">
      <c r="B387" s="51"/>
      <c r="C387" s="52"/>
      <c r="D387" s="55"/>
      <c r="E387" s="51"/>
      <c r="F387" s="54"/>
      <c r="G387" s="25"/>
      <c r="H387" s="25"/>
      <c r="I387" s="25"/>
      <c r="J387" s="25"/>
      <c r="K387" s="25"/>
    </row>
    <row r="388">
      <c r="B388" s="51"/>
      <c r="C388" s="52"/>
      <c r="D388" s="55"/>
      <c r="E388" s="51"/>
      <c r="F388" s="54"/>
      <c r="G388" s="25"/>
      <c r="H388" s="25"/>
      <c r="I388" s="25"/>
      <c r="J388" s="25"/>
      <c r="K388" s="25"/>
    </row>
    <row r="389">
      <c r="B389" s="51"/>
      <c r="C389" s="52"/>
      <c r="D389" s="55"/>
      <c r="E389" s="51"/>
      <c r="F389" s="54"/>
      <c r="G389" s="25"/>
      <c r="H389" s="25"/>
      <c r="I389" s="25"/>
      <c r="J389" s="25"/>
      <c r="K389" s="25"/>
    </row>
    <row r="390">
      <c r="B390" s="51"/>
      <c r="C390" s="52"/>
      <c r="D390" s="55"/>
      <c r="E390" s="51"/>
      <c r="F390" s="54"/>
      <c r="G390" s="25"/>
      <c r="H390" s="25"/>
      <c r="I390" s="25"/>
      <c r="J390" s="25"/>
      <c r="K390" s="25"/>
    </row>
    <row r="391">
      <c r="B391" s="51"/>
      <c r="C391" s="52"/>
      <c r="D391" s="55"/>
      <c r="E391" s="51"/>
      <c r="F391" s="54"/>
      <c r="G391" s="25"/>
      <c r="H391" s="25"/>
      <c r="I391" s="25"/>
      <c r="J391" s="25"/>
      <c r="K391" s="25"/>
    </row>
    <row r="392">
      <c r="B392" s="51"/>
      <c r="C392" s="52"/>
      <c r="D392" s="55"/>
      <c r="E392" s="51"/>
      <c r="F392" s="54"/>
      <c r="G392" s="25"/>
      <c r="H392" s="25"/>
      <c r="I392" s="25"/>
      <c r="J392" s="25"/>
      <c r="K392" s="25"/>
    </row>
    <row r="393">
      <c r="B393" s="51"/>
      <c r="C393" s="52"/>
      <c r="D393" s="55"/>
      <c r="E393" s="51"/>
      <c r="F393" s="54"/>
      <c r="G393" s="25"/>
      <c r="H393" s="25"/>
      <c r="I393" s="25"/>
      <c r="J393" s="25"/>
      <c r="K393" s="25"/>
    </row>
    <row r="394">
      <c r="B394" s="51"/>
      <c r="C394" s="52"/>
      <c r="D394" s="55"/>
      <c r="E394" s="51"/>
      <c r="F394" s="54"/>
      <c r="G394" s="25"/>
      <c r="H394" s="25"/>
      <c r="I394" s="25"/>
      <c r="J394" s="25"/>
      <c r="K394" s="25"/>
    </row>
    <row r="395">
      <c r="B395" s="51"/>
      <c r="C395" s="52"/>
      <c r="D395" s="55"/>
      <c r="E395" s="51"/>
      <c r="F395" s="54"/>
      <c r="G395" s="25"/>
      <c r="H395" s="25"/>
      <c r="I395" s="25"/>
      <c r="J395" s="25"/>
      <c r="K395" s="25"/>
    </row>
    <row r="396">
      <c r="B396" s="51"/>
      <c r="C396" s="52"/>
      <c r="D396" s="55"/>
      <c r="E396" s="51"/>
      <c r="F396" s="54"/>
      <c r="G396" s="25"/>
      <c r="H396" s="25"/>
      <c r="I396" s="25"/>
      <c r="J396" s="25"/>
      <c r="K396" s="25"/>
    </row>
    <row r="397">
      <c r="B397" s="51"/>
      <c r="C397" s="52"/>
      <c r="D397" s="55"/>
      <c r="E397" s="51"/>
      <c r="F397" s="54"/>
      <c r="G397" s="25"/>
      <c r="H397" s="25"/>
      <c r="I397" s="25"/>
      <c r="J397" s="25"/>
      <c r="K397" s="25"/>
    </row>
    <row r="398">
      <c r="B398" s="51"/>
      <c r="C398" s="52"/>
      <c r="D398" s="55"/>
      <c r="E398" s="51"/>
      <c r="F398" s="54"/>
      <c r="G398" s="25"/>
      <c r="H398" s="25"/>
      <c r="I398" s="25"/>
      <c r="J398" s="25"/>
      <c r="K398" s="25"/>
    </row>
    <row r="399">
      <c r="B399" s="51"/>
      <c r="C399" s="52"/>
      <c r="D399" s="55"/>
      <c r="E399" s="51"/>
      <c r="F399" s="54"/>
      <c r="G399" s="25"/>
      <c r="H399" s="25"/>
      <c r="I399" s="25"/>
      <c r="J399" s="25"/>
      <c r="K399" s="25"/>
    </row>
    <row r="400">
      <c r="B400" s="51"/>
      <c r="C400" s="52"/>
      <c r="D400" s="55"/>
      <c r="E400" s="51"/>
      <c r="F400" s="54"/>
      <c r="G400" s="25"/>
      <c r="H400" s="25"/>
      <c r="I400" s="25"/>
      <c r="J400" s="25"/>
      <c r="K400" s="25"/>
    </row>
    <row r="401">
      <c r="B401" s="51"/>
      <c r="C401" s="52"/>
      <c r="D401" s="55"/>
      <c r="E401" s="51"/>
      <c r="F401" s="54"/>
      <c r="G401" s="25"/>
      <c r="H401" s="25"/>
      <c r="I401" s="25"/>
      <c r="J401" s="25"/>
      <c r="K401" s="25"/>
    </row>
    <row r="402">
      <c r="B402" s="51"/>
      <c r="C402" s="52"/>
      <c r="D402" s="55"/>
      <c r="E402" s="51"/>
      <c r="F402" s="54"/>
      <c r="G402" s="25"/>
      <c r="H402" s="25"/>
      <c r="I402" s="25"/>
      <c r="J402" s="25"/>
      <c r="K402" s="25"/>
    </row>
    <row r="403">
      <c r="B403" s="51"/>
      <c r="C403" s="52"/>
      <c r="D403" s="55"/>
      <c r="E403" s="51"/>
      <c r="F403" s="54"/>
      <c r="G403" s="25"/>
      <c r="H403" s="25"/>
      <c r="I403" s="25"/>
      <c r="J403" s="25"/>
      <c r="K403" s="25"/>
    </row>
    <row r="404">
      <c r="B404" s="51"/>
      <c r="C404" s="52"/>
      <c r="D404" s="55"/>
      <c r="E404" s="51"/>
      <c r="F404" s="54"/>
      <c r="G404" s="25"/>
      <c r="H404" s="25"/>
      <c r="I404" s="25"/>
      <c r="J404" s="25"/>
      <c r="K404" s="25"/>
    </row>
    <row r="405">
      <c r="B405" s="51"/>
      <c r="C405" s="52"/>
      <c r="D405" s="55"/>
      <c r="E405" s="51"/>
      <c r="F405" s="54"/>
      <c r="G405" s="25"/>
      <c r="H405" s="25"/>
      <c r="I405" s="25"/>
      <c r="J405" s="25"/>
      <c r="K405" s="25"/>
    </row>
    <row r="406">
      <c r="B406" s="51"/>
      <c r="C406" s="52"/>
      <c r="D406" s="55"/>
      <c r="E406" s="51"/>
      <c r="F406" s="54"/>
      <c r="G406" s="25"/>
      <c r="H406" s="25"/>
      <c r="I406" s="25"/>
      <c r="J406" s="25"/>
      <c r="K406" s="25"/>
    </row>
    <row r="407">
      <c r="B407" s="51"/>
      <c r="C407" s="52"/>
      <c r="D407" s="55"/>
      <c r="E407" s="51"/>
      <c r="F407" s="54"/>
      <c r="G407" s="25"/>
      <c r="H407" s="25"/>
      <c r="I407" s="25"/>
      <c r="J407" s="25"/>
      <c r="K407" s="25"/>
    </row>
    <row r="408">
      <c r="B408" s="51"/>
      <c r="C408" s="52"/>
      <c r="D408" s="55"/>
      <c r="E408" s="51"/>
      <c r="F408" s="54"/>
      <c r="G408" s="25"/>
      <c r="H408" s="25"/>
      <c r="I408" s="25"/>
      <c r="J408" s="25"/>
      <c r="K408" s="25"/>
    </row>
    <row r="409">
      <c r="B409" s="51"/>
      <c r="C409" s="52"/>
      <c r="D409" s="55"/>
      <c r="E409" s="51"/>
      <c r="F409" s="54"/>
      <c r="G409" s="25"/>
      <c r="H409" s="25"/>
      <c r="I409" s="25"/>
      <c r="J409" s="25"/>
      <c r="K409" s="25"/>
    </row>
    <row r="410">
      <c r="B410" s="51"/>
      <c r="C410" s="52"/>
      <c r="D410" s="55"/>
      <c r="E410" s="51"/>
      <c r="F410" s="54"/>
      <c r="G410" s="25"/>
      <c r="H410" s="25"/>
      <c r="I410" s="25"/>
      <c r="J410" s="25"/>
      <c r="K410" s="25"/>
    </row>
    <row r="411">
      <c r="B411" s="51"/>
      <c r="C411" s="52"/>
      <c r="D411" s="55"/>
      <c r="E411" s="51"/>
      <c r="F411" s="54"/>
      <c r="G411" s="25"/>
      <c r="H411" s="25"/>
      <c r="I411" s="25"/>
      <c r="J411" s="25"/>
      <c r="K411" s="25"/>
    </row>
    <row r="412">
      <c r="B412" s="51"/>
      <c r="C412" s="52"/>
      <c r="D412" s="55"/>
      <c r="E412" s="51"/>
      <c r="F412" s="54"/>
      <c r="G412" s="25"/>
      <c r="H412" s="25"/>
      <c r="I412" s="25"/>
      <c r="J412" s="25"/>
      <c r="K412" s="25"/>
    </row>
    <row r="413">
      <c r="B413" s="51"/>
      <c r="C413" s="52"/>
      <c r="D413" s="55"/>
      <c r="E413" s="51"/>
      <c r="F413" s="54"/>
      <c r="G413" s="25"/>
      <c r="H413" s="25"/>
      <c r="I413" s="25"/>
      <c r="J413" s="25"/>
      <c r="K413" s="25"/>
    </row>
    <row r="414">
      <c r="B414" s="51"/>
      <c r="C414" s="52"/>
      <c r="D414" s="55"/>
      <c r="E414" s="51"/>
      <c r="F414" s="54"/>
      <c r="G414" s="25"/>
      <c r="H414" s="25"/>
      <c r="I414" s="25"/>
      <c r="J414" s="25"/>
      <c r="K414" s="25"/>
    </row>
    <row r="415">
      <c r="B415" s="51"/>
      <c r="C415" s="52"/>
      <c r="D415" s="55"/>
      <c r="E415" s="51"/>
      <c r="F415" s="54"/>
      <c r="G415" s="25"/>
      <c r="H415" s="25"/>
      <c r="I415" s="25"/>
      <c r="J415" s="25"/>
      <c r="K415" s="25"/>
    </row>
    <row r="416">
      <c r="B416" s="51"/>
      <c r="C416" s="52"/>
      <c r="D416" s="55"/>
      <c r="E416" s="51"/>
      <c r="F416" s="54"/>
      <c r="G416" s="25"/>
      <c r="H416" s="25"/>
      <c r="I416" s="25"/>
      <c r="J416" s="25"/>
      <c r="K416" s="25"/>
    </row>
    <row r="417">
      <c r="B417" s="51"/>
      <c r="C417" s="52"/>
      <c r="D417" s="55"/>
      <c r="E417" s="51"/>
      <c r="F417" s="54"/>
      <c r="G417" s="25"/>
      <c r="H417" s="25"/>
      <c r="I417" s="25"/>
      <c r="J417" s="25"/>
      <c r="K417" s="25"/>
    </row>
    <row r="418">
      <c r="B418" s="51"/>
      <c r="C418" s="52"/>
      <c r="D418" s="55"/>
      <c r="E418" s="51"/>
      <c r="F418" s="54"/>
      <c r="G418" s="25"/>
      <c r="H418" s="25"/>
      <c r="I418" s="25"/>
      <c r="J418" s="25"/>
      <c r="K418" s="25"/>
    </row>
    <row r="419">
      <c r="B419" s="51"/>
      <c r="C419" s="52"/>
      <c r="D419" s="55"/>
      <c r="E419" s="51"/>
      <c r="F419" s="54"/>
      <c r="G419" s="25"/>
      <c r="H419" s="25"/>
      <c r="I419" s="25"/>
      <c r="J419" s="25"/>
      <c r="K419" s="25"/>
    </row>
    <row r="420">
      <c r="B420" s="51"/>
      <c r="C420" s="52"/>
      <c r="D420" s="55"/>
      <c r="E420" s="51"/>
      <c r="F420" s="54"/>
      <c r="G420" s="25"/>
      <c r="H420" s="25"/>
      <c r="I420" s="25"/>
      <c r="J420" s="25"/>
      <c r="K420" s="25"/>
    </row>
    <row r="421">
      <c r="B421" s="51"/>
      <c r="C421" s="52"/>
      <c r="D421" s="55"/>
      <c r="E421" s="51"/>
      <c r="F421" s="54"/>
      <c r="G421" s="25"/>
      <c r="H421" s="25"/>
      <c r="I421" s="25"/>
      <c r="J421" s="25"/>
      <c r="K421" s="25"/>
    </row>
    <row r="422">
      <c r="B422" s="51"/>
      <c r="C422" s="52"/>
      <c r="D422" s="55"/>
      <c r="E422" s="51"/>
      <c r="F422" s="54"/>
      <c r="G422" s="25"/>
      <c r="H422" s="25"/>
      <c r="I422" s="25"/>
      <c r="J422" s="25"/>
      <c r="K422" s="25"/>
    </row>
    <row r="423">
      <c r="B423" s="51"/>
      <c r="C423" s="52"/>
      <c r="D423" s="55"/>
      <c r="E423" s="51"/>
      <c r="F423" s="54"/>
      <c r="G423" s="25"/>
      <c r="H423" s="25"/>
      <c r="I423" s="25"/>
      <c r="J423" s="25"/>
      <c r="K423" s="25"/>
    </row>
    <row r="424">
      <c r="B424" s="51"/>
      <c r="C424" s="52"/>
      <c r="D424" s="55"/>
      <c r="E424" s="51"/>
      <c r="F424" s="54"/>
      <c r="G424" s="25"/>
      <c r="H424" s="25"/>
      <c r="I424" s="25"/>
      <c r="J424" s="25"/>
      <c r="K424" s="25"/>
    </row>
    <row r="425">
      <c r="B425" s="51"/>
      <c r="C425" s="52"/>
      <c r="D425" s="55"/>
      <c r="E425" s="51"/>
      <c r="F425" s="54"/>
      <c r="G425" s="25"/>
      <c r="H425" s="25"/>
      <c r="I425" s="25"/>
      <c r="J425" s="25"/>
      <c r="K425" s="25"/>
    </row>
    <row r="426">
      <c r="B426" s="51"/>
      <c r="C426" s="52"/>
      <c r="D426" s="55"/>
      <c r="E426" s="51"/>
      <c r="F426" s="54"/>
      <c r="G426" s="25"/>
      <c r="H426" s="25"/>
      <c r="I426" s="25"/>
      <c r="J426" s="25"/>
      <c r="K426" s="25"/>
    </row>
    <row r="427">
      <c r="B427" s="51"/>
      <c r="C427" s="52"/>
      <c r="D427" s="55"/>
      <c r="E427" s="51"/>
      <c r="F427" s="54"/>
      <c r="G427" s="25"/>
      <c r="H427" s="25"/>
      <c r="I427" s="25"/>
      <c r="J427" s="25"/>
      <c r="K427" s="25"/>
    </row>
    <row r="428">
      <c r="B428" s="51"/>
      <c r="C428" s="52"/>
      <c r="D428" s="55"/>
      <c r="E428" s="51"/>
      <c r="F428" s="54"/>
      <c r="G428" s="25"/>
      <c r="H428" s="25"/>
      <c r="I428" s="25"/>
      <c r="J428" s="25"/>
      <c r="K428" s="25"/>
    </row>
    <row r="429">
      <c r="B429" s="51"/>
      <c r="C429" s="52"/>
      <c r="D429" s="55"/>
      <c r="E429" s="51"/>
      <c r="F429" s="54"/>
      <c r="G429" s="25"/>
      <c r="H429" s="25"/>
      <c r="I429" s="25"/>
      <c r="J429" s="25"/>
      <c r="K429" s="25"/>
    </row>
    <row r="430">
      <c r="B430" s="51"/>
      <c r="C430" s="52"/>
      <c r="D430" s="55"/>
      <c r="E430" s="51"/>
      <c r="F430" s="54"/>
      <c r="G430" s="25"/>
      <c r="H430" s="25"/>
      <c r="I430" s="25"/>
      <c r="J430" s="25"/>
      <c r="K430" s="25"/>
    </row>
    <row r="431">
      <c r="B431" s="51"/>
      <c r="C431" s="52"/>
      <c r="D431" s="55"/>
      <c r="E431" s="51"/>
      <c r="F431" s="54"/>
      <c r="G431" s="25"/>
      <c r="H431" s="25"/>
      <c r="I431" s="25"/>
      <c r="J431" s="25"/>
      <c r="K431" s="25"/>
    </row>
    <row r="432">
      <c r="B432" s="51"/>
      <c r="C432" s="52"/>
      <c r="D432" s="55"/>
      <c r="E432" s="51"/>
      <c r="F432" s="54"/>
      <c r="G432" s="25"/>
      <c r="H432" s="25"/>
      <c r="I432" s="25"/>
      <c r="J432" s="25"/>
      <c r="K432" s="25"/>
    </row>
    <row r="433">
      <c r="B433" s="51"/>
      <c r="C433" s="52"/>
      <c r="D433" s="55"/>
      <c r="E433" s="51"/>
      <c r="F433" s="54"/>
      <c r="G433" s="25"/>
      <c r="H433" s="25"/>
      <c r="I433" s="25"/>
      <c r="J433" s="25"/>
      <c r="K433" s="25"/>
    </row>
    <row r="434">
      <c r="B434" s="51"/>
      <c r="C434" s="52"/>
      <c r="D434" s="55"/>
      <c r="E434" s="51"/>
      <c r="F434" s="54"/>
      <c r="G434" s="25"/>
      <c r="H434" s="25"/>
      <c r="I434" s="25"/>
      <c r="J434" s="25"/>
      <c r="K434" s="25"/>
    </row>
    <row r="435">
      <c r="B435" s="51"/>
      <c r="C435" s="52"/>
      <c r="D435" s="55"/>
      <c r="E435" s="51"/>
      <c r="F435" s="54"/>
      <c r="G435" s="25"/>
      <c r="H435" s="25"/>
      <c r="I435" s="25"/>
      <c r="J435" s="25"/>
      <c r="K435" s="25"/>
    </row>
    <row r="436">
      <c r="B436" s="51"/>
      <c r="C436" s="52"/>
      <c r="D436" s="55"/>
      <c r="E436" s="51"/>
      <c r="F436" s="54"/>
      <c r="G436" s="25"/>
      <c r="H436" s="25"/>
      <c r="I436" s="25"/>
      <c r="J436" s="25"/>
      <c r="K436" s="25"/>
    </row>
    <row r="437">
      <c r="B437" s="51"/>
      <c r="C437" s="52"/>
      <c r="D437" s="55"/>
      <c r="E437" s="51"/>
      <c r="F437" s="54"/>
      <c r="G437" s="25"/>
      <c r="H437" s="25"/>
      <c r="I437" s="25"/>
      <c r="J437" s="25"/>
      <c r="K437" s="25"/>
    </row>
    <row r="438">
      <c r="B438" s="51"/>
      <c r="C438" s="52"/>
      <c r="D438" s="55"/>
      <c r="E438" s="51"/>
      <c r="F438" s="54"/>
      <c r="G438" s="25"/>
      <c r="H438" s="25"/>
      <c r="I438" s="25"/>
      <c r="J438" s="25"/>
      <c r="K438" s="25"/>
    </row>
    <row r="439">
      <c r="B439" s="51"/>
      <c r="C439" s="52"/>
      <c r="D439" s="55"/>
      <c r="E439" s="51"/>
      <c r="F439" s="54"/>
      <c r="G439" s="25"/>
      <c r="H439" s="25"/>
      <c r="I439" s="25"/>
      <c r="J439" s="25"/>
      <c r="K439" s="25"/>
    </row>
    <row r="440">
      <c r="B440" s="51"/>
      <c r="C440" s="52"/>
      <c r="D440" s="55"/>
      <c r="E440" s="51"/>
      <c r="F440" s="54"/>
      <c r="G440" s="25"/>
      <c r="H440" s="25"/>
      <c r="I440" s="25"/>
      <c r="J440" s="25"/>
      <c r="K440" s="25"/>
    </row>
    <row r="441">
      <c r="B441" s="51"/>
      <c r="C441" s="52"/>
      <c r="D441" s="55"/>
      <c r="E441" s="51"/>
      <c r="F441" s="54"/>
      <c r="G441" s="25"/>
      <c r="H441" s="25"/>
      <c r="I441" s="25"/>
      <c r="J441" s="25"/>
      <c r="K441" s="25"/>
    </row>
    <row r="442">
      <c r="B442" s="51"/>
      <c r="C442" s="52"/>
      <c r="D442" s="55"/>
      <c r="E442" s="51"/>
      <c r="F442" s="54"/>
      <c r="G442" s="25"/>
      <c r="H442" s="25"/>
      <c r="I442" s="25"/>
      <c r="J442" s="25"/>
      <c r="K442" s="25"/>
    </row>
    <row r="443">
      <c r="B443" s="51"/>
      <c r="C443" s="52"/>
      <c r="D443" s="55"/>
      <c r="E443" s="51"/>
      <c r="F443" s="54"/>
      <c r="G443" s="25"/>
      <c r="H443" s="25"/>
      <c r="I443" s="25"/>
      <c r="J443" s="25"/>
      <c r="K443" s="25"/>
    </row>
    <row r="444">
      <c r="B444" s="51"/>
      <c r="C444" s="52"/>
      <c r="D444" s="55"/>
      <c r="E444" s="51"/>
      <c r="F444" s="54"/>
      <c r="G444" s="25"/>
      <c r="H444" s="25"/>
      <c r="I444" s="25"/>
      <c r="J444" s="25"/>
      <c r="K444" s="25"/>
    </row>
    <row r="445">
      <c r="B445" s="51"/>
      <c r="C445" s="52"/>
      <c r="D445" s="55"/>
      <c r="E445" s="51"/>
      <c r="F445" s="54"/>
      <c r="G445" s="25"/>
      <c r="H445" s="25"/>
      <c r="I445" s="25"/>
      <c r="J445" s="25"/>
      <c r="K445" s="25"/>
    </row>
    <row r="446">
      <c r="B446" s="51"/>
      <c r="C446" s="52"/>
      <c r="D446" s="55"/>
      <c r="E446" s="51"/>
      <c r="F446" s="54"/>
      <c r="G446" s="25"/>
      <c r="H446" s="25"/>
      <c r="I446" s="25"/>
      <c r="J446" s="25"/>
      <c r="K446" s="25"/>
    </row>
    <row r="447">
      <c r="B447" s="51"/>
      <c r="C447" s="52"/>
      <c r="D447" s="55"/>
      <c r="E447" s="51"/>
      <c r="F447" s="54"/>
      <c r="G447" s="25"/>
      <c r="H447" s="25"/>
      <c r="I447" s="25"/>
      <c r="J447" s="25"/>
      <c r="K447" s="25"/>
    </row>
    <row r="448">
      <c r="B448" s="51"/>
      <c r="C448" s="52"/>
      <c r="D448" s="55"/>
      <c r="E448" s="51"/>
      <c r="F448" s="54"/>
      <c r="G448" s="25"/>
      <c r="H448" s="25"/>
      <c r="I448" s="25"/>
      <c r="J448" s="25"/>
      <c r="K448" s="25"/>
    </row>
    <row r="449">
      <c r="B449" s="51"/>
      <c r="C449" s="52"/>
      <c r="D449" s="55"/>
      <c r="E449" s="51"/>
      <c r="F449" s="54"/>
      <c r="G449" s="25"/>
      <c r="H449" s="25"/>
      <c r="I449" s="25"/>
      <c r="J449" s="25"/>
      <c r="K449" s="25"/>
    </row>
    <row r="450">
      <c r="B450" s="51"/>
      <c r="C450" s="52"/>
      <c r="D450" s="55"/>
      <c r="E450" s="51"/>
      <c r="F450" s="54"/>
      <c r="G450" s="25"/>
      <c r="H450" s="25"/>
      <c r="I450" s="25"/>
      <c r="J450" s="25"/>
      <c r="K450" s="25"/>
    </row>
    <row r="451">
      <c r="B451" s="51"/>
      <c r="C451" s="52"/>
      <c r="D451" s="55"/>
      <c r="E451" s="51"/>
      <c r="F451" s="54"/>
      <c r="G451" s="25"/>
      <c r="H451" s="25"/>
      <c r="I451" s="25"/>
      <c r="J451" s="25"/>
      <c r="K451" s="25"/>
    </row>
    <row r="452">
      <c r="B452" s="51"/>
      <c r="C452" s="52"/>
      <c r="D452" s="55"/>
      <c r="E452" s="51"/>
      <c r="F452" s="54"/>
      <c r="G452" s="25"/>
      <c r="H452" s="25"/>
      <c r="I452" s="25"/>
      <c r="J452" s="25"/>
      <c r="K452" s="25"/>
    </row>
    <row r="453">
      <c r="B453" s="51"/>
      <c r="C453" s="52"/>
      <c r="D453" s="55"/>
      <c r="E453" s="51"/>
      <c r="F453" s="54"/>
      <c r="G453" s="25"/>
      <c r="H453" s="25"/>
      <c r="I453" s="25"/>
      <c r="J453" s="25"/>
      <c r="K453" s="25"/>
    </row>
    <row r="454">
      <c r="B454" s="51"/>
      <c r="C454" s="52"/>
      <c r="D454" s="55"/>
      <c r="E454" s="51"/>
      <c r="F454" s="54"/>
      <c r="G454" s="25"/>
      <c r="H454" s="25"/>
      <c r="I454" s="25"/>
      <c r="J454" s="25"/>
      <c r="K454" s="25"/>
    </row>
    <row r="455">
      <c r="B455" s="51"/>
      <c r="C455" s="52"/>
      <c r="D455" s="55"/>
      <c r="E455" s="51"/>
      <c r="F455" s="54"/>
      <c r="G455" s="25"/>
      <c r="H455" s="25"/>
      <c r="I455" s="25"/>
      <c r="J455" s="25"/>
      <c r="K455" s="25"/>
    </row>
    <row r="456">
      <c r="B456" s="51"/>
      <c r="C456" s="52"/>
      <c r="D456" s="55"/>
      <c r="E456" s="51"/>
      <c r="F456" s="54"/>
      <c r="G456" s="25"/>
      <c r="H456" s="25"/>
      <c r="I456" s="25"/>
      <c r="J456" s="25"/>
      <c r="K456" s="25"/>
    </row>
    <row r="457">
      <c r="B457" s="51"/>
      <c r="C457" s="52"/>
      <c r="D457" s="55"/>
      <c r="E457" s="51"/>
      <c r="F457" s="54"/>
      <c r="G457" s="25"/>
      <c r="H457" s="25"/>
      <c r="I457" s="25"/>
      <c r="J457" s="25"/>
      <c r="K457" s="25"/>
    </row>
    <row r="458">
      <c r="B458" s="51"/>
      <c r="C458" s="52"/>
      <c r="D458" s="55"/>
      <c r="E458" s="51"/>
      <c r="F458" s="54"/>
      <c r="G458" s="25"/>
      <c r="H458" s="25"/>
      <c r="I458" s="25"/>
      <c r="J458" s="25"/>
      <c r="K458" s="25"/>
    </row>
    <row r="459">
      <c r="B459" s="51"/>
      <c r="C459" s="52"/>
      <c r="D459" s="55"/>
      <c r="E459" s="51"/>
      <c r="F459" s="54"/>
      <c r="G459" s="25"/>
      <c r="H459" s="25"/>
      <c r="I459" s="25"/>
      <c r="J459" s="25"/>
      <c r="K459" s="25"/>
    </row>
    <row r="460">
      <c r="B460" s="51"/>
      <c r="C460" s="52"/>
      <c r="D460" s="55"/>
      <c r="E460" s="51"/>
      <c r="F460" s="54"/>
      <c r="G460" s="25"/>
      <c r="H460" s="25"/>
      <c r="I460" s="25"/>
      <c r="J460" s="25"/>
      <c r="K460" s="25"/>
    </row>
    <row r="461">
      <c r="B461" s="51"/>
      <c r="C461" s="52"/>
      <c r="D461" s="55"/>
      <c r="E461" s="51"/>
      <c r="F461" s="54"/>
      <c r="G461" s="25"/>
      <c r="H461" s="25"/>
      <c r="I461" s="25"/>
      <c r="J461" s="25"/>
      <c r="K461" s="25"/>
    </row>
    <row r="462">
      <c r="B462" s="51"/>
      <c r="C462" s="52"/>
      <c r="D462" s="55"/>
      <c r="E462" s="51"/>
      <c r="F462" s="54"/>
      <c r="G462" s="25"/>
      <c r="H462" s="25"/>
      <c r="I462" s="25"/>
      <c r="J462" s="25"/>
      <c r="K462" s="25"/>
    </row>
    <row r="463">
      <c r="B463" s="51"/>
      <c r="C463" s="52"/>
      <c r="D463" s="55"/>
      <c r="E463" s="51"/>
      <c r="F463" s="54"/>
      <c r="G463" s="25"/>
      <c r="H463" s="25"/>
      <c r="I463" s="25"/>
      <c r="J463" s="25"/>
      <c r="K463" s="25"/>
    </row>
    <row r="464">
      <c r="B464" s="51"/>
      <c r="C464" s="52"/>
      <c r="D464" s="55"/>
      <c r="E464" s="51"/>
      <c r="F464" s="54"/>
      <c r="G464" s="25"/>
      <c r="H464" s="25"/>
      <c r="I464" s="25"/>
      <c r="J464" s="25"/>
      <c r="K464" s="25"/>
    </row>
    <row r="465">
      <c r="B465" s="51"/>
      <c r="C465" s="52"/>
      <c r="D465" s="55"/>
      <c r="E465" s="51"/>
      <c r="F465" s="54"/>
      <c r="G465" s="25"/>
      <c r="H465" s="25"/>
      <c r="I465" s="25"/>
      <c r="J465" s="25"/>
      <c r="K465" s="25"/>
    </row>
    <row r="466">
      <c r="B466" s="51"/>
      <c r="C466" s="52"/>
      <c r="D466" s="55"/>
      <c r="E466" s="51"/>
      <c r="F466" s="54"/>
      <c r="G466" s="25"/>
      <c r="H466" s="25"/>
      <c r="I466" s="25"/>
      <c r="J466" s="25"/>
      <c r="K466" s="25"/>
    </row>
    <row r="467">
      <c r="B467" s="51"/>
      <c r="C467" s="52"/>
      <c r="D467" s="55"/>
      <c r="E467" s="51"/>
      <c r="F467" s="54"/>
      <c r="G467" s="25"/>
      <c r="H467" s="25"/>
      <c r="I467" s="25"/>
      <c r="J467" s="25"/>
      <c r="K467" s="25"/>
    </row>
    <row r="468">
      <c r="B468" s="51"/>
      <c r="C468" s="52"/>
      <c r="D468" s="55"/>
      <c r="E468" s="51"/>
      <c r="F468" s="54"/>
      <c r="G468" s="25"/>
      <c r="H468" s="25"/>
      <c r="I468" s="25"/>
      <c r="J468" s="25"/>
      <c r="K468" s="25"/>
    </row>
    <row r="469">
      <c r="B469" s="51"/>
      <c r="C469" s="52"/>
      <c r="D469" s="55"/>
      <c r="E469" s="51"/>
      <c r="F469" s="54"/>
      <c r="G469" s="25"/>
      <c r="H469" s="25"/>
      <c r="I469" s="25"/>
      <c r="J469" s="25"/>
      <c r="K469" s="25"/>
    </row>
    <row r="470">
      <c r="B470" s="51"/>
      <c r="C470" s="52"/>
      <c r="D470" s="55"/>
      <c r="E470" s="51"/>
      <c r="F470" s="54"/>
      <c r="G470" s="25"/>
      <c r="H470" s="25"/>
      <c r="I470" s="25"/>
      <c r="J470" s="25"/>
      <c r="K470" s="25"/>
    </row>
    <row r="471">
      <c r="B471" s="51"/>
      <c r="C471" s="52"/>
      <c r="D471" s="55"/>
      <c r="E471" s="51"/>
      <c r="F471" s="54"/>
      <c r="G471" s="25"/>
      <c r="H471" s="25"/>
      <c r="I471" s="25"/>
      <c r="J471" s="25"/>
      <c r="K471" s="25"/>
    </row>
    <row r="472">
      <c r="B472" s="51"/>
      <c r="C472" s="52"/>
      <c r="D472" s="55"/>
      <c r="E472" s="51"/>
      <c r="F472" s="54"/>
      <c r="G472" s="25"/>
      <c r="H472" s="25"/>
      <c r="I472" s="25"/>
      <c r="J472" s="25"/>
      <c r="K472" s="25"/>
    </row>
    <row r="473">
      <c r="B473" s="51"/>
      <c r="C473" s="52"/>
      <c r="D473" s="55"/>
      <c r="E473" s="51"/>
      <c r="F473" s="54"/>
      <c r="G473" s="25"/>
      <c r="H473" s="25"/>
      <c r="I473" s="25"/>
      <c r="J473" s="25"/>
      <c r="K473" s="25"/>
    </row>
    <row r="474">
      <c r="B474" s="51"/>
      <c r="C474" s="52"/>
      <c r="D474" s="55"/>
      <c r="E474" s="51"/>
      <c r="F474" s="54"/>
      <c r="G474" s="25"/>
      <c r="H474" s="25"/>
      <c r="I474" s="25"/>
      <c r="J474" s="25"/>
      <c r="K474" s="25"/>
    </row>
    <row r="475">
      <c r="B475" s="51"/>
      <c r="C475" s="52"/>
      <c r="D475" s="55"/>
      <c r="E475" s="51"/>
      <c r="F475" s="54"/>
      <c r="G475" s="25"/>
      <c r="H475" s="25"/>
      <c r="I475" s="25"/>
      <c r="J475" s="25"/>
      <c r="K475" s="25"/>
    </row>
    <row r="476">
      <c r="B476" s="51"/>
      <c r="C476" s="52"/>
      <c r="D476" s="55"/>
      <c r="E476" s="51"/>
      <c r="F476" s="54"/>
      <c r="G476" s="25"/>
      <c r="H476" s="25"/>
      <c r="I476" s="25"/>
      <c r="J476" s="25"/>
      <c r="K476" s="25"/>
    </row>
    <row r="477">
      <c r="B477" s="51"/>
      <c r="C477" s="52"/>
      <c r="D477" s="55"/>
      <c r="E477" s="51"/>
      <c r="F477" s="54"/>
      <c r="G477" s="25"/>
      <c r="H477" s="25"/>
      <c r="I477" s="25"/>
      <c r="J477" s="25"/>
      <c r="K477" s="25"/>
    </row>
    <row r="478">
      <c r="B478" s="51"/>
      <c r="C478" s="52"/>
      <c r="D478" s="55"/>
      <c r="E478" s="51"/>
      <c r="F478" s="54"/>
      <c r="G478" s="25"/>
      <c r="H478" s="25"/>
      <c r="I478" s="25"/>
      <c r="J478" s="25"/>
      <c r="K478" s="25"/>
    </row>
    <row r="479">
      <c r="B479" s="51"/>
      <c r="C479" s="52"/>
      <c r="D479" s="55"/>
      <c r="E479" s="51"/>
      <c r="F479" s="54"/>
      <c r="G479" s="25"/>
      <c r="H479" s="25"/>
      <c r="I479" s="25"/>
      <c r="J479" s="25"/>
      <c r="K479" s="25"/>
    </row>
    <row r="480">
      <c r="B480" s="51"/>
      <c r="C480" s="52"/>
      <c r="D480" s="55"/>
      <c r="E480" s="51"/>
      <c r="F480" s="54"/>
      <c r="G480" s="25"/>
      <c r="H480" s="25"/>
      <c r="I480" s="25"/>
      <c r="J480" s="25"/>
      <c r="K480" s="25"/>
    </row>
    <row r="481">
      <c r="B481" s="51"/>
      <c r="C481" s="52"/>
      <c r="D481" s="55"/>
      <c r="E481" s="51"/>
      <c r="F481" s="54"/>
      <c r="G481" s="25"/>
      <c r="H481" s="25"/>
      <c r="I481" s="25"/>
      <c r="J481" s="25"/>
      <c r="K481" s="25"/>
    </row>
    <row r="482">
      <c r="B482" s="51"/>
      <c r="C482" s="52"/>
      <c r="D482" s="55"/>
      <c r="E482" s="51"/>
      <c r="F482" s="54"/>
      <c r="G482" s="25"/>
      <c r="H482" s="25"/>
      <c r="I482" s="25"/>
      <c r="J482" s="25"/>
      <c r="K482" s="25"/>
    </row>
    <row r="483">
      <c r="B483" s="51"/>
      <c r="C483" s="52"/>
      <c r="D483" s="55"/>
      <c r="E483" s="51"/>
      <c r="F483" s="54"/>
      <c r="G483" s="25"/>
      <c r="H483" s="25"/>
      <c r="I483" s="25"/>
      <c r="J483" s="25"/>
      <c r="K483" s="25"/>
    </row>
    <row r="484">
      <c r="B484" s="51"/>
      <c r="C484" s="52"/>
      <c r="D484" s="55"/>
      <c r="E484" s="51"/>
      <c r="F484" s="54"/>
      <c r="G484" s="25"/>
      <c r="H484" s="25"/>
      <c r="I484" s="25"/>
      <c r="J484" s="25"/>
      <c r="K484" s="25"/>
    </row>
    <row r="485">
      <c r="B485" s="51"/>
      <c r="C485" s="52"/>
      <c r="D485" s="55"/>
      <c r="E485" s="51"/>
      <c r="F485" s="54"/>
      <c r="G485" s="25"/>
      <c r="H485" s="25"/>
      <c r="I485" s="25"/>
      <c r="J485" s="25"/>
      <c r="K485" s="25"/>
    </row>
    <row r="486">
      <c r="B486" s="51"/>
      <c r="C486" s="52"/>
      <c r="D486" s="55"/>
      <c r="E486" s="51"/>
      <c r="F486" s="54"/>
      <c r="G486" s="25"/>
      <c r="H486" s="25"/>
      <c r="I486" s="25"/>
      <c r="J486" s="25"/>
      <c r="K486" s="25"/>
    </row>
    <row r="487">
      <c r="B487" s="51"/>
      <c r="C487" s="52"/>
      <c r="D487" s="55"/>
      <c r="E487" s="51"/>
      <c r="F487" s="54"/>
      <c r="G487" s="25"/>
      <c r="H487" s="25"/>
      <c r="I487" s="25"/>
      <c r="J487" s="25"/>
      <c r="K487" s="25"/>
    </row>
    <row r="488">
      <c r="B488" s="51"/>
      <c r="C488" s="52"/>
      <c r="D488" s="55"/>
      <c r="E488" s="51"/>
      <c r="F488" s="54"/>
      <c r="G488" s="25"/>
      <c r="H488" s="25"/>
      <c r="I488" s="25"/>
      <c r="J488" s="25"/>
      <c r="K488" s="25"/>
    </row>
    <row r="489">
      <c r="B489" s="51"/>
      <c r="C489" s="52"/>
      <c r="D489" s="55"/>
      <c r="E489" s="51"/>
      <c r="F489" s="54"/>
      <c r="G489" s="25"/>
      <c r="H489" s="25"/>
      <c r="I489" s="25"/>
      <c r="J489" s="25"/>
      <c r="K489" s="25"/>
    </row>
    <row r="490">
      <c r="B490" s="51"/>
      <c r="C490" s="52"/>
      <c r="D490" s="55"/>
      <c r="E490" s="51"/>
      <c r="F490" s="54"/>
      <c r="G490" s="25"/>
      <c r="H490" s="25"/>
      <c r="I490" s="25"/>
      <c r="J490" s="25"/>
      <c r="K490" s="25"/>
    </row>
    <row r="491">
      <c r="B491" s="51"/>
      <c r="C491" s="52"/>
      <c r="D491" s="55"/>
      <c r="E491" s="51"/>
      <c r="F491" s="54"/>
      <c r="G491" s="25"/>
      <c r="H491" s="25"/>
      <c r="I491" s="25"/>
      <c r="J491" s="25"/>
      <c r="K491" s="25"/>
    </row>
    <row r="492">
      <c r="B492" s="51"/>
      <c r="C492" s="52"/>
      <c r="D492" s="55"/>
      <c r="E492" s="51"/>
      <c r="F492" s="54"/>
      <c r="G492" s="25"/>
      <c r="H492" s="25"/>
      <c r="I492" s="25"/>
      <c r="J492" s="25"/>
      <c r="K492" s="25"/>
    </row>
    <row r="493">
      <c r="B493" s="51"/>
      <c r="C493" s="52"/>
      <c r="D493" s="55"/>
      <c r="E493" s="51"/>
      <c r="F493" s="54"/>
      <c r="G493" s="25"/>
      <c r="H493" s="25"/>
      <c r="I493" s="25"/>
      <c r="J493" s="25"/>
      <c r="K493" s="25"/>
    </row>
    <row r="494">
      <c r="B494" s="51"/>
      <c r="C494" s="52"/>
      <c r="D494" s="55"/>
      <c r="E494" s="51"/>
      <c r="F494" s="54"/>
      <c r="G494" s="25"/>
      <c r="H494" s="25"/>
      <c r="I494" s="25"/>
      <c r="J494" s="25"/>
      <c r="K494" s="25"/>
    </row>
    <row r="495">
      <c r="B495" s="51"/>
      <c r="C495" s="52"/>
      <c r="D495" s="55"/>
      <c r="E495" s="51"/>
      <c r="F495" s="54"/>
      <c r="G495" s="25"/>
      <c r="H495" s="25"/>
      <c r="I495" s="25"/>
      <c r="J495" s="25"/>
      <c r="K495" s="25"/>
    </row>
    <row r="496">
      <c r="B496" s="51"/>
      <c r="C496" s="52"/>
      <c r="D496" s="55"/>
      <c r="E496" s="51"/>
      <c r="F496" s="54"/>
      <c r="G496" s="25"/>
      <c r="H496" s="25"/>
      <c r="I496" s="25"/>
      <c r="J496" s="25"/>
      <c r="K496" s="25"/>
    </row>
    <row r="497">
      <c r="B497" s="51"/>
      <c r="C497" s="52"/>
      <c r="D497" s="55"/>
      <c r="E497" s="51"/>
      <c r="F497" s="54"/>
      <c r="G497" s="25"/>
      <c r="H497" s="25"/>
      <c r="I497" s="25"/>
      <c r="J497" s="25"/>
      <c r="K497" s="25"/>
    </row>
    <row r="498">
      <c r="B498" s="51"/>
      <c r="C498" s="52"/>
      <c r="D498" s="55"/>
      <c r="E498" s="51"/>
      <c r="F498" s="54"/>
      <c r="G498" s="25"/>
      <c r="H498" s="25"/>
      <c r="I498" s="25"/>
      <c r="J498" s="25"/>
      <c r="K498" s="25"/>
    </row>
    <row r="499">
      <c r="B499" s="51"/>
      <c r="C499" s="52"/>
      <c r="D499" s="55"/>
      <c r="E499" s="51"/>
      <c r="F499" s="54"/>
      <c r="G499" s="25"/>
      <c r="H499" s="25"/>
      <c r="I499" s="25"/>
      <c r="J499" s="25"/>
      <c r="K499" s="25"/>
    </row>
    <row r="500">
      <c r="B500" s="51"/>
      <c r="C500" s="52"/>
      <c r="D500" s="55"/>
      <c r="E500" s="51"/>
      <c r="F500" s="54"/>
      <c r="G500" s="25"/>
      <c r="H500" s="25"/>
      <c r="I500" s="25"/>
      <c r="J500" s="25"/>
      <c r="K500" s="25"/>
    </row>
    <row r="501">
      <c r="B501" s="51"/>
      <c r="C501" s="52"/>
      <c r="D501" s="55"/>
      <c r="E501" s="51"/>
      <c r="F501" s="54"/>
      <c r="G501" s="25"/>
      <c r="H501" s="25"/>
      <c r="I501" s="25"/>
      <c r="J501" s="25"/>
      <c r="K501" s="25"/>
    </row>
    <row r="502">
      <c r="B502" s="51"/>
      <c r="C502" s="52"/>
      <c r="D502" s="55"/>
      <c r="E502" s="51"/>
      <c r="F502" s="54"/>
      <c r="G502" s="25"/>
      <c r="H502" s="25"/>
      <c r="I502" s="25"/>
      <c r="J502" s="25"/>
      <c r="K502" s="25"/>
    </row>
    <row r="503">
      <c r="B503" s="51"/>
      <c r="C503" s="52"/>
      <c r="D503" s="55"/>
      <c r="E503" s="51"/>
      <c r="F503" s="54"/>
      <c r="G503" s="25"/>
      <c r="H503" s="25"/>
      <c r="I503" s="25"/>
      <c r="J503" s="25"/>
      <c r="K503" s="25"/>
    </row>
    <row r="504">
      <c r="B504" s="51"/>
      <c r="C504" s="52"/>
      <c r="D504" s="55"/>
      <c r="E504" s="51"/>
      <c r="F504" s="54"/>
      <c r="G504" s="25"/>
      <c r="H504" s="25"/>
      <c r="I504" s="25"/>
      <c r="J504" s="25"/>
      <c r="K504" s="25"/>
    </row>
    <row r="505">
      <c r="B505" s="51"/>
      <c r="C505" s="52"/>
      <c r="D505" s="55"/>
      <c r="E505" s="51"/>
      <c r="F505" s="54"/>
      <c r="G505" s="25"/>
      <c r="H505" s="25"/>
      <c r="I505" s="25"/>
      <c r="J505" s="25"/>
      <c r="K505" s="25"/>
    </row>
    <row r="506">
      <c r="B506" s="51"/>
      <c r="C506" s="52"/>
      <c r="D506" s="55"/>
      <c r="E506" s="51"/>
      <c r="F506" s="54"/>
      <c r="G506" s="25"/>
      <c r="H506" s="25"/>
      <c r="I506" s="25"/>
      <c r="J506" s="25"/>
      <c r="K506" s="25"/>
    </row>
    <row r="507">
      <c r="B507" s="51"/>
      <c r="C507" s="52"/>
      <c r="D507" s="55"/>
      <c r="E507" s="51"/>
      <c r="F507" s="54"/>
      <c r="G507" s="25"/>
      <c r="H507" s="25"/>
      <c r="I507" s="25"/>
      <c r="J507" s="25"/>
      <c r="K507" s="25"/>
    </row>
    <row r="508">
      <c r="B508" s="51"/>
      <c r="C508" s="52"/>
      <c r="D508" s="55"/>
      <c r="E508" s="51"/>
      <c r="F508" s="54"/>
      <c r="G508" s="25"/>
      <c r="H508" s="25"/>
      <c r="I508" s="25"/>
      <c r="J508" s="25"/>
      <c r="K508" s="25"/>
    </row>
    <row r="509">
      <c r="B509" s="51"/>
      <c r="C509" s="52"/>
      <c r="D509" s="55"/>
      <c r="E509" s="51"/>
      <c r="F509" s="54"/>
      <c r="G509" s="25"/>
      <c r="H509" s="25"/>
      <c r="I509" s="25"/>
      <c r="J509" s="25"/>
      <c r="K509" s="25"/>
    </row>
    <row r="510">
      <c r="B510" s="51"/>
      <c r="C510" s="52"/>
      <c r="D510" s="55"/>
      <c r="E510" s="51"/>
      <c r="F510" s="54"/>
      <c r="G510" s="25"/>
      <c r="H510" s="25"/>
      <c r="I510" s="25"/>
      <c r="J510" s="25"/>
      <c r="K510" s="25"/>
    </row>
    <row r="511">
      <c r="B511" s="51"/>
      <c r="C511" s="52"/>
      <c r="D511" s="55"/>
      <c r="E511" s="51"/>
      <c r="F511" s="54"/>
      <c r="G511" s="25"/>
      <c r="H511" s="25"/>
      <c r="I511" s="25"/>
      <c r="J511" s="25"/>
      <c r="K511" s="25"/>
    </row>
    <row r="512">
      <c r="B512" s="51"/>
      <c r="C512" s="52"/>
      <c r="D512" s="55"/>
      <c r="E512" s="51"/>
      <c r="F512" s="54"/>
      <c r="G512" s="25"/>
      <c r="H512" s="25"/>
      <c r="I512" s="25"/>
      <c r="J512" s="25"/>
      <c r="K512" s="25"/>
    </row>
    <row r="513">
      <c r="B513" s="51"/>
      <c r="C513" s="52"/>
      <c r="D513" s="55"/>
      <c r="E513" s="51"/>
      <c r="F513" s="54"/>
      <c r="G513" s="25"/>
      <c r="H513" s="25"/>
      <c r="I513" s="25"/>
      <c r="J513" s="25"/>
      <c r="K513" s="25"/>
    </row>
    <row r="514">
      <c r="B514" s="51"/>
      <c r="C514" s="52"/>
      <c r="D514" s="55"/>
      <c r="E514" s="51"/>
      <c r="F514" s="54"/>
      <c r="G514" s="25"/>
      <c r="H514" s="25"/>
      <c r="I514" s="25"/>
      <c r="J514" s="25"/>
      <c r="K514" s="25"/>
    </row>
    <row r="515">
      <c r="B515" s="51"/>
      <c r="C515" s="52"/>
      <c r="D515" s="55"/>
      <c r="E515" s="51"/>
      <c r="F515" s="54"/>
      <c r="G515" s="25"/>
      <c r="H515" s="25"/>
      <c r="I515" s="25"/>
      <c r="J515" s="25"/>
      <c r="K515" s="25"/>
    </row>
    <row r="516">
      <c r="B516" s="51"/>
      <c r="C516" s="52"/>
      <c r="D516" s="55"/>
      <c r="E516" s="51"/>
      <c r="F516" s="54"/>
      <c r="G516" s="25"/>
      <c r="H516" s="25"/>
      <c r="I516" s="25"/>
      <c r="J516" s="25"/>
      <c r="K516" s="25"/>
    </row>
    <row r="517">
      <c r="B517" s="51"/>
      <c r="C517" s="52"/>
      <c r="D517" s="55"/>
      <c r="E517" s="51"/>
      <c r="F517" s="54"/>
      <c r="G517" s="25"/>
      <c r="H517" s="25"/>
      <c r="I517" s="25"/>
      <c r="J517" s="25"/>
      <c r="K517" s="25"/>
    </row>
    <row r="518">
      <c r="B518" s="51"/>
      <c r="C518" s="52"/>
      <c r="D518" s="55"/>
      <c r="E518" s="51"/>
      <c r="F518" s="54"/>
      <c r="G518" s="25"/>
      <c r="H518" s="25"/>
      <c r="I518" s="25"/>
      <c r="J518" s="25"/>
      <c r="K518" s="25"/>
    </row>
    <row r="519">
      <c r="B519" s="51"/>
      <c r="C519" s="52"/>
      <c r="D519" s="55"/>
      <c r="E519" s="51"/>
      <c r="F519" s="54"/>
      <c r="G519" s="25"/>
      <c r="H519" s="25"/>
      <c r="I519" s="25"/>
      <c r="J519" s="25"/>
      <c r="K519" s="25"/>
    </row>
    <row r="520">
      <c r="B520" s="51"/>
      <c r="C520" s="52"/>
      <c r="D520" s="55"/>
      <c r="E520" s="51"/>
      <c r="F520" s="54"/>
      <c r="G520" s="25"/>
      <c r="H520" s="25"/>
      <c r="I520" s="25"/>
      <c r="J520" s="25"/>
      <c r="K520" s="25"/>
    </row>
    <row r="521">
      <c r="B521" s="51"/>
      <c r="C521" s="52"/>
      <c r="D521" s="55"/>
      <c r="E521" s="51"/>
      <c r="F521" s="54"/>
      <c r="G521" s="25"/>
      <c r="H521" s="25"/>
      <c r="I521" s="25"/>
      <c r="J521" s="25"/>
      <c r="K521" s="25"/>
    </row>
    <row r="522">
      <c r="B522" s="51"/>
      <c r="C522" s="52"/>
      <c r="D522" s="55"/>
      <c r="E522" s="51"/>
      <c r="F522" s="54"/>
      <c r="G522" s="25"/>
      <c r="H522" s="25"/>
      <c r="I522" s="25"/>
      <c r="J522" s="25"/>
      <c r="K522" s="25"/>
    </row>
    <row r="523">
      <c r="B523" s="51"/>
      <c r="C523" s="52"/>
      <c r="D523" s="55"/>
      <c r="E523" s="51"/>
      <c r="F523" s="54"/>
      <c r="G523" s="25"/>
      <c r="H523" s="25"/>
      <c r="I523" s="25"/>
      <c r="J523" s="25"/>
      <c r="K523" s="25"/>
    </row>
    <row r="524">
      <c r="B524" s="51"/>
      <c r="C524" s="52"/>
      <c r="D524" s="55"/>
      <c r="E524" s="51"/>
      <c r="F524" s="54"/>
      <c r="G524" s="25"/>
      <c r="H524" s="25"/>
      <c r="I524" s="25"/>
      <c r="J524" s="25"/>
      <c r="K524" s="25"/>
    </row>
    <row r="525">
      <c r="B525" s="51"/>
      <c r="C525" s="52"/>
      <c r="D525" s="55"/>
      <c r="E525" s="51"/>
      <c r="F525" s="54"/>
      <c r="G525" s="25"/>
      <c r="H525" s="25"/>
      <c r="I525" s="25"/>
      <c r="J525" s="25"/>
      <c r="K525" s="25"/>
    </row>
    <row r="526">
      <c r="B526" s="51"/>
      <c r="C526" s="52"/>
      <c r="D526" s="55"/>
      <c r="E526" s="51"/>
      <c r="F526" s="54"/>
      <c r="G526" s="25"/>
      <c r="H526" s="25"/>
      <c r="I526" s="25"/>
      <c r="J526" s="25"/>
      <c r="K526" s="25"/>
    </row>
    <row r="527">
      <c r="B527" s="51"/>
      <c r="C527" s="52"/>
      <c r="D527" s="55"/>
      <c r="E527" s="51"/>
      <c r="F527" s="54"/>
      <c r="G527" s="25"/>
      <c r="H527" s="25"/>
      <c r="I527" s="25"/>
      <c r="J527" s="25"/>
      <c r="K527" s="25"/>
    </row>
    <row r="528">
      <c r="B528" s="51"/>
      <c r="C528" s="52"/>
      <c r="D528" s="55"/>
      <c r="E528" s="51"/>
      <c r="F528" s="54"/>
      <c r="G528" s="25"/>
      <c r="H528" s="25"/>
      <c r="I528" s="25"/>
      <c r="J528" s="25"/>
      <c r="K528" s="25"/>
    </row>
    <row r="529">
      <c r="B529" s="51"/>
      <c r="C529" s="52"/>
      <c r="D529" s="55"/>
      <c r="E529" s="51"/>
      <c r="F529" s="54"/>
      <c r="G529" s="25"/>
      <c r="H529" s="25"/>
      <c r="I529" s="25"/>
      <c r="J529" s="25"/>
      <c r="K529" s="25"/>
    </row>
    <row r="530">
      <c r="B530" s="51"/>
      <c r="C530" s="52"/>
      <c r="D530" s="55"/>
      <c r="E530" s="51"/>
      <c r="F530" s="54"/>
      <c r="G530" s="25"/>
      <c r="H530" s="25"/>
      <c r="I530" s="25"/>
      <c r="J530" s="25"/>
      <c r="K530" s="25"/>
    </row>
    <row r="531">
      <c r="B531" s="51"/>
      <c r="C531" s="52"/>
      <c r="D531" s="55"/>
      <c r="E531" s="51"/>
      <c r="F531" s="54"/>
      <c r="G531" s="25"/>
      <c r="H531" s="25"/>
      <c r="I531" s="25"/>
      <c r="J531" s="25"/>
      <c r="K531" s="25"/>
    </row>
    <row r="532">
      <c r="B532" s="51"/>
      <c r="C532" s="52"/>
      <c r="D532" s="55"/>
      <c r="E532" s="51"/>
      <c r="F532" s="54"/>
      <c r="G532" s="25"/>
      <c r="H532" s="25"/>
      <c r="I532" s="25"/>
      <c r="J532" s="25"/>
      <c r="K532" s="25"/>
    </row>
    <row r="533">
      <c r="B533" s="51"/>
      <c r="C533" s="52"/>
      <c r="D533" s="55"/>
      <c r="E533" s="51"/>
      <c r="F533" s="54"/>
      <c r="G533" s="25"/>
      <c r="H533" s="25"/>
      <c r="I533" s="25"/>
      <c r="J533" s="25"/>
      <c r="K533" s="25"/>
    </row>
    <row r="534">
      <c r="B534" s="51"/>
      <c r="C534" s="52"/>
      <c r="D534" s="55"/>
      <c r="E534" s="51"/>
      <c r="F534" s="54"/>
      <c r="G534" s="25"/>
      <c r="H534" s="25"/>
      <c r="I534" s="25"/>
      <c r="J534" s="25"/>
      <c r="K534" s="25"/>
    </row>
    <row r="535">
      <c r="B535" s="51"/>
      <c r="C535" s="52"/>
      <c r="D535" s="55"/>
      <c r="E535" s="51"/>
      <c r="F535" s="54"/>
      <c r="G535" s="25"/>
      <c r="H535" s="25"/>
      <c r="I535" s="25"/>
      <c r="J535" s="25"/>
      <c r="K535" s="25"/>
    </row>
    <row r="536">
      <c r="B536" s="51"/>
      <c r="C536" s="52"/>
      <c r="D536" s="55"/>
      <c r="E536" s="51"/>
      <c r="F536" s="54"/>
      <c r="G536" s="25"/>
      <c r="H536" s="25"/>
      <c r="I536" s="25"/>
      <c r="J536" s="25"/>
      <c r="K536" s="25"/>
    </row>
    <row r="537">
      <c r="B537" s="51"/>
      <c r="C537" s="52"/>
      <c r="D537" s="55"/>
      <c r="E537" s="51"/>
      <c r="F537" s="54"/>
      <c r="G537" s="25"/>
      <c r="H537" s="25"/>
      <c r="I537" s="25"/>
      <c r="J537" s="25"/>
      <c r="K537" s="25"/>
    </row>
    <row r="538">
      <c r="B538" s="51"/>
      <c r="C538" s="52"/>
      <c r="D538" s="55"/>
      <c r="E538" s="51"/>
      <c r="F538" s="54"/>
      <c r="G538" s="25"/>
      <c r="H538" s="25"/>
      <c r="I538" s="25"/>
      <c r="J538" s="25"/>
      <c r="K538" s="25"/>
    </row>
    <row r="539">
      <c r="B539" s="51"/>
      <c r="C539" s="52"/>
      <c r="D539" s="55"/>
      <c r="E539" s="51"/>
      <c r="F539" s="54"/>
      <c r="G539" s="25"/>
      <c r="H539" s="25"/>
      <c r="I539" s="25"/>
      <c r="J539" s="25"/>
      <c r="K539" s="25"/>
    </row>
    <row r="540">
      <c r="B540" s="51"/>
      <c r="C540" s="52"/>
      <c r="D540" s="55"/>
      <c r="E540" s="51"/>
      <c r="F540" s="54"/>
      <c r="G540" s="25"/>
      <c r="H540" s="25"/>
      <c r="I540" s="25"/>
      <c r="J540" s="25"/>
      <c r="K540" s="25"/>
    </row>
    <row r="541">
      <c r="B541" s="51"/>
      <c r="C541" s="52"/>
      <c r="D541" s="55"/>
      <c r="E541" s="51"/>
      <c r="F541" s="54"/>
      <c r="G541" s="25"/>
      <c r="H541" s="25"/>
      <c r="I541" s="25"/>
      <c r="J541" s="25"/>
      <c r="K541" s="25"/>
    </row>
    <row r="542">
      <c r="B542" s="51"/>
      <c r="C542" s="52"/>
      <c r="D542" s="55"/>
      <c r="E542" s="51"/>
      <c r="F542" s="54"/>
      <c r="G542" s="25"/>
      <c r="H542" s="25"/>
      <c r="I542" s="25"/>
      <c r="J542" s="25"/>
      <c r="K542" s="25"/>
    </row>
    <row r="543">
      <c r="B543" s="51"/>
      <c r="C543" s="52"/>
      <c r="D543" s="55"/>
      <c r="E543" s="51"/>
      <c r="F543" s="54"/>
      <c r="G543" s="25"/>
      <c r="H543" s="25"/>
      <c r="I543" s="25"/>
      <c r="J543" s="25"/>
      <c r="K543" s="25"/>
    </row>
    <row r="544">
      <c r="B544" s="51"/>
      <c r="C544" s="52"/>
      <c r="D544" s="55"/>
      <c r="E544" s="51"/>
      <c r="F544" s="54"/>
      <c r="G544" s="25"/>
      <c r="H544" s="25"/>
      <c r="I544" s="25"/>
      <c r="J544" s="25"/>
      <c r="K544" s="25"/>
    </row>
    <row r="545">
      <c r="B545" s="51"/>
      <c r="C545" s="52"/>
      <c r="D545" s="55"/>
      <c r="E545" s="51"/>
      <c r="F545" s="54"/>
      <c r="G545" s="25"/>
      <c r="H545" s="25"/>
      <c r="I545" s="25"/>
      <c r="J545" s="25"/>
      <c r="K545" s="25"/>
    </row>
    <row r="546">
      <c r="B546" s="51"/>
      <c r="C546" s="52"/>
      <c r="D546" s="55"/>
      <c r="E546" s="51"/>
      <c r="F546" s="54"/>
      <c r="G546" s="25"/>
      <c r="H546" s="25"/>
      <c r="I546" s="25"/>
      <c r="J546" s="25"/>
      <c r="K546" s="25"/>
    </row>
    <row r="547">
      <c r="B547" s="51"/>
      <c r="C547" s="52"/>
      <c r="D547" s="55"/>
      <c r="E547" s="51"/>
      <c r="F547" s="54"/>
      <c r="G547" s="25"/>
      <c r="H547" s="25"/>
      <c r="I547" s="25"/>
      <c r="J547" s="25"/>
      <c r="K547" s="25"/>
    </row>
    <row r="548">
      <c r="B548" s="51"/>
      <c r="C548" s="52"/>
      <c r="D548" s="55"/>
      <c r="E548" s="51"/>
      <c r="F548" s="54"/>
      <c r="G548" s="25"/>
      <c r="H548" s="25"/>
      <c r="I548" s="25"/>
      <c r="J548" s="25"/>
      <c r="K548" s="25"/>
    </row>
    <row r="549">
      <c r="B549" s="51"/>
      <c r="C549" s="52"/>
      <c r="D549" s="55"/>
      <c r="E549" s="51"/>
      <c r="F549" s="54"/>
      <c r="G549" s="25"/>
      <c r="H549" s="25"/>
      <c r="I549" s="25"/>
      <c r="J549" s="25"/>
      <c r="K549" s="25"/>
    </row>
    <row r="550">
      <c r="B550" s="51"/>
      <c r="C550" s="52"/>
      <c r="D550" s="55"/>
      <c r="E550" s="51"/>
      <c r="F550" s="54"/>
      <c r="G550" s="25"/>
      <c r="H550" s="25"/>
      <c r="I550" s="25"/>
      <c r="J550" s="25"/>
      <c r="K550" s="25"/>
    </row>
    <row r="551">
      <c r="B551" s="51"/>
      <c r="C551" s="52"/>
      <c r="D551" s="55"/>
      <c r="E551" s="51"/>
      <c r="F551" s="54"/>
      <c r="G551" s="25"/>
      <c r="H551" s="25"/>
      <c r="I551" s="25"/>
      <c r="J551" s="25"/>
      <c r="K551" s="25"/>
    </row>
    <row r="552">
      <c r="B552" s="51"/>
      <c r="C552" s="52"/>
      <c r="D552" s="55"/>
      <c r="E552" s="51"/>
      <c r="F552" s="54"/>
      <c r="G552" s="25"/>
      <c r="H552" s="25"/>
      <c r="I552" s="25"/>
      <c r="J552" s="25"/>
      <c r="K552" s="25"/>
    </row>
    <row r="553">
      <c r="B553" s="51"/>
      <c r="C553" s="52"/>
      <c r="D553" s="55"/>
      <c r="E553" s="51"/>
      <c r="F553" s="54"/>
      <c r="G553" s="25"/>
      <c r="H553" s="25"/>
      <c r="I553" s="25"/>
      <c r="J553" s="25"/>
      <c r="K553" s="25"/>
    </row>
    <row r="554">
      <c r="B554" s="51"/>
      <c r="C554" s="52"/>
      <c r="D554" s="55"/>
      <c r="E554" s="51"/>
      <c r="F554" s="54"/>
      <c r="G554" s="25"/>
      <c r="H554" s="25"/>
      <c r="I554" s="25"/>
      <c r="J554" s="25"/>
      <c r="K554" s="25"/>
    </row>
    <row r="555">
      <c r="B555" s="51"/>
      <c r="C555" s="52"/>
      <c r="D555" s="55"/>
      <c r="E555" s="51"/>
      <c r="F555" s="54"/>
      <c r="G555" s="25"/>
      <c r="H555" s="25"/>
      <c r="I555" s="25"/>
      <c r="J555" s="25"/>
      <c r="K555" s="25"/>
    </row>
    <row r="556">
      <c r="B556" s="51"/>
      <c r="C556" s="52"/>
      <c r="D556" s="55"/>
      <c r="E556" s="51"/>
      <c r="F556" s="54"/>
      <c r="G556" s="25"/>
      <c r="H556" s="25"/>
      <c r="I556" s="25"/>
      <c r="J556" s="25"/>
      <c r="K556" s="25"/>
    </row>
    <row r="557">
      <c r="B557" s="51"/>
      <c r="C557" s="52"/>
      <c r="D557" s="55"/>
      <c r="E557" s="51"/>
      <c r="F557" s="54"/>
      <c r="G557" s="25"/>
      <c r="H557" s="25"/>
      <c r="I557" s="25"/>
      <c r="J557" s="25"/>
      <c r="K557" s="25"/>
    </row>
    <row r="558">
      <c r="B558" s="51"/>
      <c r="C558" s="52"/>
      <c r="D558" s="55"/>
      <c r="E558" s="51"/>
      <c r="F558" s="54"/>
      <c r="G558" s="25"/>
      <c r="H558" s="25"/>
      <c r="I558" s="25"/>
      <c r="J558" s="25"/>
      <c r="K558" s="25"/>
    </row>
    <row r="559">
      <c r="B559" s="51"/>
      <c r="C559" s="52"/>
      <c r="D559" s="55"/>
      <c r="E559" s="51"/>
      <c r="F559" s="54"/>
      <c r="G559" s="25"/>
      <c r="H559" s="25"/>
      <c r="I559" s="25"/>
      <c r="J559" s="25"/>
      <c r="K559" s="25"/>
    </row>
    <row r="560">
      <c r="B560" s="51"/>
      <c r="C560" s="52"/>
      <c r="D560" s="55"/>
      <c r="E560" s="51"/>
      <c r="F560" s="54"/>
      <c r="G560" s="25"/>
      <c r="H560" s="25"/>
      <c r="I560" s="25"/>
      <c r="J560" s="25"/>
      <c r="K560" s="25"/>
    </row>
    <row r="561">
      <c r="B561" s="51"/>
      <c r="C561" s="52"/>
      <c r="D561" s="55"/>
      <c r="E561" s="51"/>
      <c r="F561" s="54"/>
      <c r="G561" s="25"/>
      <c r="H561" s="25"/>
      <c r="I561" s="25"/>
      <c r="J561" s="25"/>
      <c r="K561" s="25"/>
    </row>
    <row r="562">
      <c r="B562" s="51"/>
      <c r="C562" s="52"/>
      <c r="D562" s="55"/>
      <c r="E562" s="51"/>
      <c r="F562" s="54"/>
      <c r="G562" s="25"/>
      <c r="H562" s="25"/>
      <c r="I562" s="25"/>
      <c r="J562" s="25"/>
      <c r="K562" s="25"/>
    </row>
    <row r="563">
      <c r="B563" s="51"/>
      <c r="C563" s="52"/>
      <c r="D563" s="55"/>
      <c r="E563" s="51"/>
      <c r="F563" s="54"/>
      <c r="G563" s="25"/>
      <c r="H563" s="25"/>
      <c r="I563" s="25"/>
      <c r="J563" s="25"/>
      <c r="K563" s="25"/>
    </row>
    <row r="564">
      <c r="B564" s="51"/>
      <c r="C564" s="52"/>
      <c r="D564" s="55"/>
      <c r="E564" s="51"/>
      <c r="F564" s="54"/>
      <c r="G564" s="25"/>
      <c r="H564" s="25"/>
      <c r="I564" s="25"/>
      <c r="J564" s="25"/>
      <c r="K564" s="25"/>
    </row>
    <row r="565">
      <c r="B565" s="51"/>
      <c r="C565" s="52"/>
      <c r="D565" s="55"/>
      <c r="E565" s="51"/>
      <c r="F565" s="54"/>
      <c r="G565" s="25"/>
      <c r="H565" s="25"/>
      <c r="I565" s="25"/>
      <c r="J565" s="25"/>
      <c r="K565" s="25"/>
    </row>
    <row r="566">
      <c r="B566" s="51"/>
      <c r="C566" s="52"/>
      <c r="D566" s="55"/>
      <c r="E566" s="51"/>
      <c r="F566" s="54"/>
      <c r="G566" s="25"/>
      <c r="H566" s="25"/>
      <c r="I566" s="25"/>
      <c r="J566" s="25"/>
      <c r="K566" s="25"/>
    </row>
    <row r="567">
      <c r="B567" s="51"/>
      <c r="C567" s="52"/>
      <c r="D567" s="55"/>
      <c r="E567" s="51"/>
      <c r="F567" s="54"/>
      <c r="G567" s="25"/>
      <c r="H567" s="25"/>
      <c r="I567" s="25"/>
      <c r="J567" s="25"/>
      <c r="K567" s="25"/>
    </row>
    <row r="568">
      <c r="B568" s="51"/>
      <c r="C568" s="52"/>
      <c r="D568" s="55"/>
      <c r="E568" s="51"/>
      <c r="F568" s="54"/>
      <c r="G568" s="25"/>
      <c r="H568" s="25"/>
      <c r="I568" s="25"/>
      <c r="J568" s="25"/>
      <c r="K568" s="25"/>
    </row>
    <row r="569">
      <c r="B569" s="51"/>
      <c r="C569" s="52"/>
      <c r="D569" s="55"/>
      <c r="E569" s="51"/>
      <c r="F569" s="54"/>
      <c r="G569" s="25"/>
      <c r="H569" s="25"/>
      <c r="I569" s="25"/>
      <c r="J569" s="25"/>
      <c r="K569" s="25"/>
    </row>
    <row r="570">
      <c r="B570" s="51"/>
      <c r="C570" s="52"/>
      <c r="D570" s="55"/>
      <c r="E570" s="51"/>
      <c r="F570" s="54"/>
      <c r="G570" s="25"/>
      <c r="H570" s="25"/>
      <c r="I570" s="25"/>
      <c r="J570" s="25"/>
      <c r="K570" s="25"/>
    </row>
    <row r="571">
      <c r="B571" s="51"/>
      <c r="C571" s="52"/>
      <c r="D571" s="55"/>
      <c r="E571" s="51"/>
      <c r="F571" s="54"/>
      <c r="G571" s="25"/>
      <c r="H571" s="25"/>
      <c r="I571" s="25"/>
      <c r="J571" s="25"/>
      <c r="K571" s="25"/>
    </row>
    <row r="572">
      <c r="B572" s="51"/>
      <c r="C572" s="52"/>
      <c r="D572" s="55"/>
      <c r="E572" s="51"/>
      <c r="F572" s="54"/>
      <c r="G572" s="25"/>
      <c r="H572" s="25"/>
      <c r="I572" s="25"/>
      <c r="J572" s="25"/>
      <c r="K572" s="25"/>
    </row>
    <row r="573">
      <c r="B573" s="51"/>
      <c r="C573" s="52"/>
      <c r="D573" s="55"/>
      <c r="E573" s="51"/>
      <c r="F573" s="54"/>
      <c r="G573" s="25"/>
      <c r="H573" s="25"/>
      <c r="I573" s="25"/>
      <c r="J573" s="25"/>
      <c r="K573" s="25"/>
    </row>
    <row r="574">
      <c r="B574" s="51"/>
      <c r="C574" s="52"/>
      <c r="D574" s="55"/>
      <c r="E574" s="51"/>
      <c r="F574" s="54"/>
      <c r="G574" s="25"/>
      <c r="H574" s="25"/>
      <c r="I574" s="25"/>
      <c r="J574" s="25"/>
      <c r="K574" s="25"/>
    </row>
    <row r="575">
      <c r="B575" s="51"/>
      <c r="C575" s="52"/>
      <c r="D575" s="55"/>
      <c r="E575" s="51"/>
      <c r="F575" s="54"/>
      <c r="G575" s="25"/>
      <c r="H575" s="25"/>
      <c r="I575" s="25"/>
      <c r="J575" s="25"/>
      <c r="K575" s="25"/>
    </row>
    <row r="576">
      <c r="B576" s="51"/>
      <c r="C576" s="52"/>
      <c r="D576" s="55"/>
      <c r="E576" s="51"/>
      <c r="F576" s="54"/>
      <c r="G576" s="25"/>
      <c r="H576" s="25"/>
      <c r="I576" s="25"/>
      <c r="J576" s="25"/>
      <c r="K576" s="25"/>
    </row>
    <row r="577">
      <c r="B577" s="51"/>
      <c r="C577" s="52"/>
      <c r="D577" s="55"/>
      <c r="E577" s="51"/>
      <c r="F577" s="54"/>
      <c r="G577" s="25"/>
      <c r="H577" s="25"/>
      <c r="I577" s="25"/>
      <c r="J577" s="25"/>
      <c r="K577" s="25"/>
    </row>
    <row r="578">
      <c r="B578" s="51"/>
      <c r="C578" s="52"/>
      <c r="D578" s="55"/>
      <c r="E578" s="51"/>
      <c r="F578" s="54"/>
      <c r="G578" s="25"/>
      <c r="H578" s="25"/>
      <c r="I578" s="25"/>
      <c r="J578" s="25"/>
      <c r="K578" s="25"/>
    </row>
    <row r="579">
      <c r="B579" s="51"/>
      <c r="C579" s="52"/>
      <c r="D579" s="55"/>
      <c r="E579" s="51"/>
      <c r="F579" s="54"/>
      <c r="G579" s="25"/>
      <c r="H579" s="25"/>
      <c r="I579" s="25"/>
      <c r="J579" s="25"/>
      <c r="K579" s="25"/>
    </row>
    <row r="580">
      <c r="B580" s="51"/>
      <c r="C580" s="52"/>
      <c r="D580" s="55"/>
      <c r="E580" s="51"/>
      <c r="F580" s="54"/>
      <c r="G580" s="25"/>
      <c r="H580" s="25"/>
      <c r="I580" s="25"/>
      <c r="J580" s="25"/>
      <c r="K580" s="25"/>
    </row>
    <row r="581">
      <c r="B581" s="51"/>
      <c r="C581" s="52"/>
      <c r="D581" s="55"/>
      <c r="E581" s="51"/>
      <c r="F581" s="54"/>
      <c r="G581" s="25"/>
      <c r="H581" s="25"/>
      <c r="I581" s="25"/>
      <c r="J581" s="25"/>
      <c r="K581" s="25"/>
    </row>
    <row r="582">
      <c r="B582" s="51"/>
      <c r="C582" s="52"/>
      <c r="D582" s="55"/>
      <c r="E582" s="51"/>
      <c r="F582" s="54"/>
      <c r="G582" s="25"/>
      <c r="H582" s="25"/>
      <c r="I582" s="25"/>
      <c r="J582" s="25"/>
      <c r="K582" s="25"/>
    </row>
    <row r="583">
      <c r="B583" s="51"/>
      <c r="C583" s="52"/>
      <c r="D583" s="55"/>
      <c r="E583" s="51"/>
      <c r="F583" s="54"/>
      <c r="G583" s="25"/>
      <c r="H583" s="25"/>
      <c r="I583" s="25"/>
      <c r="J583" s="25"/>
      <c r="K583" s="25"/>
    </row>
    <row r="584">
      <c r="B584" s="51"/>
      <c r="C584" s="52"/>
      <c r="D584" s="55"/>
      <c r="E584" s="51"/>
      <c r="F584" s="54"/>
      <c r="G584" s="25"/>
      <c r="H584" s="25"/>
      <c r="I584" s="25"/>
      <c r="J584" s="25"/>
      <c r="K584" s="25"/>
    </row>
    <row r="585">
      <c r="B585" s="51"/>
      <c r="C585" s="52"/>
      <c r="D585" s="55"/>
      <c r="E585" s="51"/>
      <c r="F585" s="54"/>
      <c r="G585" s="25"/>
      <c r="H585" s="25"/>
      <c r="I585" s="25"/>
      <c r="J585" s="25"/>
      <c r="K585" s="25"/>
    </row>
    <row r="586">
      <c r="B586" s="51"/>
      <c r="C586" s="52"/>
      <c r="D586" s="55"/>
      <c r="E586" s="51"/>
      <c r="F586" s="54"/>
      <c r="G586" s="25"/>
      <c r="H586" s="25"/>
      <c r="I586" s="25"/>
      <c r="J586" s="25"/>
      <c r="K586" s="25"/>
    </row>
    <row r="587">
      <c r="B587" s="51"/>
      <c r="C587" s="52"/>
      <c r="D587" s="55"/>
      <c r="E587" s="51"/>
      <c r="F587" s="54"/>
      <c r="G587" s="25"/>
      <c r="H587" s="25"/>
      <c r="I587" s="25"/>
      <c r="J587" s="25"/>
      <c r="K587" s="25"/>
    </row>
    <row r="588">
      <c r="B588" s="51"/>
      <c r="C588" s="52"/>
      <c r="D588" s="55"/>
      <c r="E588" s="51"/>
      <c r="F588" s="54"/>
      <c r="G588" s="25"/>
      <c r="H588" s="25"/>
      <c r="I588" s="25"/>
      <c r="J588" s="25"/>
      <c r="K588" s="25"/>
    </row>
    <row r="589">
      <c r="B589" s="51"/>
      <c r="C589" s="52"/>
      <c r="D589" s="55"/>
      <c r="E589" s="51"/>
      <c r="F589" s="54"/>
      <c r="G589" s="25"/>
      <c r="H589" s="25"/>
      <c r="I589" s="25"/>
      <c r="J589" s="25"/>
      <c r="K589" s="25"/>
    </row>
    <row r="590">
      <c r="B590" s="51"/>
      <c r="C590" s="52"/>
      <c r="D590" s="55"/>
      <c r="E590" s="51"/>
      <c r="F590" s="54"/>
      <c r="G590" s="25"/>
      <c r="H590" s="25"/>
      <c r="I590" s="25"/>
      <c r="J590" s="25"/>
      <c r="K590" s="25"/>
    </row>
    <row r="591">
      <c r="B591" s="51"/>
      <c r="C591" s="52"/>
      <c r="D591" s="55"/>
      <c r="E591" s="51"/>
      <c r="F591" s="54"/>
      <c r="G591" s="25"/>
      <c r="H591" s="25"/>
      <c r="I591" s="25"/>
      <c r="J591" s="25"/>
      <c r="K591" s="25"/>
    </row>
    <row r="592">
      <c r="B592" s="51"/>
      <c r="C592" s="52"/>
      <c r="D592" s="55"/>
      <c r="E592" s="51"/>
      <c r="F592" s="54"/>
      <c r="G592" s="25"/>
      <c r="H592" s="25"/>
      <c r="I592" s="25"/>
      <c r="J592" s="25"/>
      <c r="K592" s="25"/>
    </row>
    <row r="593">
      <c r="B593" s="51"/>
      <c r="C593" s="52"/>
      <c r="D593" s="55"/>
      <c r="E593" s="51"/>
      <c r="F593" s="54"/>
      <c r="G593" s="25"/>
      <c r="H593" s="25"/>
      <c r="I593" s="25"/>
      <c r="J593" s="25"/>
      <c r="K593" s="25"/>
    </row>
    <row r="594">
      <c r="B594" s="51"/>
      <c r="C594" s="52"/>
      <c r="D594" s="55"/>
      <c r="E594" s="51"/>
      <c r="F594" s="54"/>
      <c r="G594" s="25"/>
      <c r="H594" s="25"/>
      <c r="I594" s="25"/>
      <c r="J594" s="25"/>
      <c r="K594" s="25"/>
    </row>
    <row r="595">
      <c r="B595" s="51"/>
      <c r="C595" s="52"/>
      <c r="D595" s="55"/>
      <c r="E595" s="51"/>
      <c r="F595" s="54"/>
      <c r="G595" s="25"/>
      <c r="H595" s="25"/>
      <c r="I595" s="25"/>
      <c r="J595" s="25"/>
      <c r="K595" s="25"/>
    </row>
    <row r="596">
      <c r="B596" s="51"/>
      <c r="C596" s="52"/>
      <c r="D596" s="55"/>
      <c r="E596" s="51"/>
      <c r="F596" s="54"/>
      <c r="G596" s="25"/>
      <c r="H596" s="25"/>
      <c r="I596" s="25"/>
      <c r="J596" s="25"/>
      <c r="K596" s="25"/>
    </row>
    <row r="597">
      <c r="B597" s="51"/>
      <c r="C597" s="52"/>
      <c r="D597" s="55"/>
      <c r="E597" s="51"/>
      <c r="F597" s="54"/>
      <c r="G597" s="25"/>
      <c r="H597" s="25"/>
      <c r="I597" s="25"/>
      <c r="J597" s="25"/>
      <c r="K597" s="25"/>
    </row>
    <row r="598">
      <c r="B598" s="51"/>
      <c r="C598" s="52"/>
      <c r="D598" s="55"/>
      <c r="E598" s="51"/>
      <c r="F598" s="54"/>
      <c r="G598" s="25"/>
      <c r="H598" s="25"/>
      <c r="I598" s="25"/>
      <c r="J598" s="25"/>
      <c r="K598" s="25"/>
    </row>
    <row r="599">
      <c r="B599" s="51"/>
      <c r="C599" s="52"/>
      <c r="D599" s="55"/>
      <c r="E599" s="51"/>
      <c r="F599" s="54"/>
      <c r="G599" s="25"/>
      <c r="H599" s="25"/>
      <c r="I599" s="25"/>
      <c r="J599" s="25"/>
      <c r="K599" s="25"/>
    </row>
    <row r="600">
      <c r="B600" s="51"/>
      <c r="C600" s="52"/>
      <c r="D600" s="55"/>
      <c r="E600" s="51"/>
      <c r="F600" s="54"/>
      <c r="G600" s="25"/>
      <c r="H600" s="25"/>
      <c r="I600" s="25"/>
      <c r="J600" s="25"/>
      <c r="K600" s="25"/>
    </row>
    <row r="601">
      <c r="B601" s="51"/>
      <c r="C601" s="52"/>
      <c r="D601" s="55"/>
      <c r="E601" s="51"/>
      <c r="F601" s="54"/>
      <c r="G601" s="25"/>
      <c r="H601" s="25"/>
      <c r="I601" s="25"/>
      <c r="J601" s="25"/>
      <c r="K601" s="25"/>
    </row>
    <row r="602">
      <c r="B602" s="51"/>
      <c r="C602" s="52"/>
      <c r="D602" s="55"/>
      <c r="E602" s="51"/>
      <c r="F602" s="54"/>
      <c r="G602" s="25"/>
      <c r="H602" s="25"/>
      <c r="I602" s="25"/>
      <c r="J602" s="25"/>
      <c r="K602" s="25"/>
    </row>
    <row r="603">
      <c r="B603" s="51"/>
      <c r="C603" s="52"/>
      <c r="D603" s="55"/>
      <c r="E603" s="51"/>
      <c r="F603" s="54"/>
      <c r="G603" s="25"/>
      <c r="H603" s="25"/>
      <c r="I603" s="25"/>
      <c r="J603" s="25"/>
      <c r="K603" s="25"/>
    </row>
    <row r="604">
      <c r="B604" s="51"/>
      <c r="C604" s="52"/>
      <c r="D604" s="55"/>
      <c r="E604" s="51"/>
      <c r="F604" s="54"/>
      <c r="G604" s="25"/>
      <c r="H604" s="25"/>
      <c r="I604" s="25"/>
      <c r="J604" s="25"/>
      <c r="K604" s="25"/>
    </row>
    <row r="605">
      <c r="B605" s="51"/>
      <c r="C605" s="52"/>
      <c r="D605" s="55"/>
      <c r="E605" s="51"/>
      <c r="F605" s="54"/>
      <c r="G605" s="25"/>
      <c r="H605" s="25"/>
      <c r="I605" s="25"/>
      <c r="J605" s="25"/>
      <c r="K605" s="25"/>
    </row>
    <row r="606">
      <c r="B606" s="51"/>
      <c r="C606" s="52"/>
      <c r="D606" s="55"/>
      <c r="E606" s="51"/>
      <c r="F606" s="54"/>
      <c r="G606" s="25"/>
      <c r="H606" s="25"/>
      <c r="I606" s="25"/>
      <c r="J606" s="25"/>
      <c r="K606" s="25"/>
    </row>
    <row r="607">
      <c r="B607" s="51"/>
      <c r="C607" s="52"/>
      <c r="D607" s="55"/>
      <c r="E607" s="51"/>
      <c r="F607" s="54"/>
      <c r="G607" s="25"/>
      <c r="H607" s="25"/>
      <c r="I607" s="25"/>
      <c r="J607" s="25"/>
      <c r="K607" s="25"/>
    </row>
    <row r="608">
      <c r="B608" s="51"/>
      <c r="C608" s="52"/>
      <c r="D608" s="55"/>
      <c r="E608" s="51"/>
      <c r="F608" s="54"/>
      <c r="G608" s="25"/>
      <c r="H608" s="25"/>
      <c r="I608" s="25"/>
      <c r="J608" s="25"/>
      <c r="K608" s="25"/>
    </row>
    <row r="609">
      <c r="B609" s="51"/>
      <c r="C609" s="52"/>
      <c r="D609" s="55"/>
      <c r="E609" s="51"/>
      <c r="F609" s="54"/>
      <c r="G609" s="25"/>
      <c r="H609" s="25"/>
      <c r="I609" s="25"/>
      <c r="J609" s="25"/>
      <c r="K609" s="25"/>
    </row>
    <row r="610">
      <c r="B610" s="51"/>
      <c r="C610" s="52"/>
      <c r="D610" s="55"/>
      <c r="E610" s="51"/>
      <c r="F610" s="54"/>
      <c r="G610" s="25"/>
      <c r="H610" s="25"/>
      <c r="I610" s="25"/>
      <c r="J610" s="25"/>
      <c r="K610" s="25"/>
    </row>
    <row r="611">
      <c r="B611" s="51"/>
      <c r="C611" s="52"/>
      <c r="D611" s="55"/>
      <c r="E611" s="51"/>
      <c r="F611" s="54"/>
      <c r="G611" s="25"/>
      <c r="H611" s="25"/>
      <c r="I611" s="25"/>
      <c r="J611" s="25"/>
      <c r="K611" s="25"/>
    </row>
    <row r="612">
      <c r="B612" s="51"/>
      <c r="C612" s="52"/>
      <c r="D612" s="55"/>
      <c r="E612" s="51"/>
      <c r="F612" s="54"/>
      <c r="G612" s="25"/>
      <c r="H612" s="25"/>
      <c r="I612" s="25"/>
      <c r="J612" s="25"/>
      <c r="K612" s="25"/>
    </row>
    <row r="613">
      <c r="B613" s="51"/>
      <c r="C613" s="52"/>
      <c r="D613" s="55"/>
      <c r="E613" s="51"/>
      <c r="F613" s="54"/>
      <c r="G613" s="25"/>
      <c r="H613" s="25"/>
      <c r="I613" s="25"/>
      <c r="J613" s="25"/>
      <c r="K613" s="25"/>
    </row>
    <row r="614">
      <c r="B614" s="51"/>
      <c r="C614" s="52"/>
      <c r="D614" s="55"/>
      <c r="E614" s="51"/>
      <c r="F614" s="54"/>
      <c r="G614" s="25"/>
      <c r="H614" s="25"/>
      <c r="I614" s="25"/>
      <c r="J614" s="25"/>
      <c r="K614" s="25"/>
    </row>
    <row r="615">
      <c r="B615" s="51"/>
      <c r="C615" s="52"/>
      <c r="D615" s="55"/>
      <c r="E615" s="51"/>
      <c r="F615" s="54"/>
      <c r="G615" s="25"/>
      <c r="H615" s="25"/>
      <c r="I615" s="25"/>
      <c r="J615" s="25"/>
      <c r="K615" s="25"/>
    </row>
    <row r="616">
      <c r="B616" s="51"/>
      <c r="C616" s="52"/>
      <c r="D616" s="55"/>
      <c r="E616" s="51"/>
      <c r="F616" s="54"/>
      <c r="G616" s="25"/>
      <c r="H616" s="25"/>
      <c r="I616" s="25"/>
      <c r="J616" s="25"/>
      <c r="K616" s="25"/>
    </row>
    <row r="617">
      <c r="B617" s="51"/>
      <c r="C617" s="52"/>
      <c r="D617" s="55"/>
      <c r="E617" s="51"/>
      <c r="F617" s="54"/>
      <c r="G617" s="25"/>
      <c r="H617" s="25"/>
      <c r="I617" s="25"/>
      <c r="J617" s="25"/>
      <c r="K617" s="25"/>
    </row>
    <row r="618">
      <c r="B618" s="51"/>
      <c r="C618" s="52"/>
      <c r="D618" s="55"/>
      <c r="E618" s="51"/>
      <c r="F618" s="54"/>
      <c r="G618" s="25"/>
      <c r="H618" s="25"/>
      <c r="I618" s="25"/>
      <c r="J618" s="25"/>
      <c r="K618" s="25"/>
    </row>
    <row r="619">
      <c r="B619" s="51"/>
      <c r="C619" s="52"/>
      <c r="D619" s="55"/>
      <c r="E619" s="51"/>
      <c r="F619" s="54"/>
      <c r="G619" s="25"/>
      <c r="H619" s="25"/>
      <c r="I619" s="25"/>
      <c r="J619" s="25"/>
      <c r="K619" s="25"/>
    </row>
    <row r="620">
      <c r="B620" s="51"/>
      <c r="C620" s="52"/>
      <c r="D620" s="55"/>
      <c r="E620" s="51"/>
      <c r="F620" s="54"/>
      <c r="G620" s="25"/>
      <c r="H620" s="25"/>
      <c r="I620" s="25"/>
      <c r="J620" s="25"/>
      <c r="K620" s="25"/>
    </row>
    <row r="621">
      <c r="B621" s="51"/>
      <c r="C621" s="52"/>
      <c r="D621" s="55"/>
      <c r="E621" s="51"/>
      <c r="F621" s="54"/>
      <c r="G621" s="25"/>
      <c r="H621" s="25"/>
      <c r="I621" s="25"/>
      <c r="J621" s="25"/>
      <c r="K621" s="25"/>
    </row>
    <row r="622">
      <c r="B622" s="51"/>
      <c r="C622" s="52"/>
      <c r="D622" s="55"/>
      <c r="E622" s="51"/>
      <c r="F622" s="54"/>
      <c r="G622" s="25"/>
      <c r="H622" s="25"/>
      <c r="I622" s="25"/>
      <c r="J622" s="25"/>
      <c r="K622" s="25"/>
    </row>
    <row r="623">
      <c r="B623" s="51"/>
      <c r="C623" s="52"/>
      <c r="D623" s="55"/>
      <c r="E623" s="51"/>
      <c r="F623" s="54"/>
      <c r="G623" s="25"/>
      <c r="H623" s="25"/>
      <c r="I623" s="25"/>
      <c r="J623" s="25"/>
      <c r="K623" s="25"/>
    </row>
    <row r="624">
      <c r="B624" s="51"/>
      <c r="C624" s="52"/>
      <c r="D624" s="55"/>
      <c r="E624" s="51"/>
      <c r="F624" s="54"/>
      <c r="G624" s="25"/>
      <c r="H624" s="25"/>
      <c r="I624" s="25"/>
      <c r="J624" s="25"/>
      <c r="K624" s="25"/>
    </row>
    <row r="625">
      <c r="B625" s="51"/>
      <c r="C625" s="52"/>
      <c r="D625" s="55"/>
      <c r="E625" s="51"/>
      <c r="F625" s="54"/>
      <c r="G625" s="25"/>
      <c r="H625" s="25"/>
      <c r="I625" s="25"/>
      <c r="J625" s="25"/>
      <c r="K625" s="25"/>
    </row>
    <row r="626">
      <c r="B626" s="51"/>
      <c r="C626" s="52"/>
      <c r="D626" s="55"/>
      <c r="E626" s="51"/>
      <c r="F626" s="54"/>
      <c r="G626" s="25"/>
      <c r="H626" s="25"/>
      <c r="I626" s="25"/>
      <c r="J626" s="25"/>
      <c r="K626" s="25"/>
    </row>
    <row r="627">
      <c r="B627" s="51"/>
      <c r="C627" s="52"/>
      <c r="D627" s="55"/>
      <c r="E627" s="51"/>
      <c r="F627" s="54"/>
      <c r="G627" s="25"/>
      <c r="H627" s="25"/>
      <c r="I627" s="25"/>
      <c r="J627" s="25"/>
      <c r="K627" s="25"/>
    </row>
    <row r="628">
      <c r="B628" s="51"/>
      <c r="C628" s="52"/>
      <c r="D628" s="55"/>
      <c r="E628" s="51"/>
      <c r="F628" s="54"/>
      <c r="G628" s="25"/>
      <c r="H628" s="25"/>
      <c r="I628" s="25"/>
      <c r="J628" s="25"/>
      <c r="K628" s="25"/>
    </row>
    <row r="629">
      <c r="B629" s="51"/>
      <c r="C629" s="52"/>
      <c r="D629" s="55"/>
      <c r="E629" s="51"/>
      <c r="F629" s="54"/>
      <c r="G629" s="25"/>
      <c r="H629" s="25"/>
      <c r="I629" s="25"/>
      <c r="J629" s="25"/>
      <c r="K629" s="25"/>
    </row>
    <row r="630">
      <c r="B630" s="51"/>
      <c r="C630" s="52"/>
      <c r="D630" s="55"/>
      <c r="E630" s="51"/>
      <c r="F630" s="54"/>
      <c r="G630" s="25"/>
      <c r="H630" s="25"/>
      <c r="I630" s="25"/>
      <c r="J630" s="25"/>
      <c r="K630" s="25"/>
    </row>
    <row r="631">
      <c r="B631" s="51"/>
      <c r="C631" s="52"/>
      <c r="D631" s="55"/>
      <c r="E631" s="51"/>
      <c r="F631" s="54"/>
      <c r="G631" s="25"/>
      <c r="H631" s="25"/>
      <c r="I631" s="25"/>
      <c r="J631" s="25"/>
      <c r="K631" s="25"/>
    </row>
    <row r="632">
      <c r="B632" s="51"/>
      <c r="C632" s="52"/>
      <c r="D632" s="55"/>
      <c r="E632" s="51"/>
      <c r="F632" s="54"/>
      <c r="G632" s="25"/>
      <c r="H632" s="25"/>
      <c r="I632" s="25"/>
      <c r="J632" s="25"/>
      <c r="K632" s="25"/>
    </row>
    <row r="633">
      <c r="B633" s="51"/>
      <c r="C633" s="52"/>
      <c r="D633" s="55"/>
      <c r="E633" s="51"/>
      <c r="F633" s="54"/>
      <c r="G633" s="25"/>
      <c r="H633" s="25"/>
      <c r="I633" s="25"/>
      <c r="J633" s="25"/>
      <c r="K633" s="25"/>
    </row>
    <row r="634">
      <c r="B634" s="51"/>
      <c r="C634" s="52"/>
      <c r="D634" s="55"/>
      <c r="E634" s="51"/>
      <c r="F634" s="54"/>
      <c r="G634" s="25"/>
      <c r="H634" s="25"/>
      <c r="I634" s="25"/>
      <c r="J634" s="25"/>
      <c r="K634" s="25"/>
    </row>
    <row r="635">
      <c r="B635" s="51"/>
      <c r="C635" s="52"/>
      <c r="D635" s="55"/>
      <c r="E635" s="51"/>
      <c r="F635" s="54"/>
      <c r="G635" s="25"/>
      <c r="H635" s="25"/>
      <c r="I635" s="25"/>
      <c r="J635" s="25"/>
      <c r="K635" s="25"/>
    </row>
    <row r="636">
      <c r="B636" s="51"/>
      <c r="C636" s="52"/>
      <c r="D636" s="55"/>
      <c r="E636" s="51"/>
      <c r="F636" s="54"/>
      <c r="G636" s="25"/>
      <c r="H636" s="25"/>
      <c r="I636" s="25"/>
      <c r="J636" s="25"/>
      <c r="K636" s="25"/>
    </row>
    <row r="637">
      <c r="B637" s="51"/>
      <c r="C637" s="52"/>
      <c r="D637" s="55"/>
      <c r="E637" s="51"/>
      <c r="F637" s="54"/>
      <c r="G637" s="25"/>
      <c r="H637" s="25"/>
      <c r="I637" s="25"/>
      <c r="J637" s="25"/>
      <c r="K637" s="25"/>
    </row>
    <row r="638">
      <c r="B638" s="51"/>
      <c r="C638" s="52"/>
      <c r="D638" s="55"/>
      <c r="E638" s="51"/>
      <c r="F638" s="54"/>
      <c r="G638" s="25"/>
      <c r="H638" s="25"/>
      <c r="I638" s="25"/>
      <c r="J638" s="25"/>
      <c r="K638" s="25"/>
    </row>
    <row r="639">
      <c r="B639" s="51"/>
      <c r="C639" s="52"/>
      <c r="D639" s="55"/>
      <c r="E639" s="51"/>
      <c r="F639" s="54"/>
      <c r="G639" s="25"/>
      <c r="H639" s="25"/>
      <c r="I639" s="25"/>
      <c r="J639" s="25"/>
      <c r="K639" s="25"/>
    </row>
    <row r="640">
      <c r="B640" s="51"/>
      <c r="C640" s="52"/>
      <c r="D640" s="55"/>
      <c r="E640" s="51"/>
      <c r="F640" s="54"/>
      <c r="G640" s="25"/>
      <c r="H640" s="25"/>
      <c r="I640" s="25"/>
      <c r="J640" s="25"/>
      <c r="K640" s="25"/>
    </row>
    <row r="641">
      <c r="B641" s="51"/>
      <c r="C641" s="52"/>
      <c r="D641" s="55"/>
      <c r="E641" s="51"/>
      <c r="F641" s="54"/>
      <c r="G641" s="25"/>
      <c r="H641" s="25"/>
      <c r="I641" s="25"/>
      <c r="J641" s="25"/>
      <c r="K641" s="25"/>
    </row>
    <row r="642">
      <c r="B642" s="51"/>
      <c r="C642" s="52"/>
      <c r="D642" s="55"/>
      <c r="E642" s="51"/>
      <c r="F642" s="54"/>
      <c r="G642" s="25"/>
      <c r="H642" s="25"/>
      <c r="I642" s="25"/>
      <c r="J642" s="25"/>
      <c r="K642" s="25"/>
    </row>
    <row r="643">
      <c r="B643" s="51"/>
      <c r="C643" s="52"/>
      <c r="D643" s="55"/>
      <c r="E643" s="51"/>
      <c r="F643" s="54"/>
      <c r="G643" s="25"/>
      <c r="H643" s="25"/>
      <c r="I643" s="25"/>
      <c r="J643" s="25"/>
      <c r="K643" s="25"/>
    </row>
    <row r="644">
      <c r="B644" s="51"/>
      <c r="C644" s="52"/>
      <c r="D644" s="55"/>
      <c r="E644" s="51"/>
      <c r="F644" s="54"/>
      <c r="G644" s="25"/>
      <c r="H644" s="25"/>
      <c r="I644" s="25"/>
      <c r="J644" s="25"/>
      <c r="K644" s="25"/>
    </row>
    <row r="645">
      <c r="B645" s="51"/>
      <c r="C645" s="52"/>
      <c r="D645" s="55"/>
      <c r="E645" s="51"/>
      <c r="F645" s="54"/>
      <c r="G645" s="25"/>
      <c r="H645" s="25"/>
      <c r="I645" s="25"/>
      <c r="J645" s="25"/>
      <c r="K645" s="25"/>
    </row>
    <row r="646">
      <c r="B646" s="51"/>
      <c r="C646" s="52"/>
      <c r="D646" s="55"/>
      <c r="E646" s="51"/>
      <c r="F646" s="54"/>
      <c r="G646" s="25"/>
      <c r="H646" s="25"/>
      <c r="I646" s="25"/>
      <c r="J646" s="25"/>
      <c r="K646" s="25"/>
    </row>
    <row r="647">
      <c r="B647" s="51"/>
      <c r="C647" s="52"/>
      <c r="D647" s="55"/>
      <c r="E647" s="51"/>
      <c r="F647" s="54"/>
      <c r="G647" s="25"/>
      <c r="H647" s="25"/>
      <c r="I647" s="25"/>
      <c r="J647" s="25"/>
      <c r="K647" s="25"/>
    </row>
    <row r="648">
      <c r="B648" s="51"/>
      <c r="C648" s="52"/>
      <c r="D648" s="55"/>
      <c r="E648" s="51"/>
      <c r="F648" s="54"/>
      <c r="G648" s="25"/>
      <c r="H648" s="25"/>
      <c r="I648" s="25"/>
      <c r="J648" s="25"/>
      <c r="K648" s="25"/>
    </row>
    <row r="649">
      <c r="B649" s="51"/>
      <c r="C649" s="52"/>
      <c r="D649" s="55"/>
      <c r="E649" s="51"/>
      <c r="F649" s="54"/>
      <c r="G649" s="25"/>
      <c r="H649" s="25"/>
      <c r="I649" s="25"/>
      <c r="J649" s="25"/>
      <c r="K649" s="25"/>
    </row>
    <row r="650">
      <c r="B650" s="51"/>
      <c r="C650" s="52"/>
      <c r="D650" s="55"/>
      <c r="E650" s="51"/>
      <c r="F650" s="54"/>
      <c r="G650" s="25"/>
      <c r="H650" s="25"/>
      <c r="I650" s="25"/>
      <c r="J650" s="25"/>
      <c r="K650" s="25"/>
    </row>
    <row r="651">
      <c r="B651" s="51"/>
      <c r="C651" s="52"/>
      <c r="D651" s="55"/>
      <c r="E651" s="51"/>
      <c r="F651" s="54"/>
      <c r="G651" s="25"/>
      <c r="H651" s="25"/>
      <c r="I651" s="25"/>
      <c r="J651" s="25"/>
      <c r="K651" s="25"/>
    </row>
    <row r="652">
      <c r="B652" s="51"/>
      <c r="C652" s="52"/>
      <c r="D652" s="55"/>
      <c r="E652" s="51"/>
      <c r="F652" s="54"/>
      <c r="G652" s="25"/>
      <c r="H652" s="25"/>
      <c r="I652" s="25"/>
      <c r="J652" s="25"/>
      <c r="K652" s="25"/>
    </row>
    <row r="653">
      <c r="B653" s="51"/>
      <c r="C653" s="52"/>
      <c r="D653" s="55"/>
      <c r="E653" s="51"/>
      <c r="F653" s="54"/>
      <c r="G653" s="25"/>
      <c r="H653" s="25"/>
      <c r="I653" s="25"/>
      <c r="J653" s="25"/>
      <c r="K653" s="25"/>
    </row>
    <row r="654">
      <c r="B654" s="51"/>
      <c r="C654" s="52"/>
      <c r="D654" s="55"/>
      <c r="E654" s="51"/>
      <c r="F654" s="54"/>
      <c r="G654" s="25"/>
      <c r="H654" s="25"/>
      <c r="I654" s="25"/>
      <c r="J654" s="25"/>
      <c r="K654" s="25"/>
    </row>
    <row r="655">
      <c r="B655" s="51"/>
      <c r="C655" s="52"/>
      <c r="D655" s="55"/>
      <c r="E655" s="51"/>
      <c r="F655" s="54"/>
      <c r="G655" s="25"/>
      <c r="H655" s="25"/>
      <c r="I655" s="25"/>
      <c r="J655" s="25"/>
      <c r="K655" s="25"/>
    </row>
    <row r="656">
      <c r="B656" s="51"/>
      <c r="C656" s="52"/>
      <c r="D656" s="55"/>
      <c r="E656" s="51"/>
      <c r="F656" s="54"/>
      <c r="G656" s="25"/>
      <c r="H656" s="25"/>
      <c r="I656" s="25"/>
      <c r="J656" s="25"/>
      <c r="K656" s="25"/>
    </row>
    <row r="657">
      <c r="B657" s="51"/>
      <c r="C657" s="52"/>
      <c r="D657" s="55"/>
      <c r="E657" s="51"/>
      <c r="F657" s="54"/>
      <c r="G657" s="25"/>
      <c r="H657" s="25"/>
      <c r="I657" s="25"/>
      <c r="J657" s="25"/>
      <c r="K657" s="25"/>
    </row>
    <row r="658">
      <c r="B658" s="51"/>
      <c r="C658" s="52"/>
      <c r="D658" s="55"/>
      <c r="E658" s="51"/>
      <c r="F658" s="54"/>
      <c r="G658" s="25"/>
      <c r="H658" s="25"/>
      <c r="I658" s="25"/>
      <c r="J658" s="25"/>
      <c r="K658" s="25"/>
    </row>
    <row r="659">
      <c r="B659" s="51"/>
      <c r="C659" s="52"/>
      <c r="D659" s="55"/>
      <c r="E659" s="51"/>
      <c r="F659" s="54"/>
      <c r="G659" s="25"/>
      <c r="H659" s="25"/>
      <c r="I659" s="25"/>
      <c r="J659" s="25"/>
      <c r="K659" s="25"/>
    </row>
    <row r="660">
      <c r="B660" s="51"/>
      <c r="C660" s="52"/>
      <c r="D660" s="55"/>
      <c r="E660" s="51"/>
      <c r="F660" s="54"/>
      <c r="G660" s="25"/>
      <c r="H660" s="25"/>
      <c r="I660" s="25"/>
      <c r="J660" s="25"/>
      <c r="K660" s="25"/>
    </row>
    <row r="661">
      <c r="B661" s="51"/>
      <c r="C661" s="52"/>
      <c r="D661" s="55"/>
      <c r="E661" s="51"/>
      <c r="F661" s="54"/>
      <c r="G661" s="25"/>
      <c r="H661" s="25"/>
      <c r="I661" s="25"/>
      <c r="J661" s="25"/>
      <c r="K661" s="25"/>
    </row>
    <row r="662">
      <c r="B662" s="51"/>
      <c r="C662" s="52"/>
      <c r="D662" s="55"/>
      <c r="E662" s="51"/>
      <c r="F662" s="54"/>
      <c r="G662" s="25"/>
      <c r="H662" s="25"/>
      <c r="I662" s="25"/>
      <c r="J662" s="25"/>
      <c r="K662" s="25"/>
    </row>
    <row r="663">
      <c r="B663" s="51"/>
      <c r="C663" s="52"/>
      <c r="D663" s="55"/>
      <c r="E663" s="51"/>
      <c r="F663" s="54"/>
      <c r="G663" s="25"/>
      <c r="H663" s="25"/>
      <c r="I663" s="25"/>
      <c r="J663" s="25"/>
      <c r="K663" s="25"/>
    </row>
    <row r="664">
      <c r="B664" s="51"/>
      <c r="C664" s="52"/>
      <c r="D664" s="55"/>
      <c r="E664" s="51"/>
      <c r="F664" s="54"/>
      <c r="G664" s="25"/>
      <c r="H664" s="25"/>
      <c r="I664" s="25"/>
      <c r="J664" s="25"/>
      <c r="K664" s="25"/>
    </row>
    <row r="665">
      <c r="B665" s="51"/>
      <c r="C665" s="52"/>
      <c r="D665" s="55"/>
      <c r="E665" s="51"/>
      <c r="F665" s="54"/>
      <c r="G665" s="25"/>
      <c r="H665" s="25"/>
      <c r="I665" s="25"/>
      <c r="J665" s="25"/>
      <c r="K665" s="25"/>
    </row>
    <row r="666">
      <c r="B666" s="51"/>
      <c r="C666" s="52"/>
      <c r="D666" s="55"/>
      <c r="E666" s="51"/>
      <c r="F666" s="54"/>
      <c r="G666" s="25"/>
      <c r="H666" s="25"/>
      <c r="I666" s="25"/>
      <c r="J666" s="25"/>
      <c r="K666" s="25"/>
    </row>
    <row r="667">
      <c r="B667" s="51"/>
      <c r="C667" s="52"/>
      <c r="D667" s="55"/>
      <c r="E667" s="51"/>
      <c r="F667" s="54"/>
      <c r="G667" s="25"/>
      <c r="H667" s="25"/>
      <c r="I667" s="25"/>
      <c r="J667" s="25"/>
      <c r="K667" s="25"/>
    </row>
    <row r="668">
      <c r="B668" s="51"/>
      <c r="C668" s="52"/>
      <c r="D668" s="55"/>
      <c r="E668" s="51"/>
      <c r="F668" s="54"/>
      <c r="G668" s="25"/>
      <c r="H668" s="25"/>
      <c r="I668" s="25"/>
      <c r="J668" s="25"/>
      <c r="K668" s="25"/>
    </row>
    <row r="669">
      <c r="B669" s="51"/>
      <c r="C669" s="52"/>
      <c r="D669" s="55"/>
      <c r="E669" s="51"/>
      <c r="F669" s="54"/>
      <c r="G669" s="25"/>
      <c r="H669" s="25"/>
      <c r="I669" s="25"/>
      <c r="J669" s="25"/>
      <c r="K669" s="25"/>
    </row>
    <row r="670">
      <c r="B670" s="51"/>
      <c r="C670" s="52"/>
      <c r="D670" s="55"/>
      <c r="E670" s="51"/>
      <c r="F670" s="54"/>
      <c r="G670" s="25"/>
      <c r="H670" s="25"/>
      <c r="I670" s="25"/>
      <c r="J670" s="25"/>
      <c r="K670" s="25"/>
    </row>
    <row r="671">
      <c r="B671" s="51"/>
      <c r="C671" s="52"/>
      <c r="D671" s="55"/>
      <c r="E671" s="51"/>
      <c r="F671" s="54"/>
      <c r="G671" s="25"/>
      <c r="H671" s="25"/>
      <c r="I671" s="25"/>
      <c r="J671" s="25"/>
      <c r="K671" s="25"/>
    </row>
    <row r="672">
      <c r="B672" s="51"/>
      <c r="C672" s="52"/>
      <c r="D672" s="55"/>
      <c r="E672" s="51"/>
      <c r="F672" s="54"/>
      <c r="G672" s="25"/>
      <c r="H672" s="25"/>
      <c r="I672" s="25"/>
      <c r="J672" s="25"/>
      <c r="K672" s="25"/>
    </row>
    <row r="673">
      <c r="B673" s="51"/>
      <c r="C673" s="52"/>
      <c r="D673" s="55"/>
      <c r="E673" s="51"/>
      <c r="F673" s="54"/>
      <c r="G673" s="25"/>
      <c r="H673" s="25"/>
      <c r="I673" s="25"/>
      <c r="J673" s="25"/>
      <c r="K673" s="25"/>
    </row>
    <row r="674">
      <c r="B674" s="51"/>
      <c r="C674" s="52"/>
      <c r="D674" s="55"/>
      <c r="E674" s="51"/>
      <c r="F674" s="54"/>
      <c r="G674" s="25"/>
      <c r="H674" s="25"/>
      <c r="I674" s="25"/>
      <c r="J674" s="25"/>
      <c r="K674" s="25"/>
    </row>
    <row r="675">
      <c r="B675" s="51"/>
      <c r="C675" s="52"/>
      <c r="D675" s="55"/>
      <c r="E675" s="51"/>
      <c r="F675" s="54"/>
      <c r="G675" s="25"/>
      <c r="H675" s="25"/>
      <c r="I675" s="25"/>
      <c r="J675" s="25"/>
      <c r="K675" s="25"/>
    </row>
    <row r="676">
      <c r="B676" s="51"/>
      <c r="C676" s="52"/>
      <c r="D676" s="55"/>
      <c r="E676" s="51"/>
      <c r="F676" s="54"/>
      <c r="G676" s="25"/>
      <c r="H676" s="25"/>
      <c r="I676" s="25"/>
      <c r="J676" s="25"/>
      <c r="K676" s="25"/>
    </row>
    <row r="677">
      <c r="B677" s="51"/>
      <c r="C677" s="52"/>
      <c r="D677" s="55"/>
      <c r="E677" s="51"/>
      <c r="F677" s="54"/>
      <c r="G677" s="25"/>
      <c r="H677" s="25"/>
      <c r="I677" s="25"/>
      <c r="J677" s="25"/>
      <c r="K677" s="25"/>
    </row>
    <row r="678">
      <c r="B678" s="51"/>
      <c r="C678" s="52"/>
      <c r="D678" s="55"/>
      <c r="E678" s="51"/>
      <c r="F678" s="54"/>
      <c r="G678" s="25"/>
      <c r="H678" s="25"/>
      <c r="I678" s="25"/>
      <c r="J678" s="25"/>
      <c r="K678" s="25"/>
    </row>
    <row r="679">
      <c r="B679" s="51"/>
      <c r="C679" s="52"/>
      <c r="D679" s="55"/>
      <c r="E679" s="51"/>
      <c r="F679" s="54"/>
      <c r="G679" s="25"/>
      <c r="H679" s="25"/>
      <c r="I679" s="25"/>
      <c r="J679" s="25"/>
      <c r="K679" s="25"/>
    </row>
    <row r="680">
      <c r="B680" s="51"/>
      <c r="C680" s="52"/>
      <c r="D680" s="55"/>
      <c r="E680" s="51"/>
      <c r="F680" s="54"/>
      <c r="G680" s="25"/>
      <c r="H680" s="25"/>
      <c r="I680" s="25"/>
      <c r="J680" s="25"/>
      <c r="K680" s="25"/>
    </row>
    <row r="681">
      <c r="B681" s="51"/>
      <c r="C681" s="52"/>
      <c r="D681" s="55"/>
      <c r="E681" s="51"/>
      <c r="F681" s="54"/>
      <c r="G681" s="25"/>
      <c r="H681" s="25"/>
      <c r="I681" s="25"/>
      <c r="J681" s="25"/>
      <c r="K681" s="25"/>
    </row>
    <row r="682">
      <c r="B682" s="51"/>
      <c r="C682" s="52"/>
      <c r="D682" s="55"/>
      <c r="E682" s="51"/>
      <c r="F682" s="54"/>
      <c r="G682" s="25"/>
      <c r="H682" s="25"/>
      <c r="I682" s="25"/>
      <c r="J682" s="25"/>
      <c r="K682" s="25"/>
    </row>
    <row r="683">
      <c r="B683" s="51"/>
      <c r="C683" s="52"/>
      <c r="D683" s="55"/>
      <c r="E683" s="51"/>
      <c r="F683" s="54"/>
      <c r="G683" s="25"/>
      <c r="H683" s="25"/>
      <c r="I683" s="25"/>
      <c r="J683" s="25"/>
      <c r="K683" s="25"/>
    </row>
    <row r="684">
      <c r="B684" s="51"/>
      <c r="C684" s="52"/>
      <c r="D684" s="55"/>
      <c r="E684" s="51"/>
      <c r="F684" s="54"/>
      <c r="G684" s="25"/>
      <c r="H684" s="25"/>
      <c r="I684" s="25"/>
      <c r="J684" s="25"/>
      <c r="K684" s="25"/>
    </row>
    <row r="685">
      <c r="B685" s="51"/>
      <c r="C685" s="52"/>
      <c r="D685" s="55"/>
      <c r="E685" s="51"/>
      <c r="F685" s="54"/>
      <c r="G685" s="25"/>
      <c r="H685" s="25"/>
      <c r="I685" s="25"/>
      <c r="J685" s="25"/>
      <c r="K685" s="25"/>
    </row>
    <row r="686">
      <c r="B686" s="51"/>
      <c r="C686" s="52"/>
      <c r="D686" s="55"/>
      <c r="E686" s="51"/>
      <c r="F686" s="54"/>
      <c r="G686" s="25"/>
      <c r="H686" s="25"/>
      <c r="I686" s="25"/>
      <c r="J686" s="25"/>
      <c r="K686" s="25"/>
    </row>
    <row r="687">
      <c r="B687" s="51"/>
      <c r="C687" s="52"/>
      <c r="D687" s="55"/>
      <c r="E687" s="51"/>
      <c r="F687" s="54"/>
      <c r="G687" s="25"/>
      <c r="H687" s="25"/>
      <c r="I687" s="25"/>
      <c r="J687" s="25"/>
      <c r="K687" s="25"/>
    </row>
    <row r="688">
      <c r="B688" s="51"/>
      <c r="C688" s="52"/>
      <c r="D688" s="55"/>
      <c r="E688" s="51"/>
      <c r="F688" s="54"/>
      <c r="G688" s="25"/>
      <c r="H688" s="25"/>
      <c r="I688" s="25"/>
      <c r="J688" s="25"/>
      <c r="K688" s="25"/>
    </row>
    <row r="689">
      <c r="B689" s="51"/>
      <c r="C689" s="52"/>
      <c r="D689" s="55"/>
      <c r="E689" s="51"/>
      <c r="F689" s="54"/>
      <c r="G689" s="25"/>
      <c r="H689" s="25"/>
      <c r="I689" s="25"/>
      <c r="J689" s="25"/>
      <c r="K689" s="25"/>
    </row>
    <row r="690">
      <c r="B690" s="51"/>
      <c r="C690" s="52"/>
      <c r="D690" s="55"/>
      <c r="E690" s="51"/>
      <c r="F690" s="54"/>
      <c r="G690" s="25"/>
      <c r="H690" s="25"/>
      <c r="I690" s="25"/>
      <c r="J690" s="25"/>
      <c r="K690" s="25"/>
    </row>
    <row r="691">
      <c r="B691" s="51"/>
      <c r="C691" s="52"/>
      <c r="D691" s="55"/>
      <c r="E691" s="51"/>
      <c r="F691" s="54"/>
      <c r="G691" s="25"/>
      <c r="H691" s="25"/>
      <c r="I691" s="25"/>
      <c r="J691" s="25"/>
      <c r="K691" s="25"/>
    </row>
    <row r="692">
      <c r="B692" s="51"/>
      <c r="C692" s="52"/>
      <c r="D692" s="55"/>
      <c r="E692" s="51"/>
      <c r="F692" s="54"/>
      <c r="G692" s="25"/>
      <c r="H692" s="25"/>
      <c r="I692" s="25"/>
      <c r="J692" s="25"/>
      <c r="K692" s="25"/>
    </row>
    <row r="693">
      <c r="B693" s="51"/>
      <c r="C693" s="52"/>
      <c r="D693" s="55"/>
      <c r="E693" s="51"/>
      <c r="F693" s="54"/>
      <c r="G693" s="25"/>
      <c r="H693" s="25"/>
      <c r="I693" s="25"/>
      <c r="J693" s="25"/>
      <c r="K693" s="25"/>
    </row>
    <row r="694">
      <c r="B694" s="51"/>
      <c r="C694" s="52"/>
      <c r="D694" s="55"/>
      <c r="E694" s="51"/>
      <c r="F694" s="54"/>
      <c r="G694" s="25"/>
      <c r="H694" s="25"/>
      <c r="I694" s="25"/>
      <c r="J694" s="25"/>
      <c r="K694" s="25"/>
    </row>
    <row r="695">
      <c r="B695" s="51"/>
      <c r="C695" s="52"/>
      <c r="D695" s="55"/>
      <c r="E695" s="51"/>
      <c r="F695" s="54"/>
      <c r="G695" s="25"/>
      <c r="H695" s="25"/>
      <c r="I695" s="25"/>
      <c r="J695" s="25"/>
      <c r="K695" s="25"/>
    </row>
    <row r="696">
      <c r="B696" s="51"/>
      <c r="C696" s="52"/>
      <c r="D696" s="55"/>
      <c r="E696" s="51"/>
      <c r="F696" s="54"/>
      <c r="G696" s="25"/>
      <c r="H696" s="25"/>
      <c r="I696" s="25"/>
      <c r="J696" s="25"/>
      <c r="K696" s="25"/>
    </row>
    <row r="697">
      <c r="B697" s="51"/>
      <c r="C697" s="52"/>
      <c r="D697" s="55"/>
      <c r="E697" s="51"/>
      <c r="F697" s="54"/>
      <c r="G697" s="25"/>
      <c r="H697" s="25"/>
      <c r="I697" s="25"/>
      <c r="J697" s="25"/>
      <c r="K697" s="25"/>
    </row>
    <row r="698">
      <c r="B698" s="51"/>
      <c r="C698" s="52"/>
      <c r="D698" s="55"/>
      <c r="E698" s="51"/>
      <c r="F698" s="54"/>
      <c r="G698" s="25"/>
      <c r="H698" s="25"/>
      <c r="I698" s="25"/>
      <c r="J698" s="25"/>
      <c r="K698" s="25"/>
    </row>
    <row r="699">
      <c r="B699" s="51"/>
      <c r="C699" s="52"/>
      <c r="D699" s="55"/>
      <c r="E699" s="51"/>
      <c r="F699" s="54"/>
      <c r="G699" s="25"/>
      <c r="H699" s="25"/>
      <c r="I699" s="25"/>
      <c r="J699" s="25"/>
      <c r="K699" s="25"/>
    </row>
    <row r="700">
      <c r="B700" s="51"/>
      <c r="C700" s="52"/>
      <c r="D700" s="55"/>
      <c r="E700" s="51"/>
      <c r="F700" s="54"/>
      <c r="G700" s="25"/>
      <c r="H700" s="25"/>
      <c r="I700" s="25"/>
      <c r="J700" s="25"/>
      <c r="K700" s="25"/>
    </row>
    <row r="701">
      <c r="B701" s="51"/>
      <c r="C701" s="52"/>
      <c r="D701" s="55"/>
      <c r="E701" s="51"/>
      <c r="F701" s="54"/>
      <c r="G701" s="25"/>
      <c r="H701" s="25"/>
      <c r="I701" s="25"/>
      <c r="J701" s="25"/>
      <c r="K701" s="25"/>
    </row>
    <row r="702">
      <c r="B702" s="51"/>
      <c r="C702" s="52"/>
      <c r="D702" s="55"/>
      <c r="E702" s="51"/>
      <c r="F702" s="54"/>
      <c r="G702" s="25"/>
      <c r="H702" s="25"/>
      <c r="I702" s="25"/>
      <c r="J702" s="25"/>
      <c r="K702" s="25"/>
    </row>
    <row r="703">
      <c r="B703" s="51"/>
      <c r="C703" s="52"/>
      <c r="D703" s="55"/>
      <c r="E703" s="51"/>
      <c r="F703" s="54"/>
      <c r="G703" s="25"/>
      <c r="H703" s="25"/>
      <c r="I703" s="25"/>
      <c r="J703" s="25"/>
      <c r="K703" s="25"/>
    </row>
    <row r="704">
      <c r="B704" s="51"/>
      <c r="C704" s="52"/>
      <c r="D704" s="55"/>
      <c r="E704" s="51"/>
      <c r="F704" s="54"/>
      <c r="G704" s="25"/>
      <c r="H704" s="25"/>
      <c r="I704" s="25"/>
      <c r="J704" s="25"/>
      <c r="K704" s="25"/>
    </row>
    <row r="705">
      <c r="B705" s="51"/>
      <c r="C705" s="52"/>
      <c r="D705" s="55"/>
      <c r="E705" s="51"/>
      <c r="F705" s="54"/>
      <c r="G705" s="25"/>
      <c r="H705" s="25"/>
      <c r="I705" s="25"/>
      <c r="J705" s="25"/>
      <c r="K705" s="25"/>
    </row>
    <row r="706">
      <c r="B706" s="51"/>
      <c r="C706" s="52"/>
      <c r="D706" s="55"/>
      <c r="E706" s="51"/>
      <c r="F706" s="54"/>
      <c r="G706" s="25"/>
      <c r="H706" s="25"/>
      <c r="I706" s="25"/>
      <c r="J706" s="25"/>
      <c r="K706" s="25"/>
    </row>
    <row r="707">
      <c r="B707" s="51"/>
      <c r="C707" s="52"/>
      <c r="D707" s="55"/>
      <c r="E707" s="51"/>
      <c r="F707" s="54"/>
      <c r="G707" s="25"/>
      <c r="H707" s="25"/>
      <c r="I707" s="25"/>
      <c r="J707" s="25"/>
      <c r="K707" s="25"/>
    </row>
    <row r="708">
      <c r="B708" s="51"/>
      <c r="C708" s="52"/>
      <c r="D708" s="55"/>
      <c r="E708" s="51"/>
      <c r="F708" s="54"/>
      <c r="G708" s="25"/>
      <c r="H708" s="25"/>
      <c r="I708" s="25"/>
      <c r="J708" s="25"/>
      <c r="K708" s="25"/>
    </row>
    <row r="709">
      <c r="B709" s="51"/>
      <c r="C709" s="52"/>
      <c r="D709" s="55"/>
      <c r="E709" s="51"/>
      <c r="F709" s="54"/>
      <c r="G709" s="25"/>
      <c r="H709" s="25"/>
      <c r="I709" s="25"/>
      <c r="J709" s="25"/>
      <c r="K709" s="25"/>
    </row>
    <row r="710">
      <c r="B710" s="51"/>
      <c r="C710" s="52"/>
      <c r="D710" s="55"/>
      <c r="E710" s="51"/>
      <c r="F710" s="54"/>
      <c r="G710" s="25"/>
      <c r="H710" s="25"/>
      <c r="I710" s="25"/>
      <c r="J710" s="25"/>
      <c r="K710" s="25"/>
    </row>
    <row r="711">
      <c r="B711" s="51"/>
      <c r="C711" s="52"/>
      <c r="D711" s="55"/>
      <c r="E711" s="51"/>
      <c r="F711" s="54"/>
      <c r="G711" s="25"/>
      <c r="H711" s="25"/>
      <c r="I711" s="25"/>
      <c r="J711" s="25"/>
      <c r="K711" s="25"/>
    </row>
    <row r="712">
      <c r="B712" s="51"/>
      <c r="C712" s="52"/>
      <c r="D712" s="55"/>
      <c r="E712" s="51"/>
      <c r="F712" s="54"/>
      <c r="G712" s="25"/>
      <c r="H712" s="25"/>
      <c r="I712" s="25"/>
      <c r="J712" s="25"/>
      <c r="K712" s="25"/>
    </row>
    <row r="713">
      <c r="B713" s="51"/>
      <c r="C713" s="52"/>
      <c r="D713" s="55"/>
      <c r="E713" s="51"/>
      <c r="F713" s="54"/>
      <c r="G713" s="25"/>
      <c r="H713" s="25"/>
      <c r="I713" s="25"/>
      <c r="J713" s="25"/>
      <c r="K713" s="25"/>
    </row>
    <row r="714">
      <c r="B714" s="51"/>
      <c r="C714" s="52"/>
      <c r="D714" s="55"/>
      <c r="E714" s="51"/>
      <c r="F714" s="54"/>
      <c r="G714" s="25"/>
      <c r="H714" s="25"/>
      <c r="I714" s="25"/>
      <c r="J714" s="25"/>
      <c r="K714" s="25"/>
    </row>
    <row r="715">
      <c r="B715" s="51"/>
      <c r="C715" s="52"/>
      <c r="D715" s="55"/>
      <c r="E715" s="51"/>
      <c r="F715" s="54"/>
      <c r="G715" s="25"/>
      <c r="H715" s="25"/>
      <c r="I715" s="25"/>
      <c r="J715" s="25"/>
      <c r="K715" s="25"/>
    </row>
    <row r="716">
      <c r="B716" s="51"/>
      <c r="C716" s="52"/>
      <c r="D716" s="55"/>
      <c r="E716" s="51"/>
      <c r="F716" s="54"/>
      <c r="G716" s="25"/>
      <c r="H716" s="25"/>
      <c r="I716" s="25"/>
      <c r="J716" s="25"/>
      <c r="K716" s="25"/>
    </row>
    <row r="717">
      <c r="B717" s="51"/>
      <c r="C717" s="52"/>
      <c r="D717" s="55"/>
      <c r="E717" s="51"/>
      <c r="F717" s="54"/>
      <c r="G717" s="25"/>
      <c r="H717" s="25"/>
      <c r="I717" s="25"/>
      <c r="J717" s="25"/>
      <c r="K717" s="25"/>
    </row>
    <row r="718">
      <c r="B718" s="51"/>
      <c r="C718" s="52"/>
      <c r="D718" s="55"/>
      <c r="E718" s="51"/>
      <c r="F718" s="54"/>
      <c r="G718" s="25"/>
      <c r="H718" s="25"/>
      <c r="I718" s="25"/>
      <c r="J718" s="25"/>
      <c r="K718" s="25"/>
    </row>
    <row r="719">
      <c r="B719" s="51"/>
      <c r="C719" s="52"/>
      <c r="D719" s="55"/>
      <c r="E719" s="51"/>
      <c r="F719" s="54"/>
      <c r="G719" s="25"/>
      <c r="H719" s="25"/>
      <c r="I719" s="25"/>
      <c r="J719" s="25"/>
      <c r="K719" s="25"/>
    </row>
    <row r="720">
      <c r="B720" s="51"/>
      <c r="C720" s="52"/>
      <c r="D720" s="55"/>
      <c r="E720" s="51"/>
      <c r="F720" s="54"/>
      <c r="G720" s="25"/>
      <c r="H720" s="25"/>
      <c r="I720" s="25"/>
      <c r="J720" s="25"/>
      <c r="K720" s="25"/>
    </row>
    <row r="721">
      <c r="B721" s="51"/>
      <c r="C721" s="52"/>
      <c r="D721" s="55"/>
      <c r="E721" s="51"/>
      <c r="F721" s="54"/>
      <c r="G721" s="25"/>
      <c r="H721" s="25"/>
      <c r="I721" s="25"/>
      <c r="J721" s="25"/>
      <c r="K721" s="25"/>
    </row>
    <row r="722">
      <c r="B722" s="51"/>
      <c r="C722" s="52"/>
      <c r="D722" s="55"/>
      <c r="E722" s="51"/>
      <c r="F722" s="54"/>
      <c r="G722" s="25"/>
      <c r="H722" s="25"/>
      <c r="I722" s="25"/>
      <c r="J722" s="25"/>
      <c r="K722" s="25"/>
    </row>
    <row r="723">
      <c r="B723" s="51"/>
      <c r="C723" s="52"/>
      <c r="D723" s="55"/>
      <c r="E723" s="51"/>
      <c r="F723" s="54"/>
      <c r="G723" s="25"/>
      <c r="H723" s="25"/>
      <c r="I723" s="25"/>
      <c r="J723" s="25"/>
      <c r="K723" s="25"/>
    </row>
    <row r="724">
      <c r="B724" s="51"/>
      <c r="C724" s="52"/>
      <c r="D724" s="55"/>
      <c r="E724" s="51"/>
      <c r="F724" s="54"/>
      <c r="G724" s="25"/>
      <c r="H724" s="25"/>
      <c r="I724" s="25"/>
      <c r="J724" s="25"/>
      <c r="K724" s="25"/>
    </row>
    <row r="725">
      <c r="B725" s="51"/>
      <c r="C725" s="52"/>
      <c r="D725" s="55"/>
      <c r="E725" s="51"/>
      <c r="F725" s="54"/>
      <c r="G725" s="25"/>
      <c r="H725" s="25"/>
      <c r="I725" s="25"/>
      <c r="J725" s="25"/>
      <c r="K725" s="25"/>
    </row>
    <row r="726">
      <c r="B726" s="51"/>
      <c r="C726" s="52"/>
      <c r="D726" s="55"/>
      <c r="E726" s="51"/>
      <c r="F726" s="54"/>
      <c r="G726" s="25"/>
      <c r="H726" s="25"/>
      <c r="I726" s="25"/>
      <c r="J726" s="25"/>
      <c r="K726" s="25"/>
    </row>
    <row r="727">
      <c r="B727" s="51"/>
      <c r="C727" s="52"/>
      <c r="D727" s="55"/>
      <c r="E727" s="51"/>
      <c r="F727" s="54"/>
      <c r="G727" s="25"/>
      <c r="H727" s="25"/>
      <c r="I727" s="25"/>
      <c r="J727" s="25"/>
      <c r="K727" s="25"/>
    </row>
    <row r="728">
      <c r="B728" s="51"/>
      <c r="C728" s="52"/>
      <c r="D728" s="55"/>
      <c r="E728" s="51"/>
      <c r="F728" s="54"/>
      <c r="G728" s="25"/>
      <c r="H728" s="25"/>
      <c r="I728" s="25"/>
      <c r="J728" s="25"/>
      <c r="K728" s="25"/>
    </row>
    <row r="729">
      <c r="B729" s="51"/>
      <c r="C729" s="52"/>
      <c r="D729" s="55"/>
      <c r="E729" s="51"/>
      <c r="F729" s="54"/>
      <c r="G729" s="25"/>
      <c r="H729" s="25"/>
      <c r="I729" s="25"/>
      <c r="J729" s="25"/>
      <c r="K729" s="25"/>
    </row>
    <row r="730">
      <c r="B730" s="51"/>
      <c r="C730" s="52"/>
      <c r="D730" s="55"/>
      <c r="E730" s="51"/>
      <c r="F730" s="54"/>
      <c r="G730" s="25"/>
      <c r="H730" s="25"/>
      <c r="I730" s="25"/>
      <c r="J730" s="25"/>
      <c r="K730" s="25"/>
    </row>
    <row r="731">
      <c r="B731" s="51"/>
      <c r="C731" s="52"/>
      <c r="D731" s="55"/>
      <c r="E731" s="51"/>
      <c r="F731" s="54"/>
      <c r="G731" s="25"/>
      <c r="H731" s="25"/>
      <c r="I731" s="25"/>
      <c r="J731" s="25"/>
      <c r="K731" s="25"/>
    </row>
    <row r="732">
      <c r="B732" s="51"/>
      <c r="C732" s="52"/>
      <c r="D732" s="55"/>
      <c r="E732" s="51"/>
      <c r="F732" s="54"/>
      <c r="G732" s="25"/>
      <c r="H732" s="25"/>
      <c r="I732" s="25"/>
      <c r="J732" s="25"/>
      <c r="K732" s="25"/>
    </row>
    <row r="733">
      <c r="B733" s="51"/>
      <c r="C733" s="52"/>
      <c r="D733" s="55"/>
      <c r="E733" s="51"/>
      <c r="F733" s="54"/>
      <c r="G733" s="25"/>
      <c r="H733" s="25"/>
      <c r="I733" s="25"/>
      <c r="J733" s="25"/>
      <c r="K733" s="25"/>
    </row>
    <row r="734">
      <c r="B734" s="51"/>
      <c r="C734" s="52"/>
      <c r="D734" s="55"/>
      <c r="E734" s="51"/>
      <c r="F734" s="54"/>
      <c r="G734" s="25"/>
      <c r="H734" s="25"/>
      <c r="I734" s="25"/>
      <c r="J734" s="25"/>
      <c r="K734" s="25"/>
    </row>
    <row r="735">
      <c r="B735" s="51"/>
      <c r="C735" s="52"/>
      <c r="D735" s="55"/>
      <c r="E735" s="51"/>
      <c r="F735" s="54"/>
      <c r="G735" s="25"/>
      <c r="H735" s="25"/>
      <c r="I735" s="25"/>
      <c r="J735" s="25"/>
      <c r="K735" s="25"/>
    </row>
    <row r="736">
      <c r="B736" s="51"/>
      <c r="C736" s="52"/>
      <c r="D736" s="55"/>
      <c r="E736" s="51"/>
      <c r="F736" s="54"/>
      <c r="G736" s="25"/>
      <c r="H736" s="25"/>
      <c r="I736" s="25"/>
      <c r="J736" s="25"/>
      <c r="K736" s="25"/>
    </row>
    <row r="737">
      <c r="B737" s="51"/>
      <c r="C737" s="52"/>
      <c r="D737" s="55"/>
      <c r="E737" s="51"/>
      <c r="F737" s="54"/>
      <c r="G737" s="25"/>
      <c r="H737" s="25"/>
      <c r="I737" s="25"/>
      <c r="J737" s="25"/>
      <c r="K737" s="25"/>
    </row>
    <row r="738">
      <c r="B738" s="51"/>
      <c r="C738" s="52"/>
      <c r="D738" s="55"/>
      <c r="E738" s="51"/>
      <c r="F738" s="54"/>
      <c r="G738" s="25"/>
      <c r="H738" s="25"/>
      <c r="I738" s="25"/>
      <c r="J738" s="25"/>
      <c r="K738" s="25"/>
    </row>
    <row r="739">
      <c r="B739" s="51"/>
      <c r="C739" s="52"/>
      <c r="D739" s="55"/>
      <c r="E739" s="51"/>
      <c r="F739" s="54"/>
      <c r="G739" s="25"/>
      <c r="H739" s="25"/>
      <c r="I739" s="25"/>
      <c r="J739" s="25"/>
      <c r="K739" s="25"/>
    </row>
    <row r="740">
      <c r="B740" s="51"/>
      <c r="C740" s="52"/>
      <c r="D740" s="55"/>
      <c r="E740" s="51"/>
      <c r="F740" s="54"/>
      <c r="G740" s="25"/>
      <c r="H740" s="25"/>
      <c r="I740" s="25"/>
      <c r="J740" s="25"/>
      <c r="K740" s="25"/>
    </row>
    <row r="741">
      <c r="B741" s="51"/>
      <c r="C741" s="52"/>
      <c r="D741" s="55"/>
      <c r="E741" s="51"/>
      <c r="F741" s="54"/>
      <c r="G741" s="25"/>
      <c r="H741" s="25"/>
      <c r="I741" s="25"/>
      <c r="J741" s="25"/>
      <c r="K741" s="25"/>
    </row>
    <row r="742">
      <c r="B742" s="51"/>
      <c r="C742" s="52"/>
      <c r="D742" s="55"/>
      <c r="E742" s="51"/>
      <c r="F742" s="54"/>
      <c r="G742" s="25"/>
      <c r="H742" s="25"/>
      <c r="I742" s="25"/>
      <c r="J742" s="25"/>
      <c r="K742" s="25"/>
    </row>
    <row r="743">
      <c r="B743" s="51"/>
      <c r="C743" s="52"/>
      <c r="D743" s="55"/>
      <c r="E743" s="51"/>
      <c r="F743" s="54"/>
      <c r="G743" s="25"/>
      <c r="H743" s="25"/>
      <c r="I743" s="25"/>
      <c r="J743" s="25"/>
      <c r="K743" s="25"/>
    </row>
    <row r="744">
      <c r="B744" s="51"/>
      <c r="C744" s="52"/>
      <c r="D744" s="55"/>
      <c r="E744" s="51"/>
      <c r="F744" s="54"/>
      <c r="G744" s="25"/>
      <c r="H744" s="25"/>
      <c r="I744" s="25"/>
      <c r="J744" s="25"/>
      <c r="K744" s="25"/>
    </row>
    <row r="745">
      <c r="B745" s="51"/>
      <c r="C745" s="52"/>
      <c r="D745" s="55"/>
      <c r="E745" s="51"/>
      <c r="F745" s="54"/>
      <c r="G745" s="25"/>
      <c r="H745" s="25"/>
      <c r="I745" s="25"/>
      <c r="J745" s="25"/>
      <c r="K745" s="25"/>
    </row>
    <row r="746">
      <c r="B746" s="51"/>
      <c r="C746" s="52"/>
      <c r="D746" s="55"/>
      <c r="E746" s="51"/>
      <c r="F746" s="54"/>
      <c r="G746" s="25"/>
      <c r="H746" s="25"/>
      <c r="I746" s="25"/>
      <c r="J746" s="25"/>
      <c r="K746" s="25"/>
    </row>
    <row r="747">
      <c r="B747" s="51"/>
      <c r="C747" s="52"/>
      <c r="D747" s="55"/>
      <c r="E747" s="51"/>
      <c r="F747" s="54"/>
      <c r="G747" s="25"/>
      <c r="H747" s="25"/>
      <c r="I747" s="25"/>
      <c r="J747" s="25"/>
      <c r="K747" s="25"/>
    </row>
    <row r="748">
      <c r="B748" s="51"/>
      <c r="C748" s="52"/>
      <c r="D748" s="55"/>
      <c r="E748" s="51"/>
      <c r="F748" s="54"/>
      <c r="G748" s="25"/>
      <c r="H748" s="25"/>
      <c r="I748" s="25"/>
      <c r="J748" s="25"/>
      <c r="K748" s="25"/>
    </row>
    <row r="749">
      <c r="B749" s="51"/>
      <c r="C749" s="52"/>
      <c r="D749" s="55"/>
      <c r="E749" s="51"/>
      <c r="F749" s="54"/>
      <c r="G749" s="25"/>
      <c r="H749" s="25"/>
      <c r="I749" s="25"/>
      <c r="J749" s="25"/>
      <c r="K749" s="25"/>
    </row>
    <row r="750">
      <c r="B750" s="51"/>
      <c r="C750" s="52"/>
      <c r="D750" s="55"/>
      <c r="E750" s="51"/>
      <c r="F750" s="54"/>
      <c r="G750" s="25"/>
      <c r="H750" s="25"/>
      <c r="I750" s="25"/>
      <c r="J750" s="25"/>
      <c r="K750" s="25"/>
    </row>
    <row r="751">
      <c r="B751" s="51"/>
      <c r="C751" s="52"/>
      <c r="D751" s="55"/>
      <c r="E751" s="51"/>
      <c r="F751" s="54"/>
      <c r="G751" s="25"/>
      <c r="H751" s="25"/>
      <c r="I751" s="25"/>
      <c r="J751" s="25"/>
      <c r="K751" s="25"/>
    </row>
    <row r="752">
      <c r="B752" s="51"/>
      <c r="C752" s="52"/>
      <c r="D752" s="55"/>
      <c r="E752" s="51"/>
      <c r="F752" s="54"/>
      <c r="G752" s="25"/>
      <c r="H752" s="25"/>
      <c r="I752" s="25"/>
      <c r="J752" s="25"/>
      <c r="K752" s="25"/>
    </row>
    <row r="753">
      <c r="B753" s="51"/>
      <c r="C753" s="52"/>
      <c r="D753" s="55"/>
      <c r="E753" s="51"/>
      <c r="F753" s="54"/>
      <c r="G753" s="25"/>
      <c r="H753" s="25"/>
      <c r="I753" s="25"/>
      <c r="J753" s="25"/>
      <c r="K753" s="25"/>
    </row>
    <row r="754">
      <c r="B754" s="51"/>
      <c r="C754" s="52"/>
      <c r="D754" s="55"/>
      <c r="E754" s="51"/>
      <c r="F754" s="54"/>
      <c r="G754" s="25"/>
      <c r="H754" s="25"/>
      <c r="I754" s="25"/>
      <c r="J754" s="25"/>
      <c r="K754" s="25"/>
    </row>
    <row r="755">
      <c r="B755" s="51"/>
      <c r="C755" s="52"/>
      <c r="D755" s="55"/>
      <c r="E755" s="51"/>
      <c r="F755" s="54"/>
      <c r="G755" s="25"/>
      <c r="H755" s="25"/>
      <c r="I755" s="25"/>
      <c r="J755" s="25"/>
      <c r="K755" s="25"/>
    </row>
    <row r="756">
      <c r="B756" s="51"/>
      <c r="C756" s="52"/>
      <c r="D756" s="55"/>
      <c r="E756" s="51"/>
      <c r="F756" s="54"/>
      <c r="G756" s="25"/>
      <c r="H756" s="25"/>
      <c r="I756" s="25"/>
      <c r="J756" s="25"/>
      <c r="K756" s="25"/>
    </row>
    <row r="757">
      <c r="B757" s="51"/>
      <c r="C757" s="52"/>
      <c r="D757" s="55"/>
      <c r="E757" s="51"/>
      <c r="F757" s="54"/>
      <c r="G757" s="25"/>
      <c r="H757" s="25"/>
      <c r="I757" s="25"/>
      <c r="J757" s="25"/>
      <c r="K757" s="25"/>
    </row>
    <row r="758">
      <c r="B758" s="51"/>
      <c r="C758" s="52"/>
      <c r="D758" s="55"/>
      <c r="E758" s="51"/>
      <c r="F758" s="54"/>
      <c r="G758" s="25"/>
      <c r="H758" s="25"/>
      <c r="I758" s="25"/>
      <c r="J758" s="25"/>
      <c r="K758" s="25"/>
    </row>
    <row r="759">
      <c r="B759" s="51"/>
      <c r="C759" s="52"/>
      <c r="D759" s="55"/>
      <c r="E759" s="51"/>
      <c r="F759" s="54"/>
      <c r="G759" s="25"/>
      <c r="H759" s="25"/>
      <c r="I759" s="25"/>
      <c r="J759" s="25"/>
      <c r="K759" s="25"/>
    </row>
    <row r="760">
      <c r="B760" s="51"/>
      <c r="C760" s="52"/>
      <c r="D760" s="55"/>
      <c r="E760" s="51"/>
      <c r="F760" s="54"/>
      <c r="G760" s="25"/>
      <c r="H760" s="25"/>
      <c r="I760" s="25"/>
      <c r="J760" s="25"/>
      <c r="K760" s="25"/>
    </row>
    <row r="761">
      <c r="B761" s="51"/>
      <c r="C761" s="52"/>
      <c r="D761" s="55"/>
      <c r="E761" s="51"/>
      <c r="F761" s="54"/>
      <c r="G761" s="25"/>
      <c r="H761" s="25"/>
      <c r="I761" s="25"/>
      <c r="J761" s="25"/>
      <c r="K761" s="25"/>
    </row>
    <row r="762">
      <c r="B762" s="51"/>
      <c r="C762" s="52"/>
      <c r="D762" s="55"/>
      <c r="E762" s="51"/>
      <c r="F762" s="54"/>
      <c r="G762" s="25"/>
      <c r="H762" s="25"/>
      <c r="I762" s="25"/>
      <c r="J762" s="25"/>
      <c r="K762" s="25"/>
    </row>
    <row r="763">
      <c r="B763" s="51"/>
      <c r="C763" s="52"/>
      <c r="D763" s="55"/>
      <c r="E763" s="51"/>
      <c r="F763" s="54"/>
      <c r="G763" s="25"/>
      <c r="H763" s="25"/>
      <c r="I763" s="25"/>
      <c r="J763" s="25"/>
      <c r="K763" s="25"/>
    </row>
    <row r="764">
      <c r="B764" s="51"/>
      <c r="C764" s="52"/>
      <c r="D764" s="55"/>
      <c r="E764" s="51"/>
      <c r="F764" s="54"/>
      <c r="G764" s="25"/>
      <c r="H764" s="25"/>
      <c r="I764" s="25"/>
      <c r="J764" s="25"/>
      <c r="K764" s="25"/>
    </row>
    <row r="765">
      <c r="B765" s="51"/>
      <c r="C765" s="52"/>
      <c r="D765" s="55"/>
      <c r="E765" s="51"/>
      <c r="F765" s="54"/>
      <c r="G765" s="25"/>
      <c r="H765" s="25"/>
      <c r="I765" s="25"/>
      <c r="J765" s="25"/>
      <c r="K765" s="25"/>
    </row>
    <row r="766">
      <c r="B766" s="51"/>
      <c r="C766" s="52"/>
      <c r="D766" s="55"/>
      <c r="E766" s="51"/>
      <c r="F766" s="54"/>
      <c r="G766" s="25"/>
      <c r="H766" s="25"/>
      <c r="I766" s="25"/>
      <c r="J766" s="25"/>
      <c r="K766" s="25"/>
    </row>
    <row r="767">
      <c r="B767" s="51"/>
      <c r="C767" s="52"/>
      <c r="D767" s="55"/>
      <c r="E767" s="51"/>
      <c r="F767" s="54"/>
      <c r="G767" s="25"/>
      <c r="H767" s="25"/>
      <c r="I767" s="25"/>
      <c r="J767" s="25"/>
      <c r="K767" s="25"/>
    </row>
    <row r="768">
      <c r="B768" s="51"/>
      <c r="C768" s="52"/>
      <c r="D768" s="55"/>
      <c r="E768" s="51"/>
      <c r="F768" s="54"/>
      <c r="G768" s="25"/>
      <c r="H768" s="25"/>
      <c r="I768" s="25"/>
      <c r="J768" s="25"/>
      <c r="K768" s="25"/>
    </row>
    <row r="769">
      <c r="B769" s="51"/>
      <c r="C769" s="52"/>
      <c r="D769" s="55"/>
      <c r="E769" s="51"/>
      <c r="F769" s="54"/>
      <c r="G769" s="25"/>
      <c r="H769" s="25"/>
      <c r="I769" s="25"/>
      <c r="J769" s="25"/>
      <c r="K769" s="25"/>
    </row>
    <row r="770">
      <c r="B770" s="51"/>
      <c r="C770" s="52"/>
      <c r="D770" s="55"/>
      <c r="E770" s="51"/>
      <c r="F770" s="54"/>
      <c r="G770" s="25"/>
      <c r="H770" s="25"/>
      <c r="I770" s="25"/>
      <c r="J770" s="25"/>
      <c r="K770" s="25"/>
    </row>
    <row r="771">
      <c r="B771" s="51"/>
      <c r="C771" s="52"/>
      <c r="D771" s="55"/>
      <c r="E771" s="51"/>
      <c r="F771" s="54"/>
      <c r="G771" s="25"/>
      <c r="H771" s="25"/>
      <c r="I771" s="25"/>
      <c r="J771" s="25"/>
      <c r="K771" s="25"/>
    </row>
    <row r="772">
      <c r="B772" s="51"/>
      <c r="C772" s="52"/>
      <c r="D772" s="55"/>
      <c r="E772" s="51"/>
      <c r="F772" s="54"/>
      <c r="G772" s="25"/>
      <c r="H772" s="25"/>
      <c r="I772" s="25"/>
      <c r="J772" s="25"/>
      <c r="K772" s="25"/>
    </row>
    <row r="773">
      <c r="B773" s="51"/>
      <c r="C773" s="52"/>
      <c r="D773" s="55"/>
      <c r="E773" s="51"/>
      <c r="F773" s="54"/>
      <c r="G773" s="25"/>
      <c r="H773" s="25"/>
      <c r="I773" s="25"/>
      <c r="J773" s="25"/>
      <c r="K773" s="25"/>
    </row>
    <row r="774">
      <c r="B774" s="51"/>
      <c r="C774" s="52"/>
      <c r="D774" s="55"/>
      <c r="E774" s="51"/>
      <c r="F774" s="54"/>
      <c r="G774" s="25"/>
      <c r="H774" s="25"/>
      <c r="I774" s="25"/>
      <c r="J774" s="25"/>
      <c r="K774" s="25"/>
    </row>
    <row r="775">
      <c r="B775" s="51"/>
      <c r="C775" s="52"/>
      <c r="D775" s="55"/>
      <c r="E775" s="51"/>
      <c r="F775" s="54"/>
      <c r="G775" s="25"/>
      <c r="H775" s="25"/>
      <c r="I775" s="25"/>
      <c r="J775" s="25"/>
      <c r="K775" s="25"/>
    </row>
    <row r="776">
      <c r="B776" s="51"/>
      <c r="C776" s="52"/>
      <c r="D776" s="55"/>
      <c r="E776" s="51"/>
      <c r="F776" s="54"/>
      <c r="G776" s="25"/>
      <c r="H776" s="25"/>
      <c r="I776" s="25"/>
      <c r="J776" s="25"/>
      <c r="K776" s="25"/>
    </row>
    <row r="777">
      <c r="B777" s="51"/>
      <c r="C777" s="52"/>
      <c r="D777" s="55"/>
      <c r="E777" s="51"/>
      <c r="F777" s="54"/>
      <c r="G777" s="25"/>
      <c r="H777" s="25"/>
      <c r="I777" s="25"/>
      <c r="J777" s="25"/>
      <c r="K777" s="25"/>
    </row>
    <row r="778">
      <c r="B778" s="51"/>
      <c r="C778" s="52"/>
      <c r="D778" s="55"/>
      <c r="E778" s="51"/>
      <c r="F778" s="54"/>
      <c r="G778" s="25"/>
      <c r="H778" s="25"/>
      <c r="I778" s="25"/>
      <c r="J778" s="25"/>
      <c r="K778" s="25"/>
    </row>
    <row r="779">
      <c r="B779" s="51"/>
      <c r="C779" s="52"/>
      <c r="D779" s="55"/>
      <c r="E779" s="51"/>
      <c r="F779" s="54"/>
      <c r="G779" s="25"/>
      <c r="H779" s="25"/>
      <c r="I779" s="25"/>
      <c r="J779" s="25"/>
      <c r="K779" s="25"/>
    </row>
    <row r="780">
      <c r="B780" s="51"/>
      <c r="C780" s="52"/>
      <c r="D780" s="55"/>
      <c r="E780" s="51"/>
      <c r="F780" s="54"/>
      <c r="G780" s="25"/>
      <c r="H780" s="25"/>
      <c r="I780" s="25"/>
      <c r="J780" s="25"/>
      <c r="K780" s="25"/>
    </row>
    <row r="781">
      <c r="B781" s="51"/>
      <c r="C781" s="52"/>
      <c r="D781" s="55"/>
      <c r="E781" s="51"/>
      <c r="F781" s="54"/>
      <c r="G781" s="25"/>
      <c r="H781" s="25"/>
      <c r="I781" s="25"/>
      <c r="J781" s="25"/>
      <c r="K781" s="25"/>
    </row>
    <row r="782">
      <c r="B782" s="51"/>
      <c r="C782" s="52"/>
      <c r="D782" s="55"/>
      <c r="E782" s="51"/>
      <c r="F782" s="54"/>
      <c r="G782" s="25"/>
      <c r="H782" s="25"/>
      <c r="I782" s="25"/>
      <c r="J782" s="25"/>
      <c r="K782" s="25"/>
    </row>
    <row r="783">
      <c r="B783" s="51"/>
      <c r="C783" s="52"/>
      <c r="D783" s="55"/>
      <c r="E783" s="51"/>
      <c r="F783" s="54"/>
      <c r="G783" s="25"/>
      <c r="H783" s="25"/>
      <c r="I783" s="25"/>
      <c r="J783" s="25"/>
      <c r="K783" s="25"/>
    </row>
    <row r="784">
      <c r="B784" s="51"/>
      <c r="C784" s="52"/>
      <c r="D784" s="55"/>
      <c r="E784" s="51"/>
      <c r="F784" s="54"/>
      <c r="G784" s="25"/>
      <c r="H784" s="25"/>
      <c r="I784" s="25"/>
      <c r="J784" s="25"/>
      <c r="K784" s="25"/>
    </row>
    <row r="785">
      <c r="B785" s="51"/>
      <c r="C785" s="52"/>
      <c r="D785" s="55"/>
      <c r="E785" s="51"/>
      <c r="F785" s="54"/>
      <c r="G785" s="25"/>
      <c r="H785" s="25"/>
      <c r="I785" s="25"/>
      <c r="J785" s="25"/>
      <c r="K785" s="25"/>
    </row>
    <row r="786">
      <c r="B786" s="51"/>
      <c r="C786" s="52"/>
      <c r="D786" s="55"/>
      <c r="E786" s="51"/>
      <c r="F786" s="54"/>
      <c r="G786" s="25"/>
      <c r="H786" s="25"/>
      <c r="I786" s="25"/>
      <c r="J786" s="25"/>
      <c r="K786" s="25"/>
    </row>
    <row r="787">
      <c r="B787" s="51"/>
      <c r="C787" s="52"/>
      <c r="D787" s="55"/>
      <c r="E787" s="51"/>
      <c r="F787" s="54"/>
      <c r="G787" s="25"/>
      <c r="H787" s="25"/>
      <c r="I787" s="25"/>
      <c r="J787" s="25"/>
      <c r="K787" s="25"/>
    </row>
    <row r="788">
      <c r="B788" s="51"/>
      <c r="C788" s="52"/>
      <c r="D788" s="55"/>
      <c r="E788" s="51"/>
      <c r="F788" s="54"/>
      <c r="G788" s="25"/>
      <c r="H788" s="25"/>
      <c r="I788" s="25"/>
      <c r="J788" s="25"/>
      <c r="K788" s="25"/>
    </row>
    <row r="789">
      <c r="B789" s="51"/>
      <c r="C789" s="52"/>
      <c r="D789" s="55"/>
      <c r="E789" s="51"/>
      <c r="F789" s="54"/>
      <c r="G789" s="25"/>
      <c r="H789" s="25"/>
      <c r="I789" s="25"/>
      <c r="J789" s="25"/>
      <c r="K789" s="25"/>
    </row>
    <row r="790">
      <c r="B790" s="51"/>
      <c r="C790" s="52"/>
      <c r="D790" s="55"/>
      <c r="E790" s="51"/>
      <c r="F790" s="54"/>
      <c r="G790" s="25"/>
      <c r="H790" s="25"/>
      <c r="I790" s="25"/>
      <c r="J790" s="25"/>
      <c r="K790" s="25"/>
    </row>
    <row r="791">
      <c r="B791" s="51"/>
      <c r="C791" s="52"/>
      <c r="D791" s="55"/>
      <c r="E791" s="51"/>
      <c r="F791" s="54"/>
      <c r="G791" s="25"/>
      <c r="H791" s="25"/>
      <c r="I791" s="25"/>
      <c r="J791" s="25"/>
      <c r="K791" s="25"/>
    </row>
    <row r="792">
      <c r="B792" s="51"/>
      <c r="C792" s="52"/>
      <c r="D792" s="55"/>
      <c r="E792" s="51"/>
      <c r="F792" s="54"/>
      <c r="G792" s="25"/>
      <c r="H792" s="25"/>
      <c r="I792" s="25"/>
      <c r="J792" s="25"/>
      <c r="K792" s="25"/>
    </row>
    <row r="793">
      <c r="B793" s="51"/>
      <c r="C793" s="52"/>
      <c r="D793" s="55"/>
      <c r="E793" s="51"/>
      <c r="F793" s="54"/>
      <c r="G793" s="25"/>
      <c r="H793" s="25"/>
      <c r="I793" s="25"/>
      <c r="J793" s="25"/>
      <c r="K793" s="25"/>
    </row>
    <row r="794">
      <c r="B794" s="51"/>
      <c r="C794" s="52"/>
      <c r="D794" s="55"/>
      <c r="E794" s="51"/>
      <c r="F794" s="54"/>
      <c r="G794" s="25"/>
      <c r="H794" s="25"/>
      <c r="I794" s="25"/>
      <c r="J794" s="25"/>
      <c r="K794" s="25"/>
    </row>
    <row r="795">
      <c r="B795" s="51"/>
      <c r="C795" s="52"/>
      <c r="D795" s="55"/>
      <c r="E795" s="51"/>
      <c r="F795" s="54"/>
      <c r="G795" s="25"/>
      <c r="H795" s="25"/>
      <c r="I795" s="25"/>
      <c r="J795" s="25"/>
      <c r="K795" s="25"/>
    </row>
    <row r="796">
      <c r="B796" s="51"/>
      <c r="C796" s="52"/>
      <c r="D796" s="55"/>
      <c r="E796" s="51"/>
      <c r="F796" s="54"/>
      <c r="G796" s="25"/>
      <c r="H796" s="25"/>
      <c r="I796" s="25"/>
      <c r="J796" s="25"/>
      <c r="K796" s="25"/>
    </row>
    <row r="797">
      <c r="B797" s="51"/>
      <c r="C797" s="52"/>
      <c r="D797" s="55"/>
      <c r="E797" s="51"/>
      <c r="F797" s="54"/>
      <c r="G797" s="25"/>
      <c r="H797" s="25"/>
      <c r="I797" s="25"/>
      <c r="J797" s="25"/>
      <c r="K797" s="25"/>
    </row>
    <row r="798">
      <c r="B798" s="51"/>
      <c r="C798" s="52"/>
      <c r="D798" s="55"/>
      <c r="E798" s="51"/>
      <c r="F798" s="54"/>
      <c r="G798" s="25"/>
      <c r="H798" s="25"/>
      <c r="I798" s="25"/>
      <c r="J798" s="25"/>
      <c r="K798" s="25"/>
    </row>
    <row r="799">
      <c r="B799" s="51"/>
      <c r="C799" s="52"/>
      <c r="D799" s="55"/>
      <c r="E799" s="51"/>
      <c r="F799" s="54"/>
      <c r="G799" s="25"/>
      <c r="H799" s="25"/>
      <c r="I799" s="25"/>
      <c r="J799" s="25"/>
      <c r="K799" s="25"/>
    </row>
    <row r="800">
      <c r="B800" s="51"/>
      <c r="C800" s="52"/>
      <c r="D800" s="55"/>
      <c r="E800" s="51"/>
      <c r="F800" s="54"/>
      <c r="G800" s="25"/>
      <c r="H800" s="25"/>
      <c r="I800" s="25"/>
      <c r="J800" s="25"/>
      <c r="K800" s="25"/>
    </row>
    <row r="801">
      <c r="B801" s="51"/>
      <c r="C801" s="52"/>
      <c r="D801" s="55"/>
      <c r="E801" s="51"/>
      <c r="F801" s="54"/>
      <c r="G801" s="25"/>
      <c r="H801" s="25"/>
      <c r="I801" s="25"/>
      <c r="J801" s="25"/>
      <c r="K801" s="25"/>
    </row>
    <row r="802">
      <c r="B802" s="51"/>
      <c r="C802" s="52"/>
      <c r="D802" s="55"/>
      <c r="E802" s="51"/>
      <c r="F802" s="54"/>
      <c r="G802" s="25"/>
      <c r="H802" s="25"/>
      <c r="I802" s="25"/>
      <c r="J802" s="25"/>
      <c r="K802" s="25"/>
    </row>
    <row r="803">
      <c r="B803" s="51"/>
      <c r="C803" s="52"/>
      <c r="D803" s="55"/>
      <c r="E803" s="51"/>
      <c r="F803" s="54"/>
      <c r="G803" s="25"/>
      <c r="H803" s="25"/>
      <c r="I803" s="25"/>
      <c r="J803" s="25"/>
      <c r="K803" s="25"/>
    </row>
    <row r="804">
      <c r="B804" s="51"/>
      <c r="C804" s="52"/>
      <c r="D804" s="55"/>
      <c r="E804" s="51"/>
      <c r="F804" s="54"/>
      <c r="G804" s="25"/>
      <c r="H804" s="25"/>
      <c r="I804" s="25"/>
      <c r="J804" s="25"/>
      <c r="K804" s="25"/>
    </row>
    <row r="805">
      <c r="B805" s="51"/>
      <c r="C805" s="52"/>
      <c r="D805" s="55"/>
      <c r="E805" s="51"/>
      <c r="F805" s="54"/>
      <c r="G805" s="25"/>
      <c r="H805" s="25"/>
      <c r="I805" s="25"/>
      <c r="J805" s="25"/>
      <c r="K805" s="25"/>
    </row>
    <row r="806">
      <c r="B806" s="51"/>
      <c r="C806" s="52"/>
      <c r="D806" s="55"/>
      <c r="E806" s="51"/>
      <c r="F806" s="54"/>
      <c r="G806" s="25"/>
      <c r="H806" s="25"/>
      <c r="I806" s="25"/>
      <c r="J806" s="25"/>
      <c r="K806" s="25"/>
    </row>
    <row r="807">
      <c r="B807" s="51"/>
      <c r="C807" s="52"/>
      <c r="D807" s="55"/>
      <c r="E807" s="51"/>
      <c r="F807" s="54"/>
      <c r="G807" s="25"/>
      <c r="H807" s="25"/>
      <c r="I807" s="25"/>
      <c r="J807" s="25"/>
      <c r="K807" s="25"/>
    </row>
    <row r="808">
      <c r="B808" s="51"/>
      <c r="C808" s="52"/>
      <c r="D808" s="55"/>
      <c r="E808" s="51"/>
      <c r="F808" s="54"/>
      <c r="G808" s="25"/>
      <c r="H808" s="25"/>
      <c r="I808" s="25"/>
      <c r="J808" s="25"/>
      <c r="K808" s="25"/>
    </row>
    <row r="809">
      <c r="B809" s="51"/>
      <c r="C809" s="52"/>
      <c r="D809" s="55"/>
      <c r="E809" s="51"/>
      <c r="F809" s="54"/>
      <c r="G809" s="25"/>
      <c r="H809" s="25"/>
      <c r="I809" s="25"/>
      <c r="J809" s="25"/>
      <c r="K809" s="25"/>
    </row>
    <row r="810">
      <c r="B810" s="51"/>
      <c r="C810" s="52"/>
      <c r="D810" s="55"/>
      <c r="E810" s="51"/>
      <c r="F810" s="54"/>
      <c r="G810" s="25"/>
      <c r="H810" s="25"/>
      <c r="I810" s="25"/>
      <c r="J810" s="25"/>
      <c r="K810" s="25"/>
    </row>
    <row r="811">
      <c r="B811" s="51"/>
      <c r="C811" s="52"/>
      <c r="D811" s="55"/>
      <c r="E811" s="51"/>
      <c r="F811" s="54"/>
      <c r="G811" s="25"/>
      <c r="H811" s="25"/>
      <c r="I811" s="25"/>
      <c r="J811" s="25"/>
      <c r="K811" s="25"/>
    </row>
    <row r="812">
      <c r="B812" s="51"/>
      <c r="C812" s="52"/>
      <c r="D812" s="55"/>
      <c r="E812" s="51"/>
      <c r="F812" s="54"/>
      <c r="G812" s="25"/>
      <c r="H812" s="25"/>
      <c r="I812" s="25"/>
      <c r="J812" s="25"/>
      <c r="K812" s="25"/>
    </row>
    <row r="813">
      <c r="B813" s="51"/>
      <c r="C813" s="52"/>
      <c r="D813" s="55"/>
      <c r="E813" s="51"/>
      <c r="F813" s="54"/>
      <c r="G813" s="25"/>
      <c r="H813" s="25"/>
      <c r="I813" s="25"/>
      <c r="J813" s="25"/>
      <c r="K813" s="25"/>
    </row>
    <row r="814">
      <c r="B814" s="51"/>
      <c r="C814" s="52"/>
      <c r="D814" s="55"/>
      <c r="E814" s="51"/>
      <c r="F814" s="54"/>
      <c r="G814" s="25"/>
      <c r="H814" s="25"/>
      <c r="I814" s="25"/>
      <c r="J814" s="25"/>
      <c r="K814" s="25"/>
    </row>
    <row r="815">
      <c r="B815" s="51"/>
      <c r="C815" s="52"/>
      <c r="D815" s="55"/>
      <c r="E815" s="51"/>
      <c r="F815" s="54"/>
      <c r="G815" s="25"/>
      <c r="H815" s="25"/>
      <c r="I815" s="25"/>
      <c r="J815" s="25"/>
      <c r="K815" s="25"/>
    </row>
    <row r="816">
      <c r="B816" s="51"/>
      <c r="C816" s="52"/>
      <c r="D816" s="55"/>
      <c r="E816" s="51"/>
      <c r="F816" s="54"/>
      <c r="G816" s="25"/>
      <c r="H816" s="25"/>
      <c r="I816" s="25"/>
      <c r="J816" s="25"/>
      <c r="K816" s="25"/>
    </row>
    <row r="817">
      <c r="B817" s="51"/>
      <c r="C817" s="52"/>
      <c r="D817" s="55"/>
      <c r="E817" s="51"/>
      <c r="F817" s="54"/>
      <c r="G817" s="25"/>
      <c r="H817" s="25"/>
      <c r="I817" s="25"/>
      <c r="J817" s="25"/>
      <c r="K817" s="25"/>
    </row>
    <row r="818">
      <c r="B818" s="51"/>
      <c r="C818" s="52"/>
      <c r="D818" s="55"/>
      <c r="E818" s="51"/>
      <c r="F818" s="54"/>
      <c r="G818" s="25"/>
      <c r="H818" s="25"/>
      <c r="I818" s="25"/>
      <c r="J818" s="25"/>
      <c r="K818" s="25"/>
    </row>
    <row r="819">
      <c r="B819" s="51"/>
      <c r="C819" s="52"/>
      <c r="D819" s="55"/>
      <c r="E819" s="51"/>
      <c r="F819" s="54"/>
      <c r="G819" s="25"/>
      <c r="H819" s="25"/>
      <c r="I819" s="25"/>
      <c r="J819" s="25"/>
      <c r="K819" s="25"/>
    </row>
    <row r="820">
      <c r="B820" s="51"/>
      <c r="C820" s="52"/>
      <c r="D820" s="55"/>
      <c r="E820" s="51"/>
      <c r="F820" s="54"/>
      <c r="G820" s="25"/>
      <c r="H820" s="25"/>
      <c r="I820" s="25"/>
      <c r="J820" s="25"/>
      <c r="K820" s="25"/>
    </row>
    <row r="821">
      <c r="B821" s="51"/>
      <c r="C821" s="52"/>
      <c r="D821" s="55"/>
      <c r="E821" s="51"/>
      <c r="F821" s="54"/>
      <c r="G821" s="25"/>
      <c r="H821" s="25"/>
      <c r="I821" s="25"/>
      <c r="J821" s="25"/>
      <c r="K821" s="25"/>
    </row>
    <row r="822">
      <c r="B822" s="51"/>
      <c r="C822" s="52"/>
      <c r="D822" s="55"/>
      <c r="E822" s="51"/>
      <c r="F822" s="54"/>
      <c r="G822" s="25"/>
      <c r="H822" s="25"/>
      <c r="I822" s="25"/>
      <c r="J822" s="25"/>
      <c r="K822" s="25"/>
    </row>
    <row r="823">
      <c r="B823" s="51"/>
      <c r="C823" s="52"/>
      <c r="D823" s="55"/>
      <c r="E823" s="51"/>
      <c r="F823" s="54"/>
      <c r="G823" s="25"/>
      <c r="H823" s="25"/>
      <c r="I823" s="25"/>
      <c r="J823" s="25"/>
      <c r="K823" s="25"/>
    </row>
    <row r="824">
      <c r="B824" s="51"/>
      <c r="C824" s="52"/>
      <c r="D824" s="55"/>
      <c r="E824" s="51"/>
      <c r="F824" s="54"/>
      <c r="G824" s="25"/>
      <c r="H824" s="25"/>
      <c r="I824" s="25"/>
      <c r="J824" s="25"/>
      <c r="K824" s="25"/>
    </row>
    <row r="825">
      <c r="B825" s="51"/>
      <c r="C825" s="52"/>
      <c r="D825" s="55"/>
      <c r="E825" s="51"/>
      <c r="F825" s="54"/>
      <c r="G825" s="25"/>
      <c r="H825" s="25"/>
      <c r="I825" s="25"/>
      <c r="J825" s="25"/>
      <c r="K825" s="25"/>
    </row>
    <row r="826">
      <c r="B826" s="51"/>
      <c r="C826" s="52"/>
      <c r="D826" s="55"/>
      <c r="E826" s="51"/>
      <c r="F826" s="54"/>
      <c r="G826" s="25"/>
      <c r="H826" s="25"/>
      <c r="I826" s="25"/>
      <c r="J826" s="25"/>
      <c r="K826" s="25"/>
    </row>
    <row r="827">
      <c r="B827" s="51"/>
      <c r="C827" s="52"/>
      <c r="D827" s="55"/>
      <c r="E827" s="51"/>
      <c r="F827" s="54"/>
      <c r="G827" s="25"/>
      <c r="H827" s="25"/>
      <c r="I827" s="25"/>
      <c r="J827" s="25"/>
      <c r="K827" s="25"/>
    </row>
    <row r="828">
      <c r="B828" s="51"/>
      <c r="C828" s="52"/>
      <c r="D828" s="55"/>
      <c r="E828" s="51"/>
      <c r="F828" s="54"/>
      <c r="G828" s="25"/>
      <c r="H828" s="25"/>
      <c r="I828" s="25"/>
      <c r="J828" s="25"/>
      <c r="K828" s="25"/>
    </row>
    <row r="829">
      <c r="B829" s="51"/>
      <c r="C829" s="52"/>
      <c r="D829" s="55"/>
      <c r="E829" s="51"/>
      <c r="F829" s="54"/>
      <c r="G829" s="25"/>
      <c r="H829" s="25"/>
      <c r="I829" s="25"/>
      <c r="J829" s="25"/>
      <c r="K829" s="25"/>
    </row>
    <row r="830">
      <c r="B830" s="51"/>
      <c r="C830" s="52"/>
      <c r="D830" s="55"/>
      <c r="E830" s="51"/>
      <c r="F830" s="54"/>
      <c r="G830" s="25"/>
      <c r="H830" s="25"/>
      <c r="I830" s="25"/>
      <c r="J830" s="25"/>
      <c r="K830" s="25"/>
    </row>
    <row r="831">
      <c r="B831" s="51"/>
      <c r="C831" s="52"/>
      <c r="D831" s="55"/>
      <c r="E831" s="51"/>
      <c r="F831" s="54"/>
      <c r="G831" s="25"/>
      <c r="H831" s="25"/>
      <c r="I831" s="25"/>
      <c r="J831" s="25"/>
      <c r="K831" s="25"/>
    </row>
    <row r="832">
      <c r="B832" s="51"/>
      <c r="C832" s="52"/>
      <c r="D832" s="55"/>
      <c r="E832" s="51"/>
      <c r="F832" s="54"/>
      <c r="G832" s="25"/>
      <c r="H832" s="25"/>
      <c r="I832" s="25"/>
      <c r="J832" s="25"/>
      <c r="K832" s="25"/>
    </row>
    <row r="833">
      <c r="B833" s="51"/>
      <c r="C833" s="52"/>
      <c r="D833" s="55"/>
      <c r="E833" s="51"/>
      <c r="F833" s="54"/>
      <c r="G833" s="25"/>
      <c r="H833" s="25"/>
      <c r="I833" s="25"/>
      <c r="J833" s="25"/>
      <c r="K833" s="25"/>
    </row>
    <row r="834">
      <c r="B834" s="51"/>
      <c r="C834" s="52"/>
      <c r="D834" s="55"/>
      <c r="E834" s="51"/>
      <c r="F834" s="54"/>
      <c r="G834" s="25"/>
      <c r="H834" s="25"/>
      <c r="I834" s="25"/>
      <c r="J834" s="25"/>
      <c r="K834" s="25"/>
    </row>
    <row r="835">
      <c r="B835" s="51"/>
      <c r="C835" s="52"/>
      <c r="D835" s="55"/>
      <c r="E835" s="51"/>
      <c r="F835" s="54"/>
      <c r="G835" s="25"/>
      <c r="H835" s="25"/>
      <c r="I835" s="25"/>
      <c r="J835" s="25"/>
      <c r="K835" s="25"/>
    </row>
    <row r="836">
      <c r="B836" s="51"/>
      <c r="C836" s="52"/>
      <c r="D836" s="55"/>
      <c r="E836" s="51"/>
      <c r="F836" s="54"/>
      <c r="G836" s="25"/>
      <c r="H836" s="25"/>
      <c r="I836" s="25"/>
      <c r="J836" s="25"/>
      <c r="K836" s="25"/>
    </row>
    <row r="837">
      <c r="B837" s="51"/>
      <c r="C837" s="52"/>
      <c r="D837" s="55"/>
      <c r="E837" s="51"/>
      <c r="F837" s="54"/>
      <c r="G837" s="25"/>
      <c r="H837" s="25"/>
      <c r="I837" s="25"/>
      <c r="J837" s="25"/>
      <c r="K837" s="25"/>
    </row>
    <row r="838">
      <c r="B838" s="51"/>
      <c r="C838" s="52"/>
      <c r="D838" s="55"/>
      <c r="E838" s="51"/>
      <c r="F838" s="54"/>
      <c r="G838" s="25"/>
      <c r="H838" s="25"/>
      <c r="I838" s="25"/>
      <c r="J838" s="25"/>
      <c r="K838" s="25"/>
    </row>
    <row r="839">
      <c r="B839" s="51"/>
      <c r="C839" s="52"/>
      <c r="D839" s="55"/>
      <c r="E839" s="51"/>
      <c r="F839" s="54"/>
      <c r="G839" s="25"/>
      <c r="H839" s="25"/>
      <c r="I839" s="25"/>
      <c r="J839" s="25"/>
      <c r="K839" s="25"/>
    </row>
    <row r="840">
      <c r="B840" s="51"/>
      <c r="C840" s="52"/>
      <c r="D840" s="55"/>
      <c r="E840" s="51"/>
      <c r="F840" s="54"/>
      <c r="G840" s="25"/>
      <c r="H840" s="25"/>
      <c r="I840" s="25"/>
      <c r="J840" s="25"/>
      <c r="K840" s="25"/>
    </row>
    <row r="841">
      <c r="B841" s="51"/>
      <c r="C841" s="52"/>
      <c r="D841" s="55"/>
      <c r="E841" s="51"/>
      <c r="F841" s="54"/>
      <c r="G841" s="25"/>
      <c r="H841" s="25"/>
      <c r="I841" s="25"/>
      <c r="J841" s="25"/>
      <c r="K841" s="25"/>
    </row>
    <row r="842">
      <c r="B842" s="51"/>
      <c r="C842" s="52"/>
      <c r="D842" s="55"/>
      <c r="E842" s="51"/>
      <c r="F842" s="54"/>
      <c r="G842" s="25"/>
      <c r="H842" s="25"/>
      <c r="I842" s="25"/>
      <c r="J842" s="25"/>
      <c r="K842" s="25"/>
    </row>
    <row r="843">
      <c r="B843" s="51"/>
      <c r="C843" s="52"/>
      <c r="D843" s="55"/>
      <c r="E843" s="51"/>
      <c r="F843" s="54"/>
      <c r="G843" s="25"/>
      <c r="H843" s="25"/>
      <c r="I843" s="25"/>
      <c r="J843" s="25"/>
      <c r="K843" s="25"/>
    </row>
    <row r="844">
      <c r="B844" s="51"/>
      <c r="C844" s="52"/>
      <c r="D844" s="55"/>
      <c r="E844" s="51"/>
      <c r="F844" s="54"/>
      <c r="G844" s="25"/>
      <c r="H844" s="25"/>
      <c r="I844" s="25"/>
      <c r="J844" s="25"/>
      <c r="K844" s="25"/>
    </row>
    <row r="845">
      <c r="B845" s="51"/>
      <c r="C845" s="52"/>
      <c r="D845" s="55"/>
      <c r="E845" s="51"/>
      <c r="F845" s="54"/>
      <c r="G845" s="25"/>
      <c r="H845" s="25"/>
      <c r="I845" s="25"/>
      <c r="J845" s="25"/>
      <c r="K845" s="25"/>
    </row>
    <row r="846">
      <c r="B846" s="51"/>
      <c r="C846" s="52"/>
      <c r="D846" s="55"/>
      <c r="E846" s="51"/>
      <c r="F846" s="54"/>
      <c r="G846" s="25"/>
      <c r="H846" s="25"/>
      <c r="I846" s="25"/>
      <c r="J846" s="25"/>
      <c r="K846" s="25"/>
    </row>
    <row r="847">
      <c r="B847" s="51"/>
      <c r="C847" s="52"/>
      <c r="D847" s="55"/>
      <c r="E847" s="51"/>
      <c r="F847" s="54"/>
      <c r="G847" s="25"/>
      <c r="H847" s="25"/>
      <c r="I847" s="25"/>
      <c r="J847" s="25"/>
      <c r="K847" s="25"/>
    </row>
    <row r="848">
      <c r="B848" s="51"/>
      <c r="C848" s="52"/>
      <c r="D848" s="55"/>
      <c r="E848" s="51"/>
      <c r="F848" s="54"/>
      <c r="G848" s="25"/>
      <c r="H848" s="25"/>
      <c r="I848" s="25"/>
      <c r="J848" s="25"/>
      <c r="K848" s="25"/>
    </row>
    <row r="849">
      <c r="B849" s="51"/>
      <c r="C849" s="52"/>
      <c r="D849" s="55"/>
      <c r="E849" s="51"/>
      <c r="F849" s="54"/>
      <c r="G849" s="25"/>
      <c r="H849" s="25"/>
      <c r="I849" s="25"/>
      <c r="J849" s="25"/>
      <c r="K849" s="25"/>
    </row>
    <row r="850">
      <c r="B850" s="51"/>
      <c r="C850" s="52"/>
      <c r="D850" s="55"/>
      <c r="E850" s="51"/>
      <c r="F850" s="54"/>
      <c r="G850" s="25"/>
      <c r="H850" s="25"/>
      <c r="I850" s="25"/>
      <c r="J850" s="25"/>
      <c r="K850" s="25"/>
    </row>
    <row r="851">
      <c r="B851" s="51"/>
      <c r="C851" s="52"/>
      <c r="D851" s="55"/>
      <c r="E851" s="51"/>
      <c r="F851" s="54"/>
      <c r="G851" s="25"/>
      <c r="H851" s="25"/>
      <c r="I851" s="25"/>
      <c r="J851" s="25"/>
      <c r="K851" s="25"/>
    </row>
    <row r="852">
      <c r="B852" s="51"/>
      <c r="C852" s="52"/>
      <c r="D852" s="55"/>
      <c r="E852" s="51"/>
      <c r="F852" s="54"/>
      <c r="G852" s="25"/>
      <c r="H852" s="25"/>
      <c r="I852" s="25"/>
      <c r="J852" s="25"/>
      <c r="K852" s="25"/>
    </row>
    <row r="853">
      <c r="B853" s="51"/>
      <c r="C853" s="52"/>
      <c r="D853" s="55"/>
      <c r="E853" s="51"/>
      <c r="F853" s="54"/>
      <c r="G853" s="25"/>
      <c r="H853" s="25"/>
      <c r="I853" s="25"/>
      <c r="J853" s="25"/>
      <c r="K853" s="25"/>
    </row>
    <row r="854">
      <c r="B854" s="51"/>
      <c r="C854" s="52"/>
      <c r="D854" s="55"/>
      <c r="E854" s="51"/>
      <c r="F854" s="54"/>
      <c r="G854" s="25"/>
      <c r="H854" s="25"/>
      <c r="I854" s="25"/>
      <c r="J854" s="25"/>
      <c r="K854" s="25"/>
    </row>
    <row r="855">
      <c r="B855" s="51"/>
      <c r="C855" s="52"/>
      <c r="D855" s="55"/>
      <c r="E855" s="51"/>
      <c r="F855" s="54"/>
      <c r="G855" s="25"/>
      <c r="H855" s="25"/>
      <c r="I855" s="25"/>
      <c r="J855" s="25"/>
      <c r="K855" s="25"/>
    </row>
    <row r="856">
      <c r="B856" s="51"/>
      <c r="C856" s="52"/>
      <c r="D856" s="55"/>
      <c r="E856" s="51"/>
      <c r="F856" s="54"/>
      <c r="G856" s="25"/>
      <c r="H856" s="25"/>
      <c r="I856" s="25"/>
      <c r="J856" s="25"/>
      <c r="K856" s="25"/>
    </row>
    <row r="857">
      <c r="B857" s="51"/>
      <c r="C857" s="52"/>
      <c r="D857" s="55"/>
      <c r="E857" s="51"/>
      <c r="F857" s="54"/>
      <c r="G857" s="25"/>
      <c r="H857" s="25"/>
      <c r="I857" s="25"/>
      <c r="J857" s="25"/>
      <c r="K857" s="25"/>
    </row>
    <row r="858">
      <c r="B858" s="51"/>
      <c r="C858" s="52"/>
      <c r="D858" s="55"/>
      <c r="E858" s="51"/>
      <c r="F858" s="54"/>
      <c r="G858" s="25"/>
      <c r="H858" s="25"/>
      <c r="I858" s="25"/>
      <c r="J858" s="25"/>
      <c r="K858" s="25"/>
    </row>
    <row r="859">
      <c r="B859" s="51"/>
      <c r="C859" s="52"/>
      <c r="D859" s="55"/>
      <c r="E859" s="51"/>
      <c r="F859" s="54"/>
      <c r="G859" s="25"/>
      <c r="H859" s="25"/>
      <c r="I859" s="25"/>
      <c r="J859" s="25"/>
      <c r="K859" s="25"/>
    </row>
    <row r="860">
      <c r="B860" s="51"/>
      <c r="C860" s="52"/>
      <c r="D860" s="55"/>
      <c r="E860" s="51"/>
      <c r="F860" s="54"/>
      <c r="G860" s="25"/>
      <c r="H860" s="25"/>
      <c r="I860" s="25"/>
      <c r="J860" s="25"/>
      <c r="K860" s="25"/>
    </row>
    <row r="861">
      <c r="B861" s="51"/>
      <c r="C861" s="52"/>
      <c r="D861" s="55"/>
      <c r="E861" s="51"/>
      <c r="F861" s="54"/>
      <c r="G861" s="25"/>
      <c r="H861" s="25"/>
      <c r="I861" s="25"/>
      <c r="J861" s="25"/>
      <c r="K861" s="25"/>
    </row>
    <row r="862">
      <c r="B862" s="51"/>
      <c r="C862" s="52"/>
      <c r="D862" s="55"/>
      <c r="E862" s="51"/>
      <c r="F862" s="54"/>
      <c r="G862" s="25"/>
      <c r="H862" s="25"/>
      <c r="I862" s="25"/>
      <c r="J862" s="25"/>
      <c r="K862" s="25"/>
    </row>
    <row r="863">
      <c r="B863" s="51"/>
      <c r="C863" s="52"/>
      <c r="D863" s="55"/>
      <c r="E863" s="51"/>
      <c r="F863" s="54"/>
      <c r="G863" s="25"/>
      <c r="H863" s="25"/>
      <c r="I863" s="25"/>
      <c r="J863" s="25"/>
      <c r="K863" s="25"/>
    </row>
    <row r="864">
      <c r="B864" s="51"/>
      <c r="C864" s="52"/>
      <c r="D864" s="55"/>
      <c r="E864" s="51"/>
      <c r="F864" s="54"/>
      <c r="G864" s="25"/>
      <c r="H864" s="25"/>
      <c r="I864" s="25"/>
      <c r="J864" s="25"/>
      <c r="K864" s="25"/>
    </row>
    <row r="865">
      <c r="B865" s="51"/>
      <c r="C865" s="52"/>
      <c r="D865" s="55"/>
      <c r="E865" s="51"/>
      <c r="F865" s="54"/>
      <c r="G865" s="25"/>
      <c r="H865" s="25"/>
      <c r="I865" s="25"/>
      <c r="J865" s="25"/>
      <c r="K865" s="25"/>
    </row>
    <row r="866">
      <c r="B866" s="51"/>
      <c r="C866" s="52"/>
      <c r="D866" s="55"/>
      <c r="E866" s="51"/>
      <c r="F866" s="54"/>
      <c r="G866" s="25"/>
      <c r="H866" s="25"/>
      <c r="I866" s="25"/>
      <c r="J866" s="25"/>
      <c r="K866" s="25"/>
    </row>
    <row r="867">
      <c r="B867" s="51"/>
      <c r="C867" s="52"/>
      <c r="D867" s="55"/>
      <c r="E867" s="51"/>
      <c r="F867" s="54"/>
      <c r="G867" s="25"/>
      <c r="H867" s="25"/>
      <c r="I867" s="25"/>
      <c r="J867" s="25"/>
      <c r="K867" s="25"/>
    </row>
    <row r="868">
      <c r="B868" s="51"/>
      <c r="C868" s="52"/>
      <c r="D868" s="55"/>
      <c r="E868" s="51"/>
      <c r="F868" s="54"/>
      <c r="G868" s="25"/>
      <c r="H868" s="25"/>
      <c r="I868" s="25"/>
      <c r="J868" s="25"/>
      <c r="K868" s="25"/>
    </row>
    <row r="869">
      <c r="B869" s="51"/>
      <c r="C869" s="52"/>
      <c r="D869" s="55"/>
      <c r="E869" s="51"/>
      <c r="F869" s="54"/>
      <c r="G869" s="25"/>
      <c r="H869" s="25"/>
      <c r="I869" s="25"/>
      <c r="J869" s="25"/>
      <c r="K869" s="25"/>
    </row>
    <row r="870">
      <c r="B870" s="51"/>
      <c r="C870" s="52"/>
      <c r="D870" s="55"/>
      <c r="E870" s="51"/>
      <c r="F870" s="54"/>
      <c r="G870" s="25"/>
      <c r="H870" s="25"/>
      <c r="I870" s="25"/>
      <c r="J870" s="25"/>
      <c r="K870" s="25"/>
    </row>
    <row r="871">
      <c r="B871" s="51"/>
      <c r="C871" s="52"/>
      <c r="D871" s="55"/>
      <c r="E871" s="51"/>
      <c r="F871" s="54"/>
      <c r="G871" s="25"/>
      <c r="H871" s="25"/>
      <c r="I871" s="25"/>
      <c r="J871" s="25"/>
      <c r="K871" s="25"/>
    </row>
    <row r="872">
      <c r="B872" s="51"/>
      <c r="C872" s="52"/>
      <c r="D872" s="55"/>
      <c r="E872" s="51"/>
      <c r="F872" s="54"/>
      <c r="G872" s="25"/>
      <c r="H872" s="25"/>
      <c r="I872" s="25"/>
      <c r="J872" s="25"/>
      <c r="K872" s="25"/>
    </row>
    <row r="873">
      <c r="B873" s="51"/>
      <c r="C873" s="52"/>
      <c r="D873" s="55"/>
      <c r="E873" s="51"/>
      <c r="F873" s="54"/>
      <c r="G873" s="25"/>
      <c r="H873" s="25"/>
      <c r="I873" s="25"/>
      <c r="J873" s="25"/>
      <c r="K873" s="25"/>
    </row>
    <row r="874">
      <c r="B874" s="51"/>
      <c r="C874" s="52"/>
      <c r="D874" s="55"/>
      <c r="E874" s="51"/>
      <c r="F874" s="54"/>
      <c r="G874" s="25"/>
      <c r="H874" s="25"/>
      <c r="I874" s="25"/>
      <c r="J874" s="25"/>
      <c r="K874" s="25"/>
    </row>
    <row r="875">
      <c r="B875" s="51"/>
      <c r="C875" s="52"/>
      <c r="D875" s="55"/>
      <c r="E875" s="51"/>
      <c r="F875" s="54"/>
      <c r="G875" s="25"/>
      <c r="H875" s="25"/>
      <c r="I875" s="25"/>
      <c r="J875" s="25"/>
      <c r="K875" s="25"/>
    </row>
    <row r="876">
      <c r="B876" s="51"/>
      <c r="C876" s="52"/>
      <c r="D876" s="55"/>
      <c r="E876" s="51"/>
      <c r="F876" s="54"/>
      <c r="G876" s="25"/>
      <c r="H876" s="25"/>
      <c r="I876" s="25"/>
      <c r="J876" s="25"/>
      <c r="K876" s="25"/>
    </row>
    <row r="877">
      <c r="B877" s="51"/>
      <c r="C877" s="52"/>
      <c r="D877" s="55"/>
      <c r="E877" s="51"/>
      <c r="F877" s="54"/>
      <c r="G877" s="25"/>
      <c r="H877" s="25"/>
      <c r="I877" s="25"/>
      <c r="J877" s="25"/>
      <c r="K877" s="25"/>
    </row>
    <row r="878">
      <c r="B878" s="51"/>
      <c r="C878" s="52"/>
      <c r="D878" s="55"/>
      <c r="E878" s="51"/>
      <c r="F878" s="54"/>
      <c r="G878" s="25"/>
      <c r="H878" s="25"/>
      <c r="I878" s="25"/>
      <c r="J878" s="25"/>
      <c r="K878" s="25"/>
    </row>
    <row r="879">
      <c r="B879" s="51"/>
      <c r="C879" s="52"/>
      <c r="D879" s="55"/>
      <c r="E879" s="51"/>
      <c r="F879" s="54"/>
      <c r="G879" s="25"/>
      <c r="H879" s="25"/>
      <c r="I879" s="25"/>
      <c r="J879" s="25"/>
      <c r="K879" s="25"/>
    </row>
    <row r="880">
      <c r="B880" s="51"/>
      <c r="C880" s="52"/>
      <c r="D880" s="55"/>
      <c r="E880" s="51"/>
      <c r="F880" s="54"/>
      <c r="G880" s="25"/>
      <c r="H880" s="25"/>
      <c r="I880" s="25"/>
      <c r="J880" s="25"/>
      <c r="K880" s="25"/>
    </row>
    <row r="881">
      <c r="B881" s="51"/>
      <c r="C881" s="52"/>
      <c r="D881" s="55"/>
      <c r="E881" s="51"/>
      <c r="F881" s="54"/>
      <c r="G881" s="25"/>
      <c r="H881" s="25"/>
      <c r="I881" s="25"/>
      <c r="J881" s="25"/>
      <c r="K881" s="25"/>
    </row>
    <row r="882">
      <c r="B882" s="51"/>
      <c r="C882" s="52"/>
      <c r="D882" s="55"/>
      <c r="E882" s="51"/>
      <c r="F882" s="54"/>
      <c r="G882" s="25"/>
      <c r="H882" s="25"/>
      <c r="I882" s="25"/>
      <c r="J882" s="25"/>
      <c r="K882" s="25"/>
    </row>
    <row r="883">
      <c r="B883" s="51"/>
      <c r="C883" s="52"/>
      <c r="D883" s="55"/>
      <c r="E883" s="51"/>
      <c r="F883" s="54"/>
      <c r="G883" s="25"/>
      <c r="H883" s="25"/>
      <c r="I883" s="25"/>
      <c r="J883" s="25"/>
      <c r="K883" s="25"/>
    </row>
    <row r="884">
      <c r="B884" s="51"/>
      <c r="C884" s="52"/>
      <c r="D884" s="55"/>
      <c r="E884" s="51"/>
      <c r="F884" s="54"/>
      <c r="G884" s="25"/>
      <c r="H884" s="25"/>
      <c r="I884" s="25"/>
      <c r="J884" s="25"/>
      <c r="K884" s="25"/>
    </row>
    <row r="885">
      <c r="B885" s="51"/>
      <c r="C885" s="52"/>
      <c r="D885" s="55"/>
      <c r="E885" s="51"/>
      <c r="F885" s="54"/>
      <c r="G885" s="25"/>
      <c r="H885" s="25"/>
      <c r="I885" s="25"/>
      <c r="J885" s="25"/>
      <c r="K885" s="25"/>
    </row>
    <row r="886">
      <c r="B886" s="51"/>
      <c r="C886" s="52"/>
      <c r="D886" s="55"/>
      <c r="E886" s="51"/>
      <c r="F886" s="54"/>
      <c r="G886" s="25"/>
      <c r="H886" s="25"/>
      <c r="I886" s="25"/>
      <c r="J886" s="25"/>
      <c r="K886" s="25"/>
    </row>
    <row r="887">
      <c r="B887" s="51"/>
      <c r="C887" s="52"/>
      <c r="D887" s="55"/>
      <c r="E887" s="51"/>
      <c r="F887" s="54"/>
      <c r="G887" s="25"/>
      <c r="H887" s="25"/>
      <c r="I887" s="25"/>
      <c r="J887" s="25"/>
      <c r="K887" s="25"/>
    </row>
    <row r="888">
      <c r="B888" s="51"/>
      <c r="C888" s="52"/>
      <c r="D888" s="55"/>
      <c r="E888" s="51"/>
      <c r="F888" s="54"/>
      <c r="G888" s="25"/>
      <c r="H888" s="25"/>
      <c r="I888" s="25"/>
      <c r="J888" s="25"/>
      <c r="K888" s="25"/>
    </row>
    <row r="889">
      <c r="B889" s="51"/>
      <c r="C889" s="52"/>
      <c r="D889" s="55"/>
      <c r="E889" s="51"/>
      <c r="F889" s="54"/>
      <c r="G889" s="25"/>
      <c r="H889" s="25"/>
      <c r="I889" s="25"/>
      <c r="J889" s="25"/>
      <c r="K889" s="25"/>
    </row>
    <row r="890">
      <c r="B890" s="51"/>
      <c r="C890" s="52"/>
      <c r="D890" s="55"/>
      <c r="E890" s="51"/>
      <c r="F890" s="54"/>
      <c r="G890" s="25"/>
      <c r="H890" s="25"/>
      <c r="I890" s="25"/>
      <c r="J890" s="25"/>
      <c r="K890" s="25"/>
    </row>
    <row r="891">
      <c r="B891" s="51"/>
      <c r="C891" s="52"/>
      <c r="D891" s="55"/>
      <c r="E891" s="51"/>
      <c r="F891" s="54"/>
      <c r="G891" s="25"/>
      <c r="H891" s="25"/>
      <c r="I891" s="25"/>
      <c r="J891" s="25"/>
      <c r="K891" s="25"/>
    </row>
    <row r="892">
      <c r="B892" s="51"/>
      <c r="C892" s="52"/>
      <c r="D892" s="55"/>
      <c r="E892" s="51"/>
      <c r="F892" s="54"/>
      <c r="G892" s="25"/>
      <c r="H892" s="25"/>
      <c r="I892" s="25"/>
      <c r="J892" s="25"/>
      <c r="K892" s="25"/>
    </row>
    <row r="893">
      <c r="B893" s="51"/>
      <c r="C893" s="52"/>
      <c r="D893" s="55"/>
      <c r="E893" s="51"/>
      <c r="F893" s="54"/>
      <c r="G893" s="25"/>
      <c r="H893" s="25"/>
      <c r="I893" s="25"/>
      <c r="J893" s="25"/>
      <c r="K893" s="25"/>
    </row>
    <row r="894">
      <c r="B894" s="51"/>
      <c r="C894" s="52"/>
      <c r="D894" s="55"/>
      <c r="E894" s="51"/>
      <c r="F894" s="54"/>
      <c r="G894" s="25"/>
      <c r="H894" s="25"/>
      <c r="I894" s="25"/>
      <c r="J894" s="25"/>
      <c r="K894" s="25"/>
    </row>
    <row r="895">
      <c r="B895" s="51"/>
      <c r="C895" s="52"/>
      <c r="D895" s="55"/>
      <c r="E895" s="51"/>
      <c r="F895" s="54"/>
      <c r="G895" s="25"/>
      <c r="H895" s="25"/>
      <c r="I895" s="25"/>
      <c r="J895" s="25"/>
      <c r="K895" s="25"/>
    </row>
    <row r="896">
      <c r="B896" s="51"/>
      <c r="C896" s="52"/>
      <c r="D896" s="55"/>
      <c r="E896" s="51"/>
      <c r="F896" s="54"/>
      <c r="G896" s="25"/>
      <c r="H896" s="25"/>
      <c r="I896" s="25"/>
      <c r="J896" s="25"/>
      <c r="K896" s="25"/>
    </row>
    <row r="897">
      <c r="B897" s="51"/>
      <c r="C897" s="52"/>
      <c r="D897" s="55"/>
      <c r="E897" s="51"/>
      <c r="F897" s="54"/>
      <c r="G897" s="25"/>
      <c r="H897" s="25"/>
      <c r="I897" s="25"/>
      <c r="J897" s="25"/>
      <c r="K897" s="25"/>
    </row>
    <row r="898">
      <c r="B898" s="51"/>
      <c r="C898" s="52"/>
      <c r="D898" s="55"/>
      <c r="E898" s="51"/>
      <c r="F898" s="54"/>
      <c r="G898" s="25"/>
      <c r="H898" s="25"/>
      <c r="I898" s="25"/>
      <c r="J898" s="25"/>
      <c r="K898" s="25"/>
    </row>
    <row r="899">
      <c r="B899" s="51"/>
      <c r="C899" s="52"/>
      <c r="D899" s="55"/>
      <c r="E899" s="51"/>
      <c r="F899" s="54"/>
      <c r="G899" s="25"/>
      <c r="H899" s="25"/>
      <c r="I899" s="25"/>
      <c r="J899" s="25"/>
      <c r="K899" s="25"/>
    </row>
    <row r="900">
      <c r="B900" s="51"/>
      <c r="C900" s="52"/>
      <c r="D900" s="55"/>
      <c r="E900" s="51"/>
      <c r="F900" s="54"/>
      <c r="G900" s="25"/>
      <c r="H900" s="25"/>
      <c r="I900" s="25"/>
      <c r="J900" s="25"/>
      <c r="K900" s="25"/>
    </row>
    <row r="901">
      <c r="B901" s="51"/>
      <c r="C901" s="52"/>
      <c r="D901" s="55"/>
      <c r="E901" s="51"/>
      <c r="F901" s="54"/>
      <c r="G901" s="25"/>
      <c r="H901" s="25"/>
      <c r="I901" s="25"/>
      <c r="J901" s="25"/>
      <c r="K901" s="25"/>
    </row>
    <row r="902">
      <c r="B902" s="51"/>
      <c r="C902" s="52"/>
      <c r="D902" s="55"/>
      <c r="E902" s="51"/>
      <c r="F902" s="54"/>
      <c r="G902" s="25"/>
      <c r="H902" s="25"/>
      <c r="I902" s="25"/>
      <c r="J902" s="25"/>
      <c r="K902" s="25"/>
    </row>
    <row r="903">
      <c r="B903" s="51"/>
      <c r="C903" s="52"/>
      <c r="D903" s="55"/>
      <c r="E903" s="51"/>
      <c r="F903" s="54"/>
      <c r="G903" s="25"/>
      <c r="H903" s="25"/>
      <c r="I903" s="25"/>
      <c r="J903" s="25"/>
      <c r="K903" s="25"/>
    </row>
    <row r="904">
      <c r="B904" s="51"/>
      <c r="C904" s="52"/>
      <c r="D904" s="55"/>
      <c r="E904" s="51"/>
      <c r="F904" s="54"/>
      <c r="G904" s="25"/>
      <c r="H904" s="25"/>
      <c r="I904" s="25"/>
      <c r="J904" s="25"/>
      <c r="K904" s="25"/>
    </row>
    <row r="905">
      <c r="B905" s="51"/>
      <c r="C905" s="52"/>
      <c r="D905" s="55"/>
      <c r="E905" s="51"/>
      <c r="F905" s="54"/>
      <c r="G905" s="25"/>
      <c r="H905" s="25"/>
      <c r="I905" s="25"/>
      <c r="J905" s="25"/>
      <c r="K905" s="25"/>
    </row>
    <row r="906">
      <c r="B906" s="51"/>
      <c r="C906" s="52"/>
      <c r="D906" s="55"/>
      <c r="E906" s="51"/>
      <c r="F906" s="54"/>
      <c r="G906" s="25"/>
      <c r="H906" s="25"/>
      <c r="I906" s="25"/>
      <c r="J906" s="25"/>
      <c r="K906" s="25"/>
    </row>
    <row r="907">
      <c r="B907" s="51"/>
      <c r="C907" s="52"/>
      <c r="D907" s="55"/>
      <c r="E907" s="51"/>
      <c r="F907" s="54"/>
      <c r="G907" s="25"/>
      <c r="H907" s="25"/>
      <c r="I907" s="25"/>
      <c r="J907" s="25"/>
      <c r="K907" s="25"/>
    </row>
    <row r="908">
      <c r="B908" s="51"/>
      <c r="C908" s="52"/>
      <c r="D908" s="55"/>
      <c r="E908" s="51"/>
      <c r="F908" s="54"/>
      <c r="G908" s="25"/>
      <c r="H908" s="25"/>
      <c r="I908" s="25"/>
      <c r="J908" s="25"/>
      <c r="K908" s="25"/>
    </row>
    <row r="909">
      <c r="B909" s="51"/>
      <c r="C909" s="52"/>
      <c r="D909" s="55"/>
      <c r="E909" s="51"/>
      <c r="F909" s="54"/>
      <c r="G909" s="25"/>
      <c r="H909" s="25"/>
      <c r="I909" s="25"/>
      <c r="J909" s="25"/>
      <c r="K909" s="25"/>
    </row>
    <row r="910">
      <c r="B910" s="51"/>
      <c r="C910" s="52"/>
      <c r="D910" s="55"/>
      <c r="E910" s="51"/>
      <c r="F910" s="54"/>
      <c r="G910" s="25"/>
      <c r="H910" s="25"/>
      <c r="I910" s="25"/>
      <c r="J910" s="25"/>
      <c r="K910" s="25"/>
    </row>
    <row r="911">
      <c r="B911" s="51"/>
      <c r="C911" s="52"/>
      <c r="D911" s="55"/>
      <c r="E911" s="51"/>
      <c r="F911" s="54"/>
      <c r="G911" s="25"/>
      <c r="H911" s="25"/>
      <c r="I911" s="25"/>
      <c r="J911" s="25"/>
      <c r="K911" s="25"/>
    </row>
    <row r="912">
      <c r="B912" s="51"/>
      <c r="C912" s="52"/>
      <c r="D912" s="55"/>
      <c r="E912" s="51"/>
      <c r="F912" s="54"/>
      <c r="G912" s="25"/>
      <c r="H912" s="25"/>
      <c r="I912" s="25"/>
      <c r="J912" s="25"/>
      <c r="K912" s="25"/>
    </row>
    <row r="913">
      <c r="B913" s="51"/>
      <c r="C913" s="52"/>
      <c r="D913" s="55"/>
      <c r="E913" s="51"/>
      <c r="F913" s="54"/>
      <c r="G913" s="25"/>
      <c r="H913" s="25"/>
      <c r="I913" s="25"/>
      <c r="J913" s="25"/>
      <c r="K913" s="25"/>
    </row>
    <row r="914">
      <c r="B914" s="51"/>
      <c r="C914" s="52"/>
      <c r="D914" s="55"/>
      <c r="E914" s="51"/>
      <c r="F914" s="54"/>
      <c r="G914" s="25"/>
      <c r="H914" s="25"/>
      <c r="I914" s="25"/>
      <c r="J914" s="25"/>
      <c r="K914" s="25"/>
    </row>
    <row r="915">
      <c r="B915" s="51"/>
      <c r="C915" s="52"/>
      <c r="D915" s="55"/>
      <c r="E915" s="51"/>
      <c r="F915" s="54"/>
      <c r="G915" s="25"/>
      <c r="H915" s="25"/>
      <c r="I915" s="25"/>
      <c r="J915" s="25"/>
      <c r="K915" s="25"/>
    </row>
    <row r="916">
      <c r="B916" s="51"/>
      <c r="C916" s="52"/>
      <c r="D916" s="55"/>
      <c r="E916" s="51"/>
      <c r="F916" s="54"/>
      <c r="G916" s="25"/>
      <c r="H916" s="25"/>
      <c r="I916" s="25"/>
      <c r="J916" s="25"/>
      <c r="K916" s="25"/>
    </row>
    <row r="917">
      <c r="B917" s="51"/>
      <c r="C917" s="52"/>
      <c r="D917" s="55"/>
      <c r="E917" s="51"/>
      <c r="F917" s="54"/>
      <c r="G917" s="25"/>
      <c r="H917" s="25"/>
      <c r="I917" s="25"/>
      <c r="J917" s="25"/>
      <c r="K917" s="25"/>
    </row>
    <row r="918">
      <c r="B918" s="51"/>
      <c r="C918" s="52"/>
      <c r="D918" s="55"/>
      <c r="E918" s="51"/>
      <c r="F918" s="54"/>
      <c r="G918" s="25"/>
      <c r="H918" s="25"/>
      <c r="I918" s="25"/>
      <c r="J918" s="25"/>
      <c r="K918" s="25"/>
    </row>
    <row r="919">
      <c r="B919" s="51"/>
      <c r="C919" s="52"/>
      <c r="D919" s="55"/>
      <c r="E919" s="51"/>
      <c r="F919" s="54"/>
      <c r="G919" s="25"/>
      <c r="H919" s="25"/>
      <c r="I919" s="25"/>
      <c r="J919" s="25"/>
      <c r="K919" s="25"/>
    </row>
    <row r="920">
      <c r="B920" s="51"/>
      <c r="C920" s="52"/>
      <c r="D920" s="55"/>
      <c r="E920" s="51"/>
      <c r="F920" s="54"/>
      <c r="G920" s="25"/>
      <c r="H920" s="25"/>
      <c r="I920" s="25"/>
      <c r="J920" s="25"/>
      <c r="K920" s="25"/>
    </row>
    <row r="921">
      <c r="B921" s="51"/>
      <c r="C921" s="52"/>
      <c r="D921" s="55"/>
      <c r="E921" s="51"/>
      <c r="F921" s="54"/>
      <c r="G921" s="25"/>
      <c r="H921" s="25"/>
      <c r="I921" s="25"/>
      <c r="J921" s="25"/>
      <c r="K921" s="25"/>
    </row>
    <row r="922">
      <c r="B922" s="51"/>
      <c r="C922" s="52"/>
      <c r="D922" s="55"/>
      <c r="E922" s="51"/>
      <c r="F922" s="54"/>
      <c r="G922" s="25"/>
      <c r="H922" s="25"/>
      <c r="I922" s="25"/>
      <c r="J922" s="25"/>
      <c r="K922" s="25"/>
    </row>
    <row r="923">
      <c r="B923" s="51"/>
      <c r="C923" s="52"/>
      <c r="D923" s="55"/>
      <c r="E923" s="51"/>
      <c r="F923" s="54"/>
      <c r="G923" s="25"/>
      <c r="H923" s="25"/>
      <c r="I923" s="25"/>
      <c r="J923" s="25"/>
      <c r="K923" s="25"/>
    </row>
    <row r="924">
      <c r="B924" s="51"/>
      <c r="C924" s="52"/>
      <c r="D924" s="55"/>
      <c r="E924" s="51"/>
      <c r="F924" s="54"/>
      <c r="G924" s="25"/>
      <c r="H924" s="25"/>
      <c r="I924" s="25"/>
      <c r="J924" s="25"/>
      <c r="K924" s="25"/>
    </row>
    <row r="925">
      <c r="B925" s="51"/>
      <c r="C925" s="52"/>
      <c r="D925" s="55"/>
      <c r="E925" s="51"/>
      <c r="F925" s="54"/>
      <c r="G925" s="25"/>
      <c r="H925" s="25"/>
      <c r="I925" s="25"/>
      <c r="J925" s="25"/>
      <c r="K925" s="25"/>
    </row>
    <row r="926">
      <c r="B926" s="51"/>
      <c r="C926" s="52"/>
      <c r="D926" s="55"/>
      <c r="E926" s="51"/>
      <c r="F926" s="54"/>
      <c r="G926" s="25"/>
      <c r="H926" s="25"/>
      <c r="I926" s="25"/>
      <c r="J926" s="25"/>
      <c r="K926" s="25"/>
    </row>
    <row r="927">
      <c r="B927" s="51"/>
      <c r="C927" s="52"/>
      <c r="D927" s="55"/>
      <c r="E927" s="51"/>
      <c r="F927" s="54"/>
      <c r="G927" s="25"/>
      <c r="H927" s="25"/>
      <c r="I927" s="25"/>
      <c r="J927" s="25"/>
      <c r="K927" s="25"/>
    </row>
    <row r="928">
      <c r="B928" s="51"/>
      <c r="C928" s="52"/>
      <c r="D928" s="55"/>
      <c r="E928" s="51"/>
      <c r="F928" s="54"/>
      <c r="G928" s="25"/>
      <c r="H928" s="25"/>
      <c r="I928" s="25"/>
      <c r="J928" s="25"/>
      <c r="K928" s="25"/>
    </row>
    <row r="929">
      <c r="B929" s="51"/>
      <c r="C929" s="52"/>
      <c r="D929" s="55"/>
      <c r="E929" s="51"/>
      <c r="F929" s="54"/>
      <c r="G929" s="25"/>
      <c r="H929" s="25"/>
      <c r="I929" s="25"/>
      <c r="J929" s="25"/>
      <c r="K929" s="25"/>
    </row>
    <row r="930">
      <c r="B930" s="51"/>
      <c r="C930" s="52"/>
      <c r="D930" s="55"/>
      <c r="E930" s="51"/>
      <c r="F930" s="54"/>
      <c r="G930" s="25"/>
      <c r="H930" s="25"/>
      <c r="I930" s="25"/>
      <c r="J930" s="25"/>
      <c r="K930" s="25"/>
    </row>
    <row r="931">
      <c r="B931" s="51"/>
      <c r="C931" s="52"/>
      <c r="D931" s="55"/>
      <c r="E931" s="51"/>
      <c r="F931" s="54"/>
      <c r="G931" s="25"/>
      <c r="H931" s="25"/>
      <c r="I931" s="25"/>
      <c r="J931" s="25"/>
      <c r="K931" s="25"/>
    </row>
    <row r="932">
      <c r="B932" s="51"/>
      <c r="C932" s="52"/>
      <c r="D932" s="55"/>
      <c r="E932" s="51"/>
      <c r="F932" s="54"/>
      <c r="G932" s="25"/>
      <c r="H932" s="25"/>
      <c r="I932" s="25"/>
      <c r="J932" s="25"/>
      <c r="K932" s="25"/>
    </row>
    <row r="933">
      <c r="B933" s="51"/>
      <c r="C933" s="52"/>
      <c r="D933" s="55"/>
      <c r="E933" s="51"/>
      <c r="F933" s="54"/>
      <c r="G933" s="25"/>
      <c r="H933" s="25"/>
      <c r="I933" s="25"/>
      <c r="J933" s="25"/>
      <c r="K933" s="25"/>
    </row>
    <row r="934">
      <c r="B934" s="51"/>
      <c r="C934" s="52"/>
      <c r="D934" s="55"/>
      <c r="E934" s="51"/>
      <c r="F934" s="54"/>
      <c r="G934" s="25"/>
      <c r="H934" s="25"/>
      <c r="I934" s="25"/>
      <c r="J934" s="25"/>
      <c r="K934" s="25"/>
    </row>
    <row r="935">
      <c r="B935" s="51"/>
      <c r="C935" s="52"/>
      <c r="D935" s="55"/>
      <c r="E935" s="51"/>
      <c r="F935" s="54"/>
      <c r="G935" s="25"/>
      <c r="H935" s="25"/>
      <c r="I935" s="25"/>
      <c r="J935" s="25"/>
      <c r="K935" s="25"/>
    </row>
    <row r="936">
      <c r="B936" s="51"/>
      <c r="C936" s="52"/>
      <c r="D936" s="55"/>
      <c r="E936" s="51"/>
      <c r="F936" s="54"/>
      <c r="G936" s="25"/>
      <c r="H936" s="25"/>
      <c r="I936" s="25"/>
      <c r="J936" s="25"/>
      <c r="K936" s="25"/>
    </row>
    <row r="937">
      <c r="B937" s="51"/>
      <c r="C937" s="52"/>
      <c r="D937" s="55"/>
      <c r="E937" s="51"/>
      <c r="F937" s="54"/>
      <c r="G937" s="25"/>
      <c r="H937" s="25"/>
      <c r="I937" s="25"/>
      <c r="J937" s="25"/>
      <c r="K937" s="25"/>
    </row>
    <row r="938">
      <c r="B938" s="51"/>
      <c r="C938" s="52"/>
      <c r="D938" s="55"/>
      <c r="E938" s="51"/>
      <c r="F938" s="54"/>
      <c r="G938" s="25"/>
      <c r="H938" s="25"/>
      <c r="I938" s="25"/>
      <c r="J938" s="25"/>
      <c r="K938" s="25"/>
    </row>
    <row r="939">
      <c r="B939" s="51"/>
      <c r="C939" s="52"/>
      <c r="D939" s="55"/>
      <c r="E939" s="51"/>
      <c r="F939" s="54"/>
      <c r="G939" s="25"/>
      <c r="H939" s="25"/>
      <c r="I939" s="25"/>
      <c r="J939" s="25"/>
      <c r="K939" s="25"/>
    </row>
    <row r="940">
      <c r="B940" s="51"/>
      <c r="C940" s="52"/>
      <c r="D940" s="55"/>
      <c r="E940" s="51"/>
      <c r="F940" s="54"/>
      <c r="G940" s="25"/>
      <c r="H940" s="25"/>
      <c r="I940" s="25"/>
      <c r="J940" s="25"/>
      <c r="K940" s="25"/>
    </row>
    <row r="941">
      <c r="B941" s="51"/>
      <c r="C941" s="52"/>
      <c r="D941" s="55"/>
      <c r="E941" s="51"/>
      <c r="F941" s="54"/>
      <c r="G941" s="25"/>
      <c r="H941" s="25"/>
      <c r="I941" s="25"/>
      <c r="J941" s="25"/>
      <c r="K941" s="25"/>
    </row>
    <row r="942">
      <c r="B942" s="51"/>
      <c r="C942" s="52"/>
      <c r="D942" s="55"/>
      <c r="E942" s="51"/>
      <c r="F942" s="54"/>
      <c r="G942" s="25"/>
      <c r="H942" s="25"/>
      <c r="I942" s="25"/>
      <c r="J942" s="25"/>
      <c r="K942" s="25"/>
    </row>
    <row r="943">
      <c r="B943" s="51"/>
      <c r="C943" s="52"/>
      <c r="D943" s="55"/>
      <c r="E943" s="51"/>
      <c r="F943" s="54"/>
      <c r="G943" s="25"/>
      <c r="H943" s="25"/>
      <c r="I943" s="25"/>
      <c r="J943" s="25"/>
      <c r="K943" s="25"/>
    </row>
    <row r="944">
      <c r="B944" s="51"/>
      <c r="C944" s="52"/>
      <c r="D944" s="55"/>
      <c r="E944" s="51"/>
      <c r="F944" s="54"/>
      <c r="G944" s="25"/>
      <c r="H944" s="25"/>
      <c r="I944" s="25"/>
      <c r="J944" s="25"/>
      <c r="K944" s="25"/>
    </row>
    <row r="945">
      <c r="B945" s="51"/>
      <c r="C945" s="52"/>
      <c r="D945" s="55"/>
      <c r="E945" s="51"/>
      <c r="F945" s="54"/>
      <c r="G945" s="25"/>
      <c r="H945" s="25"/>
      <c r="I945" s="25"/>
      <c r="J945" s="25"/>
      <c r="K945" s="25"/>
    </row>
    <row r="946">
      <c r="B946" s="51"/>
      <c r="C946" s="52"/>
      <c r="D946" s="55"/>
      <c r="E946" s="51"/>
      <c r="F946" s="54"/>
      <c r="G946" s="25"/>
      <c r="H946" s="25"/>
      <c r="I946" s="25"/>
      <c r="J946" s="25"/>
      <c r="K946" s="25"/>
    </row>
    <row r="947">
      <c r="B947" s="51"/>
      <c r="C947" s="52"/>
      <c r="D947" s="55"/>
      <c r="E947" s="51"/>
      <c r="F947" s="54"/>
      <c r="G947" s="25"/>
      <c r="H947" s="25"/>
      <c r="I947" s="25"/>
      <c r="J947" s="25"/>
      <c r="K947" s="25"/>
    </row>
    <row r="948">
      <c r="B948" s="51"/>
      <c r="C948" s="52"/>
      <c r="D948" s="55"/>
      <c r="E948" s="51"/>
      <c r="F948" s="54"/>
      <c r="G948" s="25"/>
      <c r="H948" s="25"/>
      <c r="I948" s="25"/>
      <c r="J948" s="25"/>
      <c r="K948" s="25"/>
    </row>
    <row r="949">
      <c r="B949" s="51"/>
      <c r="C949" s="52"/>
      <c r="D949" s="55"/>
      <c r="E949" s="51"/>
      <c r="F949" s="54"/>
      <c r="G949" s="25"/>
      <c r="H949" s="25"/>
      <c r="I949" s="25"/>
      <c r="J949" s="25"/>
      <c r="K949" s="25"/>
    </row>
    <row r="950">
      <c r="B950" s="51"/>
      <c r="C950" s="52"/>
      <c r="D950" s="55"/>
      <c r="E950" s="51"/>
      <c r="F950" s="54"/>
      <c r="G950" s="25"/>
      <c r="H950" s="25"/>
      <c r="I950" s="25"/>
      <c r="J950" s="25"/>
      <c r="K950" s="25"/>
    </row>
    <row r="951">
      <c r="B951" s="51"/>
      <c r="C951" s="52"/>
      <c r="D951" s="55"/>
      <c r="E951" s="51"/>
      <c r="F951" s="54"/>
      <c r="G951" s="25"/>
      <c r="H951" s="25"/>
      <c r="I951" s="25"/>
      <c r="J951" s="25"/>
      <c r="K951" s="25"/>
    </row>
    <row r="952">
      <c r="B952" s="51"/>
      <c r="C952" s="52"/>
      <c r="D952" s="55"/>
      <c r="E952" s="51"/>
      <c r="F952" s="54"/>
      <c r="G952" s="25"/>
      <c r="H952" s="25"/>
      <c r="I952" s="25"/>
      <c r="J952" s="25"/>
      <c r="K952" s="25"/>
    </row>
    <row r="953">
      <c r="B953" s="51"/>
      <c r="C953" s="52"/>
      <c r="D953" s="55"/>
      <c r="E953" s="51"/>
      <c r="F953" s="54"/>
      <c r="G953" s="25"/>
      <c r="H953" s="25"/>
      <c r="I953" s="25"/>
      <c r="J953" s="25"/>
      <c r="K953" s="25"/>
    </row>
    <row r="954">
      <c r="B954" s="51"/>
      <c r="C954" s="52"/>
      <c r="D954" s="55"/>
      <c r="E954" s="51"/>
      <c r="F954" s="54"/>
      <c r="G954" s="25"/>
      <c r="H954" s="25"/>
      <c r="I954" s="25"/>
      <c r="J954" s="25"/>
      <c r="K954" s="25"/>
    </row>
    <row r="955">
      <c r="B955" s="51"/>
      <c r="C955" s="52"/>
      <c r="D955" s="55"/>
      <c r="E955" s="51"/>
      <c r="F955" s="54"/>
      <c r="G955" s="25"/>
      <c r="H955" s="25"/>
      <c r="I955" s="25"/>
      <c r="J955" s="25"/>
      <c r="K955" s="25"/>
    </row>
    <row r="956">
      <c r="B956" s="51"/>
      <c r="C956" s="52"/>
      <c r="D956" s="55"/>
      <c r="E956" s="51"/>
      <c r="F956" s="54"/>
      <c r="G956" s="25"/>
      <c r="H956" s="25"/>
      <c r="I956" s="25"/>
      <c r="J956" s="25"/>
      <c r="K956" s="25"/>
    </row>
    <row r="957">
      <c r="B957" s="51"/>
      <c r="C957" s="52"/>
      <c r="D957" s="55"/>
      <c r="E957" s="51"/>
      <c r="F957" s="54"/>
      <c r="G957" s="25"/>
      <c r="H957" s="25"/>
      <c r="I957" s="25"/>
      <c r="J957" s="25"/>
      <c r="K957" s="25"/>
    </row>
    <row r="958">
      <c r="B958" s="51"/>
      <c r="C958" s="52"/>
      <c r="D958" s="55"/>
      <c r="E958" s="51"/>
      <c r="F958" s="54"/>
      <c r="G958" s="25"/>
      <c r="H958" s="25"/>
      <c r="I958" s="25"/>
      <c r="J958" s="25"/>
      <c r="K958" s="25"/>
    </row>
    <row r="959">
      <c r="B959" s="51"/>
      <c r="C959" s="52"/>
      <c r="D959" s="55"/>
      <c r="E959" s="51"/>
      <c r="F959" s="54"/>
      <c r="G959" s="25"/>
      <c r="H959" s="25"/>
      <c r="I959" s="25"/>
      <c r="J959" s="25"/>
      <c r="K959" s="25"/>
    </row>
    <row r="960">
      <c r="B960" s="51"/>
      <c r="C960" s="52"/>
      <c r="D960" s="55"/>
      <c r="E960" s="51"/>
      <c r="F960" s="54"/>
      <c r="G960" s="25"/>
      <c r="H960" s="25"/>
      <c r="I960" s="25"/>
      <c r="J960" s="25"/>
      <c r="K960" s="25"/>
    </row>
    <row r="961">
      <c r="B961" s="51"/>
      <c r="C961" s="52"/>
      <c r="D961" s="55"/>
      <c r="E961" s="51"/>
      <c r="F961" s="54"/>
      <c r="G961" s="25"/>
      <c r="H961" s="25"/>
      <c r="I961" s="25"/>
      <c r="J961" s="25"/>
      <c r="K961" s="25"/>
    </row>
    <row r="962">
      <c r="B962" s="51"/>
      <c r="C962" s="52"/>
      <c r="D962" s="55"/>
      <c r="E962" s="51"/>
      <c r="F962" s="54"/>
      <c r="G962" s="25"/>
      <c r="H962" s="25"/>
      <c r="I962" s="25"/>
      <c r="J962" s="25"/>
      <c r="K962" s="25"/>
    </row>
    <row r="963">
      <c r="B963" s="51"/>
      <c r="C963" s="52"/>
      <c r="D963" s="55"/>
      <c r="E963" s="51"/>
      <c r="F963" s="54"/>
      <c r="G963" s="25"/>
      <c r="H963" s="25"/>
      <c r="I963" s="25"/>
      <c r="J963" s="25"/>
      <c r="K963" s="25"/>
    </row>
    <row r="964">
      <c r="B964" s="51"/>
      <c r="C964" s="52"/>
      <c r="D964" s="55"/>
      <c r="E964" s="51"/>
      <c r="F964" s="54"/>
      <c r="G964" s="25"/>
      <c r="H964" s="25"/>
      <c r="I964" s="25"/>
      <c r="J964" s="25"/>
      <c r="K964" s="25"/>
    </row>
    <row r="965">
      <c r="B965" s="51"/>
      <c r="C965" s="52"/>
      <c r="D965" s="55"/>
      <c r="E965" s="51"/>
      <c r="F965" s="54"/>
      <c r="G965" s="25"/>
      <c r="H965" s="25"/>
      <c r="I965" s="25"/>
      <c r="J965" s="25"/>
      <c r="K965" s="25"/>
    </row>
    <row r="966">
      <c r="B966" s="51"/>
      <c r="C966" s="52"/>
      <c r="D966" s="55"/>
      <c r="E966" s="51"/>
      <c r="F966" s="54"/>
      <c r="G966" s="25"/>
      <c r="H966" s="25"/>
      <c r="I966" s="25"/>
      <c r="J966" s="25"/>
      <c r="K966" s="25"/>
    </row>
    <row r="967">
      <c r="B967" s="51"/>
      <c r="C967" s="52"/>
      <c r="D967" s="55"/>
      <c r="E967" s="51"/>
      <c r="F967" s="54"/>
      <c r="G967" s="25"/>
      <c r="H967" s="25"/>
      <c r="I967" s="25"/>
      <c r="J967" s="25"/>
      <c r="K967" s="25"/>
    </row>
    <row r="968">
      <c r="B968" s="51"/>
      <c r="C968" s="52"/>
      <c r="D968" s="55"/>
      <c r="E968" s="51"/>
      <c r="F968" s="54"/>
      <c r="G968" s="25"/>
      <c r="H968" s="25"/>
      <c r="I968" s="25"/>
      <c r="J968" s="25"/>
      <c r="K968" s="25"/>
    </row>
    <row r="969">
      <c r="B969" s="51"/>
      <c r="C969" s="52"/>
      <c r="D969" s="55"/>
      <c r="E969" s="51"/>
      <c r="F969" s="54"/>
      <c r="G969" s="25"/>
      <c r="H969" s="25"/>
      <c r="I969" s="25"/>
      <c r="J969" s="25"/>
      <c r="K969" s="25"/>
    </row>
    <row r="970">
      <c r="B970" s="51"/>
      <c r="C970" s="52"/>
      <c r="D970" s="55"/>
      <c r="E970" s="51"/>
      <c r="F970" s="54"/>
      <c r="G970" s="25"/>
      <c r="H970" s="25"/>
      <c r="I970" s="25"/>
      <c r="J970" s="25"/>
      <c r="K970" s="25"/>
    </row>
    <row r="971">
      <c r="B971" s="51"/>
      <c r="C971" s="52"/>
      <c r="D971" s="55"/>
      <c r="E971" s="51"/>
      <c r="F971" s="54"/>
      <c r="G971" s="25"/>
      <c r="H971" s="25"/>
      <c r="I971" s="25"/>
      <c r="J971" s="25"/>
      <c r="K971" s="25"/>
    </row>
    <row r="972">
      <c r="B972" s="51"/>
      <c r="C972" s="52"/>
      <c r="D972" s="55"/>
      <c r="E972" s="51"/>
      <c r="F972" s="54"/>
      <c r="G972" s="25"/>
      <c r="H972" s="25"/>
      <c r="I972" s="25"/>
      <c r="J972" s="25"/>
      <c r="K972" s="25"/>
    </row>
    <row r="973">
      <c r="B973" s="51"/>
      <c r="C973" s="52"/>
      <c r="D973" s="55"/>
      <c r="E973" s="51"/>
      <c r="F973" s="54"/>
      <c r="G973" s="25"/>
      <c r="H973" s="25"/>
      <c r="I973" s="25"/>
      <c r="J973" s="25"/>
      <c r="K973" s="25"/>
    </row>
    <row r="974">
      <c r="B974" s="51"/>
      <c r="C974" s="52"/>
      <c r="D974" s="55"/>
      <c r="E974" s="51"/>
      <c r="F974" s="54"/>
      <c r="G974" s="25"/>
      <c r="H974" s="25"/>
      <c r="I974" s="25"/>
      <c r="J974" s="25"/>
      <c r="K974" s="25"/>
    </row>
    <row r="975">
      <c r="B975" s="51"/>
      <c r="C975" s="52"/>
      <c r="D975" s="55"/>
      <c r="E975" s="51"/>
      <c r="F975" s="54"/>
      <c r="G975" s="25"/>
      <c r="H975" s="25"/>
      <c r="I975" s="25"/>
      <c r="J975" s="25"/>
      <c r="K975" s="25"/>
    </row>
    <row r="976">
      <c r="B976" s="51"/>
      <c r="C976" s="52"/>
      <c r="D976" s="55"/>
      <c r="E976" s="51"/>
      <c r="F976" s="54"/>
      <c r="G976" s="25"/>
      <c r="H976" s="25"/>
      <c r="I976" s="25"/>
      <c r="J976" s="25"/>
      <c r="K976" s="25"/>
    </row>
    <row r="977">
      <c r="B977" s="51"/>
      <c r="C977" s="52"/>
      <c r="D977" s="55"/>
      <c r="E977" s="51"/>
      <c r="F977" s="54"/>
      <c r="G977" s="25"/>
      <c r="H977" s="25"/>
      <c r="I977" s="25"/>
      <c r="J977" s="25"/>
      <c r="K977" s="25"/>
    </row>
    <row r="978">
      <c r="B978" s="51"/>
      <c r="C978" s="52"/>
      <c r="D978" s="55"/>
      <c r="E978" s="51"/>
      <c r="F978" s="54"/>
      <c r="G978" s="25"/>
      <c r="H978" s="25"/>
      <c r="I978" s="25"/>
      <c r="J978" s="25"/>
      <c r="K978" s="25"/>
    </row>
    <row r="979">
      <c r="B979" s="51"/>
      <c r="C979" s="52"/>
      <c r="D979" s="55"/>
      <c r="E979" s="51"/>
      <c r="F979" s="54"/>
      <c r="G979" s="25"/>
      <c r="H979" s="25"/>
      <c r="I979" s="25"/>
      <c r="J979" s="25"/>
      <c r="K979" s="25"/>
    </row>
    <row r="980">
      <c r="B980" s="51"/>
      <c r="C980" s="52"/>
      <c r="D980" s="55"/>
      <c r="E980" s="51"/>
      <c r="F980" s="54"/>
      <c r="G980" s="25"/>
      <c r="H980" s="25"/>
      <c r="I980" s="25"/>
      <c r="J980" s="25"/>
      <c r="K980" s="25"/>
    </row>
    <row r="981">
      <c r="B981" s="51"/>
      <c r="C981" s="52"/>
      <c r="D981" s="55"/>
      <c r="E981" s="51"/>
      <c r="F981" s="54"/>
      <c r="G981" s="25"/>
      <c r="H981" s="25"/>
      <c r="I981" s="25"/>
      <c r="J981" s="25"/>
      <c r="K981" s="25"/>
    </row>
    <row r="982">
      <c r="B982" s="51"/>
      <c r="C982" s="52"/>
      <c r="D982" s="55"/>
      <c r="E982" s="51"/>
      <c r="F982" s="54"/>
      <c r="G982" s="25"/>
      <c r="H982" s="25"/>
      <c r="I982" s="25"/>
      <c r="J982" s="25"/>
      <c r="K982" s="25"/>
    </row>
    <row r="983">
      <c r="B983" s="51"/>
      <c r="C983" s="52"/>
      <c r="D983" s="55"/>
      <c r="E983" s="51"/>
      <c r="F983" s="54"/>
      <c r="G983" s="25"/>
      <c r="H983" s="25"/>
      <c r="I983" s="25"/>
      <c r="J983" s="25"/>
      <c r="K983" s="25"/>
    </row>
    <row r="984">
      <c r="B984" s="51"/>
      <c r="C984" s="52"/>
      <c r="D984" s="55"/>
      <c r="E984" s="51"/>
      <c r="F984" s="54"/>
      <c r="G984" s="25"/>
      <c r="H984" s="25"/>
      <c r="I984" s="25"/>
      <c r="J984" s="25"/>
      <c r="K984" s="25"/>
    </row>
    <row r="985">
      <c r="B985" s="51"/>
      <c r="C985" s="52"/>
      <c r="D985" s="55"/>
      <c r="E985" s="51"/>
      <c r="F985" s="54"/>
      <c r="G985" s="25"/>
      <c r="H985" s="25"/>
      <c r="I985" s="25"/>
      <c r="J985" s="25"/>
      <c r="K985" s="25"/>
    </row>
    <row r="986">
      <c r="B986" s="51"/>
      <c r="C986" s="52"/>
      <c r="D986" s="55"/>
      <c r="E986" s="51"/>
      <c r="F986" s="54"/>
      <c r="G986" s="25"/>
      <c r="H986" s="25"/>
      <c r="I986" s="25"/>
      <c r="J986" s="25"/>
      <c r="K986" s="25"/>
    </row>
    <row r="987">
      <c r="B987" s="51"/>
      <c r="C987" s="52"/>
      <c r="D987" s="55"/>
      <c r="E987" s="51"/>
      <c r="F987" s="54"/>
      <c r="G987" s="25"/>
      <c r="H987" s="25"/>
      <c r="I987" s="25"/>
      <c r="J987" s="25"/>
      <c r="K987" s="25"/>
    </row>
    <row r="988">
      <c r="B988" s="51"/>
      <c r="C988" s="52"/>
      <c r="D988" s="55"/>
      <c r="E988" s="51"/>
      <c r="F988" s="54"/>
      <c r="G988" s="25"/>
      <c r="H988" s="25"/>
      <c r="I988" s="25"/>
      <c r="J988" s="25"/>
      <c r="K988" s="25"/>
    </row>
    <row r="989">
      <c r="B989" s="51"/>
      <c r="C989" s="52"/>
      <c r="D989" s="55"/>
      <c r="E989" s="51"/>
      <c r="F989" s="54"/>
      <c r="G989" s="25"/>
      <c r="H989" s="25"/>
      <c r="I989" s="25"/>
      <c r="J989" s="25"/>
      <c r="K989" s="25"/>
    </row>
    <row r="990">
      <c r="B990" s="51"/>
      <c r="C990" s="52"/>
      <c r="D990" s="55"/>
      <c r="E990" s="51"/>
      <c r="F990" s="54"/>
      <c r="G990" s="25"/>
      <c r="H990" s="25"/>
      <c r="I990" s="25"/>
      <c r="J990" s="25"/>
      <c r="K990" s="25"/>
    </row>
    <row r="991">
      <c r="B991" s="51"/>
      <c r="C991" s="52"/>
      <c r="D991" s="55"/>
      <c r="E991" s="51"/>
      <c r="F991" s="54"/>
      <c r="G991" s="25"/>
      <c r="H991" s="25"/>
      <c r="I991" s="25"/>
      <c r="J991" s="25"/>
      <c r="K991" s="25"/>
    </row>
    <row r="992">
      <c r="B992" s="51"/>
      <c r="C992" s="52"/>
      <c r="D992" s="55"/>
      <c r="E992" s="51"/>
      <c r="F992" s="54"/>
      <c r="G992" s="25"/>
      <c r="H992" s="25"/>
      <c r="I992" s="25"/>
      <c r="J992" s="25"/>
      <c r="K992" s="25"/>
    </row>
    <row r="993">
      <c r="B993" s="51"/>
      <c r="C993" s="52"/>
      <c r="D993" s="55"/>
      <c r="E993" s="51"/>
      <c r="F993" s="54"/>
      <c r="G993" s="25"/>
      <c r="H993" s="25"/>
      <c r="I993" s="25"/>
      <c r="J993" s="25"/>
      <c r="K993" s="25"/>
    </row>
    <row r="994">
      <c r="B994" s="51"/>
      <c r="C994" s="52"/>
      <c r="D994" s="55"/>
      <c r="E994" s="51"/>
      <c r="F994" s="54"/>
      <c r="G994" s="25"/>
      <c r="H994" s="25"/>
      <c r="I994" s="25"/>
      <c r="J994" s="25"/>
      <c r="K994" s="25"/>
    </row>
    <row r="995">
      <c r="B995" s="51"/>
      <c r="C995" s="52"/>
      <c r="D995" s="55"/>
      <c r="E995" s="51"/>
      <c r="F995" s="54"/>
      <c r="G995" s="25"/>
      <c r="H995" s="25"/>
      <c r="I995" s="25"/>
      <c r="J995" s="25"/>
      <c r="K995" s="25"/>
    </row>
    <row r="996">
      <c r="B996" s="51"/>
      <c r="C996" s="52"/>
      <c r="D996" s="55"/>
      <c r="E996" s="51"/>
      <c r="F996" s="54"/>
      <c r="G996" s="25"/>
      <c r="H996" s="25"/>
      <c r="I996" s="25"/>
      <c r="J996" s="25"/>
      <c r="K996" s="25"/>
    </row>
    <row r="997">
      <c r="B997" s="51"/>
      <c r="C997" s="52"/>
      <c r="D997" s="55"/>
      <c r="E997" s="51"/>
      <c r="F997" s="54"/>
      <c r="G997" s="25"/>
      <c r="H997" s="25"/>
      <c r="I997" s="25"/>
      <c r="J997" s="25"/>
      <c r="K997" s="25"/>
    </row>
    <row r="998">
      <c r="B998" s="51"/>
      <c r="C998" s="52"/>
      <c r="D998" s="55"/>
      <c r="E998" s="51"/>
      <c r="F998" s="54"/>
      <c r="G998" s="25"/>
      <c r="H998" s="25"/>
      <c r="I998" s="25"/>
      <c r="J998" s="25"/>
      <c r="K998" s="25"/>
    </row>
    <row r="999">
      <c r="B999" s="51"/>
      <c r="C999" s="52"/>
      <c r="D999" s="55"/>
      <c r="E999" s="51"/>
      <c r="F999" s="54"/>
      <c r="G999" s="25"/>
      <c r="H999" s="25"/>
      <c r="I999" s="25"/>
      <c r="J999" s="25"/>
      <c r="K999" s="25"/>
    </row>
    <row r="1000">
      <c r="B1000" s="51"/>
      <c r="C1000" s="52"/>
      <c r="D1000" s="55"/>
      <c r="E1000" s="51"/>
      <c r="F1000" s="54"/>
      <c r="G1000" s="25"/>
      <c r="H1000" s="25"/>
      <c r="I1000" s="25"/>
      <c r="J1000" s="25"/>
      <c r="K1000" s="25"/>
    </row>
    <row r="1001">
      <c r="B1001" s="51"/>
      <c r="C1001" s="52"/>
      <c r="D1001" s="55"/>
      <c r="E1001" s="51"/>
      <c r="F1001" s="54"/>
      <c r="G1001" s="25"/>
      <c r="H1001" s="25"/>
      <c r="I1001" s="25"/>
      <c r="J1001" s="25"/>
      <c r="K1001" s="25"/>
    </row>
    <row r="1002">
      <c r="B1002" s="51"/>
      <c r="C1002" s="52"/>
      <c r="D1002" s="55"/>
      <c r="E1002" s="51"/>
      <c r="F1002" s="54"/>
      <c r="G1002" s="25"/>
      <c r="H1002" s="25"/>
      <c r="I1002" s="25"/>
      <c r="J1002" s="25"/>
      <c r="K1002" s="25"/>
    </row>
    <row r="1003">
      <c r="B1003" s="51"/>
      <c r="C1003" s="52"/>
      <c r="D1003" s="55"/>
      <c r="E1003" s="51"/>
      <c r="F1003" s="54"/>
      <c r="G1003" s="25"/>
      <c r="H1003" s="25"/>
      <c r="I1003" s="25"/>
      <c r="J1003" s="25"/>
      <c r="K1003" s="25"/>
    </row>
    <row r="1004">
      <c r="B1004" s="51"/>
      <c r="C1004" s="52"/>
      <c r="D1004" s="55"/>
      <c r="E1004" s="51"/>
      <c r="F1004" s="54"/>
      <c r="G1004" s="25"/>
      <c r="H1004" s="25"/>
      <c r="I1004" s="25"/>
      <c r="J1004" s="25"/>
      <c r="K1004" s="25"/>
    </row>
    <row r="1005">
      <c r="B1005" s="51"/>
      <c r="C1005" s="52"/>
      <c r="D1005" s="55"/>
      <c r="E1005" s="51"/>
      <c r="F1005" s="54"/>
      <c r="G1005" s="25"/>
      <c r="H1005" s="25"/>
      <c r="I1005" s="25"/>
      <c r="J1005" s="25"/>
      <c r="K1005" s="25"/>
    </row>
    <row r="1006">
      <c r="B1006" s="51"/>
      <c r="C1006" s="52"/>
      <c r="D1006" s="55"/>
      <c r="E1006" s="51"/>
      <c r="F1006" s="54"/>
      <c r="G1006" s="25"/>
      <c r="H1006" s="25"/>
      <c r="I1006" s="25"/>
      <c r="J1006" s="25"/>
      <c r="K1006" s="25"/>
    </row>
    <row r="1007">
      <c r="B1007" s="51"/>
      <c r="C1007" s="52"/>
      <c r="D1007" s="55"/>
      <c r="E1007" s="51"/>
      <c r="F1007" s="54"/>
      <c r="G1007" s="25"/>
      <c r="H1007" s="25"/>
      <c r="I1007" s="25"/>
      <c r="J1007" s="25"/>
      <c r="K1007" s="25"/>
    </row>
    <row r="1008">
      <c r="B1008" s="51"/>
      <c r="C1008" s="52"/>
      <c r="D1008" s="55"/>
      <c r="E1008" s="51"/>
      <c r="F1008" s="54"/>
      <c r="G1008" s="25"/>
      <c r="H1008" s="25"/>
      <c r="I1008" s="25"/>
      <c r="J1008" s="25"/>
      <c r="K1008" s="25"/>
    </row>
  </sheetData>
  <hyperlinks>
    <hyperlink r:id="rId1" ref="E15"/>
  </hyperlinks>
  <drawing r:id="rId2"/>
</worksheet>
</file>