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1AF6B04-68B0-4091-84CF-89E077E41221}" xr6:coauthVersionLast="45" xr6:coauthVersionMax="45" xr10:uidLastSave="{00000000-0000-0000-0000-000000000000}"/>
  <bookViews>
    <workbookView xWindow="-120" yWindow="-120" windowWidth="20730" windowHeight="11310" firstSheet="5" activeTab="8" xr2:uid="{00000000-000D-0000-FFFF-FFFF00000000}"/>
  </bookViews>
  <sheets>
    <sheet name="Ex1-ABC-Basique" sheetId="30" r:id="rId1"/>
    <sheet name="Ex2-ABC-coût-Valeur" sheetId="14" r:id="rId2"/>
    <sheet name="Ex3-Wilson-TV" sheetId="7" r:id="rId3"/>
    <sheet name="Ex4-Tracé-CT-G-Stock" sheetId="29" r:id="rId4"/>
    <sheet name="Ex5-cp-cl-corrigé-V1" sheetId="15" r:id="rId5"/>
    <sheet name="Ex6-Remise-ESC-Unif-Tranches" sheetId="8" r:id="rId6"/>
    <sheet name="Ex7-ELS(BMW)" sheetId="5" r:id="rId7"/>
    <sheet name="EX13-PointdeCommande" sheetId="1" r:id="rId8"/>
    <sheet name="Ex Appro Graduel" sheetId="37" r:id="rId9"/>
    <sheet name="Ex14-Recomplètement périodique" sheetId="2" r:id="rId10"/>
    <sheet name="GStock-2pdts-Simultan" sheetId="27" r:id="rId11"/>
    <sheet name="EX-Cor-Stock Sécurité" sheetId="35" r:id="rId12"/>
    <sheet name="Exercice F10 BFR" sheetId="36" r:id="rId13"/>
  </sheets>
  <externalReferences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6" l="1"/>
  <c r="B20" i="36"/>
  <c r="F13" i="36"/>
  <c r="J12" i="36"/>
  <c r="I12" i="36"/>
  <c r="F12" i="36"/>
  <c r="E19" i="36" s="1"/>
  <c r="I11" i="36"/>
  <c r="I10" i="36"/>
  <c r="I13" i="36" s="1"/>
  <c r="M6" i="36"/>
  <c r="F6" i="36"/>
  <c r="I4" i="36"/>
  <c r="E13" i="7"/>
  <c r="E11" i="7"/>
  <c r="E10" i="7"/>
  <c r="E9" i="7"/>
  <c r="E7" i="7"/>
  <c r="E12" i="7" s="1"/>
  <c r="E14" i="7" s="1"/>
  <c r="E6" i="7"/>
  <c r="E29" i="2"/>
  <c r="E33" i="2" s="1"/>
  <c r="E34" i="2" s="1"/>
  <c r="D29" i="1"/>
  <c r="D30" i="1" s="1"/>
  <c r="I20" i="36" l="1"/>
  <c r="D21" i="36"/>
  <c r="C21" i="36" s="1"/>
  <c r="D19" i="36"/>
  <c r="C19" i="36" s="1"/>
  <c r="B19" i="36" s="1"/>
  <c r="F22" i="36"/>
  <c r="I18" i="36" s="1"/>
  <c r="I19" i="36"/>
  <c r="F7" i="36"/>
  <c r="I6" i="36" s="1"/>
  <c r="M4" i="36"/>
  <c r="E32" i="2"/>
  <c r="F13" i="5"/>
  <c r="D31" i="15"/>
  <c r="B31" i="15"/>
  <c r="H22" i="35"/>
  <c r="H23" i="35" s="1"/>
  <c r="H24" i="35" s="1"/>
  <c r="M15" i="35"/>
  <c r="M16" i="35" s="1"/>
  <c r="M14" i="35"/>
  <c r="M13" i="35"/>
  <c r="J12" i="35"/>
  <c r="J14" i="35" s="1"/>
  <c r="F10" i="35"/>
  <c r="F8" i="35"/>
  <c r="F11" i="35" s="1"/>
  <c r="F12" i="35" s="1"/>
  <c r="F7" i="35"/>
  <c r="I21" i="36" l="1"/>
  <c r="J20" i="36"/>
  <c r="I5" i="36"/>
  <c r="M5" i="36"/>
  <c r="M7" i="36" s="1"/>
  <c r="B23" i="36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J6" i="36" l="1"/>
  <c r="I7" i="36"/>
  <c r="H14" i="30"/>
  <c r="I4" i="30" s="1"/>
  <c r="J4" i="30" s="1"/>
  <c r="I13" i="30" l="1"/>
  <c r="I11" i="30"/>
  <c r="I9" i="30"/>
  <c r="I7" i="30"/>
  <c r="I5" i="30"/>
  <c r="I12" i="30"/>
  <c r="I10" i="30"/>
  <c r="I8" i="30"/>
  <c r="I6" i="30"/>
  <c r="J6" i="30" l="1"/>
  <c r="D55" i="27"/>
  <c r="C55" i="27"/>
  <c r="D45" i="27"/>
  <c r="C45" i="27"/>
  <c r="E45" i="27" s="1"/>
  <c r="C50" i="27" s="1"/>
  <c r="C40" i="27"/>
  <c r="C42" i="27" s="1"/>
  <c r="C43" i="27" s="1"/>
  <c r="C39" i="27"/>
  <c r="C32" i="27"/>
  <c r="C33" i="27" s="1"/>
  <c r="C26" i="27"/>
  <c r="C22" i="27"/>
  <c r="C20" i="27"/>
  <c r="C21" i="27" s="1"/>
  <c r="C27" i="27" l="1"/>
  <c r="C28" i="27" s="1"/>
  <c r="E55" i="27"/>
  <c r="J7" i="30"/>
  <c r="C54" i="27"/>
  <c r="D52" i="27"/>
  <c r="D53" i="27" s="1"/>
  <c r="C52" i="27"/>
  <c r="C53" i="27" s="1"/>
  <c r="C34" i="27"/>
  <c r="D42" i="27"/>
  <c r="D43" i="27" s="1"/>
  <c r="C46" i="27" s="1"/>
  <c r="C44" i="27"/>
  <c r="E43" i="27" l="1"/>
  <c r="J8" i="30"/>
  <c r="C56" i="27"/>
  <c r="E53" i="27"/>
  <c r="J9" i="30" l="1"/>
  <c r="K28" i="8" l="1"/>
  <c r="J11" i="30" l="1"/>
  <c r="J12" i="30" l="1"/>
  <c r="J13" i="30" l="1"/>
  <c r="H14" i="14" l="1"/>
  <c r="H13" i="14"/>
  <c r="H12" i="14"/>
  <c r="H11" i="14"/>
  <c r="H10" i="14"/>
  <c r="H9" i="14"/>
  <c r="H8" i="14"/>
  <c r="H7" i="14"/>
  <c r="H6" i="14"/>
  <c r="H5" i="14"/>
  <c r="H15" i="14" l="1"/>
  <c r="I14" i="14"/>
  <c r="I13" i="14"/>
  <c r="I12" i="14"/>
  <c r="I11" i="14"/>
  <c r="I10" i="14"/>
  <c r="I9" i="14"/>
  <c r="I8" i="14"/>
  <c r="I7" i="14"/>
  <c r="I6" i="14"/>
  <c r="I5" i="14"/>
  <c r="J5" i="14" s="1"/>
  <c r="C25" i="15"/>
  <c r="C24" i="15"/>
  <c r="C23" i="15"/>
  <c r="C22" i="15"/>
  <c r="C21" i="15"/>
  <c r="D18" i="15"/>
  <c r="B18" i="15"/>
  <c r="D16" i="15"/>
  <c r="B16" i="15"/>
  <c r="B15" i="15"/>
  <c r="D13" i="15"/>
  <c r="B12" i="15"/>
  <c r="B10" i="15"/>
  <c r="D9" i="15"/>
  <c r="B9" i="15"/>
  <c r="D8" i="15"/>
  <c r="D7" i="15"/>
  <c r="D6" i="15"/>
  <c r="B5" i="15"/>
  <c r="B4" i="15"/>
  <c r="D3" i="15"/>
  <c r="B3" i="15"/>
  <c r="B29" i="15" l="1"/>
  <c r="J6" i="14"/>
  <c r="K5" i="14"/>
  <c r="D29" i="15"/>
  <c r="D30" i="15" s="1"/>
  <c r="C29" i="15"/>
  <c r="J7" i="14" l="1"/>
  <c r="K6" i="14"/>
  <c r="J8" i="14" l="1"/>
  <c r="K7" i="14"/>
  <c r="J9" i="14" l="1"/>
  <c r="K8" i="14"/>
  <c r="G30" i="8"/>
  <c r="E30" i="8"/>
  <c r="G29" i="8"/>
  <c r="E29" i="8"/>
  <c r="C28" i="8"/>
  <c r="C30" i="8" s="1"/>
  <c r="C27" i="8"/>
  <c r="C26" i="8"/>
  <c r="C25" i="8"/>
  <c r="G28" i="8" s="1"/>
  <c r="J10" i="14" l="1"/>
  <c r="K9" i="14"/>
  <c r="I30" i="8"/>
  <c r="E28" i="8"/>
  <c r="I28" i="8" s="1"/>
  <c r="C29" i="8"/>
  <c r="I29" i="8" s="1"/>
  <c r="J11" i="14" l="1"/>
  <c r="K10" i="14"/>
  <c r="E11" i="8"/>
  <c r="E8" i="8"/>
  <c r="G7" i="8"/>
  <c r="G11" i="8" s="1"/>
  <c r="F7" i="8"/>
  <c r="F11" i="8" s="1"/>
  <c r="F6" i="8"/>
  <c r="F5" i="8"/>
  <c r="F13" i="8" s="1"/>
  <c r="J12" i="14" l="1"/>
  <c r="K11" i="14"/>
  <c r="F8" i="8"/>
  <c r="F12" i="8" s="1"/>
  <c r="F14" i="8" s="1"/>
  <c r="G5" i="8"/>
  <c r="G6" i="8"/>
  <c r="G8" i="8" s="1"/>
  <c r="G12" i="8" s="1"/>
  <c r="E9" i="8"/>
  <c r="E13" i="8" l="1"/>
  <c r="E10" i="8"/>
  <c r="F9" i="8"/>
  <c r="J13" i="14"/>
  <c r="K12" i="14"/>
  <c r="G13" i="8"/>
  <c r="G14" i="8" s="1"/>
  <c r="G9" i="8"/>
  <c r="E12" i="8"/>
  <c r="E14" i="8" l="1"/>
  <c r="J14" i="14"/>
  <c r="K14" i="14" s="1"/>
  <c r="K13" i="14"/>
  <c r="E15" i="8"/>
  <c r="H10" i="5" l="1"/>
  <c r="H9" i="5"/>
  <c r="F8" i="5"/>
  <c r="F6" i="5"/>
  <c r="F5" i="5"/>
  <c r="F7" i="5" l="1"/>
  <c r="F9" i="5"/>
  <c r="F10" i="5"/>
  <c r="H7" i="2"/>
  <c r="E9" i="2" s="1"/>
  <c r="H8" i="2"/>
  <c r="E10" i="2" s="1"/>
  <c r="H9" i="2"/>
  <c r="E11" i="2" s="1"/>
  <c r="H10" i="2"/>
  <c r="E12" i="2" s="1"/>
  <c r="H12" i="2"/>
  <c r="E14" i="2" s="1"/>
  <c r="H13" i="2"/>
  <c r="E15" i="2" s="1"/>
  <c r="H14" i="2"/>
  <c r="E16" i="2" s="1"/>
  <c r="H15" i="2"/>
  <c r="E17" i="2" s="1"/>
  <c r="H17" i="2"/>
  <c r="E19" i="2" s="1"/>
  <c r="H18" i="2"/>
  <c r="E20" i="2" s="1"/>
  <c r="H19" i="2"/>
  <c r="H20" i="2"/>
  <c r="G6" i="2"/>
  <c r="D7" i="2" s="1"/>
  <c r="G7" i="2" s="1"/>
  <c r="D8" i="2" s="1"/>
  <c r="G8" i="2" s="1"/>
  <c r="K5" i="2"/>
  <c r="F11" i="5" l="1"/>
  <c r="F12" i="5" s="1"/>
  <c r="K7" i="2"/>
  <c r="K10" i="2" s="1"/>
  <c r="H6" i="2" s="1"/>
  <c r="E8" i="2" s="1"/>
  <c r="D9" i="2" s="1"/>
  <c r="G9" i="2" s="1"/>
  <c r="D10" i="2" s="1"/>
  <c r="G10" i="2" s="1"/>
  <c r="D11" i="2" s="1"/>
  <c r="G11" i="2" s="1"/>
  <c r="I7" i="1"/>
  <c r="J7" i="1" s="1"/>
  <c r="M7" i="1" s="1"/>
  <c r="L7" i="1" l="1"/>
  <c r="D12" i="2"/>
  <c r="G12" i="2" s="1"/>
  <c r="D13" i="2" s="1"/>
  <c r="G13" i="2" s="1"/>
  <c r="H11" i="2"/>
  <c r="E13" i="2" s="1"/>
  <c r="G8" i="1"/>
  <c r="I8" i="1" s="1"/>
  <c r="J8" i="1" l="1"/>
  <c r="M8" i="1" s="1"/>
  <c r="L8" i="1"/>
  <c r="D14" i="2"/>
  <c r="G14" i="2" s="1"/>
  <c r="D15" i="2" s="1"/>
  <c r="G15" i="2" s="1"/>
  <c r="D16" i="2" s="1"/>
  <c r="G16" i="2" s="1"/>
  <c r="K8" i="1" l="1"/>
  <c r="G9" i="1" s="1"/>
  <c r="I9" i="1" s="1"/>
  <c r="J9" i="1" s="1"/>
  <c r="M9" i="1" s="1"/>
  <c r="D17" i="2"/>
  <c r="G17" i="2" s="1"/>
  <c r="D18" i="2" s="1"/>
  <c r="G18" i="2" s="1"/>
  <c r="H16" i="2"/>
  <c r="E18" i="2" s="1"/>
  <c r="K9" i="1" l="1"/>
  <c r="G10" i="1" s="1"/>
  <c r="I10" i="1" s="1"/>
  <c r="L9" i="1"/>
  <c r="D19" i="2"/>
  <c r="G19" i="2" s="1"/>
  <c r="G20" i="2" s="1"/>
  <c r="J10" i="1" l="1"/>
  <c r="M10" i="1" s="1"/>
  <c r="L10" i="1"/>
  <c r="K10" i="1" l="1"/>
  <c r="G11" i="1" s="1"/>
  <c r="I11" i="1" s="1"/>
  <c r="L11" i="1" l="1"/>
  <c r="J11" i="1"/>
  <c r="M11" i="1" s="1"/>
  <c r="K11" i="1" l="1"/>
  <c r="G12" i="1" s="1"/>
  <c r="I12" i="1" s="1"/>
  <c r="L12" i="1" l="1"/>
  <c r="J12" i="1"/>
  <c r="M12" i="1" s="1"/>
  <c r="K12" i="1" l="1"/>
  <c r="G13" i="1" s="1"/>
  <c r="I13" i="1" s="1"/>
  <c r="L13" i="1" l="1"/>
  <c r="J13" i="1"/>
  <c r="M13" i="1" s="1"/>
  <c r="K13" i="1" l="1"/>
  <c r="G14" i="1" s="1"/>
  <c r="I14" i="1" s="1"/>
  <c r="L14" i="1" l="1"/>
  <c r="J14" i="1"/>
  <c r="M14" i="1" s="1"/>
  <c r="K14" i="1" l="1"/>
  <c r="G15" i="1" s="1"/>
  <c r="I15" i="1" s="1"/>
  <c r="L15" i="1" l="1"/>
  <c r="J15" i="1"/>
  <c r="M15" i="1" s="1"/>
  <c r="K15" i="1" l="1"/>
  <c r="G16" i="1" s="1"/>
  <c r="I16" i="1" s="1"/>
  <c r="L16" i="1" l="1"/>
  <c r="J16" i="1"/>
  <c r="M16" i="1" s="1"/>
  <c r="K16" i="1" l="1"/>
  <c r="G17" i="1" s="1"/>
  <c r="I17" i="1" s="1"/>
  <c r="L17" i="1" l="1"/>
  <c r="J17" i="1"/>
  <c r="M17" i="1" s="1"/>
  <c r="K17" i="1" l="1"/>
  <c r="G18" i="1" s="1"/>
  <c r="I18" i="1" s="1"/>
  <c r="L18" i="1" l="1"/>
  <c r="J18" i="1"/>
  <c r="M18" i="1" s="1"/>
  <c r="K18" i="1" l="1"/>
  <c r="G19" i="1" s="1"/>
  <c r="I19" i="1" s="1"/>
  <c r="J19" i="1" l="1"/>
  <c r="M19" i="1" s="1"/>
  <c r="L19" i="1"/>
  <c r="K19" i="1" l="1"/>
  <c r="G20" i="1" s="1"/>
  <c r="I20" i="1" s="1"/>
  <c r="L20" i="1" l="1"/>
  <c r="J20" i="1"/>
  <c r="M20" i="1" s="1"/>
  <c r="K20" i="1" l="1"/>
  <c r="G21" i="1" s="1"/>
  <c r="I21" i="1" s="1"/>
  <c r="J21" i="1" l="1"/>
  <c r="M21" i="1" s="1"/>
  <c r="L21" i="1"/>
  <c r="K21" i="1" l="1"/>
  <c r="G22" i="1" s="1"/>
  <c r="I22" i="1" s="1"/>
  <c r="J22" i="1" l="1"/>
  <c r="M22" i="1" s="1"/>
  <c r="L22" i="1"/>
  <c r="K22" i="1" l="1"/>
  <c r="G23" i="1" s="1"/>
  <c r="I23" i="1" s="1"/>
  <c r="L23" i="1" l="1"/>
  <c r="J23" i="1"/>
  <c r="M23" i="1" s="1"/>
  <c r="K23" i="1" l="1"/>
  <c r="G24" i="1" s="1"/>
  <c r="I24" i="1" s="1"/>
  <c r="J24" i="1" l="1"/>
  <c r="M24" i="1" s="1"/>
  <c r="L24" i="1"/>
  <c r="K24" i="1" l="1"/>
  <c r="G25" i="1" s="1"/>
  <c r="I25" i="1" s="1"/>
  <c r="J25" i="1" l="1"/>
  <c r="M25" i="1" s="1"/>
  <c r="L25" i="1"/>
  <c r="K25" i="1" l="1"/>
  <c r="G26" i="1" s="1"/>
  <c r="I26" i="1" s="1"/>
  <c r="L26" i="1" l="1"/>
  <c r="J26" i="1"/>
  <c r="M26" i="1" s="1"/>
  <c r="K26" i="1" l="1"/>
</calcChain>
</file>

<file path=xl/sharedStrings.xml><?xml version="1.0" encoding="utf-8"?>
<sst xmlns="http://schemas.openxmlformats.org/spreadsheetml/2006/main" count="463" uniqueCount="295">
  <si>
    <t>Date</t>
  </si>
  <si>
    <t>Ventes journalières</t>
  </si>
  <si>
    <t>StockFin</t>
  </si>
  <si>
    <t>StockDébut</t>
  </si>
  <si>
    <t>LancementCom</t>
  </si>
  <si>
    <t>Reception de commande</t>
  </si>
  <si>
    <t>Exercice 7: Méthode Du Seuil (point de commande)</t>
  </si>
  <si>
    <t>Réalisé Par :</t>
  </si>
  <si>
    <t>Moadh KHAMMASSI</t>
  </si>
  <si>
    <t>Fait le :</t>
  </si>
  <si>
    <t>Jour</t>
  </si>
  <si>
    <t>Stock début-jour</t>
  </si>
  <si>
    <t>Sorties</t>
  </si>
  <si>
    <t>Stock Fin-journée</t>
  </si>
  <si>
    <t>lundi</t>
  </si>
  <si>
    <t>mardi</t>
  </si>
  <si>
    <t>mercredi</t>
  </si>
  <si>
    <t>jeudi</t>
  </si>
  <si>
    <t>vendredi</t>
  </si>
  <si>
    <t>Entrées (réception des commandes)</t>
  </si>
  <si>
    <t>Commandes (dates et quantités lancées)</t>
  </si>
  <si>
    <t>demande moyenne</t>
  </si>
  <si>
    <t>par jour</t>
  </si>
  <si>
    <t>SS</t>
  </si>
  <si>
    <t>jours</t>
  </si>
  <si>
    <t>valeur</t>
  </si>
  <si>
    <t>Unité</t>
  </si>
  <si>
    <t>T</t>
  </si>
  <si>
    <t>L</t>
  </si>
  <si>
    <t>Seuil de recomplètement</t>
  </si>
  <si>
    <t>unités</t>
  </si>
  <si>
    <t>Critère</t>
  </si>
  <si>
    <t>Données</t>
  </si>
  <si>
    <t>g : coût unitaire de production variable</t>
  </si>
  <si>
    <t>€</t>
  </si>
  <si>
    <t>cl unitaire</t>
  </si>
  <si>
    <t>cp unitaire</t>
  </si>
  <si>
    <t>D</t>
  </si>
  <si>
    <t>unités/an</t>
  </si>
  <si>
    <t>Calculs</t>
  </si>
  <si>
    <t>ELS</t>
  </si>
  <si>
    <t>unités/lot</t>
  </si>
  <si>
    <t>TBO</t>
  </si>
  <si>
    <t>semaines</t>
  </si>
  <si>
    <t>CProd(variable)</t>
  </si>
  <si>
    <t>CL</t>
  </si>
  <si>
    <t>Cstockage</t>
  </si>
  <si>
    <t>CT</t>
  </si>
  <si>
    <t>CT par siège</t>
  </si>
  <si>
    <t>ELS après réduction de cp de 50%</t>
  </si>
  <si>
    <t>Articles</t>
  </si>
  <si>
    <t>Consommation (quantité/an)</t>
  </si>
  <si>
    <t>Coût unitaire (*100€)</t>
  </si>
  <si>
    <t>Valeur du stock</t>
  </si>
  <si>
    <t>% en valeur</t>
  </si>
  <si>
    <t>% cumulé</t>
  </si>
  <si>
    <t>Classe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</si>
  <si>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</si>
  <si>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</si>
  <si>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</si>
  <si>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</si>
  <si>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</si>
  <si>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</si>
  <si>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</si>
  <si>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</si>
  <si>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</si>
  <si>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</si>
  <si>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Total </t>
  </si>
  <si>
    <t>A11</t>
  </si>
  <si>
    <t>A12</t>
  </si>
  <si>
    <t>A13</t>
  </si>
  <si>
    <t>A14</t>
  </si>
  <si>
    <t>A15</t>
  </si>
  <si>
    <t>cl</t>
  </si>
  <si>
    <t>cp</t>
  </si>
  <si>
    <t>EOQ</t>
  </si>
  <si>
    <t>remise1</t>
  </si>
  <si>
    <t>remise2</t>
  </si>
  <si>
    <t>h</t>
  </si>
  <si>
    <t>Pu1</t>
  </si>
  <si>
    <t>CA</t>
  </si>
  <si>
    <t>CP</t>
  </si>
  <si>
    <t>Quantité à commander</t>
  </si>
  <si>
    <t>année</t>
  </si>
  <si>
    <t>Valeur</t>
  </si>
  <si>
    <t>moyenne</t>
  </si>
  <si>
    <t>Ecartype</t>
  </si>
  <si>
    <t>Z</t>
  </si>
  <si>
    <t>SS(en jour)</t>
  </si>
  <si>
    <t>A</t>
  </si>
  <si>
    <t>B</t>
  </si>
  <si>
    <t>h%</t>
  </si>
  <si>
    <t>PU</t>
  </si>
  <si>
    <t>r1</t>
  </si>
  <si>
    <t>r2</t>
  </si>
  <si>
    <t>EOQ1</t>
  </si>
  <si>
    <t>EOQ2</t>
  </si>
  <si>
    <t>EOQ3</t>
  </si>
  <si>
    <t>CA1</t>
  </si>
  <si>
    <t>CP1</t>
  </si>
  <si>
    <t>CL1</t>
  </si>
  <si>
    <t>CT1</t>
  </si>
  <si>
    <t>CA2</t>
  </si>
  <si>
    <t>CP2</t>
  </si>
  <si>
    <t>CL2</t>
  </si>
  <si>
    <t>CT2</t>
  </si>
  <si>
    <t>CA3</t>
  </si>
  <si>
    <t>CP3</t>
  </si>
  <si>
    <t>CL3</t>
  </si>
  <si>
    <t>CT3</t>
  </si>
  <si>
    <t>Désignation des charges à imputer</t>
  </si>
  <si>
    <t>Achats : CL : Coût de Lancement(Annuel)</t>
  </si>
  <si>
    <t>Achats : CL : Coût de Lancement(de toutes les commandes et réceptions et factures)</t>
  </si>
  <si>
    <t>Gestion des stocks :  CP : Coût de Possession (Annuel)</t>
  </si>
  <si>
    <t>Le personnel affecté aux tâches d’achats et de gestion des stocks se compose de:</t>
  </si>
  <si>
    <t>* un chef de service consacrant la moitié de son temps aux achats et l’autre moitié à la gestion des stocks :1800DT</t>
  </si>
  <si>
    <t>* 2 acheteurs : 1350 DT chacun.</t>
  </si>
  <si>
    <t>* 2 aides-acheteurs : 900 DT chacun.</t>
  </si>
  <si>
    <t>* 1 gestionnaire de stocks : 1350 DT* </t>
  </si>
  <si>
    <t>* 1 chef magasinier : 900 dT.</t>
  </si>
  <si>
    <t>* 5 magasiniers : 600 DT chacun .</t>
  </si>
  <si>
    <t>* 2 secrétaires : 675 DT chacune .</t>
  </si>
  <si>
    <t>-Un budget de déplacement pour les acheteurs est de 7000 DT</t>
  </si>
  <si>
    <t xml:space="preserve">Les services de réception se composent de </t>
  </si>
  <si>
    <t>3 réceptionnaires qui assurent le contrôle de qualité et qui sont payés à 900 DT chacun</t>
  </si>
  <si>
    <t xml:space="preserve"> et de 3 réceptionnaires qui assurent le contrôle des réceptions en nombre ainsi que le rangement des articles et sont payés à 600 DT. Chacun.</t>
  </si>
  <si>
    <t>Autres Charges et frais</t>
  </si>
  <si>
    <t xml:space="preserve">- les frais de téléphone et de télex coûtent 8400 DT. par an </t>
  </si>
  <si>
    <t>-L’éclairage et le chauffage sont de 3800 DT pour le magasin et de 600DT pour les bureaux des achats (annuels) .</t>
  </si>
  <si>
    <t>Le coût de la gestion des stocks s’élève à 9000 DT par an.</t>
  </si>
  <si>
    <t>- Les amortissements du  matériel et des bureaux : 2100 DT. pour les achats et 18000 DT. pour le magasin.</t>
  </si>
  <si>
    <t>On a dénombré 9000 commandes pour l’année précédente et 1000 réceptions par mois, l’entreprise fermant un mois complet tous les ans.</t>
  </si>
  <si>
    <t xml:space="preserve">Le coût des services informatiques se compose de : </t>
  </si>
  <si>
    <t>de 0,2 DT par commande</t>
  </si>
  <si>
    <t>et de 0,18 DT par livraison ou réception</t>
  </si>
  <si>
    <t>et de 0,22 DT par traitement de facture fournisseur.(on supposera que le nombre de factures correspond au nombre des réceptions)</t>
  </si>
  <si>
    <t>le prix de la liasse de commande et celui de la liasse des bons de réception sont de 0,2 DT chacun.</t>
  </si>
  <si>
    <t>-Les frais de timbre sont de 3 DT par commande.</t>
  </si>
  <si>
    <t>-Le stock moyen de l’entreprise est de 700 000 DT.</t>
  </si>
  <si>
    <t>-Des pertes ont été constatées et s’élèvent à 1400 DT.</t>
  </si>
  <si>
    <t>Total</t>
  </si>
  <si>
    <t>- Le taux de rendement des capitaux investis de 10 % .</t>
  </si>
  <si>
    <t>Coûts Unitaires (cl et h%)</t>
  </si>
  <si>
    <t>Coût de ransport, chargement et réception</t>
  </si>
  <si>
    <t>Quantité commandée</t>
  </si>
  <si>
    <t>sigma</t>
  </si>
  <si>
    <t>Taux de service</t>
  </si>
  <si>
    <t>Sigma D</t>
  </si>
  <si>
    <t>Sigma L</t>
  </si>
  <si>
    <t>Demande moyenne sur L</t>
  </si>
  <si>
    <t>sigma demande sur L</t>
  </si>
  <si>
    <t>taux de service</t>
  </si>
  <si>
    <t>z</t>
  </si>
  <si>
    <t>sigma D</t>
  </si>
  <si>
    <t>TS</t>
  </si>
  <si>
    <t>ROP</t>
  </si>
  <si>
    <t>2ème cas : 
remise 2%(seuil 2000)</t>
  </si>
  <si>
    <t>3ème cas :
 remise 3% (seuil 3500)</t>
  </si>
  <si>
    <t>1er cas : 
pas de remise</t>
  </si>
  <si>
    <t>Taux de détention annuel</t>
  </si>
  <si>
    <t>Coût de commande pour 1 produit</t>
  </si>
  <si>
    <t>Coût de commande pour 2 produits</t>
  </si>
  <si>
    <t>Rabais sur facture</t>
  </si>
  <si>
    <t>&gt;= 200000</t>
  </si>
  <si>
    <t>&gt;= 500000</t>
  </si>
  <si>
    <t>Produits</t>
  </si>
  <si>
    <t>Demande annuelle</t>
  </si>
  <si>
    <t>Prix</t>
  </si>
  <si>
    <t>1)</t>
  </si>
  <si>
    <t>Etude du produit A géré séparément</t>
  </si>
  <si>
    <t>a)</t>
  </si>
  <si>
    <t>On ne cherche pas à bénéficier des rabais proposés</t>
  </si>
  <si>
    <t>Quantité économique</t>
  </si>
  <si>
    <t>Montant d'une facture</t>
  </si>
  <si>
    <t>Coût total annuel</t>
  </si>
  <si>
    <t>b)</t>
  </si>
  <si>
    <t>On cherche à bénéficier du rabais de 5%</t>
  </si>
  <si>
    <t xml:space="preserve">Le montant de la facture doit atteindre </t>
  </si>
  <si>
    <t>Nombre de commandes annuel</t>
  </si>
  <si>
    <t>Moins cher</t>
  </si>
  <si>
    <t>c)</t>
  </si>
  <si>
    <t>On cherche à bénéficier du rabais de 7%</t>
  </si>
  <si>
    <t>Plus cher</t>
  </si>
  <si>
    <t>2)</t>
  </si>
  <si>
    <t>Les articles A et B sont commandés simultanément</t>
  </si>
  <si>
    <t>Valeur annuelle de conommation</t>
  </si>
  <si>
    <t>Nombre optimal de commandes</t>
  </si>
  <si>
    <t>Coût de détention du stock</t>
  </si>
  <si>
    <t>Coût de passation de commande</t>
  </si>
  <si>
    <t>Coût d'achat</t>
  </si>
  <si>
    <t>Coût total</t>
  </si>
  <si>
    <t>Nombre de commandes à passer</t>
  </si>
  <si>
    <t>Retour Menu</t>
  </si>
  <si>
    <t>Référence article</t>
  </si>
  <si>
    <t>ou B</t>
  </si>
  <si>
    <t>N*</t>
  </si>
  <si>
    <t>Q : Quantité</t>
  </si>
  <si>
    <t>commandée</t>
  </si>
  <si>
    <t>Coût de</t>
  </si>
  <si>
    <t>stockage</t>
  </si>
  <si>
    <t>(CP)</t>
  </si>
  <si>
    <t>commande</t>
  </si>
  <si>
    <t>(CL)</t>
  </si>
  <si>
    <t>Coût</t>
  </si>
  <si>
    <t>combiné</t>
  </si>
  <si>
    <t>(CP + CL)</t>
  </si>
  <si>
    <t>Quantité de commande</t>
  </si>
  <si>
    <t>Colonne2</t>
  </si>
  <si>
    <t>Cout de possession</t>
  </si>
  <si>
    <t>cp = 50</t>
  </si>
  <si>
    <t>cl=100</t>
  </si>
  <si>
    <t>remise dégressive</t>
  </si>
  <si>
    <t>L : leadtime</t>
  </si>
  <si>
    <t xml:space="preserve">délai </t>
  </si>
  <si>
    <t>Cmj</t>
  </si>
  <si>
    <t>unités/jour</t>
  </si>
  <si>
    <t>conso moyenne journalière</t>
  </si>
  <si>
    <t>1er paramètre</t>
  </si>
  <si>
    <t>r : seuil</t>
  </si>
  <si>
    <t>il doit permettre de couvrir la onsommation pendant le délai</t>
  </si>
  <si>
    <t>2ème paramètre</t>
  </si>
  <si>
    <t>Q</t>
  </si>
  <si>
    <t>quantité à commander : si je connais cp ou h% et le cl je peux calculer EOQ = Q*</t>
  </si>
  <si>
    <t>r=L*cmj +SS</t>
  </si>
  <si>
    <t>cmj</t>
  </si>
  <si>
    <t>Qc</t>
  </si>
  <si>
    <t>Q = B*(P + T + A) − (M + E + R)</t>
  </si>
  <si>
    <t>S</t>
  </si>
  <si>
    <t>S-sdipo</t>
  </si>
  <si>
    <t>(T,S,Qc)</t>
  </si>
  <si>
    <t>T?</t>
  </si>
  <si>
    <t xml:space="preserve">période </t>
  </si>
  <si>
    <t>convention avec transporteur</t>
  </si>
  <si>
    <t>cp,cl</t>
  </si>
  <si>
    <t>q*</t>
  </si>
  <si>
    <t>N*=D/q*</t>
  </si>
  <si>
    <t>T* = 1/N*</t>
  </si>
  <si>
    <t>12/N*</t>
  </si>
  <si>
    <t>365/N*</t>
  </si>
  <si>
    <t>dans notre cas</t>
  </si>
  <si>
    <t>5jours</t>
  </si>
  <si>
    <t>mois</t>
  </si>
  <si>
    <t>jour</t>
  </si>
  <si>
    <t>empirique</t>
  </si>
  <si>
    <t>T=4semaines</t>
  </si>
  <si>
    <t>ruptures</t>
  </si>
  <si>
    <t>T=2semaines</t>
  </si>
  <si>
    <t>surstock</t>
  </si>
  <si>
    <t>T=3 semaines</t>
  </si>
  <si>
    <t>les lundis</t>
  </si>
  <si>
    <t>je fais mon inventaire</t>
  </si>
  <si>
    <t>Sdispo</t>
  </si>
  <si>
    <t>je lance les commandes</t>
  </si>
  <si>
    <t>niveau de recomlètement</t>
  </si>
  <si>
    <t>S=r+q*</t>
  </si>
  <si>
    <t>S=SS+L*cmj+Q*</t>
  </si>
  <si>
    <t>S=SS+Lxcmj+DxT*</t>
  </si>
  <si>
    <t>S=SS+cmjx(L+T)</t>
  </si>
  <si>
    <t>D demande</t>
  </si>
  <si>
    <t>Qc=S-Sdispo</t>
  </si>
  <si>
    <t>Qc=cmj(A+L+T)-Sdispo</t>
  </si>
  <si>
    <t>cmj : demande</t>
  </si>
  <si>
    <t>CP=q*cp/2</t>
  </si>
  <si>
    <t>30 commandes</t>
  </si>
  <si>
    <t>pu</t>
  </si>
  <si>
    <t>T : TBO</t>
  </si>
  <si>
    <t xml:space="preserve">jours calendaires </t>
  </si>
  <si>
    <t>avant remise</t>
  </si>
  <si>
    <t>marge</t>
  </si>
  <si>
    <t>PU1</t>
  </si>
  <si>
    <t>BFR1 avant remise</t>
  </si>
  <si>
    <t>BFR après remise</t>
  </si>
  <si>
    <t>Delta BFR</t>
  </si>
  <si>
    <t>Augmentation</t>
  </si>
  <si>
    <t>après remise</t>
  </si>
  <si>
    <t>après remise uniforme</t>
  </si>
  <si>
    <t>PU2</t>
  </si>
  <si>
    <t>Q commandée</t>
  </si>
  <si>
    <t>remise par tranche</t>
  </si>
  <si>
    <t>après remise par tranches</t>
  </si>
  <si>
    <t>N</t>
  </si>
  <si>
    <t>Explication de la formule</t>
  </si>
  <si>
    <t>Enoncé</t>
  </si>
  <si>
    <t>La demande en cahiers d’un certain format dans un supermarché est estimée à 10 000 cahiers par an.</t>
  </si>
  <si>
    <t>La capacité annuelle de production de la chaîne de production chez le fournisseur de ces cahiers est d'environ 13 333.</t>
  </si>
  <si>
    <t>Le coût de stockage unitaire annuel est évalué à 0,5 €.</t>
  </si>
  <si>
    <t>Le coût de lancement d’une commande s’élève à 100 €</t>
  </si>
  <si>
    <t xml:space="preserve">Les cahiers sont emballées dans des cartons cubiques de 400 mm (capacité de 50 cahiers) et les cartons sont regroupés en palettes européennes de dimensions standard (1 200 * 800mm) </t>
  </si>
  <si>
    <t>On vous impose également la contrainte de ne pas dépasser 1 m de hauteur pour les palettes dans les étagères</t>
  </si>
  <si>
    <t>  </t>
  </si>
  <si>
    <t>On vous demande de:</t>
  </si>
  <si>
    <r>
      <t>1.</t>
    </r>
    <r>
      <rPr>
        <sz val="11"/>
        <color rgb="FF000000"/>
        <rFont val="Times New Roman"/>
        <family val="1"/>
      </rPr>
      <t>calculer le nombre optimal de cahiers à commander</t>
    </r>
  </si>
  <si>
    <r>
      <t>2.</t>
    </r>
    <r>
      <rPr>
        <sz val="11"/>
        <color rgb="FF000000"/>
        <rFont val="Times New Roman"/>
        <family val="1"/>
      </rPr>
      <t xml:space="preserve">calculer le coût total de cette politique d’approvisionnement et de stockage </t>
    </r>
  </si>
  <si>
    <r>
      <t>3.</t>
    </r>
    <r>
      <rPr>
        <sz val="11"/>
        <color rgb="FF000000"/>
        <rFont val="Times New Roman"/>
        <family val="1"/>
      </rPr>
      <t>calculer l'espace nécessaire pour stocker les cahiers?</t>
    </r>
  </si>
  <si>
    <t>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</si>
</sst>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3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MS Sans Serif"/>
      <family val="2"/>
    </font>
    <font>
      <i/>
      <sz val="10"/>
      <name val="MS Sans Serif"/>
      <family val="2"/>
    </font>
    <font>
      <b/>
      <i/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+mj-l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16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2" fillId="0" borderId="5" xfId="0" applyFont="1" applyFill="1" applyBorder="1" applyAlignment="1">
      <alignment horizontal="justify" vertical="center"/>
    </xf>
    <xf numFmtId="0" fontId="0" fillId="0" borderId="7" xfId="0" applyBorder="1"/>
    <xf numFmtId="0" fontId="6" fillId="0" borderId="10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justify" vertical="center" wrapText="1"/>
    </xf>
    <xf numFmtId="9" fontId="0" fillId="0" borderId="5" xfId="1" applyFont="1" applyBorder="1"/>
    <xf numFmtId="9" fontId="0" fillId="0" borderId="5" xfId="0" applyNumberFormat="1" applyBorder="1"/>
    <xf numFmtId="3" fontId="6" fillId="0" borderId="14" xfId="0" applyNumberFormat="1" applyFont="1" applyBorder="1" applyAlignment="1">
      <alignment horizontal="justify" vertical="center" wrapText="1"/>
    </xf>
    <xf numFmtId="10" fontId="0" fillId="0" borderId="5" xfId="0" applyNumberFormat="1" applyBorder="1"/>
    <xf numFmtId="2" fontId="0" fillId="0" borderId="5" xfId="1" applyNumberFormat="1" applyFont="1" applyBorder="1"/>
    <xf numFmtId="2" fontId="0" fillId="0" borderId="5" xfId="0" applyNumberFormat="1" applyBorder="1"/>
    <xf numFmtId="0" fontId="5" fillId="0" borderId="5" xfId="0" applyFont="1" applyBorder="1"/>
    <xf numFmtId="2" fontId="0" fillId="0" borderId="0" xfId="0" applyNumberFormat="1"/>
    <xf numFmtId="0" fontId="0" fillId="0" borderId="5" xfId="0" applyFill="1" applyBorder="1"/>
    <xf numFmtId="16" fontId="0" fillId="0" borderId="5" xfId="0" applyNumberFormat="1" applyBorder="1"/>
    <xf numFmtId="16" fontId="0" fillId="2" borderId="5" xfId="0" applyNumberFormat="1" applyFill="1" applyBorder="1"/>
    <xf numFmtId="0" fontId="0" fillId="2" borderId="5" xfId="0" applyFill="1" applyBorder="1"/>
    <xf numFmtId="16" fontId="7" fillId="0" borderId="5" xfId="0" applyNumberFormat="1" applyFont="1" applyBorder="1"/>
    <xf numFmtId="0" fontId="7" fillId="0" borderId="5" xfId="0" applyFont="1" applyBorder="1"/>
    <xf numFmtId="0" fontId="0" fillId="0" borderId="16" xfId="0" applyBorder="1"/>
    <xf numFmtId="0" fontId="0" fillId="0" borderId="0" xfId="0" applyBorder="1"/>
    <xf numFmtId="10" fontId="0" fillId="0" borderId="0" xfId="1" applyNumberFormat="1" applyFont="1" applyBorder="1"/>
    <xf numFmtId="0" fontId="9" fillId="3" borderId="0" xfId="0" applyFont="1" applyFill="1"/>
    <xf numFmtId="0" fontId="10" fillId="3" borderId="0" xfId="0" applyFont="1" applyFill="1"/>
    <xf numFmtId="14" fontId="10" fillId="3" borderId="0" xfId="0" applyNumberFormat="1" applyFont="1" applyFill="1"/>
    <xf numFmtId="0" fontId="11" fillId="0" borderId="5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5" borderId="0" xfId="0" applyFill="1"/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2" fillId="5" borderId="0" xfId="0" applyFont="1" applyFill="1"/>
    <xf numFmtId="0" fontId="0" fillId="5" borderId="0" xfId="0" quotePrefix="1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/>
    <xf numFmtId="0" fontId="12" fillId="0" borderId="5" xfId="0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0" xfId="0" applyAlignment="1"/>
    <xf numFmtId="2" fontId="0" fillId="0" borderId="0" xfId="0" applyNumberFormat="1" applyAlignment="1"/>
    <xf numFmtId="2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12" fillId="4" borderId="5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5" xfId="0" applyFont="1" applyBorder="1"/>
    <xf numFmtId="9" fontId="16" fillId="0" borderId="5" xfId="0" applyNumberFormat="1" applyFont="1" applyBorder="1"/>
    <xf numFmtId="10" fontId="16" fillId="0" borderId="5" xfId="1" applyNumberFormat="1" applyFont="1" applyBorder="1"/>
    <xf numFmtId="0" fontId="17" fillId="0" borderId="5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17" xfId="0" applyFont="1" applyBorder="1" applyAlignment="1">
      <alignment horizontal="center"/>
    </xf>
    <xf numFmtId="0" fontId="19" fillId="0" borderId="5" xfId="0" applyFont="1" applyBorder="1"/>
    <xf numFmtId="0" fontId="18" fillId="0" borderId="7" xfId="0" applyFont="1" applyBorder="1" applyAlignment="1">
      <alignment horizontal="center"/>
    </xf>
    <xf numFmtId="0" fontId="19" fillId="0" borderId="0" xfId="0" applyFont="1"/>
    <xf numFmtId="0" fontId="19" fillId="0" borderId="7" xfId="0" applyFont="1" applyBorder="1"/>
    <xf numFmtId="0" fontId="20" fillId="0" borderId="7" xfId="0" applyFont="1" applyBorder="1"/>
    <xf numFmtId="0" fontId="20" fillId="0" borderId="5" xfId="0" applyFont="1" applyBorder="1"/>
    <xf numFmtId="0" fontId="20" fillId="0" borderId="0" xfId="0" applyFont="1"/>
    <xf numFmtId="0" fontId="21" fillId="0" borderId="5" xfId="0" applyFont="1" applyBorder="1"/>
    <xf numFmtId="9" fontId="21" fillId="0" borderId="5" xfId="1" applyFont="1" applyBorder="1"/>
    <xf numFmtId="0" fontId="22" fillId="0" borderId="0" xfId="2"/>
    <xf numFmtId="0" fontId="23" fillId="0" borderId="0" xfId="0" applyFont="1"/>
    <xf numFmtId="0" fontId="24" fillId="0" borderId="0" xfId="2" applyFont="1"/>
    <xf numFmtId="0" fontId="23" fillId="0" borderId="5" xfId="0" applyFont="1" applyBorder="1"/>
    <xf numFmtId="9" fontId="23" fillId="0" borderId="0" xfId="0" applyNumberFormat="1" applyFont="1"/>
    <xf numFmtId="9" fontId="23" fillId="0" borderId="5" xfId="0" applyNumberFormat="1" applyFont="1" applyBorder="1"/>
    <xf numFmtId="0" fontId="23" fillId="0" borderId="5" xfId="0" applyFont="1" applyFill="1" applyBorder="1"/>
    <xf numFmtId="0" fontId="0" fillId="0" borderId="5" xfId="0" applyFont="1" applyBorder="1"/>
    <xf numFmtId="0" fontId="25" fillId="0" borderId="10" xfId="0" applyFont="1" applyBorder="1" applyAlignment="1">
      <alignment horizontal="justify" vertical="center" wrapText="1"/>
    </xf>
    <xf numFmtId="0" fontId="25" fillId="0" borderId="11" xfId="0" applyFont="1" applyBorder="1" applyAlignment="1">
      <alignment horizontal="justify" vertical="center" wrapText="1"/>
    </xf>
    <xf numFmtId="0" fontId="25" fillId="0" borderId="13" xfId="0" applyFont="1" applyBorder="1" applyAlignment="1">
      <alignment horizontal="justify" vertical="center" wrapText="1"/>
    </xf>
    <xf numFmtId="0" fontId="25" fillId="0" borderId="14" xfId="0" applyFont="1" applyBorder="1" applyAlignment="1">
      <alignment horizontal="justify" vertical="center" wrapText="1"/>
    </xf>
    <xf numFmtId="3" fontId="25" fillId="0" borderId="14" xfId="0" applyNumberFormat="1" applyFont="1" applyBorder="1" applyAlignment="1">
      <alignment horizontal="justify" vertical="center" wrapText="1"/>
    </xf>
    <xf numFmtId="0" fontId="0" fillId="0" borderId="14" xfId="0" applyBorder="1" applyAlignment="1">
      <alignment wrapText="1"/>
    </xf>
    <xf numFmtId="0" fontId="16" fillId="0" borderId="7" xfId="0" applyFont="1" applyBorder="1"/>
    <xf numFmtId="0" fontId="16" fillId="0" borderId="0" xfId="0" applyFont="1" applyBorder="1"/>
    <xf numFmtId="10" fontId="16" fillId="0" borderId="0" xfId="1" applyNumberFormat="1" applyFont="1" applyBorder="1"/>
    <xf numFmtId="0" fontId="26" fillId="0" borderId="0" xfId="0" applyFont="1"/>
    <xf numFmtId="0" fontId="27" fillId="0" borderId="0" xfId="2" applyFont="1"/>
    <xf numFmtId="0" fontId="28" fillId="0" borderId="5" xfId="0" applyFont="1" applyBorder="1" applyAlignment="1">
      <alignment horizontal="center" wrapText="1"/>
    </xf>
    <xf numFmtId="0" fontId="29" fillId="0" borderId="16" xfId="0" applyFont="1" applyBorder="1" applyAlignment="1">
      <alignment horizontal="left"/>
    </xf>
    <xf numFmtId="0" fontId="8" fillId="0" borderId="5" xfId="0" applyFont="1" applyBorder="1" applyAlignment="1">
      <alignment horizontal="justify"/>
    </xf>
    <xf numFmtId="0" fontId="29" fillId="0" borderId="5" xfId="0" applyFont="1" applyBorder="1" applyAlignment="1">
      <alignment horizontal="justify"/>
    </xf>
    <xf numFmtId="0" fontId="29" fillId="0" borderId="5" xfId="0" applyFont="1" applyBorder="1" applyAlignment="1">
      <alignment horizontal="left"/>
    </xf>
    <xf numFmtId="0" fontId="30" fillId="0" borderId="5" xfId="0" applyFont="1" applyBorder="1"/>
    <xf numFmtId="0" fontId="31" fillId="0" borderId="0" xfId="0" applyFont="1"/>
    <xf numFmtId="0" fontId="31" fillId="0" borderId="5" xfId="0" applyFont="1" applyBorder="1"/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5" xfId="0" applyFont="1" applyBorder="1"/>
    <xf numFmtId="0" fontId="5" fillId="2" borderId="5" xfId="0" applyFont="1" applyFill="1" applyBorder="1"/>
    <xf numFmtId="4" fontId="4" fillId="0" borderId="5" xfId="0" applyNumberFormat="1" applyFont="1" applyBorder="1"/>
    <xf numFmtId="164" fontId="0" fillId="2" borderId="5" xfId="1" applyNumberFormat="1" applyFont="1" applyFill="1" applyBorder="1"/>
    <xf numFmtId="43" fontId="0" fillId="2" borderId="5" xfId="3" applyFont="1" applyFill="1" applyBorder="1"/>
    <xf numFmtId="0" fontId="0" fillId="0" borderId="0" xfId="0" applyFont="1"/>
    <xf numFmtId="0" fontId="0" fillId="0" borderId="0" xfId="0" applyFont="1" applyBorder="1"/>
    <xf numFmtId="0" fontId="8" fillId="0" borderId="0" xfId="0" applyFont="1" applyAlignment="1">
      <alignment horizontal="justify" vertical="center" readingOrder="1"/>
    </xf>
    <xf numFmtId="0" fontId="32" fillId="0" borderId="0" xfId="0" applyFont="1" applyAlignment="1">
      <alignment horizontal="justify" vertical="center" readingOrder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Lien hypertexte" xfId="2" builtinId="8"/>
    <cellStyle name="Milliers" xfId="3" builtinId="3"/>
    <cellStyle name="Normal" xfId="0" builtinId="0"/>
    <cellStyle name="Pourcentage" xfId="1" builtinId="5"/>
  </cellStyles>
  <dxfs count="1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'Ex1-ABC-Basique'!$H$3</c:f>
              <c:strCache>
                <c:ptCount val="1"/>
                <c:pt idx="0">
                  <c:v>Valeur du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'Ex1-ABC-Basique'!$G$4:$G$13</c:f>
              <c:strCache>
                <c:ptCount val="10"/>
                <c:pt idx="0">
                  <c:v>A4</c:v>
                </c:pt>
                <c:pt idx="1">
                  <c:v>A7</c:v>
                </c:pt>
                <c:pt idx="2">
                  <c:v>A2</c:v>
                </c:pt>
                <c:pt idx="3">
                  <c:v>A1</c:v>
                </c:pt>
                <c:pt idx="4">
                  <c:v>A3</c:v>
                </c:pt>
                <c:pt idx="5">
                  <c:v>A5</c:v>
                </c:pt>
                <c:pt idx="6">
                  <c:v>A6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'Ex1-ABC-Basique'!$H$4:$H$13</c:f>
              <c:numCache>
                <c:formatCode>General</c:formatCode>
                <c:ptCount val="10"/>
                <c:pt idx="0">
                  <c:v>45</c:v>
                </c:pt>
                <c:pt idx="1">
                  <c:v>36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8-47E1-9F3F-751C04D6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065504"/>
        <c:axId val="382065896"/>
      </c:barChart>
      <c:lineChart>
        <c:grouping val="standard"/>
        <c:varyColors val="0"/>
        <c:ser>
          <c:idx val="1"/>
          <c:order val="1"/>
          <c:tx>
            <c:strRef>
              <c:f>'Ex1-ABC-Basique'!$I$3</c:f>
              <c:strCache>
                <c:ptCount val="1"/>
                <c:pt idx="0">
                  <c:v>% cumulé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'Ex1-ABC-Basique'!$G$4:$G$13</c:f>
              <c:strCache>
                <c:ptCount val="10"/>
                <c:pt idx="0">
                  <c:v>A4</c:v>
                </c:pt>
                <c:pt idx="1">
                  <c:v>A7</c:v>
                </c:pt>
                <c:pt idx="2">
                  <c:v>A2</c:v>
                </c:pt>
                <c:pt idx="3">
                  <c:v>A1</c:v>
                </c:pt>
                <c:pt idx="4">
                  <c:v>A3</c:v>
                </c:pt>
                <c:pt idx="5">
                  <c:v>A5</c:v>
                </c:pt>
                <c:pt idx="6">
                  <c:v>A6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'Ex1-ABC-Basique'!$I$4:$I$13</c:f>
              <c:numCache>
                <c:formatCode>0%</c:formatCode>
                <c:ptCount val="10"/>
                <c:pt idx="0">
                  <c:v>0.45</c:v>
                </c:pt>
                <c:pt idx="1">
                  <c:v>0.81</c:v>
                </c:pt>
                <c:pt idx="2">
                  <c:v>0.86</c:v>
                </c:pt>
                <c:pt idx="3">
                  <c:v>0.89</c:v>
                </c:pt>
                <c:pt idx="4">
                  <c:v>0.92</c:v>
                </c:pt>
                <c:pt idx="5">
                  <c:v>0.94</c:v>
                </c:pt>
                <c:pt idx="6">
                  <c:v>0.96</c:v>
                </c:pt>
                <c:pt idx="7">
                  <c:v>0.97499999999999998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8-47E1-9F3F-751C04D6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66680"/>
        <c:axId val="382066288"/>
      </c:lineChart>
      <c:catAx>
        <c:axId val="3820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65896"/>
        <c:crosses val="autoZero"/>
        <c:auto val="1"/>
        <c:lblAlgn val="ctr"/>
        <c:lblOffset val="100"/>
        <c:noMultiLvlLbl val="0"/>
      </c:catAx>
      <c:valAx>
        <c:axId val="3820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65504"/>
        <c:crosses val="autoZero"/>
        <c:crossBetween val="between"/>
      </c:valAx>
      <c:valAx>
        <c:axId val="3820662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66680"/>
        <c:crosses val="max"/>
        <c:crossBetween val="between"/>
      </c:valAx>
      <c:catAx>
        <c:axId val="382066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06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6404825613498866"/>
          <c:w val="0.7982963692038495"/>
          <c:h val="0.68338806175068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'Ex2-ABC-coût-Valeur'!$H$4</c:f>
              <c:strCache>
                <c:ptCount val="1"/>
                <c:pt idx="0">
                  <c:v>Valeur du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'Ex2-ABC-coût-Valeur'!$E$5:$E$14</c:f>
              <c:strCache>
                <c:ptCount val="10"/>
                <c:pt idx="0">
                  <c:v>A2</c:v>
                </c:pt>
                <c:pt idx="1">
                  <c:v>A5</c:v>
                </c:pt>
                <c:pt idx="2">
                  <c:v>A8</c:v>
                </c:pt>
                <c:pt idx="3">
                  <c:v>A1</c:v>
                </c:pt>
                <c:pt idx="4">
                  <c:v>A4</c:v>
                </c:pt>
                <c:pt idx="5">
                  <c:v>A10</c:v>
                </c:pt>
                <c:pt idx="6">
                  <c:v>A9</c:v>
                </c:pt>
                <c:pt idx="7">
                  <c:v>A3</c:v>
                </c:pt>
                <c:pt idx="8">
                  <c:v>A6</c:v>
                </c:pt>
                <c:pt idx="9">
                  <c:v>A7</c:v>
                </c:pt>
              </c:strCache>
            </c:strRef>
          </c:cat>
          <c:val>
            <c:numRef>
              <c:f>'Ex2-ABC-coût-Valeur'!$H$5:$H$14</c:f>
              <c:numCache>
                <c:formatCode>General</c:formatCode>
                <c:ptCount val="10"/>
                <c:pt idx="0">
                  <c:v>24000</c:v>
                </c:pt>
                <c:pt idx="1">
                  <c:v>6000</c:v>
                </c:pt>
                <c:pt idx="2">
                  <c:v>3000</c:v>
                </c:pt>
                <c:pt idx="3">
                  <c:v>2200</c:v>
                </c:pt>
                <c:pt idx="4">
                  <c:v>1300</c:v>
                </c:pt>
                <c:pt idx="5">
                  <c:v>500</c:v>
                </c:pt>
                <c:pt idx="6">
                  <c:v>400</c:v>
                </c:pt>
                <c:pt idx="7">
                  <c:v>400</c:v>
                </c:pt>
                <c:pt idx="8">
                  <c:v>250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4-4E2D-BECD-DB9B01E4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067072"/>
        <c:axId val="382064720"/>
      </c:barChart>
      <c:lineChart>
        <c:grouping val="standard"/>
        <c:varyColors val="0"/>
        <c:ser>
          <c:idx val="1"/>
          <c:order val="1"/>
          <c:tx>
            <c:strRef>
              <c:f>'Ex2-ABC-coût-Valeur'!$J$4</c:f>
              <c:strCache>
                <c:ptCount val="1"/>
                <c:pt idx="0">
                  <c:v>% cumulé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'Ex2-ABC-coût-Valeur'!$E$5:$E$14</c:f>
              <c:strCache>
                <c:ptCount val="10"/>
                <c:pt idx="0">
                  <c:v>A2</c:v>
                </c:pt>
                <c:pt idx="1">
                  <c:v>A5</c:v>
                </c:pt>
                <c:pt idx="2">
                  <c:v>A8</c:v>
                </c:pt>
                <c:pt idx="3">
                  <c:v>A1</c:v>
                </c:pt>
                <c:pt idx="4">
                  <c:v>A4</c:v>
                </c:pt>
                <c:pt idx="5">
                  <c:v>A10</c:v>
                </c:pt>
                <c:pt idx="6">
                  <c:v>A9</c:v>
                </c:pt>
                <c:pt idx="7">
                  <c:v>A3</c:v>
                </c:pt>
                <c:pt idx="8">
                  <c:v>A6</c:v>
                </c:pt>
                <c:pt idx="9">
                  <c:v>A7</c:v>
                </c:pt>
              </c:strCache>
            </c:strRef>
          </c:cat>
          <c:val>
            <c:numRef>
              <c:f>'Ex2-ABC-coût-Valeur'!$J$5:$J$14</c:f>
              <c:numCache>
                <c:formatCode>0%</c:formatCode>
                <c:ptCount val="10"/>
                <c:pt idx="0">
                  <c:v>0.62745098039215685</c:v>
                </c:pt>
                <c:pt idx="1">
                  <c:v>0.78431372549019607</c:v>
                </c:pt>
                <c:pt idx="2">
                  <c:v>0.86274509803921573</c:v>
                </c:pt>
                <c:pt idx="3">
                  <c:v>0.92026143790849679</c:v>
                </c:pt>
                <c:pt idx="4">
                  <c:v>0.95424836601307195</c:v>
                </c:pt>
                <c:pt idx="5">
                  <c:v>0.9673202614379085</c:v>
                </c:pt>
                <c:pt idx="6">
                  <c:v>0.97777777777777775</c:v>
                </c:pt>
                <c:pt idx="7">
                  <c:v>0.98823529411764699</c:v>
                </c:pt>
                <c:pt idx="8">
                  <c:v>0.99477124183006527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E2D-BECD-DB9B01E4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8096"/>
        <c:axId val="46729664"/>
      </c:lineChart>
      <c:catAx>
        <c:axId val="3820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64720"/>
        <c:crosses val="autoZero"/>
        <c:auto val="1"/>
        <c:lblAlgn val="ctr"/>
        <c:lblOffset val="100"/>
        <c:noMultiLvlLbl val="0"/>
      </c:catAx>
      <c:valAx>
        <c:axId val="3820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67072"/>
        <c:crosses val="autoZero"/>
        <c:crossBetween val="between"/>
      </c:valAx>
      <c:valAx>
        <c:axId val="467296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28096"/>
        <c:crosses val="max"/>
        <c:crossBetween val="between"/>
      </c:valAx>
      <c:catAx>
        <c:axId val="4672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2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'[1]Ex4-Tracé-CT-G-Stock'!$P$7</c:f>
              <c:strCache>
                <c:ptCount val="1"/>
                <c:pt idx="0">
                  <c:v>(CP)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'[1]Ex4-Tracé-CT-G-Stock'!$O$8:$O$21</c:f>
              <c:numCache>
                <c:formatCode>General</c:formatCode>
                <c:ptCount val="1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1500</c:v>
                </c:pt>
                <c:pt idx="11">
                  <c:v>3000</c:v>
                </c:pt>
                <c:pt idx="12">
                  <c:v>4000</c:v>
                </c:pt>
                <c:pt idx="13">
                  <c:v>6000</c:v>
                </c:pt>
              </c:numCache>
            </c:numRef>
          </c:xVal>
          <c:yVal>
            <c:numRef>
              <c:f>'[1]Ex4-Tracé-CT-G-Stock'!$P$8:$P$21</c:f>
              <c:numCache>
                <c:formatCode>General</c:formatCode>
                <c:ptCount val="14"/>
                <c:pt idx="0">
                  <c:v>35</c:v>
                </c:pt>
                <c:pt idx="1">
                  <c:v>56</c:v>
                </c:pt>
                <c:pt idx="2">
                  <c:v>70</c:v>
                </c:pt>
                <c:pt idx="3">
                  <c:v>140</c:v>
                </c:pt>
                <c:pt idx="4">
                  <c:v>280</c:v>
                </c:pt>
                <c:pt idx="5">
                  <c:v>350</c:v>
                </c:pt>
                <c:pt idx="6">
                  <c:v>420</c:v>
                </c:pt>
                <c:pt idx="7">
                  <c:v>490</c:v>
                </c:pt>
                <c:pt idx="8">
                  <c:v>560</c:v>
                </c:pt>
                <c:pt idx="9">
                  <c:v>700</c:v>
                </c:pt>
                <c:pt idx="10">
                  <c:v>1050</c:v>
                </c:pt>
                <c:pt idx="11">
                  <c:v>2100</c:v>
                </c:pt>
                <c:pt idx="12">
                  <c:v>2800</c:v>
                </c:pt>
                <c:pt idx="13">
                  <c:v>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2-438F-9B46-F3603B4CDB48}"/>
            </c:ext>
          </c:extLst>
        </c:ser>
        <c:ser>
          <c:idx val="1"/>
          <c:order val="1"/>
          <c:tx>
            <c:strRef>
              <c:f>'[1]Ex4-Tracé-CT-G-Stock'!$Q$7</c:f>
              <c:strCache>
                <c:ptCount val="1"/>
                <c:pt idx="0">
                  <c:v>(CL)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'[1]Ex4-Tracé-CT-G-Stock'!$O$8:$O$21</c:f>
              <c:numCache>
                <c:formatCode>General</c:formatCode>
                <c:ptCount val="1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1500</c:v>
                </c:pt>
                <c:pt idx="11">
                  <c:v>3000</c:v>
                </c:pt>
                <c:pt idx="12">
                  <c:v>4000</c:v>
                </c:pt>
                <c:pt idx="13">
                  <c:v>6000</c:v>
                </c:pt>
              </c:numCache>
            </c:numRef>
          </c:xVal>
          <c:yVal>
            <c:numRef>
              <c:f>'[1]Ex4-Tracé-CT-G-Stock'!$Q$8:$Q$21</c:f>
              <c:numCache>
                <c:formatCode>General</c:formatCode>
                <c:ptCount val="14"/>
                <c:pt idx="0">
                  <c:v>2000</c:v>
                </c:pt>
                <c:pt idx="1">
                  <c:v>1500</c:v>
                </c:pt>
                <c:pt idx="2">
                  <c:v>1200</c:v>
                </c:pt>
                <c:pt idx="3">
                  <c:v>1000</c:v>
                </c:pt>
                <c:pt idx="4">
                  <c:v>500</c:v>
                </c:pt>
                <c:pt idx="5">
                  <c:v>400</c:v>
                </c:pt>
                <c:pt idx="6">
                  <c:v>333.33</c:v>
                </c:pt>
                <c:pt idx="7">
                  <c:v>285.70999999999998</c:v>
                </c:pt>
                <c:pt idx="8">
                  <c:v>250</c:v>
                </c:pt>
                <c:pt idx="9">
                  <c:v>200</c:v>
                </c:pt>
                <c:pt idx="10">
                  <c:v>133.33000000000001</c:v>
                </c:pt>
                <c:pt idx="11">
                  <c:v>66.67</c:v>
                </c:pt>
                <c:pt idx="12">
                  <c:v>50</c:v>
                </c:pt>
                <c:pt idx="13">
                  <c:v>33.33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2-438F-9B46-F3603B4CDB48}"/>
            </c:ext>
          </c:extLst>
        </c:ser>
        <c:ser>
          <c:idx val="2"/>
          <c:order val="2"/>
          <c:tx>
            <c:strRef>
              <c:f>'[1]Ex4-Tracé-CT-G-Stock'!$R$7</c:f>
              <c:strCache>
                <c:ptCount val="1"/>
                <c:pt idx="0">
                  <c:v>(CP + CL)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'[1]Ex4-Tracé-CT-G-Stock'!$O$8:$O$21</c:f>
              <c:numCache>
                <c:formatCode>General</c:formatCode>
                <c:ptCount val="1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1500</c:v>
                </c:pt>
                <c:pt idx="11">
                  <c:v>3000</c:v>
                </c:pt>
                <c:pt idx="12">
                  <c:v>4000</c:v>
                </c:pt>
                <c:pt idx="13">
                  <c:v>6000</c:v>
                </c:pt>
              </c:numCache>
            </c:numRef>
          </c:xVal>
          <c:yVal>
            <c:numRef>
              <c:f>'[1]Ex4-Tracé-CT-G-Stock'!$R$8:$R$21</c:f>
              <c:numCache>
                <c:formatCode>General</c:formatCode>
                <c:ptCount val="14"/>
                <c:pt idx="0">
                  <c:v>2035</c:v>
                </c:pt>
                <c:pt idx="1">
                  <c:v>1556</c:v>
                </c:pt>
                <c:pt idx="2">
                  <c:v>1270</c:v>
                </c:pt>
                <c:pt idx="3">
                  <c:v>1140</c:v>
                </c:pt>
                <c:pt idx="4">
                  <c:v>780</c:v>
                </c:pt>
                <c:pt idx="5">
                  <c:v>750</c:v>
                </c:pt>
                <c:pt idx="6">
                  <c:v>753.33</c:v>
                </c:pt>
                <c:pt idx="7">
                  <c:v>775.71</c:v>
                </c:pt>
                <c:pt idx="8">
                  <c:v>810</c:v>
                </c:pt>
                <c:pt idx="9">
                  <c:v>900</c:v>
                </c:pt>
                <c:pt idx="10">
                  <c:v>1183.33</c:v>
                </c:pt>
                <c:pt idx="11">
                  <c:v>2166.67</c:v>
                </c:pt>
                <c:pt idx="12">
                  <c:v>2850</c:v>
                </c:pt>
                <c:pt idx="13">
                  <c:v>4233.33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2-438F-9B46-F3603B4C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89776"/>
        <c:axId val="493383544"/>
      </c:scatterChart>
      <c:valAx>
        <c:axId val="4933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383544"/>
        <c:crosses val="autoZero"/>
        <c:crossBetween val="midCat"/>
      </c:valAx>
      <c:valAx>
        <c:axId val="4933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3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Stock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'EX13-PointdeCommande'!$F$7:$F$26</c:f>
              <c:numCache>
                <c:formatCode>m/d/yyyy</c:formatCode>
                <c:ptCount val="20"/>
                <c:pt idx="0">
                  <c:v>42036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42042</c:v>
                </c:pt>
                <c:pt idx="7">
                  <c:v>42043</c:v>
                </c:pt>
                <c:pt idx="8">
                  <c:v>42044</c:v>
                </c:pt>
                <c:pt idx="9">
                  <c:v>42045</c:v>
                </c:pt>
                <c:pt idx="10">
                  <c:v>42046</c:v>
                </c:pt>
                <c:pt idx="11">
                  <c:v>42047</c:v>
                </c:pt>
                <c:pt idx="12">
                  <c:v>42048</c:v>
                </c:pt>
                <c:pt idx="13">
                  <c:v>42049</c:v>
                </c:pt>
                <c:pt idx="14">
                  <c:v>42050</c:v>
                </c:pt>
                <c:pt idx="15">
                  <c:v>42051</c:v>
                </c:pt>
                <c:pt idx="16">
                  <c:v>42052</c:v>
                </c:pt>
                <c:pt idx="17">
                  <c:v>42053</c:v>
                </c:pt>
                <c:pt idx="18">
                  <c:v>42054</c:v>
                </c:pt>
                <c:pt idx="19">
                  <c:v>42055</c:v>
                </c:pt>
              </c:numCache>
            </c:numRef>
          </c:cat>
          <c:val>
            <c:numRef>
              <c:f>'EX13-PointdeCommande'!$G$7:$G$26</c:f>
              <c:numCache>
                <c:formatCode>General</c:formatCode>
                <c:ptCount val="20"/>
                <c:pt idx="0">
                  <c:v>2000</c:v>
                </c:pt>
                <c:pt idx="1">
                  <c:v>1750</c:v>
                </c:pt>
                <c:pt idx="2">
                  <c:v>1500</c:v>
                </c:pt>
                <c:pt idx="3">
                  <c:v>1250</c:v>
                </c:pt>
                <c:pt idx="4">
                  <c:v>1000</c:v>
                </c:pt>
                <c:pt idx="5">
                  <c:v>750</c:v>
                </c:pt>
                <c:pt idx="6">
                  <c:v>1500</c:v>
                </c:pt>
                <c:pt idx="7">
                  <c:v>1000</c:v>
                </c:pt>
                <c:pt idx="8">
                  <c:v>500</c:v>
                </c:pt>
                <c:pt idx="9">
                  <c:v>1375</c:v>
                </c:pt>
                <c:pt idx="10">
                  <c:v>1250</c:v>
                </c:pt>
                <c:pt idx="11">
                  <c:v>1125</c:v>
                </c:pt>
                <c:pt idx="12">
                  <c:v>1000</c:v>
                </c:pt>
                <c:pt idx="13">
                  <c:v>875</c:v>
                </c:pt>
                <c:pt idx="14">
                  <c:v>1750</c:v>
                </c:pt>
                <c:pt idx="15">
                  <c:v>1625</c:v>
                </c:pt>
                <c:pt idx="16">
                  <c:v>1500</c:v>
                </c:pt>
                <c:pt idx="17">
                  <c:v>1250</c:v>
                </c:pt>
                <c:pt idx="18">
                  <c:v>1000</c:v>
                </c:pt>
                <c:pt idx="1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2-477C-BCD3-8D090581C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898496"/>
        <c:axId val="383895360"/>
      </c:lineChart>
      <c:dateAx>
        <c:axId val="383898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895360"/>
        <c:crosses val="autoZero"/>
        <c:auto val="1"/>
        <c:lblOffset val="100"/>
        <c:baseTimeUnit val="days"/>
      </c:dateAx>
      <c:valAx>
        <c:axId val="3838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8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74860017497813"/>
          <c:y val="6.944444444444444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'Ex14-Recomplètement périodique'!$D$5</c:f>
              <c:strCache>
                <c:ptCount val="1"/>
                <c:pt idx="0">
                  <c:v>Stock début-jour</c:v>
                </c:pt>
              </c:strCache>
            </c:strRef>
          </c:tx>
          <c:marker>
            <c:symbol val="none"/>
          </c:marker>
          <c:cat>
            <c:numRef>
              <c:f>'Ex14-Recomplètement périodique'!$B$6:$B$20</c:f>
              <c:numCache>
                <c:formatCode>d\-mmm</c:formatCode>
                <c:ptCount val="15"/>
                <c:pt idx="0">
                  <c:v>42065</c:v>
                </c:pt>
                <c:pt idx="1">
                  <c:v>42066</c:v>
                </c:pt>
                <c:pt idx="2">
                  <c:v>42067</c:v>
                </c:pt>
                <c:pt idx="3">
                  <c:v>42068</c:v>
                </c:pt>
                <c:pt idx="4">
                  <c:v>42069</c:v>
                </c:pt>
                <c:pt idx="5">
                  <c:v>42072</c:v>
                </c:pt>
                <c:pt idx="6">
                  <c:v>42073</c:v>
                </c:pt>
                <c:pt idx="7">
                  <c:v>42074</c:v>
                </c:pt>
                <c:pt idx="8">
                  <c:v>42075</c:v>
                </c:pt>
                <c:pt idx="9">
                  <c:v>42076</c:v>
                </c:pt>
                <c:pt idx="10">
                  <c:v>42079</c:v>
                </c:pt>
                <c:pt idx="11">
                  <c:v>42080</c:v>
                </c:pt>
                <c:pt idx="12">
                  <c:v>42081</c:v>
                </c:pt>
                <c:pt idx="13">
                  <c:v>42082</c:v>
                </c:pt>
                <c:pt idx="14">
                  <c:v>42083</c:v>
                </c:pt>
              </c:numCache>
            </c:numRef>
          </c:cat>
          <c:val>
            <c:numRef>
              <c:f>'Ex14-Recomplètement périodique'!$D$6:$D$20</c:f>
              <c:numCache>
                <c:formatCode>General</c:formatCode>
                <c:ptCount val="15"/>
                <c:pt idx="0">
                  <c:v>40</c:v>
                </c:pt>
                <c:pt idx="1">
                  <c:v>24</c:v>
                </c:pt>
                <c:pt idx="2">
                  <c:v>19</c:v>
                </c:pt>
                <c:pt idx="3">
                  <c:v>67</c:v>
                </c:pt>
                <c:pt idx="4">
                  <c:v>57</c:v>
                </c:pt>
                <c:pt idx="5">
                  <c:v>49</c:v>
                </c:pt>
                <c:pt idx="6">
                  <c:v>31</c:v>
                </c:pt>
                <c:pt idx="7">
                  <c:v>21</c:v>
                </c:pt>
                <c:pt idx="8">
                  <c:v>63</c:v>
                </c:pt>
                <c:pt idx="9">
                  <c:v>57</c:v>
                </c:pt>
                <c:pt idx="10">
                  <c:v>51</c:v>
                </c:pt>
                <c:pt idx="11">
                  <c:v>45</c:v>
                </c:pt>
                <c:pt idx="12">
                  <c:v>31</c:v>
                </c:pt>
                <c:pt idx="13">
                  <c:v>54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5-4AE2-8E5B-0542D61E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15928"/>
        <c:axId val="384216320"/>
      </c:lineChart>
      <c:dateAx>
        <c:axId val="384215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84216320"/>
        <c:crosses val="autoZero"/>
        <c:auto val="1"/>
        <c:lblOffset val="100"/>
        <c:baseTimeUnit val="days"/>
      </c:dateAx>
      <c:valAx>
        <c:axId val="3842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21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405845</xdr:colOff>
      <xdr:row>1</xdr:row>
      <xdr:rowOff>173934</xdr:rowOff>
    </xdr:from>
    <xdr:to>
      <xdr:col>16</xdr:col>
      <xdr:colOff>637760</xdr:colOff>
      <xdr:row>16</xdr:row>
      <xdr:rowOff>182217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201083</xdr:colOff>
      <xdr:row>2</xdr:row>
      <xdr:rowOff>178857</xdr:rowOff>
    </xdr:from>
    <xdr:to>
      <xdr:col>17</xdr:col>
      <xdr:colOff>201083</xdr:colOff>
      <xdr:row>15</xdr:row>
      <xdr:rowOff>170390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190499</xdr:rowOff>
    </xdr:from>
    <xdr:to>
      <xdr:col>17</xdr:col>
      <xdr:colOff>533518</xdr:colOff>
      <xdr:row>21</xdr:row>
      <xdr:rowOff>123824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7CC671C0-AD0C-49E3-9810-8C2FB5A2A3A7}"/>
            </a:ext>
          </a:extLst>
        </xdr:cNvPr>
        <xdr:cNvGrpSpPr/>
      </xdr:nvGrpSpPr>
      <xdr:grpSpPr>
        <a:xfrm>
          <a:off x="5429250" y="761999"/>
          <a:ext cx="8058268" cy="3362325"/>
          <a:chOff x="899592" y="2708920"/>
          <a:chExt cx="8058268" cy="2745596"/>
        </a:xfrm>
      </xdr:grpSpPr>
      <xdr:sp macro="" textlink="">
        <xdr:nvSpPr>
          <xdr:cNvPr id="3" name="Freeform 25">
            <a:extLst>
              <a:ext uri="{FF2B5EF4-FFF2-40B4-BE49-F238E27FC236}">
                <a16:creationId xmlns:a16="http://schemas.microsoft.com/office/drawing/2014/main" id="{C721F150-7597-4390-80C2-DA6163319DE7}"/>
              </a:ext>
            </a:extLst>
          </xdr:cNvPr>
          <xdr:cNvSpPr>
            <a:spLocks/>
          </xdr:cNvSpPr>
        </xdr:nvSpPr>
        <xdr:spPr bwMode="auto">
          <a:xfrm>
            <a:off x="1319213" y="4077072"/>
            <a:ext cx="732507" cy="720080"/>
          </a:xfrm>
          <a:custGeom>
            <a:avLst/>
            <a:gdLst>
              <a:gd name="T0" fmla="*/ 0 w 4224"/>
              <a:gd name="T1" fmla="*/ 2147483647 h 2304"/>
              <a:gd name="T2" fmla="*/ 0 w 4224"/>
              <a:gd name="T3" fmla="*/ 0 h 2304"/>
              <a:gd name="T4" fmla="*/ 2147483647 w 4224"/>
              <a:gd name="T5" fmla="*/ 2147483647 h 2304"/>
              <a:gd name="T6" fmla="*/ 0 60000 65536"/>
              <a:gd name="T7" fmla="*/ 0 60000 65536"/>
              <a:gd name="T8" fmla="*/ 0 60000 65536"/>
              <a:gd name="T9" fmla="*/ 0 w 4224"/>
              <a:gd name="T10" fmla="*/ 0 h 2304"/>
              <a:gd name="T11" fmla="*/ 4224 w 4224"/>
              <a:gd name="T12" fmla="*/ 2304 h 23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24" h="2304">
                <a:moveTo>
                  <a:pt x="0" y="2304"/>
                </a:moveTo>
                <a:lnTo>
                  <a:pt x="0" y="0"/>
                </a:lnTo>
                <a:lnTo>
                  <a:pt x="4224" y="2304"/>
                </a:ln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 anchor="ctr"/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endParaRPr lang="fr-FR"/>
          </a:p>
        </xdr:txBody>
      </xdr:sp>
      <xdr:cxnSp macro="">
        <xdr:nvCxnSpPr>
          <xdr:cNvPr id="4" name="Connecteur droit 3">
            <a:extLst>
              <a:ext uri="{FF2B5EF4-FFF2-40B4-BE49-F238E27FC236}">
                <a16:creationId xmlns:a16="http://schemas.microsoft.com/office/drawing/2014/main" id="{7E7D905A-84F4-4F08-BB7C-1D212D1B2558}"/>
              </a:ext>
            </a:extLst>
          </xdr:cNvPr>
          <xdr:cNvCxnSpPr/>
        </xdr:nvCxnSpPr>
        <xdr:spPr>
          <a:xfrm>
            <a:off x="1319213" y="4797152"/>
            <a:ext cx="6925195" cy="7200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Freeform 25">
            <a:extLst>
              <a:ext uri="{FF2B5EF4-FFF2-40B4-BE49-F238E27FC236}">
                <a16:creationId xmlns:a16="http://schemas.microsoft.com/office/drawing/2014/main" id="{37E35186-845B-4138-B532-2520473A1099}"/>
              </a:ext>
            </a:extLst>
          </xdr:cNvPr>
          <xdr:cNvSpPr>
            <a:spLocks/>
          </xdr:cNvSpPr>
        </xdr:nvSpPr>
        <xdr:spPr bwMode="auto">
          <a:xfrm>
            <a:off x="2039293" y="4077072"/>
            <a:ext cx="732507" cy="720080"/>
          </a:xfrm>
          <a:custGeom>
            <a:avLst/>
            <a:gdLst>
              <a:gd name="T0" fmla="*/ 0 w 4224"/>
              <a:gd name="T1" fmla="*/ 2147483647 h 2304"/>
              <a:gd name="T2" fmla="*/ 0 w 4224"/>
              <a:gd name="T3" fmla="*/ 0 h 2304"/>
              <a:gd name="T4" fmla="*/ 2147483647 w 4224"/>
              <a:gd name="T5" fmla="*/ 2147483647 h 2304"/>
              <a:gd name="T6" fmla="*/ 0 60000 65536"/>
              <a:gd name="T7" fmla="*/ 0 60000 65536"/>
              <a:gd name="T8" fmla="*/ 0 60000 65536"/>
              <a:gd name="T9" fmla="*/ 0 w 4224"/>
              <a:gd name="T10" fmla="*/ 0 h 2304"/>
              <a:gd name="T11" fmla="*/ 4224 w 4224"/>
              <a:gd name="T12" fmla="*/ 2304 h 23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24" h="2304">
                <a:moveTo>
                  <a:pt x="0" y="2304"/>
                </a:moveTo>
                <a:lnTo>
                  <a:pt x="0" y="0"/>
                </a:lnTo>
                <a:lnTo>
                  <a:pt x="4224" y="2304"/>
                </a:ln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 anchor="ctr"/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endParaRPr lang="fr-FR"/>
          </a:p>
        </xdr:txBody>
      </xdr:sp>
      <xdr:sp macro="" textlink="">
        <xdr:nvSpPr>
          <xdr:cNvPr id="6" name="Freeform 25">
            <a:extLst>
              <a:ext uri="{FF2B5EF4-FFF2-40B4-BE49-F238E27FC236}">
                <a16:creationId xmlns:a16="http://schemas.microsoft.com/office/drawing/2014/main" id="{FFA14CC9-7ADF-4B52-B5F8-B89F95A5D527}"/>
              </a:ext>
            </a:extLst>
          </xdr:cNvPr>
          <xdr:cNvSpPr>
            <a:spLocks/>
          </xdr:cNvSpPr>
        </xdr:nvSpPr>
        <xdr:spPr bwMode="auto">
          <a:xfrm>
            <a:off x="5279653" y="4149080"/>
            <a:ext cx="732507" cy="720080"/>
          </a:xfrm>
          <a:custGeom>
            <a:avLst/>
            <a:gdLst>
              <a:gd name="T0" fmla="*/ 0 w 4224"/>
              <a:gd name="T1" fmla="*/ 2147483647 h 2304"/>
              <a:gd name="T2" fmla="*/ 0 w 4224"/>
              <a:gd name="T3" fmla="*/ 0 h 2304"/>
              <a:gd name="T4" fmla="*/ 2147483647 w 4224"/>
              <a:gd name="T5" fmla="*/ 2147483647 h 2304"/>
              <a:gd name="T6" fmla="*/ 0 60000 65536"/>
              <a:gd name="T7" fmla="*/ 0 60000 65536"/>
              <a:gd name="T8" fmla="*/ 0 60000 65536"/>
              <a:gd name="T9" fmla="*/ 0 w 4224"/>
              <a:gd name="T10" fmla="*/ 0 h 2304"/>
              <a:gd name="T11" fmla="*/ 4224 w 4224"/>
              <a:gd name="T12" fmla="*/ 2304 h 23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24" h="2304">
                <a:moveTo>
                  <a:pt x="0" y="2304"/>
                </a:moveTo>
                <a:lnTo>
                  <a:pt x="0" y="0"/>
                </a:lnTo>
                <a:lnTo>
                  <a:pt x="4224" y="2304"/>
                </a:ln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 anchor="ctr"/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endParaRPr lang="fr-FR"/>
          </a:p>
        </xdr:txBody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AFE6B482-7FFE-47C4-916E-6B0804B6237E}"/>
              </a:ext>
            </a:extLst>
          </xdr:cNvPr>
          <xdr:cNvSpPr>
            <a:spLocks/>
          </xdr:cNvSpPr>
        </xdr:nvSpPr>
        <xdr:spPr bwMode="auto">
          <a:xfrm>
            <a:off x="5999733" y="4149080"/>
            <a:ext cx="732507" cy="720080"/>
          </a:xfrm>
          <a:custGeom>
            <a:avLst/>
            <a:gdLst>
              <a:gd name="T0" fmla="*/ 0 w 4224"/>
              <a:gd name="T1" fmla="*/ 2147483647 h 2304"/>
              <a:gd name="T2" fmla="*/ 0 w 4224"/>
              <a:gd name="T3" fmla="*/ 0 h 2304"/>
              <a:gd name="T4" fmla="*/ 2147483647 w 4224"/>
              <a:gd name="T5" fmla="*/ 2147483647 h 2304"/>
              <a:gd name="T6" fmla="*/ 0 60000 65536"/>
              <a:gd name="T7" fmla="*/ 0 60000 65536"/>
              <a:gd name="T8" fmla="*/ 0 60000 65536"/>
              <a:gd name="T9" fmla="*/ 0 w 4224"/>
              <a:gd name="T10" fmla="*/ 0 h 2304"/>
              <a:gd name="T11" fmla="*/ 4224 w 4224"/>
              <a:gd name="T12" fmla="*/ 2304 h 23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24" h="2304">
                <a:moveTo>
                  <a:pt x="0" y="2304"/>
                </a:moveTo>
                <a:lnTo>
                  <a:pt x="0" y="0"/>
                </a:lnTo>
                <a:lnTo>
                  <a:pt x="4224" y="2304"/>
                </a:ln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 anchor="ctr"/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endParaRPr lang="fr-FR"/>
          </a:p>
        </xdr:txBody>
      </xdr:sp>
      <xdr:cxnSp macro="">
        <xdr:nvCxnSpPr>
          <xdr:cNvPr id="8" name="Connecteur droit 7">
            <a:extLst>
              <a:ext uri="{FF2B5EF4-FFF2-40B4-BE49-F238E27FC236}">
                <a16:creationId xmlns:a16="http://schemas.microsoft.com/office/drawing/2014/main" id="{2CBC5795-F5FC-4250-BEDF-21B50A7B8068}"/>
              </a:ext>
            </a:extLst>
          </xdr:cNvPr>
          <xdr:cNvCxnSpPr/>
        </xdr:nvCxnSpPr>
        <xdr:spPr>
          <a:xfrm flipV="1">
            <a:off x="6084168" y="2708920"/>
            <a:ext cx="0" cy="244827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ZoneTexte 11">
            <a:extLst>
              <a:ext uri="{FF2B5EF4-FFF2-40B4-BE49-F238E27FC236}">
                <a16:creationId xmlns:a16="http://schemas.microsoft.com/office/drawing/2014/main" id="{48E18030-B609-4AB7-BDB3-DE34FD167CF5}"/>
              </a:ext>
            </a:extLst>
          </xdr:cNvPr>
          <xdr:cNvSpPr txBox="1"/>
        </xdr:nvSpPr>
        <xdr:spPr>
          <a:xfrm>
            <a:off x="5868144" y="5085184"/>
            <a:ext cx="6591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1 an </a:t>
            </a:r>
          </a:p>
        </xdr:txBody>
      </xdr:sp>
      <xdr:sp macro="" textlink="">
        <xdr:nvSpPr>
          <xdr:cNvPr id="10" name="ZoneTexte 12">
            <a:extLst>
              <a:ext uri="{FF2B5EF4-FFF2-40B4-BE49-F238E27FC236}">
                <a16:creationId xmlns:a16="http://schemas.microsoft.com/office/drawing/2014/main" id="{F47C5720-CBDD-4964-8FAC-19F0FE7B61DD}"/>
              </a:ext>
            </a:extLst>
          </xdr:cNvPr>
          <xdr:cNvSpPr txBox="1"/>
        </xdr:nvSpPr>
        <xdr:spPr>
          <a:xfrm>
            <a:off x="1331640" y="4437112"/>
            <a:ext cx="46679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C1</a:t>
            </a:r>
          </a:p>
        </xdr:txBody>
      </xdr:sp>
      <xdr:sp macro="" textlink="">
        <xdr:nvSpPr>
          <xdr:cNvPr id="11" name="ZoneTexte 14">
            <a:extLst>
              <a:ext uri="{FF2B5EF4-FFF2-40B4-BE49-F238E27FC236}">
                <a16:creationId xmlns:a16="http://schemas.microsoft.com/office/drawing/2014/main" id="{FAC68565-3D91-4B0F-B828-4DEC67216380}"/>
              </a:ext>
            </a:extLst>
          </xdr:cNvPr>
          <xdr:cNvSpPr txBox="1"/>
        </xdr:nvSpPr>
        <xdr:spPr>
          <a:xfrm>
            <a:off x="1944965" y="4427820"/>
            <a:ext cx="46679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C2</a:t>
            </a:r>
          </a:p>
        </xdr:txBody>
      </xdr:sp>
      <xdr:cxnSp macro="">
        <xdr:nvCxnSpPr>
          <xdr:cNvPr id="12" name="Connecteur droit 11">
            <a:extLst>
              <a:ext uri="{FF2B5EF4-FFF2-40B4-BE49-F238E27FC236}">
                <a16:creationId xmlns:a16="http://schemas.microsoft.com/office/drawing/2014/main" id="{0654291D-E412-47BA-9611-962AA3CAA981}"/>
              </a:ext>
            </a:extLst>
          </xdr:cNvPr>
          <xdr:cNvCxnSpPr/>
        </xdr:nvCxnSpPr>
        <xdr:spPr>
          <a:xfrm flipH="1">
            <a:off x="2039294" y="4806444"/>
            <a:ext cx="12427" cy="49476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>
            <a:extLst>
              <a:ext uri="{FF2B5EF4-FFF2-40B4-BE49-F238E27FC236}">
                <a16:creationId xmlns:a16="http://schemas.microsoft.com/office/drawing/2014/main" id="{15843A20-281B-4C2C-B092-5703FBF924BC}"/>
              </a:ext>
            </a:extLst>
          </xdr:cNvPr>
          <xdr:cNvCxnSpPr/>
        </xdr:nvCxnSpPr>
        <xdr:spPr>
          <a:xfrm>
            <a:off x="1319213" y="4869160"/>
            <a:ext cx="0" cy="4320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avec flèche 13">
            <a:extLst>
              <a:ext uri="{FF2B5EF4-FFF2-40B4-BE49-F238E27FC236}">
                <a16:creationId xmlns:a16="http://schemas.microsoft.com/office/drawing/2014/main" id="{DDDA2FF7-C511-49B8-AF82-961FF8157A8F}"/>
              </a:ext>
            </a:extLst>
          </xdr:cNvPr>
          <xdr:cNvCxnSpPr/>
        </xdr:nvCxnSpPr>
        <xdr:spPr>
          <a:xfrm>
            <a:off x="1331640" y="5085184"/>
            <a:ext cx="72008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ZoneTexte 21">
            <a:extLst>
              <a:ext uri="{FF2B5EF4-FFF2-40B4-BE49-F238E27FC236}">
                <a16:creationId xmlns:a16="http://schemas.microsoft.com/office/drawing/2014/main" id="{D1AE0301-B211-4C86-BD96-F5049279E555}"/>
              </a:ext>
            </a:extLst>
          </xdr:cNvPr>
          <xdr:cNvSpPr txBox="1"/>
        </xdr:nvSpPr>
        <xdr:spPr>
          <a:xfrm>
            <a:off x="1331640" y="5085184"/>
            <a:ext cx="67197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TBO</a:t>
            </a:r>
          </a:p>
        </xdr:txBody>
      </xdr:sp>
      <xdr:sp macro="" textlink="">
        <xdr:nvSpPr>
          <xdr:cNvPr id="16" name="ZoneTexte 23">
            <a:extLst>
              <a:ext uri="{FF2B5EF4-FFF2-40B4-BE49-F238E27FC236}">
                <a16:creationId xmlns:a16="http://schemas.microsoft.com/office/drawing/2014/main" id="{713E4F3E-7819-4BF8-A8CC-D7536D4AEF71}"/>
              </a:ext>
            </a:extLst>
          </xdr:cNvPr>
          <xdr:cNvSpPr txBox="1"/>
        </xdr:nvSpPr>
        <xdr:spPr>
          <a:xfrm>
            <a:off x="5942024" y="4449254"/>
            <a:ext cx="58221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C30</a:t>
            </a:r>
          </a:p>
        </xdr:txBody>
      </xdr:sp>
      <xdr:cxnSp macro="">
        <xdr:nvCxnSpPr>
          <xdr:cNvPr id="17" name="Connecteur droit 16">
            <a:extLst>
              <a:ext uri="{FF2B5EF4-FFF2-40B4-BE49-F238E27FC236}">
                <a16:creationId xmlns:a16="http://schemas.microsoft.com/office/drawing/2014/main" id="{80F963B6-ACD0-4736-87A1-D86F474D42E4}"/>
              </a:ext>
            </a:extLst>
          </xdr:cNvPr>
          <xdr:cNvCxnSpPr/>
        </xdr:nvCxnSpPr>
        <xdr:spPr>
          <a:xfrm flipV="1">
            <a:off x="6084168" y="4149080"/>
            <a:ext cx="0" cy="68407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" name="ZoneTexte 26">
            <a:extLst>
              <a:ext uri="{FF2B5EF4-FFF2-40B4-BE49-F238E27FC236}">
                <a16:creationId xmlns:a16="http://schemas.microsoft.com/office/drawing/2014/main" id="{E8406453-E5A7-453B-B8A5-5EC04974F98F}"/>
              </a:ext>
            </a:extLst>
          </xdr:cNvPr>
          <xdr:cNvSpPr txBox="1"/>
        </xdr:nvSpPr>
        <xdr:spPr>
          <a:xfrm>
            <a:off x="899592" y="3933056"/>
            <a:ext cx="41549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25</a:t>
            </a:r>
          </a:p>
        </xdr:txBody>
      </xdr:sp>
      <xdr:cxnSp macro="">
        <xdr:nvCxnSpPr>
          <xdr:cNvPr id="19" name="Connecteur droit 18">
            <a:extLst>
              <a:ext uri="{FF2B5EF4-FFF2-40B4-BE49-F238E27FC236}">
                <a16:creationId xmlns:a16="http://schemas.microsoft.com/office/drawing/2014/main" id="{2E5867CA-72A0-4E04-A4DE-E5E633A88539}"/>
              </a:ext>
            </a:extLst>
          </xdr:cNvPr>
          <xdr:cNvCxnSpPr/>
        </xdr:nvCxnSpPr>
        <xdr:spPr>
          <a:xfrm>
            <a:off x="1107341" y="4467256"/>
            <a:ext cx="6777027" cy="4186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ZoneTexte 29">
            <a:extLst>
              <a:ext uri="{FF2B5EF4-FFF2-40B4-BE49-F238E27FC236}">
                <a16:creationId xmlns:a16="http://schemas.microsoft.com/office/drawing/2014/main" id="{C8B50DDB-4647-4F4B-A16E-07EDDFA64297}"/>
              </a:ext>
            </a:extLst>
          </xdr:cNvPr>
          <xdr:cNvSpPr txBox="1"/>
        </xdr:nvSpPr>
        <xdr:spPr>
          <a:xfrm>
            <a:off x="7452320" y="4149080"/>
            <a:ext cx="150554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Stock moyen </a:t>
            </a:r>
          </a:p>
        </xdr:txBody>
      </xdr:sp>
    </xdr:grpSp>
    <xdr:clientData/>
  </xdr:twoCellAnchor>
  <xdr:twoCellAnchor>
    <xdr:from>
      <xdr:col>3</xdr:col>
      <xdr:colOff>0</xdr:colOff>
      <xdr:row>22</xdr:row>
      <xdr:rowOff>133350</xdr:rowOff>
    </xdr:from>
    <xdr:to>
      <xdr:col>13</xdr:col>
      <xdr:colOff>228872</xdr:colOff>
      <xdr:row>46</xdr:row>
      <xdr:rowOff>35138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CF785042-7FD9-4937-8F96-3E0AA494B1AD}"/>
            </a:ext>
          </a:extLst>
        </xdr:cNvPr>
        <xdr:cNvGrpSpPr/>
      </xdr:nvGrpSpPr>
      <xdr:grpSpPr>
        <a:xfrm>
          <a:off x="2286000" y="4324350"/>
          <a:ext cx="7848872" cy="4473788"/>
          <a:chOff x="899592" y="1196752"/>
          <a:chExt cx="7848872" cy="4473788"/>
        </a:xfrm>
      </xdr:grpSpPr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5619AD43-0615-4FB1-89FF-D442DFE448AE}"/>
              </a:ext>
            </a:extLst>
          </xdr:cNvPr>
          <xdr:cNvSpPr>
            <a:spLocks/>
          </xdr:cNvSpPr>
        </xdr:nvSpPr>
        <xdr:spPr bwMode="auto">
          <a:xfrm>
            <a:off x="1319213" y="1412776"/>
            <a:ext cx="6705600" cy="3657600"/>
          </a:xfrm>
          <a:custGeom>
            <a:avLst/>
            <a:gdLst>
              <a:gd name="T0" fmla="*/ 0 w 4224"/>
              <a:gd name="T1" fmla="*/ 2147483647 h 2304"/>
              <a:gd name="T2" fmla="*/ 0 w 4224"/>
              <a:gd name="T3" fmla="*/ 0 h 2304"/>
              <a:gd name="T4" fmla="*/ 2147483647 w 4224"/>
              <a:gd name="T5" fmla="*/ 2147483647 h 2304"/>
              <a:gd name="T6" fmla="*/ 0 60000 65536"/>
              <a:gd name="T7" fmla="*/ 0 60000 65536"/>
              <a:gd name="T8" fmla="*/ 0 60000 65536"/>
              <a:gd name="T9" fmla="*/ 0 w 4224"/>
              <a:gd name="T10" fmla="*/ 0 h 2304"/>
              <a:gd name="T11" fmla="*/ 4224 w 4224"/>
              <a:gd name="T12" fmla="*/ 2304 h 2304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224" h="2304">
                <a:moveTo>
                  <a:pt x="0" y="2304"/>
                </a:moveTo>
                <a:lnTo>
                  <a:pt x="0" y="0"/>
                </a:lnTo>
                <a:lnTo>
                  <a:pt x="4224" y="2304"/>
                </a:lnTo>
              </a:path>
            </a:pathLst>
          </a:custGeom>
          <a:noFill/>
          <a:ln w="28575">
            <a:solidFill>
              <a:schemeClr val="tx1"/>
            </a:solidFill>
            <a:round/>
            <a:headEnd/>
            <a:tailEnd/>
          </a:ln>
        </xdr:spPr>
        <xdr:txBody>
          <a:bodyPr wrap="square" anchor="ctr"/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endParaRPr lang="fr-FR"/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CB51891F-4A8F-46DB-B450-9034855C8DC2}"/>
              </a:ext>
            </a:extLst>
          </xdr:cNvPr>
          <xdr:cNvCxnSpPr>
            <a:cxnSpLocks/>
          </xdr:cNvCxnSpPr>
        </xdr:nvCxnSpPr>
        <xdr:spPr>
          <a:xfrm>
            <a:off x="1319213" y="5070376"/>
            <a:ext cx="74292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ZoneTexte 7">
            <a:extLst>
              <a:ext uri="{FF2B5EF4-FFF2-40B4-BE49-F238E27FC236}">
                <a16:creationId xmlns:a16="http://schemas.microsoft.com/office/drawing/2014/main" id="{AC47595C-8662-4EB1-90D3-3C7800EDBEBD}"/>
              </a:ext>
            </a:extLst>
          </xdr:cNvPr>
          <xdr:cNvSpPr txBox="1"/>
        </xdr:nvSpPr>
        <xdr:spPr>
          <a:xfrm>
            <a:off x="1115616" y="5301208"/>
            <a:ext cx="40267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SI</a:t>
            </a:r>
          </a:p>
        </xdr:txBody>
      </xdr:sp>
      <xdr:sp macro="" textlink="">
        <xdr:nvSpPr>
          <xdr:cNvPr id="25" name="ZoneTexte 9">
            <a:extLst>
              <a:ext uri="{FF2B5EF4-FFF2-40B4-BE49-F238E27FC236}">
                <a16:creationId xmlns:a16="http://schemas.microsoft.com/office/drawing/2014/main" id="{7ADCB0DE-76EB-47B5-84F5-E95207881ABB}"/>
              </a:ext>
            </a:extLst>
          </xdr:cNvPr>
          <xdr:cNvSpPr txBox="1"/>
        </xdr:nvSpPr>
        <xdr:spPr>
          <a:xfrm>
            <a:off x="7797827" y="5133964"/>
            <a:ext cx="45397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SF</a:t>
            </a:r>
          </a:p>
        </xdr:txBody>
      </xdr:sp>
      <xdr:sp macro="" textlink="">
        <xdr:nvSpPr>
          <xdr:cNvPr id="26" name="ZoneTexte 10">
            <a:extLst>
              <a:ext uri="{FF2B5EF4-FFF2-40B4-BE49-F238E27FC236}">
                <a16:creationId xmlns:a16="http://schemas.microsoft.com/office/drawing/2014/main" id="{93D9E4CD-1956-4DC6-AC85-5F4BC846C82B}"/>
              </a:ext>
            </a:extLst>
          </xdr:cNvPr>
          <xdr:cNvSpPr txBox="1"/>
        </xdr:nvSpPr>
        <xdr:spPr>
          <a:xfrm>
            <a:off x="5358350" y="2627620"/>
            <a:ext cx="216597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Smoyen = (SI+SF)/2</a:t>
            </a:r>
          </a:p>
        </xdr:txBody>
      </xdr:sp>
      <xdr:cxnSp macro="">
        <xdr:nvCxnSpPr>
          <xdr:cNvPr id="27" name="Connecteur droit 26">
            <a:extLst>
              <a:ext uri="{FF2B5EF4-FFF2-40B4-BE49-F238E27FC236}">
                <a16:creationId xmlns:a16="http://schemas.microsoft.com/office/drawing/2014/main" id="{F8C4E540-C08B-421D-9DD3-7F4C5BC2CFC5}"/>
              </a:ext>
            </a:extLst>
          </xdr:cNvPr>
          <xdr:cNvCxnSpPr>
            <a:cxnSpLocks/>
          </xdr:cNvCxnSpPr>
        </xdr:nvCxnSpPr>
        <xdr:spPr>
          <a:xfrm flipV="1">
            <a:off x="1319213" y="3212977"/>
            <a:ext cx="6705599" cy="6358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Connecteur droit 27">
            <a:extLst>
              <a:ext uri="{FF2B5EF4-FFF2-40B4-BE49-F238E27FC236}">
                <a16:creationId xmlns:a16="http://schemas.microsoft.com/office/drawing/2014/main" id="{84460E83-DD07-412E-A489-88C326934A6C}"/>
              </a:ext>
            </a:extLst>
          </xdr:cNvPr>
          <xdr:cNvCxnSpPr/>
        </xdr:nvCxnSpPr>
        <xdr:spPr>
          <a:xfrm flipH="1">
            <a:off x="1403648" y="22768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Connecteur droit 28">
            <a:extLst>
              <a:ext uri="{FF2B5EF4-FFF2-40B4-BE49-F238E27FC236}">
                <a16:creationId xmlns:a16="http://schemas.microsoft.com/office/drawing/2014/main" id="{4355694E-40F1-49BA-892E-053DF1666A3C}"/>
              </a:ext>
            </a:extLst>
          </xdr:cNvPr>
          <xdr:cNvCxnSpPr/>
        </xdr:nvCxnSpPr>
        <xdr:spPr>
          <a:xfrm flipH="1">
            <a:off x="1556048" y="24292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Connecteur droit 29">
            <a:extLst>
              <a:ext uri="{FF2B5EF4-FFF2-40B4-BE49-F238E27FC236}">
                <a16:creationId xmlns:a16="http://schemas.microsoft.com/office/drawing/2014/main" id="{A1F4E1A0-60F0-4251-815B-F84EEB207F47}"/>
              </a:ext>
            </a:extLst>
          </xdr:cNvPr>
          <xdr:cNvCxnSpPr/>
        </xdr:nvCxnSpPr>
        <xdr:spPr>
          <a:xfrm flipH="1">
            <a:off x="1708448" y="25816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Connecteur droit 30">
            <a:extLst>
              <a:ext uri="{FF2B5EF4-FFF2-40B4-BE49-F238E27FC236}">
                <a16:creationId xmlns:a16="http://schemas.microsoft.com/office/drawing/2014/main" id="{5810BB56-40D3-4121-AEF0-2D0B865DA362}"/>
              </a:ext>
            </a:extLst>
          </xdr:cNvPr>
          <xdr:cNvCxnSpPr/>
        </xdr:nvCxnSpPr>
        <xdr:spPr>
          <a:xfrm flipH="1">
            <a:off x="1860848" y="27340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Connecteur droit 31">
            <a:extLst>
              <a:ext uri="{FF2B5EF4-FFF2-40B4-BE49-F238E27FC236}">
                <a16:creationId xmlns:a16="http://schemas.microsoft.com/office/drawing/2014/main" id="{DF6434B6-F95D-4A49-A06E-C6CF30B64CC3}"/>
              </a:ext>
            </a:extLst>
          </xdr:cNvPr>
          <xdr:cNvCxnSpPr/>
        </xdr:nvCxnSpPr>
        <xdr:spPr>
          <a:xfrm flipH="1">
            <a:off x="2013248" y="28864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Connecteur droit 32">
            <a:extLst>
              <a:ext uri="{FF2B5EF4-FFF2-40B4-BE49-F238E27FC236}">
                <a16:creationId xmlns:a16="http://schemas.microsoft.com/office/drawing/2014/main" id="{E680A62A-0CFA-4CB0-AEF4-FB2A9D9F0D79}"/>
              </a:ext>
            </a:extLst>
          </xdr:cNvPr>
          <xdr:cNvCxnSpPr/>
        </xdr:nvCxnSpPr>
        <xdr:spPr>
          <a:xfrm flipH="1">
            <a:off x="2165648" y="30388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Connecteur droit 33">
            <a:extLst>
              <a:ext uri="{FF2B5EF4-FFF2-40B4-BE49-F238E27FC236}">
                <a16:creationId xmlns:a16="http://schemas.microsoft.com/office/drawing/2014/main" id="{55FB2CA5-D302-4D86-A78B-8D7E95B26112}"/>
              </a:ext>
            </a:extLst>
          </xdr:cNvPr>
          <xdr:cNvCxnSpPr/>
        </xdr:nvCxnSpPr>
        <xdr:spPr>
          <a:xfrm flipH="1">
            <a:off x="2318048" y="31912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Connecteur droit 34">
            <a:extLst>
              <a:ext uri="{FF2B5EF4-FFF2-40B4-BE49-F238E27FC236}">
                <a16:creationId xmlns:a16="http://schemas.microsoft.com/office/drawing/2014/main" id="{9EF3B43B-73DA-4833-A97A-A342A478E175}"/>
              </a:ext>
            </a:extLst>
          </xdr:cNvPr>
          <xdr:cNvCxnSpPr/>
        </xdr:nvCxnSpPr>
        <xdr:spPr>
          <a:xfrm flipH="1">
            <a:off x="2470448" y="33436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Connecteur droit 35">
            <a:extLst>
              <a:ext uri="{FF2B5EF4-FFF2-40B4-BE49-F238E27FC236}">
                <a16:creationId xmlns:a16="http://schemas.microsoft.com/office/drawing/2014/main" id="{5F3055AC-F2D4-4DCD-B949-1D3DEE169EDA}"/>
              </a:ext>
            </a:extLst>
          </xdr:cNvPr>
          <xdr:cNvCxnSpPr/>
        </xdr:nvCxnSpPr>
        <xdr:spPr>
          <a:xfrm flipH="1">
            <a:off x="2622848" y="34960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Connecteur droit 36">
            <a:extLst>
              <a:ext uri="{FF2B5EF4-FFF2-40B4-BE49-F238E27FC236}">
                <a16:creationId xmlns:a16="http://schemas.microsoft.com/office/drawing/2014/main" id="{1FF20C26-8117-44BE-B13F-06C15629E413}"/>
              </a:ext>
            </a:extLst>
          </xdr:cNvPr>
          <xdr:cNvCxnSpPr/>
        </xdr:nvCxnSpPr>
        <xdr:spPr>
          <a:xfrm flipH="1">
            <a:off x="2775248" y="3648472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Connecteur droit 37">
            <a:extLst>
              <a:ext uri="{FF2B5EF4-FFF2-40B4-BE49-F238E27FC236}">
                <a16:creationId xmlns:a16="http://schemas.microsoft.com/office/drawing/2014/main" id="{8F5F3237-2C34-4E6E-8F56-DCA4A983F3E5}"/>
              </a:ext>
            </a:extLst>
          </xdr:cNvPr>
          <xdr:cNvCxnSpPr/>
        </xdr:nvCxnSpPr>
        <xdr:spPr>
          <a:xfrm flipH="1">
            <a:off x="3240555" y="3504059"/>
            <a:ext cx="1296144" cy="14401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ZoneTexte 25">
            <a:extLst>
              <a:ext uri="{FF2B5EF4-FFF2-40B4-BE49-F238E27FC236}">
                <a16:creationId xmlns:a16="http://schemas.microsoft.com/office/drawing/2014/main" id="{D443A270-2BF0-49DE-8DD5-64A244EC4AED}"/>
              </a:ext>
            </a:extLst>
          </xdr:cNvPr>
          <xdr:cNvSpPr txBox="1"/>
        </xdr:nvSpPr>
        <xdr:spPr>
          <a:xfrm>
            <a:off x="899592" y="1196752"/>
            <a:ext cx="47961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fr-FR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Times New Roman" pitchFamily="18" charset="0"/>
                <a:ea typeface="Arial Unicode MS" pitchFamily="34" charset="-128"/>
                <a:cs typeface="Arial Unicode MS" pitchFamily="34" charset="-128"/>
              </a:defRPr>
            </a:lvl9pPr>
          </a:lstStyle>
          <a:p>
            <a:r>
              <a:rPr lang="fr-FR"/>
              <a:t>Q*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119062</xdr:rowOff>
    </xdr:from>
    <xdr:to>
      <xdr:col>12</xdr:col>
      <xdr:colOff>761999</xdr:colOff>
      <xdr:row>22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E01FCC1-0EA4-4782-BB78-93115F7ED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32</xdr:row>
      <xdr:rowOff>76200</xdr:rowOff>
    </xdr:from>
    <xdr:to>
      <xdr:col>11</xdr:col>
      <xdr:colOff>180975</xdr:colOff>
      <xdr:row>43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0</xdr:col>
      <xdr:colOff>4133851</xdr:colOff>
      <xdr:row>13</xdr:row>
      <xdr:rowOff>106963</xdr:rowOff>
    </xdr:to>
    <xdr:sp macro="" textlink="">
      <xdr:nvSpPr>
        <xdr:cNvPr id="2" name="ZoneTexte 5">
          <a:extLst>
            <a:ext uri="{FF2B5EF4-FFF2-40B4-BE49-F238E27FC236}">
              <a16:creationId xmlns:a16="http://schemas.microsoft.com/office/drawing/2014/main" id="{4582CD04-4B9E-4CBE-8B2A-92CFF4832495}"/>
            </a:ext>
          </a:extLst>
        </xdr:cNvPr>
        <xdr:cNvSpPr txBox="1"/>
      </xdr:nvSpPr>
      <xdr:spPr>
        <a:xfrm>
          <a:off x="1" y="190500"/>
          <a:ext cx="4133850" cy="2392963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fr-FR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5pPr>
          <a:lvl6pPr marL="22860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6pPr>
          <a:lvl7pPr marL="27432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7pPr>
          <a:lvl8pPr marL="32004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8pPr>
          <a:lvl9pPr marL="36576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9pPr>
        </a:lstStyle>
        <a:p>
          <a:r>
            <a:rPr lang="fr-FR" sz="1200"/>
            <a:t>En une unité de temps (1h) par exemple, je produis p articles et je consomme également d articles</a:t>
          </a:r>
        </a:p>
        <a:p>
          <a:r>
            <a:rPr lang="fr-FR" sz="1200"/>
            <a:t>Je veux produire Q articles : il me faut (Q/p) unité de temps ; pendant ce temps là j’en ai consommé (Q/p).d</a:t>
          </a:r>
        </a:p>
        <a:p>
          <a:endParaRPr lang="fr-FR" sz="1200"/>
        </a:p>
        <a:p>
          <a:r>
            <a:rPr lang="fr-FR" sz="1200"/>
            <a:t>Donc le maximum que je peux atteindre en produisant Q unités est</a:t>
          </a:r>
        </a:p>
        <a:p>
          <a:r>
            <a:rPr lang="fr-FR" sz="1200"/>
            <a:t> Q’ = (Q/p)*p – (Q/p)*d = ((p-d)/p)*Q</a:t>
          </a:r>
        </a:p>
        <a:p>
          <a:endParaRPr lang="fr-FR" sz="1200"/>
        </a:p>
        <a:p>
          <a:r>
            <a:rPr lang="fr-FR" sz="1200"/>
            <a:t>Exemple : production p = 50/h et d= 20/h et je produis en 8h de travail Q= 400 pièces alors j’atteins en fin de journée Q’ = (30/50)*400 = 240 pièces en stock maximum en fin de journée 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3629025</xdr:colOff>
      <xdr:row>6</xdr:row>
      <xdr:rowOff>218271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8A47CF-8962-4535-81E6-6D1DA8F110EB}"/>
            </a:ext>
          </a:extLst>
        </xdr:cNvPr>
        <xdr:cNvSpPr>
          <a:spLocks noChangeArrowheads="1"/>
        </xdr:cNvSpPr>
      </xdr:nvSpPr>
      <xdr:spPr bwMode="auto">
        <a:xfrm>
          <a:off x="8467725" y="190500"/>
          <a:ext cx="3629025" cy="1551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fr-FR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5pPr>
          <a:lvl6pPr marL="22860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6pPr>
          <a:lvl7pPr marL="27432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7pPr>
          <a:lvl8pPr marL="32004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8pPr>
          <a:lvl9pPr marL="3657600" algn="l" defTabSz="914400" rtl="0" eaLnBrk="1" latinLnBrk="0" hangingPunct="1">
            <a:defRPr b="1" kern="1200">
              <a:solidFill>
                <a:schemeClr val="tx1"/>
              </a:solidFill>
              <a:latin typeface="Times New Roman" pitchFamily="18" charset="0"/>
              <a:ea typeface="Arial Unicode MS" pitchFamily="34" charset="-128"/>
              <a:cs typeface="Arial Unicode MS" pitchFamily="34" charset="-128"/>
            </a:defRPr>
          </a:lvl9pPr>
        </a:lstStyle>
        <a:p>
          <a:pPr algn="l"/>
          <a:r>
            <a:rPr lang="fr-FR">
              <a:solidFill>
                <a:srgbClr val="002060"/>
              </a:solidFill>
            </a:rPr>
            <a:t>Q* = racine (2*10000*100)/0,5) *racine (13333,33/(13333,33-10000) = 2000*2 = 4000 unités</a:t>
          </a:r>
        </a:p>
        <a:p>
          <a:pPr algn="l"/>
          <a:endParaRPr lang="fr-FR">
            <a:solidFill>
              <a:srgbClr val="002060"/>
            </a:solidFill>
          </a:endParaRPr>
        </a:p>
        <a:p>
          <a:pPr algn="l"/>
          <a:r>
            <a:rPr lang="fr-FR">
              <a:solidFill>
                <a:srgbClr val="002060"/>
              </a:solidFill>
            </a:rPr>
            <a:t>TC hors achat = (10000/4000)*100 + ½( (13333,33-10000)/10000 )4000 *0,5 = 250+250 = 500 €</a:t>
          </a:r>
        </a:p>
        <a:p>
          <a:pPr algn="l"/>
          <a:endParaRPr lang="fr-FR">
            <a:solidFill>
              <a:srgbClr val="002060"/>
            </a:solidFill>
          </a:endParaRPr>
        </a:p>
        <a:p>
          <a:pPr algn="l"/>
          <a:r>
            <a:rPr lang="fr-FR">
              <a:solidFill>
                <a:srgbClr val="002060"/>
              </a:solidFill>
            </a:rPr>
            <a:t>Q1 = (p-d)/p * q = 4000*(3333,33/13333) = 1000 unités</a:t>
          </a:r>
        </a:p>
        <a:p>
          <a:pPr algn="l"/>
          <a:r>
            <a:rPr lang="fr-FR">
              <a:solidFill>
                <a:srgbClr val="002060"/>
              </a:solidFill>
            </a:rPr>
            <a:t>Q1/2 = 500  so it is a palette at average and 2 palettes at maximum)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13</xdr:row>
      <xdr:rowOff>19050</xdr:rowOff>
    </xdr:from>
    <xdr:to>
      <xdr:col>16</xdr:col>
      <xdr:colOff>476250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%20Drive\S1-20-21\UVT-20-21\Module%20Gestion%20des%20Pr&#233;visions%20et%20des%20Stocks-GPS\Activit&#233;s\Tout-Stocks%20V12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12-Enoncé-Appro-Graduel"/>
      <sheetName val="Ex15C-Enoncé-SS-Pénurie"/>
      <sheetName val="Ex11C4-Enoncé-ELS-Autotun"/>
      <sheetName val="Ex11C3-Enoncé-ELS-Chausures"/>
      <sheetName val="Ex16C2-Enonc-Groupage 7 Ref"/>
      <sheetName val="Ex16C2-Corrigé-Groupage 7 Ref"/>
      <sheetName val="Ex11C2-Enoncé-ELS-Quincaillerie"/>
      <sheetName val="Ex5C2-Enoncé-EOQ-Valeo(simple)"/>
      <sheetName val="Ex11C1-Enoncé-ELS-Casino"/>
      <sheetName val="Ex1C1-Enoncé-EOQ-STIP"/>
      <sheetName val="Ex1C1-Enoncé-ABC-Qté-Valeur"/>
      <sheetName val="Ex1C2-Enoncé-ABC-Qté-Valeur"/>
      <sheetName val="Ex8C-Enon-Demande Fluct-Ruptur"/>
      <sheetName val="Ex2C-Enoncé-Généralités"/>
      <sheetName val="Ex2C-Corrigé-Généralités"/>
      <sheetName val="Ex1-ABC-Basique"/>
      <sheetName val="Ex2-ABC-coût-Valeur"/>
      <sheetName val="Ex1C-Enon-ABC-Combiné-Criticité"/>
      <sheetName val="Ex1C-Cor-ABC-Combiné-Criticité"/>
      <sheetName val="Ex-ABC"/>
      <sheetName val="Ex3-Wilson-TV"/>
      <sheetName val="Ex3 corrigé-Wilson-TV"/>
      <sheetName val="Ex-Gestion-Viande-Hôpital"/>
      <sheetName val="Ex4-Tracé-CT-G-Stock"/>
      <sheetName val="Ex4-Corr-Tracé-CT-G-Stock"/>
      <sheetName val="Ex5-cp-cl-vierge"/>
      <sheetName val="Ex5-cp-cl-corrigé-V1"/>
      <sheetName val="Ex5-cp-cl-CorrigéV2"/>
      <sheetName val="Ex6-Remis-ESC-Unif-Tranches"/>
      <sheetName val="Ex6-Cor-Remis-ESC-Unif-Tranches"/>
      <sheetName val="Ex7-ELS(BMW)"/>
      <sheetName val="Ex8-Changement-Demande"/>
      <sheetName val="Ex9-Réduction-Coût-Lancement"/>
      <sheetName val="Ex10-Réduction-Variété-Produit"/>
      <sheetName val="Exo-Shopra-Avec Remise"/>
      <sheetName val="Exercice Poullailler avec remis"/>
      <sheetName val="Ex13-Point Commande vierge"/>
      <sheetName val="EX13-Cor-PointdeCommande"/>
      <sheetName val="Ex14-recomplet Period grille"/>
      <sheetName val="Ex14-Cor Recomplèt périodique"/>
      <sheetName val="Prod-Conso simultan-Chauss"/>
      <sheetName val="Ex4C-Enoncé-Stocks Perissables"/>
      <sheetName val="Ex4C-Corrigé-Stocks Perissables"/>
      <sheetName val="Exo18C-Enon-Pénurie-GUITEX"/>
      <sheetName val="GStock-2pdts-Simultan"/>
      <sheetName val="Corrigé-GStock-2pdts-Simultan"/>
      <sheetName val="Ex15-Groupage Commande"/>
      <sheetName val="Ex16C1-Enonc-Groupage"/>
      <sheetName val="Ex16C1-Corrigé-Groupage3Ltop"/>
      <sheetName val="Ex ELS-PoignePorte"/>
      <sheetName val="Ex-Exam-UVT-Mome-Janv20"/>
      <sheetName val="Ex18-1-18-2-18-3-SS"/>
      <sheetName val="Stock Sécurité"/>
      <sheetName val="Ex3C-Enoncé-Carré d'or"/>
      <sheetName val="Ex3C-Corrigé-Carré d'or"/>
      <sheetName val="Ex5C-Enoncé-Lubri-Conso-Irr"/>
      <sheetName val="Ex5C-Corrigé-Lubri-Conso-Irr"/>
      <sheetName val="Ex6C-Enoncé-2 casiers-2 fourn"/>
      <sheetName val="Ex7c-Enoncé-Comde simp-groupée"/>
      <sheetName val="Ex9C-Gestion Stock 50Ref"/>
      <sheetName val="Ex10C-Enon-Choix Fourn-Remis"/>
      <sheetName val="Ex11C-Enon-Choix-2four-Remis"/>
      <sheetName val="Ex12C-Enonc-Plan-Appro-6mois"/>
      <sheetName val="Ex13C-Enonc-SS2 articles"/>
      <sheetName val="EX14C-Enonc-Taux de rotation"/>
      <sheetName val="Tout-Stocks V1205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7">
          <cell r="P7" t="str">
            <v>(CP)</v>
          </cell>
          <cell r="Q7" t="str">
            <v>(CL)</v>
          </cell>
          <cell r="R7" t="str">
            <v>(CP + CL)</v>
          </cell>
        </row>
        <row r="8">
          <cell r="O8">
            <v>50</v>
          </cell>
          <cell r="P8">
            <v>35</v>
          </cell>
          <cell r="Q8">
            <v>2000</v>
          </cell>
          <cell r="R8">
            <v>2035</v>
          </cell>
        </row>
        <row r="9">
          <cell r="O9">
            <v>80</v>
          </cell>
          <cell r="P9">
            <v>56</v>
          </cell>
          <cell r="Q9">
            <v>1500</v>
          </cell>
          <cell r="R9">
            <v>1556</v>
          </cell>
        </row>
        <row r="10">
          <cell r="O10">
            <v>100</v>
          </cell>
          <cell r="P10">
            <v>70</v>
          </cell>
          <cell r="Q10">
            <v>1200</v>
          </cell>
          <cell r="R10">
            <v>1270</v>
          </cell>
        </row>
        <row r="11">
          <cell r="O11">
            <v>200</v>
          </cell>
          <cell r="P11">
            <v>140</v>
          </cell>
          <cell r="Q11">
            <v>1000</v>
          </cell>
          <cell r="R11">
            <v>1140</v>
          </cell>
        </row>
        <row r="12">
          <cell r="O12">
            <v>400</v>
          </cell>
          <cell r="P12">
            <v>280</v>
          </cell>
          <cell r="Q12">
            <v>500</v>
          </cell>
          <cell r="R12">
            <v>780</v>
          </cell>
        </row>
        <row r="13">
          <cell r="O13">
            <v>500</v>
          </cell>
          <cell r="P13">
            <v>350</v>
          </cell>
          <cell r="Q13">
            <v>400</v>
          </cell>
          <cell r="R13">
            <v>750</v>
          </cell>
        </row>
        <row r="14">
          <cell r="O14">
            <v>600</v>
          </cell>
          <cell r="P14">
            <v>420</v>
          </cell>
          <cell r="Q14">
            <v>333.33</v>
          </cell>
          <cell r="R14">
            <v>753.33</v>
          </cell>
        </row>
        <row r="15">
          <cell r="O15">
            <v>700</v>
          </cell>
          <cell r="P15">
            <v>490</v>
          </cell>
          <cell r="Q15">
            <v>285.70999999999998</v>
          </cell>
          <cell r="R15">
            <v>775.71</v>
          </cell>
        </row>
        <row r="16">
          <cell r="O16">
            <v>800</v>
          </cell>
          <cell r="P16">
            <v>560</v>
          </cell>
          <cell r="Q16">
            <v>250</v>
          </cell>
          <cell r="R16">
            <v>810</v>
          </cell>
        </row>
        <row r="17">
          <cell r="O17">
            <v>1000</v>
          </cell>
          <cell r="P17">
            <v>700</v>
          </cell>
          <cell r="Q17">
            <v>200</v>
          </cell>
          <cell r="R17">
            <v>900</v>
          </cell>
        </row>
        <row r="18">
          <cell r="O18">
            <v>1500</v>
          </cell>
          <cell r="P18">
            <v>1050</v>
          </cell>
          <cell r="Q18">
            <v>133.33000000000001</v>
          </cell>
          <cell r="R18">
            <v>1183.33</v>
          </cell>
        </row>
        <row r="19">
          <cell r="O19">
            <v>3000</v>
          </cell>
          <cell r="P19">
            <v>2100</v>
          </cell>
          <cell r="Q19">
            <v>66.67</v>
          </cell>
          <cell r="R19">
            <v>2166.67</v>
          </cell>
        </row>
        <row r="20">
          <cell r="O20">
            <v>4000</v>
          </cell>
          <cell r="P20">
            <v>2800</v>
          </cell>
          <cell r="Q20">
            <v>50</v>
          </cell>
          <cell r="R20">
            <v>2850</v>
          </cell>
        </row>
        <row r="21">
          <cell r="O21">
            <v>6000</v>
          </cell>
          <cell r="P21">
            <v>4200</v>
          </cell>
          <cell r="Q21">
            <v>33.33</v>
          </cell>
          <cell r="R21">
            <v>4233.33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au1" displayName="Tableau1" ref="F6:M26" totalsRowShown="0" headerRowDxfId="9" dataDxfId="8">
  <autoFilter ref="F6:M26" xr:uid="{00000000-0009-0000-0100-000001000000}"/>
  <tableColumns count="8">
    <tableColumn id="1" xr3:uid="{00000000-0010-0000-0200-000001000000}" name="Date" dataDxfId="7"/>
    <tableColumn id="2" xr3:uid="{00000000-0010-0000-0200-000002000000}" name="StockDébut" dataDxfId="6"/>
    <tableColumn id="3" xr3:uid="{00000000-0010-0000-0200-000003000000}" name="Ventes journalières" dataDxfId="5"/>
    <tableColumn id="4" xr3:uid="{00000000-0010-0000-0200-000004000000}" name="StockFin" dataDxfId="4">
      <calculatedColumnFormula>Tableau1[[#This Row],[StockDébut]]-Tableau1[[#This Row],[Ventes journalières]]</calculatedColumnFormula>
    </tableColumn>
    <tableColumn id="5" xr3:uid="{00000000-0010-0000-0200-000005000000}" name="LancementCom" dataDxfId="3"/>
    <tableColumn id="6" xr3:uid="{00000000-0010-0000-0200-000006000000}" name="Reception de commande" dataDxfId="2"/>
    <tableColumn id="7" xr3:uid="{00000000-0010-0000-0200-000007000000}" name="Cout de possession" dataDxfId="1">
      <calculatedColumnFormula>50*(Tableau1[[#This Row],[StockFin]]+Tableau1[[#This Row],[StockDébut]])/(2*360)</calculatedColumnFormula>
    </tableColumn>
    <tableColumn id="8" xr3:uid="{00000000-0010-0000-0200-000008000000}" name="Colonne2" dataDxfId="0">
      <calculatedColumnFormula>IF(Tableau1[[#This Row],[LancementCom]]&lt;&gt;0,100,0)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4"/>
  <sheetViews>
    <sheetView zoomScale="115" zoomScaleNormal="115" workbookViewId="0">
      <selection activeCell="C1" sqref="C1"/>
    </sheetView>
  </sheetViews>
  <sheetFormatPr baseColWidth="10" defaultRowHeight="15"/>
  <cols>
    <col min="1" max="1" width="1.85546875" customWidth="1"/>
    <col min="2" max="2" width="1.42578125" customWidth="1"/>
    <col min="3" max="3" width="16.28515625" bestFit="1" customWidth="1"/>
    <col min="4" max="4" width="14.5703125" bestFit="1" customWidth="1"/>
    <col min="5" max="5" width="1.7109375" customWidth="1"/>
    <col min="6" max="6" width="1.5703125" customWidth="1"/>
    <col min="8" max="8" width="14.5703125" bestFit="1" customWidth="1"/>
  </cols>
  <sheetData>
    <row r="1" spans="3:11">
      <c r="C1" s="82" t="s">
        <v>192</v>
      </c>
    </row>
    <row r="3" spans="3:11">
      <c r="C3" s="12" t="s">
        <v>193</v>
      </c>
      <c r="D3" s="12" t="s">
        <v>53</v>
      </c>
      <c r="G3" s="12" t="s">
        <v>193</v>
      </c>
      <c r="H3" s="12" t="s">
        <v>53</v>
      </c>
      <c r="I3" s="67" t="s">
        <v>55</v>
      </c>
      <c r="J3" s="67" t="s">
        <v>56</v>
      </c>
    </row>
    <row r="4" spans="3:11">
      <c r="C4" s="12" t="s">
        <v>57</v>
      </c>
      <c r="D4" s="12">
        <v>3</v>
      </c>
      <c r="G4" s="12" t="s">
        <v>60</v>
      </c>
      <c r="H4" s="12">
        <v>45</v>
      </c>
      <c r="I4" s="68">
        <f>SUM(H$4:H4)/H$14</f>
        <v>0.45</v>
      </c>
      <c r="J4" s="67" t="str">
        <f>IF(I4&lt;80%,"A",IF(I4&lt;95%,"B","C"))</f>
        <v>A</v>
      </c>
    </row>
    <row r="5" spans="3:11">
      <c r="C5" s="12" t="s">
        <v>58</v>
      </c>
      <c r="D5" s="12">
        <v>5</v>
      </c>
      <c r="G5" s="12" t="s">
        <v>63</v>
      </c>
      <c r="H5" s="12">
        <v>36</v>
      </c>
      <c r="I5" s="68">
        <f>SUM(H$4:H5)/H$14</f>
        <v>0.81</v>
      </c>
      <c r="J5" s="89" t="s">
        <v>89</v>
      </c>
    </row>
    <row r="6" spans="3:11">
      <c r="C6" s="12" t="s">
        <v>59</v>
      </c>
      <c r="D6" s="12">
        <v>3</v>
      </c>
      <c r="G6" s="12" t="s">
        <v>58</v>
      </c>
      <c r="H6" s="12">
        <v>5</v>
      </c>
      <c r="I6" s="68">
        <f>SUM(H$4:H6)/H$14</f>
        <v>0.86</v>
      </c>
      <c r="J6" s="67" t="str">
        <f t="shared" ref="J6:J13" si="0">IF(I6&lt;80%,"A",IF(I6&lt;95%,"B","C"))</f>
        <v>B</v>
      </c>
    </row>
    <row r="7" spans="3:11">
      <c r="C7" s="12" t="s">
        <v>60</v>
      </c>
      <c r="D7" s="12">
        <v>45</v>
      </c>
      <c r="G7" s="12" t="s">
        <v>57</v>
      </c>
      <c r="H7" s="12">
        <v>3</v>
      </c>
      <c r="I7" s="68">
        <f>SUM(H$4:H7)/H$14</f>
        <v>0.89</v>
      </c>
      <c r="J7" s="67" t="str">
        <f t="shared" si="0"/>
        <v>B</v>
      </c>
    </row>
    <row r="8" spans="3:11">
      <c r="C8" s="12" t="s">
        <v>61</v>
      </c>
      <c r="D8" s="12">
        <v>2</v>
      </c>
      <c r="G8" s="12" t="s">
        <v>59</v>
      </c>
      <c r="H8" s="12">
        <v>3</v>
      </c>
      <c r="I8" s="68">
        <f>SUM(H$4:H8)/H$14</f>
        <v>0.92</v>
      </c>
      <c r="J8" s="67" t="str">
        <f t="shared" si="0"/>
        <v>B</v>
      </c>
    </row>
    <row r="9" spans="3:11">
      <c r="C9" s="12" t="s">
        <v>62</v>
      </c>
      <c r="D9" s="12">
        <v>2</v>
      </c>
      <c r="G9" s="12" t="s">
        <v>61</v>
      </c>
      <c r="H9" s="12">
        <v>2</v>
      </c>
      <c r="I9" s="68">
        <f>SUM(H$4:H9)/H$14</f>
        <v>0.94</v>
      </c>
      <c r="J9" s="67" t="str">
        <f t="shared" si="0"/>
        <v>B</v>
      </c>
    </row>
    <row r="10" spans="3:11">
      <c r="C10" s="12" t="s">
        <v>63</v>
      </c>
      <c r="D10" s="12">
        <v>36</v>
      </c>
      <c r="G10" s="12" t="s">
        <v>62</v>
      </c>
      <c r="H10" s="12">
        <v>2</v>
      </c>
      <c r="I10" s="68">
        <f>SUM(H$4:H10)/H$14</f>
        <v>0.96</v>
      </c>
      <c r="J10" s="89" t="s">
        <v>90</v>
      </c>
      <c r="K10" t="s">
        <v>194</v>
      </c>
    </row>
    <row r="11" spans="3:11">
      <c r="C11" s="12" t="s">
        <v>64</v>
      </c>
      <c r="D11" s="12">
        <v>1.5</v>
      </c>
      <c r="G11" s="12" t="s">
        <v>64</v>
      </c>
      <c r="H11" s="12">
        <v>1.5</v>
      </c>
      <c r="I11" s="68">
        <f>SUM(H$4:H11)/H$14</f>
        <v>0.97499999999999998</v>
      </c>
      <c r="J11" s="67" t="str">
        <f t="shared" si="0"/>
        <v>C</v>
      </c>
    </row>
    <row r="12" spans="3:11">
      <c r="C12" s="12" t="s">
        <v>65</v>
      </c>
      <c r="D12" s="12">
        <v>1.5</v>
      </c>
      <c r="G12" s="12" t="s">
        <v>65</v>
      </c>
      <c r="H12" s="12">
        <v>1.5</v>
      </c>
      <c r="I12" s="68">
        <f>SUM(H$4:H12)/H$14</f>
        <v>0.99</v>
      </c>
      <c r="J12" s="67" t="str">
        <f t="shared" si="0"/>
        <v>C</v>
      </c>
    </row>
    <row r="13" spans="3:11">
      <c r="C13" s="12" t="s">
        <v>66</v>
      </c>
      <c r="D13" s="12">
        <v>1</v>
      </c>
      <c r="G13" s="12" t="s">
        <v>66</v>
      </c>
      <c r="H13" s="12">
        <v>1</v>
      </c>
      <c r="I13" s="68">
        <f>SUM(H$4:H13)/H$14</f>
        <v>1</v>
      </c>
      <c r="J13" s="67" t="str">
        <f t="shared" si="0"/>
        <v>C</v>
      </c>
    </row>
    <row r="14" spans="3:11">
      <c r="G14" t="s">
        <v>140</v>
      </c>
      <c r="H14">
        <f>SUM(H4:H13)</f>
        <v>100</v>
      </c>
      <c r="I14" s="67"/>
      <c r="J14" s="67"/>
    </row>
  </sheetData>
  <sortState xmlns:xlrd2="http://schemas.microsoft.com/office/spreadsheetml/2017/richdata2" ref="G4:H13">
    <sortCondition descending="1" ref="H4:H13"/>
  </sortState>
  <hyperlinks>
    <hyperlink ref="C1" location="Menu!A1" display="Retour Menu" xr:uid="{00000000-0004-0000-0200-000000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7"/>
  <sheetViews>
    <sheetView topLeftCell="A24" workbookViewId="0">
      <selection activeCell="E31" sqref="E31"/>
    </sheetView>
  </sheetViews>
  <sheetFormatPr baseColWidth="10" defaultRowHeight="15"/>
  <cols>
    <col min="4" max="4" width="9.140625" bestFit="1" customWidth="1"/>
    <col min="5" max="5" width="10.5703125" bestFit="1" customWidth="1"/>
    <col min="7" max="7" width="7.85546875" bestFit="1" customWidth="1"/>
    <col min="8" max="8" width="10.28515625" bestFit="1" customWidth="1"/>
  </cols>
  <sheetData>
    <row r="1" spans="1:12">
      <c r="A1" s="82"/>
    </row>
    <row r="4" spans="1:12" ht="15.75" thickBot="1">
      <c r="J4" s="12" t="s">
        <v>31</v>
      </c>
      <c r="K4" s="12" t="s">
        <v>25</v>
      </c>
      <c r="L4" s="12" t="s">
        <v>26</v>
      </c>
    </row>
    <row r="5" spans="1:12" ht="51.75" thickBot="1">
      <c r="B5" s="5" t="s">
        <v>0</v>
      </c>
      <c r="C5" s="6" t="s">
        <v>10</v>
      </c>
      <c r="D5" s="7" t="s">
        <v>11</v>
      </c>
      <c r="E5" s="6" t="s">
        <v>19</v>
      </c>
      <c r="F5" s="6" t="s">
        <v>12</v>
      </c>
      <c r="G5" s="7" t="s">
        <v>13</v>
      </c>
      <c r="H5" s="6" t="s">
        <v>20</v>
      </c>
      <c r="J5" s="13" t="s">
        <v>21</v>
      </c>
      <c r="K5" s="12">
        <f>AVERAGE(F6:F20)</f>
        <v>10</v>
      </c>
      <c r="L5" s="12" t="s">
        <v>22</v>
      </c>
    </row>
    <row r="6" spans="1:12" ht="15.75" thickBot="1">
      <c r="B6" s="8">
        <v>42065</v>
      </c>
      <c r="C6" s="9" t="s">
        <v>14</v>
      </c>
      <c r="D6" s="10">
        <v>40</v>
      </c>
      <c r="E6" s="9"/>
      <c r="F6" s="10">
        <v>16</v>
      </c>
      <c r="G6" s="11">
        <f>D6-F6</f>
        <v>24</v>
      </c>
      <c r="H6" s="9">
        <f>IF(C6="lundi",$K$10-G6,0)</f>
        <v>56</v>
      </c>
      <c r="J6" s="12" t="s">
        <v>23</v>
      </c>
      <c r="K6" s="12">
        <v>1</v>
      </c>
      <c r="L6" s="12" t="s">
        <v>24</v>
      </c>
    </row>
    <row r="7" spans="1:12" ht="15.75" thickBot="1">
      <c r="B7" s="8">
        <v>42066</v>
      </c>
      <c r="C7" s="9" t="s">
        <v>15</v>
      </c>
      <c r="D7" s="9">
        <f>G6+E6</f>
        <v>24</v>
      </c>
      <c r="E7" s="9"/>
      <c r="F7" s="10">
        <v>5</v>
      </c>
      <c r="G7" s="11">
        <f t="shared" ref="G7:G20" si="0">D7-F7</f>
        <v>19</v>
      </c>
      <c r="H7" s="9">
        <f t="shared" ref="H7:H20" si="1">IF(C7="lundi",$K$10-G7,0)</f>
        <v>0</v>
      </c>
      <c r="J7" s="12" t="s">
        <v>23</v>
      </c>
      <c r="K7" s="12">
        <f>K6*K5</f>
        <v>10</v>
      </c>
      <c r="L7" s="12" t="s">
        <v>30</v>
      </c>
    </row>
    <row r="8" spans="1:12" ht="15.75" thickBot="1">
      <c r="B8" s="8">
        <v>42067</v>
      </c>
      <c r="C8" s="9" t="s">
        <v>16</v>
      </c>
      <c r="D8" s="9">
        <f t="shared" ref="D8:D19" si="2">G7+E7</f>
        <v>19</v>
      </c>
      <c r="E8" s="9">
        <f>H6</f>
        <v>56</v>
      </c>
      <c r="F8" s="10">
        <v>8</v>
      </c>
      <c r="G8" s="11">
        <f t="shared" si="0"/>
        <v>11</v>
      </c>
      <c r="H8" s="9">
        <f t="shared" si="1"/>
        <v>0</v>
      </c>
      <c r="J8" s="12" t="s">
        <v>27</v>
      </c>
      <c r="K8" s="12">
        <v>5</v>
      </c>
      <c r="L8" s="12" t="s">
        <v>24</v>
      </c>
    </row>
    <row r="9" spans="1:12" ht="15.75" thickBot="1">
      <c r="B9" s="8">
        <v>42068</v>
      </c>
      <c r="C9" s="9" t="s">
        <v>17</v>
      </c>
      <c r="D9" s="9">
        <f t="shared" si="2"/>
        <v>67</v>
      </c>
      <c r="E9" s="9">
        <f t="shared" ref="E9:E20" si="3">H7</f>
        <v>0</v>
      </c>
      <c r="F9" s="10">
        <v>10</v>
      </c>
      <c r="G9" s="11">
        <f t="shared" si="0"/>
        <v>57</v>
      </c>
      <c r="H9" s="9">
        <f t="shared" si="1"/>
        <v>0</v>
      </c>
      <c r="J9" s="12" t="s">
        <v>28</v>
      </c>
      <c r="K9" s="12">
        <v>2</v>
      </c>
      <c r="L9" s="12" t="s">
        <v>24</v>
      </c>
    </row>
    <row r="10" spans="1:12" ht="15.75" thickBot="1">
      <c r="B10" s="8">
        <v>42069</v>
      </c>
      <c r="C10" s="9" t="s">
        <v>18</v>
      </c>
      <c r="D10" s="9">
        <f t="shared" si="2"/>
        <v>57</v>
      </c>
      <c r="E10" s="9">
        <f t="shared" si="3"/>
        <v>0</v>
      </c>
      <c r="F10" s="10">
        <v>8</v>
      </c>
      <c r="G10" s="11">
        <f t="shared" si="0"/>
        <v>49</v>
      </c>
      <c r="H10" s="9">
        <f t="shared" si="1"/>
        <v>0</v>
      </c>
      <c r="J10" s="12" t="s">
        <v>29</v>
      </c>
      <c r="K10" s="12">
        <f>K5*(K8+K9)+K7</f>
        <v>80</v>
      </c>
      <c r="L10" s="12" t="s">
        <v>30</v>
      </c>
    </row>
    <row r="11" spans="1:12" ht="15.75" thickBot="1">
      <c r="B11" s="8">
        <v>42072</v>
      </c>
      <c r="C11" s="9" t="s">
        <v>14</v>
      </c>
      <c r="D11" s="9">
        <f t="shared" si="2"/>
        <v>49</v>
      </c>
      <c r="E11" s="9">
        <f t="shared" si="3"/>
        <v>0</v>
      </c>
      <c r="F11" s="10">
        <v>18</v>
      </c>
      <c r="G11" s="11">
        <f t="shared" si="0"/>
        <v>31</v>
      </c>
      <c r="H11" s="9">
        <f t="shared" si="1"/>
        <v>49</v>
      </c>
    </row>
    <row r="12" spans="1:12" ht="15.75" thickBot="1">
      <c r="B12" s="8">
        <v>42073</v>
      </c>
      <c r="C12" s="9" t="s">
        <v>15</v>
      </c>
      <c r="D12" s="9">
        <f t="shared" si="2"/>
        <v>31</v>
      </c>
      <c r="E12" s="9">
        <f t="shared" si="3"/>
        <v>0</v>
      </c>
      <c r="F12" s="10">
        <v>10</v>
      </c>
      <c r="G12" s="11">
        <f t="shared" si="0"/>
        <v>21</v>
      </c>
      <c r="H12" s="9">
        <f t="shared" si="1"/>
        <v>0</v>
      </c>
    </row>
    <row r="13" spans="1:12" ht="15.75" thickBot="1">
      <c r="B13" s="8">
        <v>42074</v>
      </c>
      <c r="C13" s="9" t="s">
        <v>16</v>
      </c>
      <c r="D13" s="9">
        <f t="shared" si="2"/>
        <v>21</v>
      </c>
      <c r="E13" s="9">
        <f t="shared" si="3"/>
        <v>49</v>
      </c>
      <c r="F13" s="10">
        <v>7</v>
      </c>
      <c r="G13" s="11">
        <f t="shared" si="0"/>
        <v>14</v>
      </c>
      <c r="H13" s="9">
        <f t="shared" si="1"/>
        <v>0</v>
      </c>
    </row>
    <row r="14" spans="1:12" ht="15.75" thickBot="1">
      <c r="B14" s="8">
        <v>42075</v>
      </c>
      <c r="C14" s="9" t="s">
        <v>17</v>
      </c>
      <c r="D14" s="9">
        <f t="shared" si="2"/>
        <v>63</v>
      </c>
      <c r="E14" s="9">
        <f t="shared" si="3"/>
        <v>0</v>
      </c>
      <c r="F14" s="10">
        <v>6</v>
      </c>
      <c r="G14" s="11">
        <f t="shared" si="0"/>
        <v>57</v>
      </c>
      <c r="H14" s="9">
        <f t="shared" si="1"/>
        <v>0</v>
      </c>
    </row>
    <row r="15" spans="1:12" ht="15.75" thickBot="1">
      <c r="B15" s="8">
        <v>42076</v>
      </c>
      <c r="C15" s="9" t="s">
        <v>18</v>
      </c>
      <c r="D15" s="9">
        <f t="shared" si="2"/>
        <v>57</v>
      </c>
      <c r="E15" s="9">
        <f t="shared" si="3"/>
        <v>0</v>
      </c>
      <c r="F15" s="10">
        <v>6</v>
      </c>
      <c r="G15" s="11">
        <f t="shared" si="0"/>
        <v>51</v>
      </c>
      <c r="H15" s="9">
        <f t="shared" si="1"/>
        <v>0</v>
      </c>
    </row>
    <row r="16" spans="1:12" ht="15.75" thickBot="1">
      <c r="B16" s="8">
        <v>42079</v>
      </c>
      <c r="C16" s="9" t="s">
        <v>14</v>
      </c>
      <c r="D16" s="9">
        <f t="shared" si="2"/>
        <v>51</v>
      </c>
      <c r="E16" s="9">
        <f t="shared" si="3"/>
        <v>0</v>
      </c>
      <c r="F16" s="10">
        <v>6</v>
      </c>
      <c r="G16" s="11">
        <f t="shared" si="0"/>
        <v>45</v>
      </c>
      <c r="H16" s="9">
        <f t="shared" si="1"/>
        <v>35</v>
      </c>
    </row>
    <row r="17" spans="1:10" ht="15.75" thickBot="1">
      <c r="B17" s="8">
        <v>42080</v>
      </c>
      <c r="C17" s="9" t="s">
        <v>15</v>
      </c>
      <c r="D17" s="9">
        <f t="shared" si="2"/>
        <v>45</v>
      </c>
      <c r="E17" s="9">
        <f t="shared" si="3"/>
        <v>0</v>
      </c>
      <c r="F17" s="10">
        <v>14</v>
      </c>
      <c r="G17" s="11">
        <f t="shared" si="0"/>
        <v>31</v>
      </c>
      <c r="H17" s="9">
        <f t="shared" si="1"/>
        <v>0</v>
      </c>
    </row>
    <row r="18" spans="1:10" ht="15.75" thickBot="1">
      <c r="B18" s="8">
        <v>42081</v>
      </c>
      <c r="C18" s="9" t="s">
        <v>16</v>
      </c>
      <c r="D18" s="9">
        <f t="shared" si="2"/>
        <v>31</v>
      </c>
      <c r="E18" s="9">
        <f t="shared" si="3"/>
        <v>35</v>
      </c>
      <c r="F18" s="10">
        <v>12</v>
      </c>
      <c r="G18" s="11">
        <f t="shared" si="0"/>
        <v>19</v>
      </c>
      <c r="H18" s="9">
        <f t="shared" si="1"/>
        <v>0</v>
      </c>
    </row>
    <row r="19" spans="1:10" ht="15.75" thickBot="1">
      <c r="B19" s="8">
        <v>42082</v>
      </c>
      <c r="C19" s="9" t="s">
        <v>17</v>
      </c>
      <c r="D19" s="9">
        <f t="shared" si="2"/>
        <v>54</v>
      </c>
      <c r="E19" s="9">
        <f t="shared" si="3"/>
        <v>0</v>
      </c>
      <c r="F19" s="10">
        <v>15</v>
      </c>
      <c r="G19" s="11">
        <f t="shared" si="0"/>
        <v>39</v>
      </c>
      <c r="H19" s="9">
        <f t="shared" si="1"/>
        <v>0</v>
      </c>
    </row>
    <row r="20" spans="1:10" ht="15.75" thickBot="1">
      <c r="B20" s="8">
        <v>42083</v>
      </c>
      <c r="C20" s="9" t="s">
        <v>18</v>
      </c>
      <c r="D20" s="9">
        <v>40</v>
      </c>
      <c r="E20" s="9">
        <f t="shared" si="3"/>
        <v>0</v>
      </c>
      <c r="F20" s="10">
        <v>9</v>
      </c>
      <c r="G20" s="11">
        <f t="shared" si="0"/>
        <v>31</v>
      </c>
      <c r="H20" s="9">
        <f t="shared" si="1"/>
        <v>0</v>
      </c>
    </row>
    <row r="29" spans="1:10">
      <c r="A29" t="s">
        <v>224</v>
      </c>
      <c r="E29">
        <f>AVERAGE(F6:F20)</f>
        <v>10</v>
      </c>
      <c r="F29" t="s">
        <v>215</v>
      </c>
    </row>
    <row r="30" spans="1:10">
      <c r="A30" t="s">
        <v>28</v>
      </c>
      <c r="E30" s="109">
        <v>2</v>
      </c>
      <c r="F30" t="s">
        <v>24</v>
      </c>
    </row>
    <row r="31" spans="1:10">
      <c r="A31" t="s">
        <v>23</v>
      </c>
      <c r="E31" s="109">
        <v>1</v>
      </c>
      <c r="F31" t="s">
        <v>24</v>
      </c>
      <c r="G31">
        <v>10</v>
      </c>
      <c r="H31" t="s">
        <v>30</v>
      </c>
    </row>
    <row r="32" spans="1:10">
      <c r="A32" t="s">
        <v>225</v>
      </c>
      <c r="E32">
        <f>E29*(5+2+1)-24</f>
        <v>56</v>
      </c>
      <c r="H32" s="125" t="s">
        <v>226</v>
      </c>
      <c r="I32" s="125"/>
      <c r="J32" s="125"/>
    </row>
    <row r="33" spans="1:12">
      <c r="A33" t="s">
        <v>227</v>
      </c>
      <c r="E33">
        <f>G31+E29*(2+5)</f>
        <v>80</v>
      </c>
      <c r="H33" s="110"/>
      <c r="I33" s="110"/>
      <c r="J33" s="110"/>
    </row>
    <row r="34" spans="1:12">
      <c r="A34" t="s">
        <v>225</v>
      </c>
      <c r="D34" t="s">
        <v>228</v>
      </c>
      <c r="E34">
        <f>E33-24</f>
        <v>56</v>
      </c>
    </row>
    <row r="35" spans="1:12">
      <c r="A35" t="s">
        <v>229</v>
      </c>
    </row>
    <row r="36" spans="1:12">
      <c r="A36" t="s">
        <v>230</v>
      </c>
      <c r="B36" t="s">
        <v>231</v>
      </c>
      <c r="C36" t="s">
        <v>232</v>
      </c>
    </row>
    <row r="37" spans="1:12">
      <c r="C37" t="s">
        <v>233</v>
      </c>
      <c r="D37" t="s">
        <v>234</v>
      </c>
      <c r="E37" t="s">
        <v>235</v>
      </c>
      <c r="F37" t="s">
        <v>236</v>
      </c>
      <c r="G37" t="s">
        <v>237</v>
      </c>
      <c r="H37" t="s">
        <v>238</v>
      </c>
      <c r="J37" t="s">
        <v>239</v>
      </c>
      <c r="K37" t="s">
        <v>27</v>
      </c>
      <c r="L37" t="s">
        <v>240</v>
      </c>
    </row>
    <row r="38" spans="1:12">
      <c r="F38" t="s">
        <v>83</v>
      </c>
      <c r="G38" t="s">
        <v>241</v>
      </c>
      <c r="H38" t="s">
        <v>242</v>
      </c>
    </row>
    <row r="39" spans="1:12">
      <c r="C39" t="s">
        <v>243</v>
      </c>
      <c r="D39" t="s">
        <v>244</v>
      </c>
      <c r="E39" t="s">
        <v>245</v>
      </c>
      <c r="F39" t="s">
        <v>246</v>
      </c>
      <c r="G39" t="s">
        <v>247</v>
      </c>
      <c r="H39" t="s">
        <v>248</v>
      </c>
    </row>
    <row r="41" spans="1:12">
      <c r="A41" t="s">
        <v>249</v>
      </c>
      <c r="B41" t="s">
        <v>250</v>
      </c>
      <c r="D41" t="s">
        <v>251</v>
      </c>
    </row>
    <row r="42" spans="1:12">
      <c r="B42" t="s">
        <v>252</v>
      </c>
    </row>
    <row r="45" spans="1:12">
      <c r="A45" t="s">
        <v>227</v>
      </c>
      <c r="B45" t="s">
        <v>253</v>
      </c>
      <c r="D45" t="s">
        <v>254</v>
      </c>
      <c r="E45" t="s">
        <v>255</v>
      </c>
      <c r="F45" t="s">
        <v>256</v>
      </c>
      <c r="G45" t="s">
        <v>257</v>
      </c>
    </row>
    <row r="46" spans="1:12">
      <c r="F46" t="s">
        <v>258</v>
      </c>
      <c r="H46" t="s">
        <v>259</v>
      </c>
      <c r="I46" t="s">
        <v>260</v>
      </c>
    </row>
    <row r="47" spans="1:12">
      <c r="F47" t="s">
        <v>261</v>
      </c>
    </row>
  </sheetData>
  <mergeCells count="1">
    <mergeCell ref="H32:J3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9"/>
  <sheetViews>
    <sheetView topLeftCell="A7" workbookViewId="0"/>
  </sheetViews>
  <sheetFormatPr baseColWidth="10" defaultRowHeight="15"/>
  <cols>
    <col min="2" max="2" width="52" bestFit="1" customWidth="1"/>
    <col min="3" max="3" width="9.28515625" bestFit="1" customWidth="1"/>
  </cols>
  <sheetData>
    <row r="1" spans="1:4">
      <c r="A1" s="82"/>
    </row>
    <row r="3" spans="1:4">
      <c r="B3" s="45" t="s">
        <v>159</v>
      </c>
      <c r="C3" s="46">
        <v>0.5</v>
      </c>
    </row>
    <row r="4" spans="1:4">
      <c r="C4" s="3"/>
    </row>
    <row r="5" spans="1:4">
      <c r="B5" s="45" t="s">
        <v>160</v>
      </c>
      <c r="C5" s="47">
        <v>1200</v>
      </c>
    </row>
    <row r="6" spans="1:4">
      <c r="B6" s="45" t="s">
        <v>161</v>
      </c>
      <c r="C6" s="47">
        <v>2000</v>
      </c>
    </row>
    <row r="7" spans="1:4">
      <c r="C7" s="3"/>
    </row>
    <row r="8" spans="1:4">
      <c r="B8" s="48" t="s">
        <v>162</v>
      </c>
      <c r="C8" s="47"/>
    </row>
    <row r="9" spans="1:4">
      <c r="B9" s="49" t="s">
        <v>163</v>
      </c>
      <c r="C9" s="46">
        <v>0.05</v>
      </c>
    </row>
    <row r="10" spans="1:4">
      <c r="B10" s="49" t="s">
        <v>164</v>
      </c>
      <c r="C10" s="46">
        <v>7.0000000000000007E-2</v>
      </c>
    </row>
    <row r="13" spans="1:4">
      <c r="B13" s="50" t="s">
        <v>165</v>
      </c>
      <c r="C13" s="51" t="s">
        <v>89</v>
      </c>
      <c r="D13" s="51" t="s">
        <v>90</v>
      </c>
    </row>
    <row r="14" spans="1:4">
      <c r="B14" s="50" t="s">
        <v>166</v>
      </c>
      <c r="C14" s="51">
        <v>2400</v>
      </c>
      <c r="D14" s="51">
        <v>600</v>
      </c>
    </row>
    <row r="15" spans="1:4">
      <c r="B15" s="50" t="s">
        <v>167</v>
      </c>
      <c r="C15" s="51">
        <v>800</v>
      </c>
      <c r="D15" s="51">
        <v>360</v>
      </c>
    </row>
    <row r="17" spans="1:5">
      <c r="A17" s="52" t="s">
        <v>168</v>
      </c>
      <c r="B17" s="53" t="s">
        <v>169</v>
      </c>
    </row>
    <row r="18" spans="1:5">
      <c r="A18" s="52"/>
      <c r="B18" s="53"/>
    </row>
    <row r="19" spans="1:5">
      <c r="A19" s="54" t="s">
        <v>170</v>
      </c>
      <c r="B19" s="55" t="s">
        <v>171</v>
      </c>
    </row>
    <row r="20" spans="1:5">
      <c r="B20" t="s">
        <v>172</v>
      </c>
      <c r="C20" s="56">
        <f>SQRT(2*C14*C5/(C15*C3))</f>
        <v>120</v>
      </c>
    </row>
    <row r="21" spans="1:5">
      <c r="B21" t="s">
        <v>173</v>
      </c>
      <c r="C21" s="56">
        <f>C20*C15</f>
        <v>96000</v>
      </c>
    </row>
    <row r="22" spans="1:5">
      <c r="B22" t="s">
        <v>174</v>
      </c>
      <c r="C22" s="57">
        <f>SQRT(2*C14*C5*C15*C3)+C14*C15</f>
        <v>1968000</v>
      </c>
    </row>
    <row r="24" spans="1:5">
      <c r="A24" s="54" t="s">
        <v>175</v>
      </c>
      <c r="B24" s="55" t="s">
        <v>176</v>
      </c>
    </row>
    <row r="25" spans="1:5">
      <c r="B25" t="s">
        <v>177</v>
      </c>
      <c r="C25" s="44">
        <v>200000</v>
      </c>
    </row>
    <row r="26" spans="1:5">
      <c r="B26" t="s">
        <v>82</v>
      </c>
      <c r="C26" s="56">
        <f>C25/C15</f>
        <v>250</v>
      </c>
    </row>
    <row r="27" spans="1:5">
      <c r="B27" t="s">
        <v>178</v>
      </c>
      <c r="C27" s="56">
        <f>C14/C26</f>
        <v>9.6</v>
      </c>
    </row>
    <row r="28" spans="1:5">
      <c r="B28" t="s">
        <v>174</v>
      </c>
      <c r="C28" s="57">
        <f>(C26/2)*C15*(1-C9)*C3+C27*C5+C14*C15*(1-C9)</f>
        <v>1883020</v>
      </c>
      <c r="E28" s="58" t="s">
        <v>179</v>
      </c>
    </row>
    <row r="30" spans="1:5">
      <c r="A30" s="54" t="s">
        <v>180</v>
      </c>
      <c r="B30" s="55" t="s">
        <v>181</v>
      </c>
    </row>
    <row r="31" spans="1:5">
      <c r="B31" t="s">
        <v>177</v>
      </c>
      <c r="C31" s="44">
        <v>500000</v>
      </c>
    </row>
    <row r="32" spans="1:5">
      <c r="B32" t="s">
        <v>82</v>
      </c>
      <c r="C32" s="56">
        <f>C31/C15</f>
        <v>625</v>
      </c>
    </row>
    <row r="33" spans="1:8">
      <c r="B33" t="s">
        <v>178</v>
      </c>
      <c r="C33" s="56">
        <f>C14/C32</f>
        <v>3.84</v>
      </c>
    </row>
    <row r="34" spans="1:8">
      <c r="B34" t="s">
        <v>174</v>
      </c>
      <c r="C34" s="57">
        <f>(C32/2)*C15*(1-C10)*C3+C33*C5+C14*C15*(1-C10)</f>
        <v>1906457.9999999998</v>
      </c>
      <c r="E34" s="58" t="s">
        <v>182</v>
      </c>
    </row>
    <row r="36" spans="1:8">
      <c r="A36" s="52" t="s">
        <v>183</v>
      </c>
      <c r="B36" s="53" t="s">
        <v>184</v>
      </c>
      <c r="H36" s="82" t="s">
        <v>192</v>
      </c>
    </row>
    <row r="38" spans="1:8">
      <c r="A38" s="54" t="s">
        <v>170</v>
      </c>
      <c r="B38" s="55" t="s">
        <v>171</v>
      </c>
    </row>
    <row r="39" spans="1:8">
      <c r="A39" s="54"/>
      <c r="B39" s="59" t="s">
        <v>185</v>
      </c>
      <c r="C39" s="60">
        <f>(C14*C15)+(D14*D15)</f>
        <v>2136000</v>
      </c>
    </row>
    <row r="40" spans="1:8">
      <c r="A40" s="54"/>
      <c r="B40" s="59" t="s">
        <v>186</v>
      </c>
      <c r="C40" s="61">
        <f>SQRT(C39*C3/(2*C6))</f>
        <v>16.340134638368191</v>
      </c>
    </row>
    <row r="41" spans="1:8">
      <c r="A41" s="54"/>
      <c r="B41" s="59"/>
      <c r="C41" s="62" t="s">
        <v>89</v>
      </c>
      <c r="D41" s="44" t="s">
        <v>90</v>
      </c>
      <c r="E41" s="44" t="s">
        <v>140</v>
      </c>
    </row>
    <row r="42" spans="1:8">
      <c r="A42" s="54"/>
      <c r="B42" s="59" t="s">
        <v>144</v>
      </c>
      <c r="C42" s="63">
        <f>C14/C40</f>
        <v>146.87761472690511</v>
      </c>
      <c r="D42" s="63">
        <f>D14/C40</f>
        <v>36.719403681726277</v>
      </c>
      <c r="E42" s="12"/>
    </row>
    <row r="43" spans="1:8">
      <c r="A43" s="54"/>
      <c r="B43" s="59" t="s">
        <v>187</v>
      </c>
      <c r="C43" s="64">
        <f>(C42/2)*C15*C3</f>
        <v>29375.522945381021</v>
      </c>
      <c r="D43" s="64">
        <f>(D42/2)*D15*C3</f>
        <v>3304.7463313553649</v>
      </c>
      <c r="E43" s="64">
        <f>C43+D43</f>
        <v>32680.269276736384</v>
      </c>
    </row>
    <row r="44" spans="1:8">
      <c r="A44" s="54"/>
      <c r="B44" s="59" t="s">
        <v>188</v>
      </c>
      <c r="C44" s="64">
        <f>C40*C6</f>
        <v>32680.269276736381</v>
      </c>
      <c r="D44" s="12"/>
      <c r="E44" s="12"/>
    </row>
    <row r="45" spans="1:8">
      <c r="B45" s="59" t="s">
        <v>189</v>
      </c>
      <c r="C45" s="44">
        <f>C14*C15</f>
        <v>1920000</v>
      </c>
      <c r="D45" s="44">
        <f>D14*D15</f>
        <v>216000</v>
      </c>
      <c r="E45" s="44">
        <f>C45+D45</f>
        <v>2136000</v>
      </c>
    </row>
    <row r="46" spans="1:8">
      <c r="B46" s="59" t="s">
        <v>190</v>
      </c>
      <c r="C46" s="65">
        <f>C43+D43+C44+C45+D45</f>
        <v>2201360.5385534726</v>
      </c>
      <c r="D46" s="3"/>
    </row>
    <row r="47" spans="1:8">
      <c r="B47" s="59"/>
      <c r="C47" s="60"/>
    </row>
    <row r="48" spans="1:8">
      <c r="A48" s="54" t="s">
        <v>175</v>
      </c>
      <c r="B48" s="55" t="s">
        <v>176</v>
      </c>
      <c r="C48" s="60"/>
    </row>
    <row r="49" spans="2:5">
      <c r="B49" t="s">
        <v>177</v>
      </c>
      <c r="C49" s="3">
        <v>200000</v>
      </c>
    </row>
    <row r="50" spans="2:5">
      <c r="B50" t="s">
        <v>191</v>
      </c>
      <c r="C50" s="66">
        <f>E45/C49</f>
        <v>10.68</v>
      </c>
    </row>
    <row r="51" spans="2:5">
      <c r="B51" s="59"/>
      <c r="C51" s="62" t="s">
        <v>89</v>
      </c>
      <c r="D51" s="44" t="s">
        <v>90</v>
      </c>
      <c r="E51" s="44" t="s">
        <v>140</v>
      </c>
    </row>
    <row r="52" spans="2:5">
      <c r="B52" s="59" t="s">
        <v>144</v>
      </c>
      <c r="C52" s="63">
        <f>C14/C50</f>
        <v>224.71910112359552</v>
      </c>
      <c r="D52" s="63">
        <f>D14/C50</f>
        <v>56.17977528089888</v>
      </c>
      <c r="E52" s="12"/>
    </row>
    <row r="53" spans="2:5">
      <c r="B53" s="59" t="s">
        <v>187</v>
      </c>
      <c r="C53" s="64">
        <f>(C52/2)*C15*(1-C9)*C3</f>
        <v>42696.629213483153</v>
      </c>
      <c r="D53" s="64">
        <f>(D52/2)*D15*(1-C9)*C3</f>
        <v>4803.3707865168535</v>
      </c>
      <c r="E53" s="64">
        <f>C53+D53</f>
        <v>47500.000000000007</v>
      </c>
    </row>
    <row r="54" spans="2:5">
      <c r="B54" s="59" t="s">
        <v>188</v>
      </c>
      <c r="C54" s="64">
        <f>C6*C50</f>
        <v>21360</v>
      </c>
      <c r="D54" s="12"/>
      <c r="E54" s="12"/>
    </row>
    <row r="55" spans="2:5">
      <c r="B55" s="59" t="s">
        <v>189</v>
      </c>
      <c r="C55" s="44">
        <f>C14*C15*(1-C9)</f>
        <v>1824000</v>
      </c>
      <c r="D55" s="44">
        <f>D14*D15*(1-C9)</f>
        <v>205200</v>
      </c>
      <c r="E55" s="44">
        <f>C55+D55</f>
        <v>2029200</v>
      </c>
    </row>
    <row r="56" spans="2:5">
      <c r="B56" s="59" t="s">
        <v>190</v>
      </c>
      <c r="C56" s="65">
        <f>C53+D53+C54+C55+D55</f>
        <v>2098060</v>
      </c>
      <c r="D56" s="3"/>
    </row>
    <row r="57" spans="2:5">
      <c r="C57" s="60"/>
    </row>
    <row r="58" spans="2:5">
      <c r="C58" s="60"/>
    </row>
    <row r="59" spans="2:5">
      <c r="C59" s="60"/>
    </row>
  </sheetData>
  <hyperlinks>
    <hyperlink ref="H36" location="Menu!A1" display="Retour Menu" xr:uid="{00000000-0004-0000-1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O24"/>
  <sheetViews>
    <sheetView workbookViewId="0">
      <selection activeCell="A4" sqref="A4"/>
    </sheetView>
  </sheetViews>
  <sheetFormatPr baseColWidth="10" defaultRowHeight="15"/>
  <cols>
    <col min="1" max="6" width="11.42578125" style="83"/>
    <col min="7" max="7" width="8.7109375" style="83" customWidth="1"/>
    <col min="8" max="16384" width="11.42578125" style="83"/>
  </cols>
  <sheetData>
    <row r="4" spans="1:15">
      <c r="A4" s="84"/>
      <c r="O4" s="84"/>
    </row>
    <row r="5" spans="1:15">
      <c r="B5" s="85" t="s">
        <v>83</v>
      </c>
      <c r="C5" s="85">
        <v>2006</v>
      </c>
      <c r="D5" s="85">
        <v>2007</v>
      </c>
      <c r="E5" s="85">
        <v>2008</v>
      </c>
      <c r="F5" s="85">
        <v>2009</v>
      </c>
    </row>
    <row r="6" spans="1:15">
      <c r="B6" s="85" t="s">
        <v>84</v>
      </c>
      <c r="C6" s="85">
        <v>60</v>
      </c>
      <c r="D6" s="85">
        <v>80</v>
      </c>
      <c r="E6" s="85">
        <v>140</v>
      </c>
      <c r="F6" s="85">
        <v>120</v>
      </c>
    </row>
    <row r="7" spans="1:15">
      <c r="B7" s="85" t="s">
        <v>85</v>
      </c>
      <c r="C7" s="85"/>
      <c r="D7" s="85"/>
      <c r="E7" s="85"/>
      <c r="F7" s="85">
        <f>AVERAGE(C6:F6)</f>
        <v>100</v>
      </c>
      <c r="L7" s="83" t="s">
        <v>151</v>
      </c>
      <c r="M7" s="86">
        <v>0.9</v>
      </c>
    </row>
    <row r="8" spans="1:15">
      <c r="B8" s="85" t="s">
        <v>86</v>
      </c>
      <c r="C8" s="85"/>
      <c r="D8" s="85"/>
      <c r="E8" s="85"/>
      <c r="F8" s="85">
        <f>STDEVP(C6:F6)</f>
        <v>31.622776601683793</v>
      </c>
      <c r="I8" s="85" t="s">
        <v>28</v>
      </c>
      <c r="J8" s="85">
        <v>2</v>
      </c>
      <c r="L8" s="85" t="s">
        <v>147</v>
      </c>
      <c r="M8" s="85">
        <v>500</v>
      </c>
    </row>
    <row r="9" spans="1:15">
      <c r="B9" s="85" t="s">
        <v>28</v>
      </c>
      <c r="C9" s="85"/>
      <c r="D9" s="85"/>
      <c r="E9" s="85"/>
      <c r="F9" s="85">
        <v>9</v>
      </c>
      <c r="I9" s="85" t="s">
        <v>145</v>
      </c>
      <c r="J9" s="85">
        <v>500</v>
      </c>
      <c r="L9" s="85" t="s">
        <v>37</v>
      </c>
      <c r="M9" s="85">
        <v>2500</v>
      </c>
    </row>
    <row r="10" spans="1:15">
      <c r="B10" s="85" t="s">
        <v>87</v>
      </c>
      <c r="C10" s="85"/>
      <c r="D10" s="85"/>
      <c r="E10" s="85"/>
      <c r="F10" s="85">
        <f>_xlfn.NORM.S.INV(95%)</f>
        <v>1.6448536269514715</v>
      </c>
      <c r="I10" s="85" t="s">
        <v>146</v>
      </c>
      <c r="J10" s="87">
        <v>0.9</v>
      </c>
      <c r="L10" s="85" t="s">
        <v>28</v>
      </c>
      <c r="M10" s="85">
        <v>7</v>
      </c>
    </row>
    <row r="11" spans="1:15">
      <c r="B11" s="85" t="s">
        <v>23</v>
      </c>
      <c r="C11" s="85"/>
      <c r="D11" s="85"/>
      <c r="E11" s="85"/>
      <c r="F11" s="85">
        <f>SQRT(F9/365)*F8*F10</f>
        <v>8.1677432853240006</v>
      </c>
      <c r="I11" s="85"/>
      <c r="J11" s="85"/>
      <c r="L11" s="85" t="s">
        <v>148</v>
      </c>
      <c r="M11" s="85">
        <v>7</v>
      </c>
    </row>
    <row r="12" spans="1:15">
      <c r="B12" s="88" t="s">
        <v>88</v>
      </c>
      <c r="C12" s="85"/>
      <c r="D12" s="85"/>
      <c r="E12" s="85"/>
      <c r="F12" s="85">
        <f>F11*365/100</f>
        <v>29.812262991432604</v>
      </c>
      <c r="I12" s="85" t="s">
        <v>87</v>
      </c>
      <c r="J12" s="85">
        <f>_xlfn.NORM.S.INV(J10)</f>
        <v>1.2815515655446006</v>
      </c>
      <c r="L12" s="85"/>
      <c r="M12" s="85"/>
    </row>
    <row r="13" spans="1:15">
      <c r="I13" s="85"/>
      <c r="J13" s="85"/>
      <c r="L13" s="85" t="s">
        <v>149</v>
      </c>
      <c r="M13" s="85">
        <f>M9*M10</f>
        <v>17500</v>
      </c>
    </row>
    <row r="14" spans="1:15">
      <c r="I14" s="85" t="s">
        <v>23</v>
      </c>
      <c r="J14" s="85">
        <f>J12*J9*SQRT(J8)</f>
        <v>906.19380243682338</v>
      </c>
      <c r="L14" s="85" t="s">
        <v>150</v>
      </c>
      <c r="M14" s="85">
        <f>SQRT(M10*M8^2+M9^2*M11^2)</f>
        <v>17549.928774784243</v>
      </c>
    </row>
    <row r="15" spans="1:15">
      <c r="L15" s="85" t="s">
        <v>152</v>
      </c>
      <c r="M15" s="85">
        <f>_xlfn.NORM.S.INV(M7)</f>
        <v>1.2815515655446006</v>
      </c>
    </row>
    <row r="16" spans="1:15">
      <c r="L16" s="85" t="s">
        <v>23</v>
      </c>
      <c r="M16" s="85">
        <f>M15*M14</f>
        <v>22491.138696520979</v>
      </c>
    </row>
    <row r="18" spans="7:8">
      <c r="G18" s="83" t="s">
        <v>37</v>
      </c>
      <c r="H18" s="83">
        <v>50</v>
      </c>
    </row>
    <row r="19" spans="7:8">
      <c r="G19" s="83" t="s">
        <v>153</v>
      </c>
      <c r="H19" s="83">
        <v>5</v>
      </c>
    </row>
    <row r="20" spans="7:8">
      <c r="G20" s="83" t="s">
        <v>28</v>
      </c>
      <c r="H20" s="83">
        <v>1</v>
      </c>
    </row>
    <row r="21" spans="7:8">
      <c r="G21" s="83" t="s">
        <v>154</v>
      </c>
      <c r="H21" s="86">
        <v>0.95</v>
      </c>
    </row>
    <row r="22" spans="7:8">
      <c r="G22" s="83" t="s">
        <v>87</v>
      </c>
      <c r="H22" s="83">
        <f>_xlfn.NORM.S.INV(H21)</f>
        <v>1.6448536269514715</v>
      </c>
    </row>
    <row r="23" spans="7:8">
      <c r="G23" s="83" t="s">
        <v>23</v>
      </c>
      <c r="H23" s="83">
        <f>H22*SQRT(H20)*H19</f>
        <v>8.2242681347573576</v>
      </c>
    </row>
    <row r="24" spans="7:8">
      <c r="G24" s="83" t="s">
        <v>155</v>
      </c>
      <c r="H24" s="83">
        <f>H23+H18*H20</f>
        <v>58.224268134757359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3809-9F6D-4EE8-B9BD-F065718756C6}">
  <dimension ref="A1:N23"/>
  <sheetViews>
    <sheetView workbookViewId="0">
      <selection activeCell="M18" sqref="M18"/>
    </sheetView>
  </sheetViews>
  <sheetFormatPr baseColWidth="10" defaultRowHeight="15"/>
  <cols>
    <col min="5" max="5" width="13.85546875" bestFit="1" customWidth="1"/>
    <col min="12" max="12" width="17.28515625" bestFit="1" customWidth="1"/>
    <col min="14" max="14" width="14.5703125" customWidth="1"/>
  </cols>
  <sheetData>
    <row r="1" spans="1:14">
      <c r="A1" s="82"/>
      <c r="L1" s="82"/>
    </row>
    <row r="3" spans="1:14">
      <c r="E3" s="126" t="s">
        <v>267</v>
      </c>
      <c r="F3" s="126"/>
      <c r="H3" s="126" t="s">
        <v>267</v>
      </c>
      <c r="I3" s="126"/>
    </row>
    <row r="4" spans="1:14">
      <c r="E4" s="12" t="s">
        <v>37</v>
      </c>
      <c r="F4" s="12">
        <v>6000</v>
      </c>
      <c r="H4" s="12" t="s">
        <v>80</v>
      </c>
      <c r="I4" s="12">
        <f>F4*D5</f>
        <v>510000</v>
      </c>
      <c r="L4" s="12" t="s">
        <v>268</v>
      </c>
      <c r="M4" s="12">
        <f>I4-I10</f>
        <v>30000</v>
      </c>
    </row>
    <row r="5" spans="1:14">
      <c r="C5" s="12" t="s">
        <v>269</v>
      </c>
      <c r="D5" s="12">
        <v>85</v>
      </c>
      <c r="E5" s="12" t="s">
        <v>73</v>
      </c>
      <c r="F5" s="12">
        <v>72</v>
      </c>
      <c r="H5" s="12" t="s">
        <v>45</v>
      </c>
      <c r="I5" s="12">
        <f>F5*F4/F7</f>
        <v>958.12316536027879</v>
      </c>
      <c r="L5" s="12" t="s">
        <v>270</v>
      </c>
      <c r="M5" s="12">
        <f>D5*F7/2</f>
        <v>19162.463307205573</v>
      </c>
    </row>
    <row r="6" spans="1:14">
      <c r="C6" s="12" t="s">
        <v>91</v>
      </c>
      <c r="D6" s="23">
        <v>0.05</v>
      </c>
      <c r="E6" s="12" t="s">
        <v>74</v>
      </c>
      <c r="F6" s="12">
        <f>D5*D6</f>
        <v>4.25</v>
      </c>
      <c r="H6" s="12" t="s">
        <v>81</v>
      </c>
      <c r="I6" s="12">
        <f>F6*F7/2</f>
        <v>958.12316536027868</v>
      </c>
      <c r="J6" s="12">
        <f>I5+I6</f>
        <v>1916.2463307205576</v>
      </c>
      <c r="L6" s="12" t="s">
        <v>271</v>
      </c>
      <c r="M6" s="12">
        <f>D11*F14/2</f>
        <v>20000</v>
      </c>
    </row>
    <row r="7" spans="1:14">
      <c r="E7" s="12" t="s">
        <v>75</v>
      </c>
      <c r="F7" s="12">
        <f>SQRT(2*F4*F5/F6)</f>
        <v>450.88148958130762</v>
      </c>
      <c r="H7" s="12" t="s">
        <v>47</v>
      </c>
      <c r="I7" s="12">
        <f>SUM(I4:I6)</f>
        <v>511916.24633072061</v>
      </c>
      <c r="L7" s="12" t="s">
        <v>272</v>
      </c>
      <c r="M7" s="12">
        <f>M6-M5</f>
        <v>837.53669279442693</v>
      </c>
      <c r="N7" t="s">
        <v>273</v>
      </c>
    </row>
    <row r="9" spans="1:14">
      <c r="E9" s="126" t="s">
        <v>274</v>
      </c>
      <c r="F9" s="126"/>
      <c r="H9" s="126" t="s">
        <v>275</v>
      </c>
      <c r="I9" s="126"/>
    </row>
    <row r="10" spans="1:14">
      <c r="E10" s="12" t="s">
        <v>37</v>
      </c>
      <c r="F10" s="12">
        <v>6000</v>
      </c>
      <c r="H10" s="12" t="s">
        <v>80</v>
      </c>
      <c r="I10" s="12">
        <f>D11*F10</f>
        <v>480000</v>
      </c>
    </row>
    <row r="11" spans="1:14">
      <c r="C11" s="12" t="s">
        <v>276</v>
      </c>
      <c r="D11" s="12">
        <v>80</v>
      </c>
      <c r="E11" s="12" t="s">
        <v>73</v>
      </c>
      <c r="F11" s="12">
        <v>72</v>
      </c>
      <c r="H11" s="12" t="s">
        <v>45</v>
      </c>
      <c r="I11" s="12">
        <f>F11*F10/F14</f>
        <v>864</v>
      </c>
    </row>
    <row r="12" spans="1:14">
      <c r="C12" s="12" t="s">
        <v>91</v>
      </c>
      <c r="D12" s="23">
        <v>0.05</v>
      </c>
      <c r="E12" s="12" t="s">
        <v>74</v>
      </c>
      <c r="F12" s="12">
        <f>D11*D12</f>
        <v>4</v>
      </c>
      <c r="H12" s="12" t="s">
        <v>81</v>
      </c>
      <c r="I12" s="12">
        <f>F12*F14/2</f>
        <v>1000</v>
      </c>
      <c r="J12" s="12">
        <f>I11+I12</f>
        <v>1864</v>
      </c>
    </row>
    <row r="13" spans="1:14">
      <c r="E13" s="12" t="s">
        <v>75</v>
      </c>
      <c r="F13" s="12">
        <f>SQRT(2*F10*F11/F12)</f>
        <v>464.75800154489002</v>
      </c>
      <c r="H13" s="12" t="s">
        <v>47</v>
      </c>
      <c r="I13" s="12">
        <f>SUM(I10:I12)</f>
        <v>481864</v>
      </c>
    </row>
    <row r="14" spans="1:14">
      <c r="E14" s="12" t="s">
        <v>277</v>
      </c>
      <c r="F14" s="12">
        <v>500</v>
      </c>
    </row>
    <row r="17" spans="2:10">
      <c r="E17" s="127" t="s">
        <v>278</v>
      </c>
      <c r="F17" s="128"/>
      <c r="H17" s="126" t="s">
        <v>279</v>
      </c>
      <c r="I17" s="126"/>
    </row>
    <row r="18" spans="2:10">
      <c r="H18" s="12" t="s">
        <v>80</v>
      </c>
      <c r="I18" s="12">
        <f>F22*(499*D5+(E19-499)*D11)</f>
        <v>485389.21724552283</v>
      </c>
    </row>
    <row r="19" spans="2:10">
      <c r="B19">
        <f>C19*2</f>
        <v>364603.02221994667</v>
      </c>
      <c r="C19">
        <f>D19*D11</f>
        <v>182301.51110997333</v>
      </c>
      <c r="D19">
        <f>E19-499</f>
        <v>2278.7688888746666</v>
      </c>
      <c r="E19">
        <f>SQRT(2*F10*(F11+F14*(D5-D11))/F12)</f>
        <v>2777.7688888746666</v>
      </c>
      <c r="H19" s="12" t="s">
        <v>45</v>
      </c>
      <c r="I19" s="12">
        <f>F5*F10/E19</f>
        <v>155.52049766638879</v>
      </c>
    </row>
    <row r="20" spans="2:10">
      <c r="B20">
        <f>C20*2</f>
        <v>84830</v>
      </c>
      <c r="C20">
        <f>D20*D5</f>
        <v>42415</v>
      </c>
      <c r="D20">
        <v>499</v>
      </c>
      <c r="H20" s="12" t="s">
        <v>81</v>
      </c>
      <c r="I20" s="12">
        <f>D12*(((E19-499)*D11)+(499*D5))/2</f>
        <v>5617.9127777493341</v>
      </c>
      <c r="J20" s="12">
        <f>I19+I20</f>
        <v>5773.4332754157231</v>
      </c>
    </row>
    <row r="21" spans="2:10">
      <c r="C21">
        <f>D21*D5</f>
        <v>37779.288891306685</v>
      </c>
      <c r="D21">
        <f>F10-(E19*2)</f>
        <v>444.46222225066685</v>
      </c>
      <c r="H21" s="12" t="s">
        <v>47</v>
      </c>
      <c r="I21" s="12">
        <f>SUM(I18:I20)</f>
        <v>491162.65052093857</v>
      </c>
    </row>
    <row r="22" spans="2:10">
      <c r="E22" t="s">
        <v>280</v>
      </c>
      <c r="F22">
        <f>F4/E19</f>
        <v>2.160006912033178</v>
      </c>
    </row>
    <row r="23" spans="2:10">
      <c r="B23">
        <f>B19+B20+C21</f>
        <v>487212.31111125334</v>
      </c>
    </row>
  </sheetData>
  <mergeCells count="6">
    <mergeCell ref="E3:F3"/>
    <mergeCell ref="H3:I3"/>
    <mergeCell ref="E9:F9"/>
    <mergeCell ref="H9:I9"/>
    <mergeCell ref="E17:F17"/>
    <mergeCell ref="H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zoomScale="90" zoomScaleNormal="90" workbookViewId="0"/>
  </sheetViews>
  <sheetFormatPr baseColWidth="10" defaultRowHeight="15"/>
  <cols>
    <col min="4" max="4" width="6.85546875" customWidth="1"/>
    <col min="6" max="6" width="12.140625" bestFit="1" customWidth="1"/>
  </cols>
  <sheetData>
    <row r="1" spans="1:21">
      <c r="A1" s="82" t="s">
        <v>192</v>
      </c>
    </row>
    <row r="3" spans="1:21" ht="15.75" thickBot="1"/>
    <row r="4" spans="1:21" ht="63.75" thickBot="1">
      <c r="A4" s="90" t="s">
        <v>50</v>
      </c>
      <c r="B4" s="91" t="s">
        <v>51</v>
      </c>
      <c r="C4" s="91" t="s">
        <v>52</v>
      </c>
      <c r="E4" s="15" t="s">
        <v>50</v>
      </c>
      <c r="F4" s="16" t="s">
        <v>51</v>
      </c>
      <c r="G4" s="17" t="s">
        <v>52</v>
      </c>
      <c r="H4" s="18" t="s">
        <v>53</v>
      </c>
      <c r="I4" s="12" t="s">
        <v>54</v>
      </c>
      <c r="J4" s="12" t="s">
        <v>55</v>
      </c>
      <c r="K4" s="36" t="s">
        <v>56</v>
      </c>
      <c r="L4" s="37"/>
      <c r="M4" s="37"/>
      <c r="N4" s="37"/>
      <c r="O4" s="37"/>
      <c r="P4" s="37"/>
      <c r="S4" s="67">
        <v>1</v>
      </c>
      <c r="T4" s="67" t="s">
        <v>57</v>
      </c>
      <c r="U4" s="69">
        <f>100%/15</f>
        <v>6.6666666666666666E-2</v>
      </c>
    </row>
    <row r="5" spans="1:21" ht="16.5" thickBot="1">
      <c r="A5" s="92" t="s">
        <v>57</v>
      </c>
      <c r="B5" s="93">
        <v>1100</v>
      </c>
      <c r="C5" s="93">
        <v>2</v>
      </c>
      <c r="E5" s="19" t="s">
        <v>58</v>
      </c>
      <c r="F5" s="20">
        <v>600</v>
      </c>
      <c r="G5" s="21">
        <v>40</v>
      </c>
      <c r="H5" s="12">
        <f t="shared" ref="H5:H14" si="0">F5*G5</f>
        <v>24000</v>
      </c>
      <c r="I5" s="22">
        <f t="shared" ref="I5:I14" si="1">H5/$H$15</f>
        <v>0.62745098039215685</v>
      </c>
      <c r="J5" s="23">
        <f>I5</f>
        <v>0.62745098039215685</v>
      </c>
      <c r="K5" s="36" t="str">
        <f>IF(J5&lt;0.8,"A",IF(J5&lt;0.95,"B","C"))</f>
        <v>A</v>
      </c>
      <c r="L5" s="37"/>
      <c r="M5" s="37"/>
      <c r="N5" s="37"/>
      <c r="O5" s="38"/>
      <c r="P5" s="37"/>
      <c r="S5" s="67">
        <v>2</v>
      </c>
      <c r="T5" s="67" t="s">
        <v>58</v>
      </c>
      <c r="U5" s="69">
        <f>(100%/15)*S5</f>
        <v>0.13333333333333333</v>
      </c>
    </row>
    <row r="6" spans="1:21" ht="16.5" thickBot="1">
      <c r="A6" s="92" t="s">
        <v>58</v>
      </c>
      <c r="B6" s="93">
        <v>600</v>
      </c>
      <c r="C6" s="93">
        <v>40</v>
      </c>
      <c r="E6" s="19" t="s">
        <v>61</v>
      </c>
      <c r="F6" s="20">
        <v>100</v>
      </c>
      <c r="G6" s="21">
        <v>60</v>
      </c>
      <c r="H6" s="12">
        <f t="shared" si="0"/>
        <v>6000</v>
      </c>
      <c r="I6" s="22">
        <f t="shared" si="1"/>
        <v>0.15686274509803921</v>
      </c>
      <c r="J6" s="23">
        <f>J5+I6</f>
        <v>0.78431372549019607</v>
      </c>
      <c r="K6" s="36" t="str">
        <f t="shared" ref="K6:K14" si="2">IF(J6&lt;0.8,"A",IF(J6&lt;0.95,"B","C"))</f>
        <v>A</v>
      </c>
      <c r="L6" s="37"/>
      <c r="M6" s="37"/>
      <c r="N6" s="37"/>
      <c r="O6" s="38"/>
      <c r="P6" s="37"/>
      <c r="S6" s="67">
        <v>3</v>
      </c>
      <c r="T6" s="67" t="s">
        <v>59</v>
      </c>
      <c r="U6" s="69">
        <f>(100%/15)*S6</f>
        <v>0.2</v>
      </c>
    </row>
    <row r="7" spans="1:21" ht="16.5" thickBot="1">
      <c r="A7" s="92" t="s">
        <v>59</v>
      </c>
      <c r="B7" s="93">
        <v>100</v>
      </c>
      <c r="C7" s="93">
        <v>4</v>
      </c>
      <c r="E7" s="19" t="s">
        <v>64</v>
      </c>
      <c r="F7" s="20">
        <v>1500</v>
      </c>
      <c r="G7" s="21">
        <v>2</v>
      </c>
      <c r="H7" s="12">
        <f t="shared" si="0"/>
        <v>3000</v>
      </c>
      <c r="I7" s="22">
        <f t="shared" si="1"/>
        <v>7.8431372549019607E-2</v>
      </c>
      <c r="J7" s="23">
        <f t="shared" ref="J7:J14" si="3">J6+I7</f>
        <v>0.86274509803921573</v>
      </c>
      <c r="K7" s="36" t="str">
        <f t="shared" si="2"/>
        <v>B</v>
      </c>
      <c r="L7" s="37"/>
      <c r="M7" s="37"/>
      <c r="N7" s="37"/>
      <c r="O7" s="38"/>
      <c r="P7" s="37"/>
      <c r="S7" s="67">
        <v>4</v>
      </c>
      <c r="T7" s="67" t="s">
        <v>60</v>
      </c>
      <c r="U7" s="69">
        <f t="shared" ref="U7:U15" si="4">(100%/15)*S7</f>
        <v>0.26666666666666666</v>
      </c>
    </row>
    <row r="8" spans="1:21" ht="16.5" thickBot="1">
      <c r="A8" s="92" t="s">
        <v>60</v>
      </c>
      <c r="B8" s="93">
        <v>1300</v>
      </c>
      <c r="C8" s="93">
        <v>1</v>
      </c>
      <c r="E8" s="19" t="s">
        <v>57</v>
      </c>
      <c r="F8" s="20">
        <v>1100</v>
      </c>
      <c r="G8" s="21">
        <v>2</v>
      </c>
      <c r="H8" s="12">
        <f t="shared" si="0"/>
        <v>2200</v>
      </c>
      <c r="I8" s="22">
        <f t="shared" si="1"/>
        <v>5.7516339869281043E-2</v>
      </c>
      <c r="J8" s="23">
        <f t="shared" si="3"/>
        <v>0.92026143790849679</v>
      </c>
      <c r="K8" s="36" t="str">
        <f t="shared" si="2"/>
        <v>B</v>
      </c>
      <c r="L8" s="37"/>
      <c r="M8" s="37"/>
      <c r="N8" s="37"/>
      <c r="O8" s="38"/>
      <c r="P8" s="37"/>
      <c r="S8" s="67">
        <v>5</v>
      </c>
      <c r="T8" s="67" t="s">
        <v>61</v>
      </c>
      <c r="U8" s="69">
        <f t="shared" si="4"/>
        <v>0.33333333333333331</v>
      </c>
    </row>
    <row r="9" spans="1:21" ht="16.5" thickBot="1">
      <c r="A9" s="92" t="s">
        <v>61</v>
      </c>
      <c r="B9" s="93">
        <v>100</v>
      </c>
      <c r="C9" s="93">
        <v>60</v>
      </c>
      <c r="E9" s="19" t="s">
        <v>60</v>
      </c>
      <c r="F9" s="20">
        <v>1300</v>
      </c>
      <c r="G9" s="21">
        <v>1</v>
      </c>
      <c r="H9" s="12">
        <f t="shared" si="0"/>
        <v>1300</v>
      </c>
      <c r="I9" s="22">
        <f t="shared" si="1"/>
        <v>3.3986928104575161E-2</v>
      </c>
      <c r="J9" s="23">
        <f t="shared" si="3"/>
        <v>0.95424836601307195</v>
      </c>
      <c r="K9" s="36" t="str">
        <f t="shared" si="2"/>
        <v>C</v>
      </c>
      <c r="L9" s="37"/>
      <c r="M9" s="37"/>
      <c r="N9" s="37"/>
      <c r="O9" s="38"/>
      <c r="P9" s="37"/>
      <c r="S9" s="67">
        <v>6</v>
      </c>
      <c r="T9" s="67" t="s">
        <v>62</v>
      </c>
      <c r="U9" s="69">
        <f t="shared" si="4"/>
        <v>0.4</v>
      </c>
    </row>
    <row r="10" spans="1:21" ht="16.5" thickBot="1">
      <c r="A10" s="92" t="s">
        <v>62</v>
      </c>
      <c r="B10" s="93">
        <v>10</v>
      </c>
      <c r="C10" s="93">
        <v>25</v>
      </c>
      <c r="E10" s="19" t="s">
        <v>66</v>
      </c>
      <c r="F10" s="20">
        <v>500</v>
      </c>
      <c r="G10" s="21">
        <v>1</v>
      </c>
      <c r="H10" s="12">
        <f t="shared" si="0"/>
        <v>500</v>
      </c>
      <c r="I10" s="22">
        <f t="shared" si="1"/>
        <v>1.3071895424836602E-2</v>
      </c>
      <c r="J10" s="23">
        <f t="shared" si="3"/>
        <v>0.9673202614379085</v>
      </c>
      <c r="K10" s="36" t="str">
        <f t="shared" si="2"/>
        <v>C</v>
      </c>
      <c r="L10" s="37"/>
      <c r="M10" s="37"/>
      <c r="N10" s="37"/>
      <c r="O10" s="38"/>
      <c r="P10" s="37"/>
      <c r="S10" s="67">
        <v>7</v>
      </c>
      <c r="T10" s="67" t="s">
        <v>63</v>
      </c>
      <c r="U10" s="69">
        <f t="shared" si="4"/>
        <v>0.46666666666666667</v>
      </c>
    </row>
    <row r="11" spans="1:21" ht="16.5" thickBot="1">
      <c r="A11" s="92" t="s">
        <v>63</v>
      </c>
      <c r="B11" s="93">
        <v>100</v>
      </c>
      <c r="C11" s="93">
        <v>2</v>
      </c>
      <c r="E11" s="19" t="s">
        <v>65</v>
      </c>
      <c r="F11" s="20">
        <v>200</v>
      </c>
      <c r="G11" s="21">
        <v>2</v>
      </c>
      <c r="H11" s="12">
        <f t="shared" si="0"/>
        <v>400</v>
      </c>
      <c r="I11" s="22">
        <f t="shared" si="1"/>
        <v>1.045751633986928E-2</v>
      </c>
      <c r="J11" s="23">
        <f t="shared" si="3"/>
        <v>0.97777777777777775</v>
      </c>
      <c r="K11" s="36" t="str">
        <f t="shared" si="2"/>
        <v>C</v>
      </c>
      <c r="L11" s="37"/>
      <c r="M11" s="37"/>
      <c r="N11" s="37"/>
      <c r="O11" s="38"/>
      <c r="P11" s="37"/>
      <c r="S11" s="67">
        <v>8</v>
      </c>
      <c r="T11" s="67" t="s">
        <v>64</v>
      </c>
      <c r="U11" s="69">
        <f t="shared" si="4"/>
        <v>0.53333333333333333</v>
      </c>
    </row>
    <row r="12" spans="1:21" ht="16.5" thickBot="1">
      <c r="A12" s="92" t="s">
        <v>64</v>
      </c>
      <c r="B12" s="93">
        <v>1500</v>
      </c>
      <c r="C12" s="93">
        <v>2</v>
      </c>
      <c r="E12" s="19" t="s">
        <v>59</v>
      </c>
      <c r="F12" s="20">
        <v>100</v>
      </c>
      <c r="G12" s="21">
        <v>4</v>
      </c>
      <c r="H12" s="12">
        <f t="shared" si="0"/>
        <v>400</v>
      </c>
      <c r="I12" s="22">
        <f t="shared" si="1"/>
        <v>1.045751633986928E-2</v>
      </c>
      <c r="J12" s="23">
        <f t="shared" si="3"/>
        <v>0.98823529411764699</v>
      </c>
      <c r="K12" s="36" t="str">
        <f t="shared" si="2"/>
        <v>C</v>
      </c>
      <c r="L12" s="37"/>
      <c r="M12" s="37"/>
      <c r="N12" s="37"/>
      <c r="O12" s="38"/>
      <c r="P12" s="37"/>
      <c r="S12" s="67">
        <v>9</v>
      </c>
      <c r="T12" s="67" t="s">
        <v>65</v>
      </c>
      <c r="U12" s="69">
        <f t="shared" si="4"/>
        <v>0.6</v>
      </c>
    </row>
    <row r="13" spans="1:21" ht="16.5" thickBot="1">
      <c r="A13" s="92" t="s">
        <v>65</v>
      </c>
      <c r="B13" s="93">
        <v>200</v>
      </c>
      <c r="C13" s="93">
        <v>2</v>
      </c>
      <c r="E13" s="19" t="s">
        <v>62</v>
      </c>
      <c r="F13" s="20">
        <v>10</v>
      </c>
      <c r="G13" s="21">
        <v>25</v>
      </c>
      <c r="H13" s="12">
        <f t="shared" si="0"/>
        <v>250</v>
      </c>
      <c r="I13" s="22">
        <f t="shared" si="1"/>
        <v>6.5359477124183009E-3</v>
      </c>
      <c r="J13" s="23">
        <f t="shared" si="3"/>
        <v>0.99477124183006527</v>
      </c>
      <c r="K13" s="36" t="str">
        <f t="shared" si="2"/>
        <v>C</v>
      </c>
      <c r="L13" s="37"/>
      <c r="M13" s="37"/>
      <c r="N13" s="37"/>
      <c r="O13" s="38"/>
      <c r="P13" s="37"/>
      <c r="S13" s="67">
        <v>10</v>
      </c>
      <c r="T13" s="67" t="s">
        <v>66</v>
      </c>
      <c r="U13" s="69">
        <f t="shared" si="4"/>
        <v>0.66666666666666663</v>
      </c>
    </row>
    <row r="14" spans="1:21" ht="16.5" thickBot="1">
      <c r="A14" s="92" t="s">
        <v>66</v>
      </c>
      <c r="B14" s="93">
        <v>500</v>
      </c>
      <c r="C14" s="93">
        <v>1</v>
      </c>
      <c r="E14" s="19" t="s">
        <v>63</v>
      </c>
      <c r="F14" s="20">
        <v>100</v>
      </c>
      <c r="G14" s="21">
        <v>2</v>
      </c>
      <c r="H14" s="12">
        <f t="shared" si="0"/>
        <v>200</v>
      </c>
      <c r="I14" s="22">
        <f t="shared" si="1"/>
        <v>5.2287581699346402E-3</v>
      </c>
      <c r="J14" s="23">
        <f t="shared" si="3"/>
        <v>0.99999999999999989</v>
      </c>
      <c r="K14" s="36" t="str">
        <f t="shared" si="2"/>
        <v>C</v>
      </c>
      <c r="L14" s="37"/>
      <c r="M14" s="37"/>
      <c r="N14" s="37"/>
      <c r="O14" s="38"/>
      <c r="P14" s="37"/>
      <c r="S14" s="67">
        <v>11</v>
      </c>
      <c r="T14" s="67" t="s">
        <v>68</v>
      </c>
      <c r="U14" s="69">
        <f t="shared" si="4"/>
        <v>0.73333333333333328</v>
      </c>
    </row>
    <row r="15" spans="1:21" ht="16.5" thickBot="1">
      <c r="A15" s="92" t="s">
        <v>140</v>
      </c>
      <c r="B15" s="94">
        <v>5510</v>
      </c>
      <c r="C15" s="95"/>
      <c r="E15" s="19" t="s">
        <v>67</v>
      </c>
      <c r="F15" s="24">
        <v>5510</v>
      </c>
      <c r="G15" s="21"/>
      <c r="H15" s="12">
        <f>SUM(H5:H14)</f>
        <v>38250</v>
      </c>
      <c r="I15" s="12"/>
      <c r="J15" s="12"/>
      <c r="K15" s="36"/>
      <c r="L15" s="37"/>
      <c r="M15" s="37"/>
      <c r="N15" s="37"/>
      <c r="O15" s="38"/>
      <c r="P15" s="37"/>
      <c r="S15" s="67">
        <v>12</v>
      </c>
      <c r="T15" s="67" t="s">
        <v>69</v>
      </c>
      <c r="U15" s="69">
        <f t="shared" si="4"/>
        <v>0.8</v>
      </c>
    </row>
    <row r="16" spans="1:21">
      <c r="I16" s="37"/>
      <c r="J16" s="37"/>
      <c r="K16" s="37"/>
      <c r="L16" s="38"/>
      <c r="M16" s="37"/>
      <c r="P16" s="97"/>
      <c r="Q16" s="97"/>
      <c r="R16" s="98"/>
      <c r="S16" s="96">
        <v>13</v>
      </c>
      <c r="T16" s="67" t="s">
        <v>70</v>
      </c>
      <c r="U16" s="69">
        <f t="shared" ref="U16:U18" si="5">(100%/15)*S16</f>
        <v>0.8666666666666667</v>
      </c>
    </row>
    <row r="17" spans="9:21">
      <c r="I17" s="37"/>
      <c r="J17" s="37"/>
      <c r="K17" s="37"/>
      <c r="L17" s="38"/>
      <c r="M17" s="37"/>
      <c r="P17" s="97"/>
      <c r="Q17" s="97"/>
      <c r="R17" s="98"/>
      <c r="S17" s="96">
        <v>14</v>
      </c>
      <c r="T17" s="67" t="s">
        <v>71</v>
      </c>
      <c r="U17" s="69">
        <f t="shared" si="5"/>
        <v>0.93333333333333335</v>
      </c>
    </row>
    <row r="18" spans="9:21">
      <c r="I18" s="37"/>
      <c r="J18" s="37"/>
      <c r="K18" s="37"/>
      <c r="L18" s="38"/>
      <c r="M18" s="37"/>
      <c r="P18" s="97"/>
      <c r="Q18" s="97"/>
      <c r="R18" s="98"/>
      <c r="S18" s="96">
        <v>15</v>
      </c>
      <c r="T18" s="67" t="s">
        <v>72</v>
      </c>
      <c r="U18" s="69">
        <f t="shared" si="5"/>
        <v>1</v>
      </c>
    </row>
    <row r="19" spans="9:21">
      <c r="I19" s="37"/>
      <c r="J19" s="37"/>
      <c r="K19" s="37"/>
      <c r="L19" s="38"/>
      <c r="M19" s="37"/>
    </row>
    <row r="20" spans="9:21">
      <c r="I20" s="37"/>
      <c r="J20" s="37"/>
      <c r="K20" s="37"/>
      <c r="L20" s="37"/>
      <c r="M20" s="37"/>
    </row>
  </sheetData>
  <sortState xmlns:xlrd2="http://schemas.microsoft.com/office/spreadsheetml/2017/richdata2" ref="E5:H14">
    <sortCondition descending="1" ref="H5:H14"/>
  </sortState>
  <hyperlinks>
    <hyperlink ref="A1" location="Menu!A1" display="Retour Menu" xr:uid="{00000000-0004-0000-0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4"/>
  <sheetViews>
    <sheetView workbookViewId="0">
      <selection activeCell="A2" sqref="A2"/>
    </sheetView>
  </sheetViews>
  <sheetFormatPr baseColWidth="10" defaultRowHeight="15"/>
  <sheetData>
    <row r="2" spans="1:6">
      <c r="A2" s="82"/>
    </row>
    <row r="3" spans="1:6">
      <c r="D3" s="12" t="s">
        <v>37</v>
      </c>
      <c r="E3" s="12">
        <v>730</v>
      </c>
    </row>
    <row r="4" spans="1:6">
      <c r="D4" s="12" t="s">
        <v>73</v>
      </c>
      <c r="E4" s="12">
        <v>30</v>
      </c>
    </row>
    <row r="5" spans="1:6">
      <c r="D5" s="12" t="s">
        <v>74</v>
      </c>
      <c r="E5" s="12">
        <v>75</v>
      </c>
    </row>
    <row r="6" spans="1:6">
      <c r="C6" t="s">
        <v>234</v>
      </c>
      <c r="D6" s="12" t="s">
        <v>75</v>
      </c>
      <c r="E6" s="33">
        <f>SQRT(2*E3*E4/E5)</f>
        <v>24.166091947189145</v>
      </c>
      <c r="F6">
        <v>25</v>
      </c>
    </row>
    <row r="7" spans="1:6">
      <c r="D7" s="12" t="s">
        <v>195</v>
      </c>
      <c r="E7" s="33">
        <f>E3/F6</f>
        <v>29.2</v>
      </c>
      <c r="F7" t="s">
        <v>263</v>
      </c>
    </row>
    <row r="8" spans="1:6">
      <c r="D8" s="12" t="s">
        <v>264</v>
      </c>
      <c r="E8" s="12">
        <v>500</v>
      </c>
    </row>
    <row r="9" spans="1:6">
      <c r="D9" s="12" t="s">
        <v>91</v>
      </c>
      <c r="E9" s="115">
        <f>E5/E8</f>
        <v>0.15</v>
      </c>
    </row>
    <row r="10" spans="1:6">
      <c r="D10" s="12" t="s">
        <v>265</v>
      </c>
      <c r="E10" s="116">
        <f>365/E7</f>
        <v>12.5</v>
      </c>
      <c r="F10" t="s">
        <v>266</v>
      </c>
    </row>
    <row r="11" spans="1:6">
      <c r="D11" s="12" t="s">
        <v>81</v>
      </c>
      <c r="E11" s="12">
        <f>F6*E5/2</f>
        <v>937.5</v>
      </c>
    </row>
    <row r="12" spans="1:6">
      <c r="D12" s="12" t="s">
        <v>45</v>
      </c>
      <c r="E12" s="12">
        <f>E4*E7</f>
        <v>876</v>
      </c>
    </row>
    <row r="13" spans="1:6">
      <c r="D13" s="12" t="s">
        <v>80</v>
      </c>
      <c r="E13" s="12">
        <f>E8*E3</f>
        <v>365000</v>
      </c>
    </row>
    <row r="14" spans="1:6">
      <c r="D14" s="12" t="s">
        <v>47</v>
      </c>
      <c r="E14" s="12">
        <f>SUM(E11:E13)</f>
        <v>366813.5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topLeftCell="A7" workbookViewId="0">
      <selection activeCell="P8" sqref="P8"/>
    </sheetView>
  </sheetViews>
  <sheetFormatPr baseColWidth="10" defaultRowHeight="15"/>
  <cols>
    <col min="1" max="16384" width="11.42578125" style="99"/>
  </cols>
  <sheetData>
    <row r="1" spans="1:14">
      <c r="A1" s="100" t="s">
        <v>192</v>
      </c>
    </row>
    <row r="3" spans="1:14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4">
      <c r="B4" s="112" t="s">
        <v>196</v>
      </c>
      <c r="C4" s="112" t="s">
        <v>198</v>
      </c>
      <c r="D4" s="112" t="s">
        <v>198</v>
      </c>
      <c r="E4" s="112" t="s">
        <v>203</v>
      </c>
      <c r="F4" s="111"/>
      <c r="G4" s="111"/>
      <c r="H4" s="111"/>
      <c r="I4" s="111"/>
      <c r="J4" s="111"/>
      <c r="K4" s="111"/>
      <c r="L4" s="111"/>
      <c r="M4" s="111"/>
      <c r="N4" s="111"/>
    </row>
    <row r="5" spans="1:14">
      <c r="B5" s="112" t="s">
        <v>197</v>
      </c>
      <c r="C5" s="112" t="s">
        <v>199</v>
      </c>
      <c r="D5" s="112" t="s">
        <v>201</v>
      </c>
      <c r="E5" s="112" t="s">
        <v>204</v>
      </c>
      <c r="F5" s="111"/>
      <c r="G5" s="111"/>
      <c r="H5" s="111"/>
      <c r="I5" s="111"/>
      <c r="J5" s="111"/>
      <c r="K5" s="111"/>
      <c r="L5" s="111"/>
      <c r="M5" s="111"/>
      <c r="N5" s="111"/>
    </row>
    <row r="6" spans="1:14">
      <c r="B6" s="112" t="s">
        <v>221</v>
      </c>
      <c r="C6" s="112" t="s">
        <v>200</v>
      </c>
      <c r="D6" s="112" t="s">
        <v>202</v>
      </c>
      <c r="E6" s="112" t="s">
        <v>205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14">
      <c r="B7" s="112">
        <v>50</v>
      </c>
      <c r="C7" s="112">
        <v>35</v>
      </c>
      <c r="D7" s="112">
        <v>2000</v>
      </c>
      <c r="E7" s="112">
        <v>2035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14">
      <c r="B8" s="112">
        <v>80</v>
      </c>
      <c r="C8" s="112">
        <v>56</v>
      </c>
      <c r="D8" s="112">
        <v>1500</v>
      </c>
      <c r="E8" s="112">
        <v>1556</v>
      </c>
      <c r="F8" s="111"/>
      <c r="G8" s="111"/>
      <c r="H8" s="111"/>
      <c r="I8" s="111"/>
      <c r="J8" s="111"/>
      <c r="K8" s="111"/>
      <c r="L8" s="111"/>
      <c r="M8" s="111"/>
      <c r="N8" s="111"/>
    </row>
    <row r="9" spans="1:14">
      <c r="B9" s="112">
        <v>100</v>
      </c>
      <c r="C9" s="112">
        <v>70</v>
      </c>
      <c r="D9" s="112">
        <v>1200</v>
      </c>
      <c r="E9" s="112">
        <v>1270</v>
      </c>
      <c r="F9" s="111"/>
      <c r="G9" s="111"/>
      <c r="H9" s="111"/>
      <c r="I9" s="111"/>
      <c r="J9" s="111"/>
      <c r="K9" s="111"/>
      <c r="L9" s="111"/>
      <c r="M9" s="111"/>
      <c r="N9" s="111"/>
    </row>
    <row r="10" spans="1:14">
      <c r="B10" s="112">
        <v>200</v>
      </c>
      <c r="C10" s="112">
        <v>140</v>
      </c>
      <c r="D10" s="112">
        <v>1000</v>
      </c>
      <c r="E10" s="112">
        <v>1140</v>
      </c>
      <c r="F10" s="111"/>
      <c r="G10" s="111"/>
      <c r="H10" s="111"/>
      <c r="I10" s="111"/>
      <c r="J10" s="111"/>
      <c r="K10" s="111"/>
      <c r="L10" s="111"/>
      <c r="M10" s="111"/>
      <c r="N10" s="111"/>
    </row>
    <row r="11" spans="1:14">
      <c r="B11" s="112">
        <v>400</v>
      </c>
      <c r="C11" s="112">
        <v>280</v>
      </c>
      <c r="D11" s="112">
        <v>500</v>
      </c>
      <c r="E11" s="112">
        <v>780</v>
      </c>
      <c r="F11" s="111"/>
      <c r="G11" s="111"/>
      <c r="H11" s="111"/>
      <c r="I11" s="111"/>
      <c r="J11" s="111"/>
      <c r="K11" s="111"/>
      <c r="L11" s="111"/>
      <c r="M11" s="111"/>
      <c r="N11" s="111"/>
    </row>
    <row r="12" spans="1:14">
      <c r="B12" s="113">
        <v>500</v>
      </c>
      <c r="C12" s="113">
        <v>350</v>
      </c>
      <c r="D12" s="113">
        <v>400</v>
      </c>
      <c r="E12" s="113">
        <v>750</v>
      </c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14">
      <c r="B13" s="112">
        <v>600</v>
      </c>
      <c r="C13" s="112">
        <v>420</v>
      </c>
      <c r="D13" s="112">
        <v>333.33</v>
      </c>
      <c r="E13" s="112">
        <v>753.33</v>
      </c>
      <c r="F13" s="111"/>
      <c r="G13" s="111"/>
      <c r="H13" s="111"/>
      <c r="I13" s="111"/>
      <c r="J13" s="111"/>
      <c r="K13" s="111"/>
      <c r="L13" s="111"/>
      <c r="M13" s="111"/>
      <c r="N13" s="111"/>
    </row>
    <row r="14" spans="1:14">
      <c r="B14" s="112">
        <v>700</v>
      </c>
      <c r="C14" s="112">
        <v>490</v>
      </c>
      <c r="D14" s="112">
        <v>285.70999999999998</v>
      </c>
      <c r="E14" s="112">
        <v>775.71</v>
      </c>
      <c r="F14" s="111"/>
      <c r="G14" s="111"/>
      <c r="H14" s="111"/>
      <c r="I14" s="111"/>
      <c r="J14" s="111"/>
      <c r="K14" s="111"/>
      <c r="L14" s="111"/>
      <c r="M14" s="111"/>
      <c r="N14" s="111"/>
    </row>
    <row r="15" spans="1:14">
      <c r="B15" s="112">
        <v>800</v>
      </c>
      <c r="C15" s="112">
        <v>560</v>
      </c>
      <c r="D15" s="112">
        <v>250</v>
      </c>
      <c r="E15" s="112">
        <v>810</v>
      </c>
      <c r="F15" s="111"/>
      <c r="G15" s="111"/>
      <c r="H15" s="111"/>
      <c r="I15" s="111"/>
      <c r="J15" s="111"/>
      <c r="K15" s="111"/>
      <c r="L15" s="111"/>
      <c r="M15" s="111"/>
      <c r="N15" s="111"/>
    </row>
    <row r="16" spans="1:14">
      <c r="B16" s="112">
        <v>1000</v>
      </c>
      <c r="C16" s="112">
        <v>700</v>
      </c>
      <c r="D16" s="112">
        <v>200</v>
      </c>
      <c r="E16" s="112">
        <v>900</v>
      </c>
      <c r="F16" s="111"/>
      <c r="G16" s="111"/>
      <c r="H16" s="111"/>
      <c r="I16" s="111"/>
      <c r="J16" s="111"/>
      <c r="K16" s="111"/>
      <c r="L16" s="111"/>
      <c r="M16" s="111"/>
      <c r="N16" s="111"/>
    </row>
    <row r="17" spans="2:14">
      <c r="B17" s="112">
        <v>1500</v>
      </c>
      <c r="C17" s="112">
        <v>1050</v>
      </c>
      <c r="D17" s="112">
        <v>133.33000000000001</v>
      </c>
      <c r="E17" s="114">
        <v>1183.33</v>
      </c>
      <c r="F17" s="111"/>
      <c r="G17" s="111"/>
      <c r="H17" s="111"/>
      <c r="I17" s="111"/>
      <c r="J17" s="111"/>
      <c r="K17" s="111"/>
      <c r="L17" s="111"/>
      <c r="M17" s="111"/>
      <c r="N17" s="111"/>
    </row>
    <row r="18" spans="2:14">
      <c r="B18" s="112">
        <v>3000</v>
      </c>
      <c r="C18" s="112">
        <v>2100</v>
      </c>
      <c r="D18" s="112">
        <v>66.67</v>
      </c>
      <c r="E18" s="114">
        <v>2166.67</v>
      </c>
      <c r="F18" s="111"/>
      <c r="G18" s="111"/>
      <c r="H18" s="111"/>
      <c r="I18" s="111"/>
      <c r="J18" s="111"/>
      <c r="K18" s="111"/>
      <c r="L18" s="111"/>
      <c r="M18" s="111"/>
      <c r="N18" s="111"/>
    </row>
    <row r="19" spans="2:14">
      <c r="B19" s="112">
        <v>4000</v>
      </c>
      <c r="C19" s="112">
        <v>2800</v>
      </c>
      <c r="D19" s="112">
        <v>50</v>
      </c>
      <c r="E19" s="114">
        <v>2850</v>
      </c>
      <c r="F19" s="111"/>
      <c r="G19" s="111"/>
      <c r="H19" s="111"/>
      <c r="I19" s="111"/>
      <c r="J19" s="111"/>
      <c r="K19" s="111"/>
      <c r="L19" s="111"/>
      <c r="M19" s="111"/>
      <c r="N19" s="111"/>
    </row>
    <row r="20" spans="2:14">
      <c r="B20" s="112">
        <v>6000</v>
      </c>
      <c r="C20" s="112">
        <v>4200</v>
      </c>
      <c r="D20" s="112">
        <v>33.33</v>
      </c>
      <c r="E20" s="114">
        <v>4233.33</v>
      </c>
      <c r="F20" s="111"/>
      <c r="G20" s="111"/>
      <c r="H20" s="111"/>
      <c r="I20" s="111"/>
      <c r="J20" s="111"/>
      <c r="K20" s="111"/>
      <c r="L20" s="111"/>
      <c r="M20" s="111"/>
      <c r="N20" s="111"/>
    </row>
    <row r="21" spans="2:14"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</row>
    <row r="22" spans="2:14">
      <c r="B22" t="s">
        <v>74</v>
      </c>
      <c r="C22">
        <v>0.7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</row>
    <row r="23" spans="2:14">
      <c r="B23" t="s">
        <v>262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</row>
  </sheetData>
  <hyperlinks>
    <hyperlink ref="A1" location="Menu!A1" display="Retour Menu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19" zoomScale="120" zoomScaleNormal="120" workbookViewId="0">
      <selection activeCell="A33" sqref="A33"/>
    </sheetView>
  </sheetViews>
  <sheetFormatPr baseColWidth="10" defaultRowHeight="15"/>
  <cols>
    <col min="1" max="1" width="74.5703125" style="107" customWidth="1"/>
    <col min="2" max="2" width="22.5703125" style="75" customWidth="1"/>
    <col min="3" max="3" width="32.28515625" style="75" customWidth="1"/>
    <col min="4" max="4" width="22.7109375" style="75" customWidth="1"/>
    <col min="5" max="16384" width="11.42578125" style="75"/>
  </cols>
  <sheetData>
    <row r="1" spans="1:6" s="71" customFormat="1" ht="39">
      <c r="A1" s="101" t="s">
        <v>110</v>
      </c>
      <c r="B1" s="70" t="s">
        <v>111</v>
      </c>
      <c r="C1" s="70" t="s">
        <v>112</v>
      </c>
      <c r="D1" s="70" t="s">
        <v>113</v>
      </c>
      <c r="F1" s="82" t="s">
        <v>192</v>
      </c>
    </row>
    <row r="2" spans="1:6" ht="14.25">
      <c r="A2" s="102" t="s">
        <v>114</v>
      </c>
      <c r="B2" s="72"/>
      <c r="C2" s="73"/>
      <c r="D2" s="74"/>
    </row>
    <row r="3" spans="1:6" ht="30">
      <c r="A3" s="103" t="s">
        <v>115</v>
      </c>
      <c r="B3" s="76">
        <f>900*12</f>
        <v>10800</v>
      </c>
      <c r="C3" s="73"/>
      <c r="D3" s="73">
        <f>900*12</f>
        <v>10800</v>
      </c>
    </row>
    <row r="4" spans="1:6">
      <c r="A4" s="103" t="s">
        <v>116</v>
      </c>
      <c r="B4" s="76">
        <f>2*1350*12</f>
        <v>32400</v>
      </c>
      <c r="C4" s="73"/>
      <c r="D4" s="73"/>
    </row>
    <row r="5" spans="1:6">
      <c r="A5" s="103" t="s">
        <v>117</v>
      </c>
      <c r="B5" s="76">
        <f>2*900*12</f>
        <v>21600</v>
      </c>
      <c r="C5" s="73"/>
      <c r="D5" s="73"/>
    </row>
    <row r="6" spans="1:6">
      <c r="A6" s="103" t="s">
        <v>118</v>
      </c>
      <c r="B6" s="76"/>
      <c r="C6" s="73"/>
      <c r="D6" s="73">
        <f>1350*12</f>
        <v>16200</v>
      </c>
    </row>
    <row r="7" spans="1:6">
      <c r="A7" s="103" t="s">
        <v>119</v>
      </c>
      <c r="B7" s="76"/>
      <c r="C7" s="73"/>
      <c r="D7" s="73">
        <f>900*12</f>
        <v>10800</v>
      </c>
    </row>
    <row r="8" spans="1:6">
      <c r="A8" s="103" t="s">
        <v>120</v>
      </c>
      <c r="B8" s="76"/>
      <c r="C8" s="73"/>
      <c r="D8" s="73">
        <f>5*600*12</f>
        <v>36000</v>
      </c>
    </row>
    <row r="9" spans="1:6">
      <c r="A9" s="103" t="s">
        <v>121</v>
      </c>
      <c r="B9" s="76">
        <f>675*12</f>
        <v>8100</v>
      </c>
      <c r="C9" s="73"/>
      <c r="D9" s="76">
        <f>675*12</f>
        <v>8100</v>
      </c>
    </row>
    <row r="10" spans="1:6">
      <c r="A10" s="103" t="s">
        <v>122</v>
      </c>
      <c r="B10" s="76">
        <f>7000</f>
        <v>7000</v>
      </c>
      <c r="C10" s="73"/>
      <c r="D10" s="73"/>
    </row>
    <row r="11" spans="1:6" ht="14.25">
      <c r="A11" s="104" t="s">
        <v>123</v>
      </c>
      <c r="B11" s="76"/>
      <c r="C11" s="73"/>
      <c r="D11" s="73"/>
    </row>
    <row r="12" spans="1:6" ht="30">
      <c r="A12" s="103" t="s">
        <v>124</v>
      </c>
      <c r="B12" s="76">
        <f>900*12*1.5</f>
        <v>16200</v>
      </c>
      <c r="C12" s="73"/>
      <c r="D12" s="73">
        <v>16200</v>
      </c>
    </row>
    <row r="13" spans="1:6" ht="30">
      <c r="A13" s="103" t="s">
        <v>125</v>
      </c>
      <c r="B13" s="76"/>
      <c r="C13" s="73"/>
      <c r="D13" s="73">
        <f>3*600*12</f>
        <v>21600</v>
      </c>
    </row>
    <row r="14" spans="1:6" s="79" customFormat="1" ht="14.25">
      <c r="A14" s="104" t="s">
        <v>126</v>
      </c>
      <c r="B14" s="77"/>
      <c r="C14" s="78"/>
      <c r="D14" s="78"/>
    </row>
    <row r="15" spans="1:6">
      <c r="A15" s="103" t="s">
        <v>127</v>
      </c>
      <c r="B15" s="76">
        <f>8400</f>
        <v>8400</v>
      </c>
      <c r="C15" s="73"/>
      <c r="D15" s="73"/>
    </row>
    <row r="16" spans="1:6" ht="30">
      <c r="A16" s="103" t="s">
        <v>128</v>
      </c>
      <c r="B16" s="76">
        <f>600</f>
        <v>600</v>
      </c>
      <c r="C16" s="73"/>
      <c r="D16" s="73">
        <f>3800</f>
        <v>3800</v>
      </c>
    </row>
    <row r="17" spans="1:4">
      <c r="A17" s="103" t="s">
        <v>129</v>
      </c>
      <c r="B17" s="73"/>
      <c r="C17" s="73"/>
      <c r="D17" s="73">
        <v>9000</v>
      </c>
    </row>
    <row r="18" spans="1:4" ht="30">
      <c r="A18" s="103" t="s">
        <v>130</v>
      </c>
      <c r="B18" s="76">
        <f>2100</f>
        <v>2100</v>
      </c>
      <c r="C18" s="73"/>
      <c r="D18" s="73">
        <f>18000</f>
        <v>18000</v>
      </c>
    </row>
    <row r="19" spans="1:4" ht="28.5">
      <c r="A19" s="104" t="s">
        <v>131</v>
      </c>
      <c r="B19" s="73"/>
      <c r="C19" s="73"/>
      <c r="D19" s="73"/>
    </row>
    <row r="20" spans="1:4" ht="14.25">
      <c r="A20" s="104" t="s">
        <v>132</v>
      </c>
      <c r="B20" s="73"/>
      <c r="C20" s="73"/>
      <c r="D20" s="73"/>
    </row>
    <row r="21" spans="1:4">
      <c r="A21" s="103" t="s">
        <v>133</v>
      </c>
      <c r="B21" s="73"/>
      <c r="C21" s="73">
        <f>0.2*9000</f>
        <v>1800</v>
      </c>
      <c r="D21" s="73"/>
    </row>
    <row r="22" spans="1:4">
      <c r="A22" s="103" t="s">
        <v>134</v>
      </c>
      <c r="B22" s="73"/>
      <c r="C22" s="73">
        <f>0.18*1000*11</f>
        <v>1980</v>
      </c>
      <c r="D22" s="73"/>
    </row>
    <row r="23" spans="1:4" ht="30">
      <c r="A23" s="103" t="s">
        <v>135</v>
      </c>
      <c r="B23" s="73"/>
      <c r="C23" s="73">
        <f>0.22*1000*11</f>
        <v>2420</v>
      </c>
      <c r="D23" s="73"/>
    </row>
    <row r="24" spans="1:4" ht="30">
      <c r="A24" s="103" t="s">
        <v>136</v>
      </c>
      <c r="B24" s="73"/>
      <c r="C24" s="73">
        <f>0.2*(9000+11000)</f>
        <v>4000</v>
      </c>
      <c r="D24" s="73"/>
    </row>
    <row r="25" spans="1:4">
      <c r="A25" s="103" t="s">
        <v>137</v>
      </c>
      <c r="B25" s="76"/>
      <c r="C25" s="73">
        <f>3*9000</f>
        <v>27000</v>
      </c>
      <c r="D25" s="73"/>
    </row>
    <row r="26" spans="1:4">
      <c r="A26" s="105" t="s">
        <v>138</v>
      </c>
      <c r="B26" s="76"/>
      <c r="C26" s="108"/>
      <c r="D26" s="73"/>
    </row>
    <row r="27" spans="1:4">
      <c r="A27" s="103" t="s">
        <v>139</v>
      </c>
      <c r="B27" s="73"/>
      <c r="C27" s="73"/>
      <c r="D27" s="73">
        <v>1400</v>
      </c>
    </row>
    <row r="28" spans="1:4">
      <c r="A28" s="108" t="s">
        <v>143</v>
      </c>
      <c r="B28" s="73">
        <v>400000</v>
      </c>
      <c r="C28" s="73"/>
      <c r="D28" s="73"/>
    </row>
    <row r="29" spans="1:4">
      <c r="A29" s="106" t="s">
        <v>140</v>
      </c>
      <c r="B29" s="80">
        <f>SUM(B3:B28)</f>
        <v>507200</v>
      </c>
      <c r="C29" s="80">
        <f>SUM(C3:C27)</f>
        <v>37200</v>
      </c>
      <c r="D29" s="80">
        <f>SUM(D3:D27)</f>
        <v>151900</v>
      </c>
    </row>
    <row r="30" spans="1:4">
      <c r="A30" s="103" t="s">
        <v>141</v>
      </c>
      <c r="B30" s="73"/>
      <c r="C30" s="73"/>
      <c r="D30" s="73">
        <f>D29*10%</f>
        <v>15190</v>
      </c>
    </row>
    <row r="31" spans="1:4">
      <c r="A31" s="106" t="s">
        <v>142</v>
      </c>
      <c r="B31" s="80">
        <f>(B29+C29)/9000</f>
        <v>60.488888888888887</v>
      </c>
      <c r="C31" s="80"/>
      <c r="D31" s="81">
        <f>(D29+D30)/700000</f>
        <v>0.2387</v>
      </c>
    </row>
  </sheetData>
  <hyperlinks>
    <hyperlink ref="F1" location="Menu!A1" display="Retour Menu" xr:uid="{00000000-0004-0000-0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0"/>
  <sheetViews>
    <sheetView topLeftCell="A13" zoomScaleNormal="100" workbookViewId="0">
      <selection activeCell="E20" sqref="E20:F20"/>
    </sheetView>
  </sheetViews>
  <sheetFormatPr baseColWidth="10" defaultRowHeight="15"/>
  <cols>
    <col min="6" max="6" width="14.5703125" customWidth="1"/>
  </cols>
  <sheetData>
    <row r="1" spans="1:7">
      <c r="A1" s="82" t="s">
        <v>192</v>
      </c>
    </row>
    <row r="3" spans="1:7" ht="45">
      <c r="B3" s="12" t="s">
        <v>76</v>
      </c>
      <c r="C3" s="23">
        <v>0.02</v>
      </c>
      <c r="D3" s="12"/>
      <c r="E3" s="43" t="s">
        <v>158</v>
      </c>
      <c r="F3" s="43" t="s">
        <v>156</v>
      </c>
      <c r="G3" s="43" t="s">
        <v>157</v>
      </c>
    </row>
    <row r="4" spans="1:7">
      <c r="B4" s="12" t="s">
        <v>77</v>
      </c>
      <c r="C4" s="23">
        <v>0.03</v>
      </c>
      <c r="D4" s="12" t="s">
        <v>37</v>
      </c>
      <c r="E4" s="12">
        <v>4000</v>
      </c>
      <c r="F4" s="12">
        <v>4000</v>
      </c>
      <c r="G4" s="12">
        <v>4000</v>
      </c>
    </row>
    <row r="5" spans="1:7">
      <c r="D5" s="12" t="s">
        <v>73</v>
      </c>
      <c r="E5" s="12">
        <v>17.28</v>
      </c>
      <c r="F5" s="12">
        <f>E5</f>
        <v>17.28</v>
      </c>
      <c r="G5" s="12">
        <f>F5</f>
        <v>17.28</v>
      </c>
    </row>
    <row r="6" spans="1:7">
      <c r="D6" s="12" t="s">
        <v>78</v>
      </c>
      <c r="E6" s="25">
        <v>0.125</v>
      </c>
      <c r="F6" s="25">
        <f>E6</f>
        <v>0.125</v>
      </c>
      <c r="G6" s="25">
        <f>F6</f>
        <v>0.125</v>
      </c>
    </row>
    <row r="7" spans="1:7">
      <c r="D7" s="12" t="s">
        <v>79</v>
      </c>
      <c r="E7" s="26">
        <v>8.3699999999999992</v>
      </c>
      <c r="F7" s="12">
        <f>E7*(1-C3)</f>
        <v>8.2025999999999986</v>
      </c>
      <c r="G7" s="12">
        <f>E7*(1-C4)</f>
        <v>8.1188999999999982</v>
      </c>
    </row>
    <row r="8" spans="1:7">
      <c r="D8" s="12" t="s">
        <v>74</v>
      </c>
      <c r="E8" s="27">
        <f>E6*E7</f>
        <v>1.0462499999999999</v>
      </c>
      <c r="F8" s="12">
        <f>F6*F7</f>
        <v>1.0253249999999998</v>
      </c>
      <c r="G8" s="12">
        <f>G6*G7</f>
        <v>1.0148624999999998</v>
      </c>
    </row>
    <row r="9" spans="1:7">
      <c r="D9" s="12" t="s">
        <v>75</v>
      </c>
      <c r="E9" s="42">
        <f>SQRT(2*E4*E5/E8)</f>
        <v>363.49557391812147</v>
      </c>
      <c r="F9" s="28">
        <f>SQRT(2*F4*F5/F8)</f>
        <v>367.18597892685665</v>
      </c>
      <c r="G9" s="28">
        <f>SQRT(2*G4*G5/G8)</f>
        <v>369.07383702080864</v>
      </c>
    </row>
    <row r="10" spans="1:7">
      <c r="D10" s="12" t="s">
        <v>206</v>
      </c>
      <c r="E10" s="42">
        <f>E9</f>
        <v>363.49557391812147</v>
      </c>
      <c r="F10" s="28">
        <v>2000</v>
      </c>
      <c r="G10" s="28">
        <v>3500</v>
      </c>
    </row>
    <row r="11" spans="1:7">
      <c r="D11" s="30" t="s">
        <v>80</v>
      </c>
      <c r="E11" s="12">
        <f>E4*E7</f>
        <v>33480</v>
      </c>
      <c r="F11" s="12">
        <f>F4*F7</f>
        <v>32810.399999999994</v>
      </c>
      <c r="G11" s="12">
        <f t="shared" ref="G11" si="0">G4*G7</f>
        <v>32475.599999999991</v>
      </c>
    </row>
    <row r="12" spans="1:7">
      <c r="D12" s="30" t="s">
        <v>81</v>
      </c>
      <c r="E12" s="27">
        <f>E8*E9/2</f>
        <v>190.15362210591726</v>
      </c>
      <c r="F12" s="12">
        <f>F8*2000/2</f>
        <v>1025.3249999999998</v>
      </c>
      <c r="G12" s="12">
        <f>G8*3500/2</f>
        <v>1776.0093749999996</v>
      </c>
    </row>
    <row r="13" spans="1:7">
      <c r="D13" s="30" t="s">
        <v>45</v>
      </c>
      <c r="E13" s="12">
        <f>E5*E4/E9</f>
        <v>190.15362210591729</v>
      </c>
      <c r="F13" s="12">
        <f>F5*F4/2000</f>
        <v>34.56</v>
      </c>
      <c r="G13" s="12">
        <f>G5*G4/3500</f>
        <v>19.748571428571427</v>
      </c>
    </row>
    <row r="14" spans="1:7">
      <c r="D14" s="30" t="s">
        <v>47</v>
      </c>
      <c r="E14" s="27">
        <f>E11+E12+E13</f>
        <v>33860.307244211828</v>
      </c>
      <c r="F14" s="27">
        <f>F11+F12+F13</f>
        <v>33870.284999999989</v>
      </c>
      <c r="G14" s="27">
        <f t="shared" ref="G14" si="1">G11+G12+G13</f>
        <v>34271.357946428565</v>
      </c>
    </row>
    <row r="15" spans="1:7">
      <c r="E15" s="29">
        <f>MIN(E14:G14)</f>
        <v>33860.307244211828</v>
      </c>
    </row>
    <row r="19" spans="2:11">
      <c r="B19" s="12" t="s">
        <v>91</v>
      </c>
      <c r="C19" s="25">
        <v>0.125</v>
      </c>
      <c r="D19" s="12"/>
      <c r="E19" s="12"/>
      <c r="F19" s="12"/>
      <c r="G19" s="12"/>
      <c r="H19" s="12"/>
      <c r="I19" s="12"/>
    </row>
    <row r="20" spans="2:11">
      <c r="B20" s="12" t="s">
        <v>92</v>
      </c>
      <c r="C20" s="12">
        <v>8.3699999999999992</v>
      </c>
      <c r="D20" s="12"/>
      <c r="E20" s="12"/>
      <c r="F20" s="12"/>
      <c r="G20" s="12"/>
      <c r="H20" s="12"/>
      <c r="I20" s="12"/>
    </row>
    <row r="21" spans="2:11">
      <c r="B21" s="12" t="s">
        <v>73</v>
      </c>
      <c r="C21" s="12">
        <v>17.28</v>
      </c>
      <c r="D21" s="12"/>
      <c r="E21" s="12"/>
      <c r="F21" s="12"/>
      <c r="G21" s="12"/>
      <c r="H21" s="12"/>
      <c r="I21" s="12"/>
    </row>
    <row r="22" spans="2:11">
      <c r="B22" s="12" t="s">
        <v>37</v>
      </c>
      <c r="C22" s="12">
        <v>4000</v>
      </c>
      <c r="D22" s="12"/>
      <c r="E22" s="12"/>
      <c r="F22" s="12"/>
      <c r="G22" s="12"/>
      <c r="H22" s="12"/>
      <c r="I22" s="12"/>
    </row>
    <row r="23" spans="2:11">
      <c r="B23" s="12" t="s">
        <v>93</v>
      </c>
      <c r="C23" s="23">
        <v>0.02</v>
      </c>
      <c r="D23" s="12"/>
      <c r="E23" s="12"/>
      <c r="F23" s="12"/>
      <c r="G23" s="12"/>
      <c r="H23" s="12"/>
      <c r="I23" s="12"/>
    </row>
    <row r="24" spans="2:11">
      <c r="B24" s="12" t="s">
        <v>94</v>
      </c>
      <c r="C24" s="23">
        <v>0.03</v>
      </c>
      <c r="D24" s="12"/>
      <c r="E24" s="12"/>
      <c r="F24" s="12"/>
      <c r="G24" s="12"/>
      <c r="H24" s="12"/>
      <c r="I24" s="12"/>
    </row>
    <row r="25" spans="2:11">
      <c r="B25" s="12" t="s">
        <v>95</v>
      </c>
      <c r="C25" s="12">
        <f>SQRT((2*C22*C21)/(C20*C19))</f>
        <v>363.49557391812147</v>
      </c>
      <c r="D25" s="12"/>
      <c r="E25" s="12"/>
      <c r="F25" s="12"/>
      <c r="G25" s="12"/>
      <c r="H25" s="12"/>
      <c r="I25" s="12"/>
    </row>
    <row r="26" spans="2:11">
      <c r="B26" s="12" t="s">
        <v>96</v>
      </c>
      <c r="C26" s="12">
        <f>SQRT((2*C22*C21)/(C20*C19*(1-C23)))</f>
        <v>367.18597892685665</v>
      </c>
      <c r="D26" s="12"/>
      <c r="E26" s="12"/>
      <c r="F26" s="12"/>
      <c r="G26" s="12"/>
      <c r="H26" s="12"/>
      <c r="I26" s="12"/>
    </row>
    <row r="27" spans="2:11">
      <c r="B27" s="12" t="s">
        <v>97</v>
      </c>
      <c r="C27" s="12">
        <f>SQRT((2*C22*C21)/(C20*C19*(1-C24)))</f>
        <v>369.07383702080864</v>
      </c>
      <c r="D27" s="12"/>
      <c r="E27" s="12"/>
      <c r="F27" s="12"/>
      <c r="G27" s="12"/>
      <c r="H27" s="12"/>
      <c r="I27" s="12"/>
      <c r="K27" t="s">
        <v>211</v>
      </c>
    </row>
    <row r="28" spans="2:11">
      <c r="B28" s="12" t="s">
        <v>98</v>
      </c>
      <c r="C28" s="12">
        <f>C20*C22</f>
        <v>33480</v>
      </c>
      <c r="D28" s="12" t="s">
        <v>99</v>
      </c>
      <c r="E28" s="12">
        <f>$C$5*$C$4*C25/2</f>
        <v>0</v>
      </c>
      <c r="F28" s="12" t="s">
        <v>100</v>
      </c>
      <c r="G28" s="12">
        <f>C21*C22/C25</f>
        <v>190.15362210591729</v>
      </c>
      <c r="H28" s="12" t="s">
        <v>101</v>
      </c>
      <c r="I28" s="12">
        <f>C28+E28+G28</f>
        <v>33670.153622105914</v>
      </c>
      <c r="K28">
        <f>SQRT((2*C22*(C21+2000*(C20-(C20*0.98))/(C19*C20*(1-C23)))))</f>
        <v>1658.4585909690945</v>
      </c>
    </row>
    <row r="29" spans="2:11">
      <c r="B29" s="12" t="s">
        <v>102</v>
      </c>
      <c r="C29" s="12">
        <f>C28*(1-C23)</f>
        <v>32810.400000000001</v>
      </c>
      <c r="D29" s="12" t="s">
        <v>103</v>
      </c>
      <c r="E29" s="12">
        <f>$C$5*$C$4*2000/2</f>
        <v>0</v>
      </c>
      <c r="F29" s="12" t="s">
        <v>104</v>
      </c>
      <c r="G29" s="12">
        <f>C21*C22/2000</f>
        <v>34.56</v>
      </c>
      <c r="H29" s="12" t="s">
        <v>105</v>
      </c>
      <c r="I29" s="12">
        <f t="shared" ref="I29:I30" si="2">C29+E29+G29</f>
        <v>32844.959999999999</v>
      </c>
    </row>
    <row r="30" spans="2:11">
      <c r="B30" s="12" t="s">
        <v>106</v>
      </c>
      <c r="C30" s="12">
        <f>C28*(1-C24)</f>
        <v>32475.599999999999</v>
      </c>
      <c r="D30" s="12" t="s">
        <v>107</v>
      </c>
      <c r="E30" s="12">
        <f>$C$5*$C$4*3500/2</f>
        <v>0</v>
      </c>
      <c r="F30" s="12" t="s">
        <v>108</v>
      </c>
      <c r="G30" s="12">
        <f>C21*C22/3500</f>
        <v>19.748571428571427</v>
      </c>
      <c r="H30" s="12" t="s">
        <v>109</v>
      </c>
      <c r="I30" s="12">
        <f t="shared" si="2"/>
        <v>32495.348571428571</v>
      </c>
    </row>
  </sheetData>
  <hyperlinks>
    <hyperlink ref="A1" location="Menu!A1" display="Retour Menu" xr:uid="{00000000-0004-0000-0B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3"/>
  <sheetViews>
    <sheetView workbookViewId="0">
      <selection activeCell="F14" sqref="F14"/>
    </sheetView>
  </sheetViews>
  <sheetFormatPr baseColWidth="10" defaultRowHeight="15"/>
  <cols>
    <col min="5" max="5" width="35.7109375" bestFit="1" customWidth="1"/>
  </cols>
  <sheetData>
    <row r="1" spans="1:8">
      <c r="A1" s="82" t="s">
        <v>192</v>
      </c>
    </row>
    <row r="2" spans="1:8">
      <c r="D2" s="121" t="s">
        <v>32</v>
      </c>
      <c r="E2" s="12" t="s">
        <v>33</v>
      </c>
      <c r="F2" s="12">
        <v>100</v>
      </c>
      <c r="G2" s="12" t="s">
        <v>34</v>
      </c>
    </row>
    <row r="3" spans="1:8">
      <c r="D3" s="121"/>
      <c r="E3" s="12" t="s">
        <v>35</v>
      </c>
      <c r="F3" s="12">
        <v>10000</v>
      </c>
      <c r="G3" s="12" t="s">
        <v>34</v>
      </c>
    </row>
    <row r="4" spans="1:8">
      <c r="D4" s="121"/>
      <c r="E4" s="12" t="s">
        <v>36</v>
      </c>
      <c r="F4" s="12">
        <v>100</v>
      </c>
      <c r="G4" s="12"/>
    </row>
    <row r="5" spans="1:8">
      <c r="D5" s="121"/>
      <c r="E5" s="12" t="s">
        <v>37</v>
      </c>
      <c r="F5" s="12">
        <f>10000*4</f>
        <v>40000</v>
      </c>
      <c r="G5" s="12" t="s">
        <v>38</v>
      </c>
    </row>
    <row r="6" spans="1:8">
      <c r="D6" s="122" t="s">
        <v>39</v>
      </c>
      <c r="E6" s="14" t="s">
        <v>40</v>
      </c>
      <c r="F6" s="12">
        <f>SQRT(2*4*10000*10000/100)</f>
        <v>2828.4271247461902</v>
      </c>
      <c r="G6" s="12" t="s">
        <v>41</v>
      </c>
    </row>
    <row r="7" spans="1:8">
      <c r="D7" s="123"/>
      <c r="E7" s="14" t="s">
        <v>42</v>
      </c>
      <c r="F7" s="12">
        <f>52*F6/F5</f>
        <v>3.6769552621700474</v>
      </c>
      <c r="G7" s="12" t="s">
        <v>43</v>
      </c>
    </row>
    <row r="8" spans="1:8">
      <c r="D8" s="123"/>
      <c r="E8" s="14" t="s">
        <v>44</v>
      </c>
      <c r="F8" s="12">
        <f>1000*40000</f>
        <v>40000000</v>
      </c>
      <c r="G8" s="12" t="s">
        <v>34</v>
      </c>
    </row>
    <row r="9" spans="1:8">
      <c r="D9" s="123"/>
      <c r="E9" s="14" t="s">
        <v>45</v>
      </c>
      <c r="F9" s="12">
        <f>10000*40000/F6</f>
        <v>141421.35623730949</v>
      </c>
      <c r="G9" s="12" t="s">
        <v>34</v>
      </c>
      <c r="H9">
        <f>10000*(40000/4000)</f>
        <v>100000</v>
      </c>
    </row>
    <row r="10" spans="1:8">
      <c r="D10" s="123"/>
      <c r="E10" s="14" t="s">
        <v>46</v>
      </c>
      <c r="F10" s="12">
        <f>100*F6/2</f>
        <v>141421.35623730952</v>
      </c>
      <c r="G10" s="12" t="s">
        <v>34</v>
      </c>
      <c r="H10">
        <f>50*2000</f>
        <v>100000</v>
      </c>
    </row>
    <row r="11" spans="1:8">
      <c r="D11" s="123"/>
      <c r="E11" s="14" t="s">
        <v>47</v>
      </c>
      <c r="F11" s="12">
        <f>SUM(F8:F10)</f>
        <v>40282842.712474614</v>
      </c>
      <c r="G11" s="12" t="s">
        <v>34</v>
      </c>
    </row>
    <row r="12" spans="1:8">
      <c r="D12" s="123"/>
      <c r="E12" s="14" t="s">
        <v>48</v>
      </c>
      <c r="F12" s="12">
        <f>F11/40000</f>
        <v>1007.0710678118653</v>
      </c>
      <c r="G12" s="12" t="s">
        <v>34</v>
      </c>
    </row>
    <row r="13" spans="1:8">
      <c r="D13" s="124"/>
      <c r="E13" s="12" t="s">
        <v>49</v>
      </c>
      <c r="F13" s="12">
        <f>F6*SQRT(2)</f>
        <v>4000.0000000000005</v>
      </c>
      <c r="G13" s="12" t="s">
        <v>30</v>
      </c>
    </row>
  </sheetData>
  <mergeCells count="2">
    <mergeCell ref="D2:D5"/>
    <mergeCell ref="D6:D13"/>
  </mergeCells>
  <hyperlinks>
    <hyperlink ref="A1" location="Menu!A1" display="Retour Menu" xr:uid="{00000000-0004-0000-0C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68"/>
  <sheetViews>
    <sheetView topLeftCell="A34" workbookViewId="0">
      <selection activeCell="I49" sqref="I49"/>
    </sheetView>
  </sheetViews>
  <sheetFormatPr baseColWidth="10" defaultRowHeight="15"/>
  <cols>
    <col min="1" max="1" width="5.5703125" customWidth="1"/>
    <col min="2" max="2" width="5.42578125" customWidth="1"/>
    <col min="3" max="3" width="3.85546875" customWidth="1"/>
    <col min="4" max="4" width="7.28515625" bestFit="1" customWidth="1"/>
    <col min="5" max="5" width="10.7109375" customWidth="1"/>
    <col min="6" max="6" width="21.85546875" customWidth="1"/>
    <col min="7" max="7" width="19.7109375" customWidth="1"/>
    <col min="8" max="8" width="20.140625" customWidth="1"/>
    <col min="9" max="9" width="13.140625" customWidth="1"/>
    <col min="10" max="10" width="18.28515625" customWidth="1"/>
    <col min="11" max="11" width="23.28515625" customWidth="1"/>
  </cols>
  <sheetData>
    <row r="2" spans="1:15" ht="18.75">
      <c r="F2" s="2" t="s">
        <v>6</v>
      </c>
    </row>
    <row r="5" spans="1:15">
      <c r="A5" s="82" t="s">
        <v>192</v>
      </c>
      <c r="L5" t="s">
        <v>209</v>
      </c>
      <c r="M5" t="s">
        <v>210</v>
      </c>
    </row>
    <row r="6" spans="1:15">
      <c r="F6" s="3" t="s">
        <v>0</v>
      </c>
      <c r="G6" s="3" t="s">
        <v>3</v>
      </c>
      <c r="H6" s="3" t="s">
        <v>1</v>
      </c>
      <c r="I6" s="3" t="s">
        <v>2</v>
      </c>
      <c r="J6" s="3" t="s">
        <v>4</v>
      </c>
      <c r="K6" s="3" t="s">
        <v>5</v>
      </c>
      <c r="L6" s="3" t="s">
        <v>208</v>
      </c>
      <c r="M6" s="3" t="s">
        <v>207</v>
      </c>
    </row>
    <row r="7" spans="1:15">
      <c r="F7" s="4">
        <v>42036</v>
      </c>
      <c r="G7" s="3">
        <v>2000</v>
      </c>
      <c r="H7" s="3">
        <v>250</v>
      </c>
      <c r="I7" s="3">
        <f>Tableau1[[#This Row],[StockDébut]]-Tableau1[[#This Row],[Ventes journalières]]</f>
        <v>1750</v>
      </c>
      <c r="J7" s="3">
        <f>IF(Tableau1[[#This Row],[StockFin]]&lt;=1000,1000,0)</f>
        <v>0</v>
      </c>
      <c r="K7" s="3"/>
      <c r="L7" s="3">
        <f>50*(Tableau1[[#This Row],[StockFin]]+Tableau1[[#This Row],[StockDébut]])/(2*360)</f>
        <v>260.41666666666669</v>
      </c>
      <c r="M7" s="3">
        <f>IF(Tableau1[[#This Row],[LancementCom]]&lt;&gt;0,100,0)</f>
        <v>0</v>
      </c>
      <c r="N7" s="39" t="s">
        <v>9</v>
      </c>
      <c r="O7" s="40"/>
    </row>
    <row r="8" spans="1:15">
      <c r="F8" s="4">
        <v>42037</v>
      </c>
      <c r="G8" s="3">
        <f t="shared" ref="G8:G26" si="0">I7+K7</f>
        <v>1750</v>
      </c>
      <c r="H8" s="3">
        <v>250</v>
      </c>
      <c r="I8" s="3">
        <f>Tableau1[[#This Row],[StockDébut]]-Tableau1[[#This Row],[Ventes journalières]]</f>
        <v>1500</v>
      </c>
      <c r="J8" s="3">
        <f>IF(Tableau1[[#This Row],[StockFin]]&lt;=1000,1000,0)</f>
        <v>0</v>
      </c>
      <c r="K8" s="3">
        <f t="shared" ref="K8:K26" si="1">IF(AND(COUNTIF(J7:J8,0)=2,J6=1000),1000,0)</f>
        <v>0</v>
      </c>
      <c r="L8" s="3">
        <f>50*(Tableau1[[#This Row],[StockFin]]+Tableau1[[#This Row],[StockDébut]])/(2*360)</f>
        <v>225.69444444444446</v>
      </c>
      <c r="M8" s="3">
        <f>IF(Tableau1[[#This Row],[LancementCom]]&lt;&gt;0,100,0)</f>
        <v>0</v>
      </c>
      <c r="N8" s="41">
        <v>42288</v>
      </c>
      <c r="O8" s="40"/>
    </row>
    <row r="9" spans="1:15">
      <c r="F9" s="4">
        <v>42038</v>
      </c>
      <c r="G9" s="3">
        <f t="shared" si="0"/>
        <v>1500</v>
      </c>
      <c r="H9" s="3">
        <v>250</v>
      </c>
      <c r="I9" s="3">
        <f>Tableau1[[#This Row],[StockDébut]]-Tableau1[[#This Row],[Ventes journalières]]</f>
        <v>1250</v>
      </c>
      <c r="J9" s="3">
        <f>IF(AND(IF(Tableau1[[#This Row],[StockFin]]&lt;=1000,1000,0),AND(J8=0,J7=0)),1000,0)</f>
        <v>0</v>
      </c>
      <c r="K9" s="3">
        <f t="shared" si="1"/>
        <v>0</v>
      </c>
      <c r="L9" s="3">
        <f>50*(Tableau1[[#This Row],[StockFin]]+Tableau1[[#This Row],[StockDébut]])/(2*360)</f>
        <v>190.97222222222223</v>
      </c>
      <c r="M9" s="3">
        <f>IF(Tableau1[[#This Row],[LancementCom]]&lt;&gt;0,100,0)</f>
        <v>0</v>
      </c>
      <c r="N9" s="39" t="s">
        <v>7</v>
      </c>
      <c r="O9" s="40"/>
    </row>
    <row r="10" spans="1:15">
      <c r="F10" s="4">
        <v>42039</v>
      </c>
      <c r="G10" s="3">
        <f t="shared" si="0"/>
        <v>1250</v>
      </c>
      <c r="H10" s="3">
        <v>250</v>
      </c>
      <c r="I10" s="3">
        <f>Tableau1[[#This Row],[StockDébut]]-Tableau1[[#This Row],[Ventes journalières]]</f>
        <v>1000</v>
      </c>
      <c r="J10" s="3">
        <f>IF(AND(IF(Tableau1[[#This Row],[StockFin]]&lt;=1000,1000,0),AND(J9=0,J8=0)),1000,0)</f>
        <v>1000</v>
      </c>
      <c r="K10" s="3">
        <f t="shared" si="1"/>
        <v>0</v>
      </c>
      <c r="L10" s="3">
        <f>50*(Tableau1[[#This Row],[StockFin]]+Tableau1[[#This Row],[StockDébut]])/(2*360)</f>
        <v>156.25</v>
      </c>
      <c r="M10" s="3">
        <f>IF(Tableau1[[#This Row],[LancementCom]]&lt;&gt;0,100,0)</f>
        <v>100</v>
      </c>
      <c r="N10" s="39" t="s">
        <v>8</v>
      </c>
      <c r="O10" s="40"/>
    </row>
    <row r="11" spans="1:15">
      <c r="F11" s="4">
        <v>42040</v>
      </c>
      <c r="G11" s="3">
        <f t="shared" si="0"/>
        <v>1000</v>
      </c>
      <c r="H11" s="3">
        <v>250</v>
      </c>
      <c r="I11" s="3">
        <f>Tableau1[[#This Row],[StockDébut]]-Tableau1[[#This Row],[Ventes journalières]]</f>
        <v>750</v>
      </c>
      <c r="J11" s="3">
        <f>IF(AND(IF(Tableau1[[#This Row],[StockFin]]&lt;=1000,1000,0),AND(J10=0,J9=0)),1000,0)</f>
        <v>0</v>
      </c>
      <c r="K11" s="3">
        <f t="shared" si="1"/>
        <v>0</v>
      </c>
      <c r="L11" s="3">
        <f>50*(Tableau1[[#This Row],[StockFin]]+Tableau1[[#This Row],[StockDébut]])/(2*360)</f>
        <v>121.52777777777777</v>
      </c>
      <c r="M11" s="3">
        <f>IF(Tableau1[[#This Row],[LancementCom]]&lt;&gt;0,100,0)</f>
        <v>0</v>
      </c>
    </row>
    <row r="12" spans="1:15">
      <c r="F12" s="4">
        <v>42041</v>
      </c>
      <c r="G12" s="3">
        <f t="shared" si="0"/>
        <v>750</v>
      </c>
      <c r="H12" s="3">
        <v>250</v>
      </c>
      <c r="I12" s="3">
        <f>Tableau1[[#This Row],[StockDébut]]-Tableau1[[#This Row],[Ventes journalières]]</f>
        <v>500</v>
      </c>
      <c r="J12" s="3">
        <f>IF(AND(IF(Tableau1[[#This Row],[StockFin]]&lt;=1000,1000,0),AND(J11=0,J10=0)),1000,0)</f>
        <v>0</v>
      </c>
      <c r="K12" s="3">
        <f t="shared" si="1"/>
        <v>1000</v>
      </c>
      <c r="L12" s="3">
        <f>50*(Tableau1[[#This Row],[StockFin]]+Tableau1[[#This Row],[StockDébut]])/(2*360)</f>
        <v>86.805555555555557</v>
      </c>
      <c r="M12" s="3">
        <f>IF(Tableau1[[#This Row],[LancementCom]]&lt;&gt;0,100,0)</f>
        <v>0</v>
      </c>
    </row>
    <row r="13" spans="1:15">
      <c r="F13" s="4">
        <v>42042</v>
      </c>
      <c r="G13" s="3">
        <f t="shared" si="0"/>
        <v>1500</v>
      </c>
      <c r="H13" s="3">
        <v>500</v>
      </c>
      <c r="I13" s="3">
        <f>Tableau1[[#This Row],[StockDébut]]-Tableau1[[#This Row],[Ventes journalières]]</f>
        <v>1000</v>
      </c>
      <c r="J13" s="3">
        <f>IF(AND(IF(Tableau1[[#This Row],[StockFin]]&lt;=1000,1000,0),AND(J12=0,J11=0)),1000,0)</f>
        <v>1000</v>
      </c>
      <c r="K13" s="3">
        <f t="shared" si="1"/>
        <v>0</v>
      </c>
      <c r="L13" s="3">
        <f>50*(Tableau1[[#This Row],[StockFin]]+Tableau1[[#This Row],[StockDébut]])/(2*360)</f>
        <v>173.61111111111111</v>
      </c>
      <c r="M13" s="3">
        <f>IF(Tableau1[[#This Row],[LancementCom]]&lt;&gt;0,100,0)</f>
        <v>100</v>
      </c>
    </row>
    <row r="14" spans="1:15">
      <c r="F14" s="4">
        <v>42043</v>
      </c>
      <c r="G14" s="3">
        <f t="shared" si="0"/>
        <v>1000</v>
      </c>
      <c r="H14" s="3">
        <v>500</v>
      </c>
      <c r="I14" s="3">
        <f>Tableau1[[#This Row],[StockDébut]]-Tableau1[[#This Row],[Ventes journalières]]</f>
        <v>500</v>
      </c>
      <c r="J14" s="3">
        <f>IF(AND(IF(Tableau1[[#This Row],[StockFin]]&lt;=1000,1000,0),AND(J13=0,J12=0)),1000,0)</f>
        <v>0</v>
      </c>
      <c r="K14" s="3">
        <f t="shared" si="1"/>
        <v>0</v>
      </c>
      <c r="L14" s="3">
        <f>50*(Tableau1[[#This Row],[StockFin]]+Tableau1[[#This Row],[StockDébut]])/(2*360)</f>
        <v>104.16666666666667</v>
      </c>
      <c r="M14" s="3">
        <f>IF(Tableau1[[#This Row],[LancementCom]]&lt;&gt;0,100,0)</f>
        <v>0</v>
      </c>
    </row>
    <row r="15" spans="1:15">
      <c r="F15" s="4">
        <v>42044</v>
      </c>
      <c r="G15" s="3">
        <f t="shared" si="0"/>
        <v>500</v>
      </c>
      <c r="H15" s="3">
        <v>125</v>
      </c>
      <c r="I15" s="3">
        <f>Tableau1[[#This Row],[StockDébut]]-Tableau1[[#This Row],[Ventes journalières]]</f>
        <v>375</v>
      </c>
      <c r="J15" s="3">
        <f>IF(AND(IF(Tableau1[[#This Row],[StockFin]]&lt;=1000,1000,0),AND(J14=0,J13=0)),1000,0)</f>
        <v>0</v>
      </c>
      <c r="K15" s="3">
        <f t="shared" si="1"/>
        <v>1000</v>
      </c>
      <c r="L15" s="3">
        <f>50*(Tableau1[[#This Row],[StockFin]]+Tableau1[[#This Row],[StockDébut]])/(2*360)</f>
        <v>60.763888888888886</v>
      </c>
      <c r="M15" s="3">
        <f>IF(Tableau1[[#This Row],[LancementCom]]&lt;&gt;0,100,0)</f>
        <v>0</v>
      </c>
    </row>
    <row r="16" spans="1:15">
      <c r="F16" s="4">
        <v>42045</v>
      </c>
      <c r="G16" s="3">
        <f t="shared" si="0"/>
        <v>1375</v>
      </c>
      <c r="H16" s="3">
        <v>125</v>
      </c>
      <c r="I16" s="3">
        <f>Tableau1[[#This Row],[StockDébut]]-Tableau1[[#This Row],[Ventes journalières]]</f>
        <v>1250</v>
      </c>
      <c r="J16" s="3">
        <f>IF(AND(IF(Tableau1[[#This Row],[StockFin]]&lt;=1000,1000,0),AND(J15=0,J14=0)),1000,0)</f>
        <v>0</v>
      </c>
      <c r="K16" s="3">
        <f t="shared" si="1"/>
        <v>0</v>
      </c>
      <c r="L16" s="3">
        <f>50*(Tableau1[[#This Row],[StockFin]]+Tableau1[[#This Row],[StockDébut]])/(2*360)</f>
        <v>182.29166666666666</v>
      </c>
      <c r="M16" s="3">
        <f>IF(Tableau1[[#This Row],[LancementCom]]&lt;&gt;0,100,0)</f>
        <v>0</v>
      </c>
    </row>
    <row r="17" spans="1:13">
      <c r="F17" s="4">
        <v>42046</v>
      </c>
      <c r="G17" s="3">
        <f t="shared" si="0"/>
        <v>1250</v>
      </c>
      <c r="H17" s="3">
        <v>125</v>
      </c>
      <c r="I17" s="3">
        <f>Tableau1[[#This Row],[StockDébut]]-Tableau1[[#This Row],[Ventes journalières]]</f>
        <v>1125</v>
      </c>
      <c r="J17" s="3">
        <f>IF(AND(IF(Tableau1[[#This Row],[StockFin]]&lt;=1000,1000,0),AND(J16=0,J15=0)),1000,0)</f>
        <v>0</v>
      </c>
      <c r="K17" s="3">
        <f t="shared" si="1"/>
        <v>0</v>
      </c>
      <c r="L17" s="3">
        <f>50*(Tableau1[[#This Row],[StockFin]]+Tableau1[[#This Row],[StockDébut]])/(2*360)</f>
        <v>164.93055555555554</v>
      </c>
      <c r="M17" s="3">
        <f>IF(Tableau1[[#This Row],[LancementCom]]&lt;&gt;0,100,0)</f>
        <v>0</v>
      </c>
    </row>
    <row r="18" spans="1:13">
      <c r="F18" s="4">
        <v>42047</v>
      </c>
      <c r="G18" s="3">
        <f t="shared" si="0"/>
        <v>1125</v>
      </c>
      <c r="H18" s="3">
        <v>125</v>
      </c>
      <c r="I18" s="3">
        <f>Tableau1[[#This Row],[StockDébut]]-Tableau1[[#This Row],[Ventes journalières]]</f>
        <v>1000</v>
      </c>
      <c r="J18" s="3">
        <f>IF(AND(IF(Tableau1[[#This Row],[StockFin]]&lt;=1000,1000,0),AND(J17=0,J16=0)),1000,0)</f>
        <v>1000</v>
      </c>
      <c r="K18" s="3">
        <f t="shared" si="1"/>
        <v>0</v>
      </c>
      <c r="L18" s="3">
        <f>50*(Tableau1[[#This Row],[StockFin]]+Tableau1[[#This Row],[StockDébut]])/(2*360)</f>
        <v>147.56944444444446</v>
      </c>
      <c r="M18" s="3">
        <f>IF(Tableau1[[#This Row],[LancementCom]]&lt;&gt;0,100,0)</f>
        <v>100</v>
      </c>
    </row>
    <row r="19" spans="1:13">
      <c r="F19" s="4">
        <v>42048</v>
      </c>
      <c r="G19" s="3">
        <f t="shared" si="0"/>
        <v>1000</v>
      </c>
      <c r="H19" s="3">
        <v>125</v>
      </c>
      <c r="I19" s="3">
        <f>Tableau1[[#This Row],[StockDébut]]-Tableau1[[#This Row],[Ventes journalières]]</f>
        <v>875</v>
      </c>
      <c r="J19" s="3">
        <f>IF(AND(IF(Tableau1[[#This Row],[StockFin]]&lt;=1000,1000,0),AND(J18=0,J17=0)),1000,0)</f>
        <v>0</v>
      </c>
      <c r="K19" s="3">
        <f t="shared" si="1"/>
        <v>0</v>
      </c>
      <c r="L19" s="3">
        <f>50*(Tableau1[[#This Row],[StockFin]]+Tableau1[[#This Row],[StockDébut]])/(2*360)</f>
        <v>130.20833333333334</v>
      </c>
      <c r="M19" s="3">
        <f>IF(Tableau1[[#This Row],[LancementCom]]&lt;&gt;0,100,0)</f>
        <v>0</v>
      </c>
    </row>
    <row r="20" spans="1:13">
      <c r="F20" s="4">
        <v>42049</v>
      </c>
      <c r="G20" s="3">
        <f t="shared" si="0"/>
        <v>875</v>
      </c>
      <c r="H20" s="3">
        <v>125</v>
      </c>
      <c r="I20" s="3">
        <f>Tableau1[[#This Row],[StockDébut]]-Tableau1[[#This Row],[Ventes journalières]]</f>
        <v>750</v>
      </c>
      <c r="J20" s="3">
        <f>IF(AND(IF(Tableau1[[#This Row],[StockFin]]&lt;=1000,1000,0),AND(J19=0,J18=0)),1000,0)</f>
        <v>0</v>
      </c>
      <c r="K20" s="3">
        <f t="shared" si="1"/>
        <v>1000</v>
      </c>
      <c r="L20" s="3">
        <f>50*(Tableau1[[#This Row],[StockFin]]+Tableau1[[#This Row],[StockDébut]])/(2*360)</f>
        <v>112.84722222222223</v>
      </c>
      <c r="M20" s="3">
        <f>IF(Tableau1[[#This Row],[LancementCom]]&lt;&gt;0,100,0)</f>
        <v>0</v>
      </c>
    </row>
    <row r="21" spans="1:13">
      <c r="F21" s="4">
        <v>42050</v>
      </c>
      <c r="G21" s="3">
        <f t="shared" si="0"/>
        <v>1750</v>
      </c>
      <c r="H21" s="3">
        <v>125</v>
      </c>
      <c r="I21" s="3">
        <f>Tableau1[[#This Row],[StockDébut]]-Tableau1[[#This Row],[Ventes journalières]]</f>
        <v>1625</v>
      </c>
      <c r="J21" s="3">
        <f>IF(AND(IF(Tableau1[[#This Row],[StockFin]]&lt;=1000,1000,0),AND(J20=0,J19=0)),1000,0)</f>
        <v>0</v>
      </c>
      <c r="K21" s="3">
        <f t="shared" si="1"/>
        <v>0</v>
      </c>
      <c r="L21" s="3">
        <f>50*(Tableau1[[#This Row],[StockFin]]+Tableau1[[#This Row],[StockDébut]])/(2*360)</f>
        <v>234.375</v>
      </c>
      <c r="M21" s="3">
        <f>IF(Tableau1[[#This Row],[LancementCom]]&lt;&gt;0,100,0)</f>
        <v>0</v>
      </c>
    </row>
    <row r="22" spans="1:13">
      <c r="A22" s="1"/>
      <c r="F22" s="4">
        <v>42051</v>
      </c>
      <c r="G22" s="3">
        <f t="shared" si="0"/>
        <v>1625</v>
      </c>
      <c r="H22" s="3">
        <v>125</v>
      </c>
      <c r="I22" s="3">
        <f>Tableau1[[#This Row],[StockDébut]]-Tableau1[[#This Row],[Ventes journalières]]</f>
        <v>1500</v>
      </c>
      <c r="J22" s="3">
        <f>IF(AND(IF(Tableau1[[#This Row],[StockFin]]&lt;=1000,1000,0),AND(J21=0,J20=0)),1000,0)</f>
        <v>0</v>
      </c>
      <c r="K22" s="3">
        <f t="shared" si="1"/>
        <v>0</v>
      </c>
      <c r="L22" s="3">
        <f>50*(Tableau1[[#This Row],[StockFin]]+Tableau1[[#This Row],[StockDébut]])/(2*360)</f>
        <v>217.01388888888889</v>
      </c>
      <c r="M22" s="3">
        <f>IF(Tableau1[[#This Row],[LancementCom]]&lt;&gt;0,100,0)</f>
        <v>0</v>
      </c>
    </row>
    <row r="23" spans="1:13">
      <c r="A23" s="1"/>
      <c r="F23" s="4">
        <v>42052</v>
      </c>
      <c r="G23" s="3">
        <f t="shared" si="0"/>
        <v>1500</v>
      </c>
      <c r="H23" s="3">
        <v>250</v>
      </c>
      <c r="I23" s="3">
        <f>Tableau1[[#This Row],[StockDébut]]-Tableau1[[#This Row],[Ventes journalières]]</f>
        <v>1250</v>
      </c>
      <c r="J23" s="3">
        <f>IF(AND(IF(Tableau1[[#This Row],[StockFin]]&lt;=1000,1000,0),AND(J22=0,J21=0)),1000,0)</f>
        <v>0</v>
      </c>
      <c r="K23" s="3">
        <f t="shared" si="1"/>
        <v>0</v>
      </c>
      <c r="L23" s="3">
        <f>50*(Tableau1[[#This Row],[StockFin]]+Tableau1[[#This Row],[StockDébut]])/(2*360)</f>
        <v>190.97222222222223</v>
      </c>
      <c r="M23" s="3">
        <f>IF(Tableau1[[#This Row],[LancementCom]]&lt;&gt;0,100,0)</f>
        <v>0</v>
      </c>
    </row>
    <row r="24" spans="1:13">
      <c r="A24" s="1"/>
      <c r="F24" s="4">
        <v>42053</v>
      </c>
      <c r="G24" s="3">
        <f t="shared" si="0"/>
        <v>1250</v>
      </c>
      <c r="H24" s="3">
        <v>250</v>
      </c>
      <c r="I24" s="3">
        <f>Tableau1[[#This Row],[StockDébut]]-Tableau1[[#This Row],[Ventes journalières]]</f>
        <v>1000</v>
      </c>
      <c r="J24" s="3">
        <f>IF(AND(IF(Tableau1[[#This Row],[StockFin]]&lt;=1000,1000,0),AND(J23=0,J22=0)),1000,0)</f>
        <v>1000</v>
      </c>
      <c r="K24" s="3">
        <f t="shared" si="1"/>
        <v>0</v>
      </c>
      <c r="L24" s="3">
        <f>50*(Tableau1[[#This Row],[StockFin]]+Tableau1[[#This Row],[StockDébut]])/(2*360)</f>
        <v>156.25</v>
      </c>
      <c r="M24" s="3">
        <f>IF(Tableau1[[#This Row],[LancementCom]]&lt;&gt;0,100,0)</f>
        <v>100</v>
      </c>
    </row>
    <row r="25" spans="1:13">
      <c r="A25" s="1"/>
      <c r="F25" s="4">
        <v>42054</v>
      </c>
      <c r="G25" s="3">
        <f t="shared" si="0"/>
        <v>1000</v>
      </c>
      <c r="H25" s="3">
        <v>250</v>
      </c>
      <c r="I25" s="3">
        <f>Tableau1[[#This Row],[StockDébut]]-Tableau1[[#This Row],[Ventes journalières]]</f>
        <v>750</v>
      </c>
      <c r="J25" s="3">
        <f>IF(AND(IF(Tableau1[[#This Row],[StockFin]]&lt;=1000,1000,0),AND(J24=0,J23=0)),1000,0)</f>
        <v>0</v>
      </c>
      <c r="K25" s="3">
        <f t="shared" si="1"/>
        <v>0</v>
      </c>
      <c r="L25" s="3">
        <f>50*(Tableau1[[#This Row],[StockFin]]+Tableau1[[#This Row],[StockDébut]])/(2*360)</f>
        <v>121.52777777777777</v>
      </c>
      <c r="M25" s="3">
        <f>IF(Tableau1[[#This Row],[LancementCom]]&lt;&gt;0,100,0)</f>
        <v>0</v>
      </c>
    </row>
    <row r="26" spans="1:13">
      <c r="A26" s="1"/>
      <c r="F26" s="4">
        <v>42055</v>
      </c>
      <c r="G26" s="3">
        <f t="shared" si="0"/>
        <v>750</v>
      </c>
      <c r="H26" s="3">
        <v>250</v>
      </c>
      <c r="I26" s="3">
        <f>Tableau1[[#This Row],[StockDébut]]-Tableau1[[#This Row],[Ventes journalières]]</f>
        <v>500</v>
      </c>
      <c r="J26" s="3">
        <f>IF(AND(IF(Tableau1[[#This Row],[StockFin]]&lt;=1000,1000,0),AND(J25=0,J24=0)),1000,0)</f>
        <v>0</v>
      </c>
      <c r="K26" s="3">
        <f t="shared" si="1"/>
        <v>1000</v>
      </c>
      <c r="L26" s="3">
        <f>50*(Tableau1[[#This Row],[StockFin]]+Tableau1[[#This Row],[StockDébut]])/(2*360)</f>
        <v>86.805555555555557</v>
      </c>
      <c r="M26" s="3">
        <f>IF(Tableau1[[#This Row],[LancementCom]]&lt;&gt;0,100,0)</f>
        <v>0</v>
      </c>
    </row>
    <row r="28" spans="1:13">
      <c r="C28" t="s">
        <v>212</v>
      </c>
      <c r="D28">
        <v>2</v>
      </c>
      <c r="E28" t="s">
        <v>24</v>
      </c>
      <c r="F28" t="s">
        <v>213</v>
      </c>
    </row>
    <row r="29" spans="1:13">
      <c r="C29" t="s">
        <v>214</v>
      </c>
      <c r="D29">
        <f>[1]!Tableau13[[#Totals],[Ventes journalières]]</f>
        <v>250</v>
      </c>
      <c r="E29" t="s">
        <v>215</v>
      </c>
      <c r="F29" t="s">
        <v>216</v>
      </c>
    </row>
    <row r="30" spans="1:13">
      <c r="B30" t="s">
        <v>217</v>
      </c>
      <c r="C30" t="s">
        <v>218</v>
      </c>
      <c r="D30">
        <f>D28*D29</f>
        <v>500</v>
      </c>
      <c r="F30" t="s">
        <v>219</v>
      </c>
    </row>
    <row r="31" spans="1:13">
      <c r="B31" t="s">
        <v>220</v>
      </c>
      <c r="C31" t="s">
        <v>221</v>
      </c>
      <c r="D31">
        <v>1000</v>
      </c>
      <c r="F31" t="s">
        <v>222</v>
      </c>
    </row>
    <row r="32" spans="1:13">
      <c r="C32" t="s">
        <v>23</v>
      </c>
      <c r="D32">
        <v>2</v>
      </c>
      <c r="E32" t="s">
        <v>24</v>
      </c>
      <c r="F32">
        <v>500</v>
      </c>
    </row>
    <row r="33" spans="3:11">
      <c r="C33" t="s">
        <v>223</v>
      </c>
    </row>
    <row r="48" spans="3:11">
      <c r="D48" s="12"/>
      <c r="E48" s="12"/>
      <c r="F48" s="12"/>
      <c r="G48" s="12"/>
      <c r="H48" s="12"/>
      <c r="I48" s="12"/>
      <c r="K48" s="82"/>
    </row>
    <row r="49" spans="1:9">
      <c r="A49" s="12"/>
      <c r="B49" s="12"/>
      <c r="C49" s="12"/>
      <c r="D49" s="31"/>
      <c r="E49" s="12"/>
      <c r="F49" s="12"/>
      <c r="G49" s="12"/>
      <c r="H49" s="12"/>
      <c r="I49" s="12"/>
    </row>
    <row r="50" spans="1:9">
      <c r="A50" s="12"/>
      <c r="B50" s="12"/>
      <c r="C50" s="12"/>
      <c r="D50" s="31"/>
      <c r="E50" s="12"/>
      <c r="F50" s="12"/>
      <c r="G50" s="12"/>
      <c r="H50" s="12"/>
      <c r="I50" s="12"/>
    </row>
    <row r="51" spans="1:9">
      <c r="A51" s="12"/>
      <c r="B51" s="12"/>
      <c r="C51" s="12"/>
      <c r="D51" s="31"/>
      <c r="E51" s="12"/>
      <c r="F51" s="12"/>
      <c r="G51" s="12"/>
      <c r="H51" s="12"/>
      <c r="I51" s="12"/>
    </row>
    <row r="52" spans="1:9">
      <c r="A52" s="12"/>
      <c r="B52" s="12"/>
      <c r="C52" s="12"/>
      <c r="D52" s="32"/>
      <c r="E52" s="12"/>
      <c r="F52" s="33"/>
      <c r="G52" s="12"/>
      <c r="H52" s="12"/>
      <c r="I52" s="33"/>
    </row>
    <row r="53" spans="1:9">
      <c r="D53" s="34"/>
      <c r="E53" s="12"/>
      <c r="F53" s="35"/>
      <c r="G53" s="12"/>
      <c r="H53" s="12"/>
      <c r="I53" s="35"/>
    </row>
    <row r="54" spans="1:9">
      <c r="D54" s="31"/>
      <c r="E54" s="12"/>
      <c r="F54" s="12"/>
      <c r="G54" s="12"/>
      <c r="H54" s="12"/>
      <c r="I54" s="12"/>
    </row>
    <row r="55" spans="1:9">
      <c r="D55" s="32"/>
      <c r="E55" s="12"/>
      <c r="F55" s="33"/>
      <c r="G55" s="12"/>
      <c r="H55" s="12"/>
      <c r="I55" s="33"/>
    </row>
    <row r="56" spans="1:9">
      <c r="D56" s="31"/>
      <c r="E56" s="12"/>
      <c r="F56" s="12"/>
      <c r="G56" s="12"/>
      <c r="H56" s="12"/>
      <c r="I56" s="12"/>
    </row>
    <row r="57" spans="1:9">
      <c r="D57" s="31"/>
      <c r="E57" s="12"/>
      <c r="F57" s="12"/>
      <c r="G57" s="12"/>
      <c r="H57" s="12"/>
      <c r="I57" s="12"/>
    </row>
    <row r="58" spans="1:9">
      <c r="D58" s="31"/>
      <c r="E58" s="12"/>
      <c r="F58" s="12"/>
      <c r="G58" s="12"/>
      <c r="H58" s="12"/>
      <c r="I58" s="12"/>
    </row>
    <row r="59" spans="1:9">
      <c r="D59" s="31"/>
      <c r="E59" s="12"/>
      <c r="F59" s="12"/>
      <c r="G59" s="12"/>
      <c r="H59" s="12"/>
      <c r="I59" s="12"/>
    </row>
    <row r="60" spans="1:9">
      <c r="D60" s="32"/>
      <c r="E60" s="12"/>
      <c r="F60" s="33"/>
      <c r="G60" s="12"/>
      <c r="H60" s="12"/>
      <c r="I60" s="33"/>
    </row>
    <row r="61" spans="1:9">
      <c r="D61" s="31"/>
      <c r="E61" s="12"/>
      <c r="F61" s="12"/>
      <c r="G61" s="12"/>
      <c r="H61" s="12"/>
      <c r="I61" s="12"/>
    </row>
    <row r="62" spans="1:9">
      <c r="D62" s="31"/>
      <c r="E62" s="12"/>
      <c r="F62" s="12"/>
      <c r="G62" s="12"/>
      <c r="H62" s="12"/>
      <c r="I62" s="12"/>
    </row>
    <row r="63" spans="1:9">
      <c r="D63" s="31"/>
      <c r="E63" s="12"/>
      <c r="F63" s="12"/>
      <c r="G63" s="12"/>
      <c r="H63" s="12"/>
      <c r="I63" s="12"/>
    </row>
    <row r="64" spans="1:9">
      <c r="D64" s="31"/>
      <c r="E64" s="12"/>
      <c r="F64" s="12"/>
      <c r="G64" s="12"/>
      <c r="H64" s="12"/>
      <c r="I64" s="12"/>
    </row>
    <row r="65" spans="4:9">
      <c r="D65" s="31"/>
      <c r="E65" s="12"/>
      <c r="F65" s="12"/>
      <c r="G65" s="12"/>
      <c r="H65" s="12"/>
      <c r="I65" s="12"/>
    </row>
    <row r="66" spans="4:9">
      <c r="D66" s="32"/>
      <c r="E66" s="12"/>
      <c r="F66" s="33"/>
      <c r="G66" s="12"/>
      <c r="H66" s="12"/>
      <c r="I66" s="33"/>
    </row>
    <row r="67" spans="4:9">
      <c r="D67" s="31"/>
      <c r="E67" s="12"/>
      <c r="F67" s="12"/>
      <c r="G67" s="12"/>
      <c r="H67" s="12"/>
      <c r="I67" s="12"/>
    </row>
    <row r="68" spans="4:9">
      <c r="D68" s="31"/>
      <c r="E68" s="12"/>
      <c r="F68" s="12"/>
      <c r="G68" s="12"/>
      <c r="H68" s="12"/>
      <c r="I68" s="12"/>
    </row>
  </sheetData>
  <hyperlinks>
    <hyperlink ref="A5" location="Menu!A1" display="Retour Menu" xr:uid="{00000000-0004-0000-1300-000001000000}"/>
  </hyperlink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031C-7A41-4A4C-B377-19DEAF5F2D7C}">
  <dimension ref="A1:E14"/>
  <sheetViews>
    <sheetView tabSelected="1" workbookViewId="0">
      <selection sqref="A1:XFD1048576"/>
    </sheetView>
  </sheetViews>
  <sheetFormatPr baseColWidth="10" defaultRowHeight="15"/>
  <cols>
    <col min="1" max="1" width="49.85546875" style="118" customWidth="1"/>
    <col min="2" max="2" width="4" style="117" customWidth="1"/>
    <col min="3" max="3" width="70.140625" style="117" customWidth="1"/>
    <col min="4" max="4" width="3" style="117" customWidth="1"/>
    <col min="5" max="5" width="55.5703125" style="117" customWidth="1"/>
    <col min="6" max="16384" width="11.42578125" style="117"/>
  </cols>
  <sheetData>
    <row r="1" spans="1:5">
      <c r="A1" s="118" t="s">
        <v>281</v>
      </c>
      <c r="C1" s="117" t="s">
        <v>282</v>
      </c>
      <c r="E1" s="117" t="s">
        <v>294</v>
      </c>
    </row>
    <row r="2" spans="1:5" ht="30">
      <c r="C2" s="119" t="s">
        <v>283</v>
      </c>
    </row>
    <row r="3" spans="1:5" ht="30">
      <c r="C3" s="119" t="s">
        <v>284</v>
      </c>
    </row>
    <row r="4" spans="1:5">
      <c r="C4" s="119" t="s">
        <v>285</v>
      </c>
    </row>
    <row r="5" spans="1:5">
      <c r="C5" s="119" t="s">
        <v>286</v>
      </c>
    </row>
    <row r="6" spans="1:5">
      <c r="C6" s="119"/>
    </row>
    <row r="7" spans="1:5" ht="45">
      <c r="C7" s="119" t="s">
        <v>287</v>
      </c>
    </row>
    <row r="8" spans="1:5" ht="30">
      <c r="C8" s="119" t="s">
        <v>288</v>
      </c>
    </row>
    <row r="9" spans="1:5">
      <c r="C9" s="119" t="s">
        <v>289</v>
      </c>
    </row>
    <row r="10" spans="1:5">
      <c r="C10" s="119" t="s">
        <v>290</v>
      </c>
    </row>
    <row r="11" spans="1:5">
      <c r="C11" s="119"/>
    </row>
    <row r="12" spans="1:5">
      <c r="C12" s="120" t="s">
        <v>291</v>
      </c>
    </row>
    <row r="13" spans="1:5">
      <c r="C13" s="120" t="s">
        <v>292</v>
      </c>
    </row>
    <row r="14" spans="1:5">
      <c r="C14" s="120" t="s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Ex1-ABC-Basique</vt:lpstr>
      <vt:lpstr>Ex2-ABC-coût-Valeur</vt:lpstr>
      <vt:lpstr>Ex3-Wilson-TV</vt:lpstr>
      <vt:lpstr>Ex4-Tracé-CT-G-Stock</vt:lpstr>
      <vt:lpstr>Ex5-cp-cl-corrigé-V1</vt:lpstr>
      <vt:lpstr>Ex6-Remise-ESC-Unif-Tranches</vt:lpstr>
      <vt:lpstr>Ex7-ELS(BMW)</vt:lpstr>
      <vt:lpstr>EX13-PointdeCommande</vt:lpstr>
      <vt:lpstr>Ex Appro Graduel</vt:lpstr>
      <vt:lpstr>Ex14-Recomplètement périodique</vt:lpstr>
      <vt:lpstr>GStock-2pdts-Simultan</vt:lpstr>
      <vt:lpstr>EX-Cor-Stock Sécurité</vt:lpstr>
      <vt:lpstr>Exercice F10 BFR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Moadh Khammassi</dc:creator>
  <cp:lastModifiedBy>DELL</cp:lastModifiedBy>
  <cp:lastPrinted>2015-10-10T22:28:08Z</cp:lastPrinted>
  <dcterms:created xsi:type="dcterms:W3CDTF">2015-10-10T21:45:58Z</dcterms:created>
  <dcterms:modified xsi:type="dcterms:W3CDTF">2020-11-19T08:35:23Z</dcterms:modified>
</cp:coreProperties>
</file>