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krf5429_psu_edu/Documents/Scanner Heterogeneity Project/Atlas Parcellation/"/>
    </mc:Choice>
  </mc:AlternateContent>
  <xr:revisionPtr revIDLastSave="1116" documentId="8_{A15C03DF-8F9E-4A21-8F35-842A71827C3A}" xr6:coauthVersionLast="47" xr6:coauthVersionMax="47" xr10:uidLastSave="{95EF70CD-4CD8-49EE-BA2A-7F72AF5A9440}"/>
  <bookViews>
    <workbookView xWindow="-108" yWindow="-108" windowWidth="23256" windowHeight="13896" firstSheet="1" activeTab="1" xr2:uid="{EF5E9161-D566-4B09-B8ED-096FE7E91541}"/>
  </bookViews>
  <sheets>
    <sheet name="DMN ROIs (old - do not use)" sheetId="1" state="hidden" r:id="rId1"/>
    <sheet name="DMN ROIs (new)" sheetId="3" r:id="rId2"/>
    <sheet name="Atlas Metadata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" i="3" l="1"/>
  <c r="Y5" i="3"/>
  <c r="Y4" i="3"/>
  <c r="Y3" i="3"/>
  <c r="V6" i="3"/>
  <c r="V5" i="3"/>
  <c r="V4" i="3"/>
  <c r="V3" i="3"/>
  <c r="S6" i="3"/>
  <c r="S4" i="3"/>
  <c r="O5" i="3"/>
  <c r="O4" i="3"/>
  <c r="O3" i="3"/>
  <c r="I6" i="3"/>
  <c r="I5" i="3"/>
  <c r="I3" i="3"/>
  <c r="E6" i="3"/>
  <c r="E4" i="3"/>
  <c r="E3" i="3"/>
  <c r="S5" i="3"/>
  <c r="S3" i="3"/>
  <c r="O6" i="3"/>
  <c r="I4" i="3"/>
  <c r="E5" i="3"/>
  <c r="Z11" i="1"/>
  <c r="Z10" i="1"/>
  <c r="Z9" i="1"/>
  <c r="Z7" i="1"/>
  <c r="Z6" i="1"/>
  <c r="Z5" i="1"/>
  <c r="Z4" i="1"/>
  <c r="Z3" i="1"/>
  <c r="V11" i="1"/>
  <c r="V10" i="1"/>
  <c r="V9" i="1"/>
  <c r="V8" i="1"/>
  <c r="V7" i="1"/>
  <c r="V6" i="1"/>
  <c r="V5" i="1"/>
  <c r="V4" i="1"/>
  <c r="V3" i="1"/>
  <c r="R11" i="1"/>
  <c r="R10" i="1"/>
  <c r="R9" i="1"/>
  <c r="R8" i="1"/>
  <c r="R7" i="1"/>
  <c r="R6" i="1"/>
  <c r="R5" i="1"/>
  <c r="R4" i="1"/>
  <c r="R3" i="1"/>
  <c r="E11" i="1"/>
  <c r="E10" i="1"/>
  <c r="E9" i="1"/>
  <c r="E8" i="1"/>
  <c r="E7" i="1"/>
  <c r="E6" i="1"/>
  <c r="E5" i="1"/>
  <c r="E4" i="1"/>
  <c r="G3" i="2"/>
  <c r="G4" i="2"/>
  <c r="G5" i="2"/>
  <c r="G6" i="2"/>
  <c r="G7" i="2"/>
  <c r="G8" i="2"/>
  <c r="G2" i="2"/>
</calcChain>
</file>

<file path=xl/sharedStrings.xml><?xml version="1.0" encoding="utf-8"?>
<sst xmlns="http://schemas.openxmlformats.org/spreadsheetml/2006/main" count="315" uniqueCount="224">
  <si>
    <t>DMN ROI</t>
  </si>
  <si>
    <t>AAL</t>
  </si>
  <si>
    <t>Craddock 200 (CC200)</t>
  </si>
  <si>
    <t>Craddock 400 (CC400)</t>
  </si>
  <si>
    <t>Dosenbach 160 (DOS)</t>
  </si>
  <si>
    <t>Eickhoff-Zilles (EZ)</t>
  </si>
  <si>
    <t>Harvard-Oxford (HO)</t>
  </si>
  <si>
    <t>Talaraich and Tournoux (TT)</t>
  </si>
  <si>
    <t>Index</t>
  </si>
  <si>
    <t>Label</t>
  </si>
  <si>
    <t>Volume (ROI)</t>
  </si>
  <si>
    <t>Volume</t>
  </si>
  <si>
    <t>Label (Kaitlyn created)</t>
  </si>
  <si>
    <t>Posterior cingulate cortex (PCC)</t>
  </si>
  <si>
    <t>4021, 4022</t>
  </si>
  <si>
    <t>P</t>
  </si>
  <si>
    <t>106, 99</t>
  </si>
  <si>
    <t>PCC</t>
  </si>
  <si>
    <t>73, 80, 90, 93, 108, 111, 115</t>
  </si>
  <si>
    <t>post cingulate</t>
  </si>
  <si>
    <t>35, 36</t>
  </si>
  <si>
    <t>Posterior Cingulate Cortex</t>
  </si>
  <si>
    <t>161, 160</t>
  </si>
  <si>
    <t>3002, 3001</t>
  </si>
  <si>
    <t>Cingulate Gyrus; posterior division</t>
  </si>
  <si>
    <t>427, 666</t>
  </si>
  <si>
    <t>2002, 2001</t>
  </si>
  <si>
    <t>Posterior Cingulate</t>
  </si>
  <si>
    <t>416, 390</t>
  </si>
  <si>
    <t>Ventral medial prefrontal cortex (vmPFC)</t>
  </si>
  <si>
    <t>2611, 2612</t>
  </si>
  <si>
    <t>Frontal_Mid_Orb</t>
  </si>
  <si>
    <t>234, 283</t>
  </si>
  <si>
    <t>12, 22, 42, 51, 57, 109, 113, 124, 169, 183</t>
  </si>
  <si>
    <t>vmPFC</t>
  </si>
  <si>
    <t>154, 213, 92, 222, 126, 193, 195, 67, 119, 164</t>
  </si>
  <si>
    <t>1, 6, 7, 11, 13</t>
  </si>
  <si>
    <t>25, 26</t>
  </si>
  <si>
    <t>Mid Orbital Gyrus</t>
  </si>
  <si>
    <t>289, 369</t>
  </si>
  <si>
    <t>102, 101</t>
  </si>
  <si>
    <t>Frontal pole (might replace with Frontal Medial Cortex?)</t>
  </si>
  <si>
    <t>3035, 3605</t>
  </si>
  <si>
    <t>4702, 4701</t>
  </si>
  <si>
    <t>Middle Frontal Gyrus (might add Medial Frontal Gyrus?)</t>
  </si>
  <si>
    <t>2582, 2523</t>
  </si>
  <si>
    <t>Dorsal medial prefrontal cortex (dmPFC)</t>
  </si>
  <si>
    <t>2601, 2602</t>
  </si>
  <si>
    <t>Frontal_Sup_Medial</t>
  </si>
  <si>
    <t>945, 845</t>
  </si>
  <si>
    <t>91, 104, 133, 139, 149, 173, 186, 187, 193</t>
  </si>
  <si>
    <t>dmPFC</t>
  </si>
  <si>
    <t>198, 178, 206, 202, 261, 182, 198, 198, 145</t>
  </si>
  <si>
    <t>mPFC (only left)</t>
  </si>
  <si>
    <t>23, 24</t>
  </si>
  <si>
    <t>Superior Medial Gyrus</t>
  </si>
  <si>
    <t>938, 778</t>
  </si>
  <si>
    <t>302, 301</t>
  </si>
  <si>
    <t>Superior Frontal Gyrus</t>
  </si>
  <si>
    <t>1130, 1149</t>
  </si>
  <si>
    <t>5102, 5101</t>
  </si>
  <si>
    <t>2243, 2243</t>
  </si>
  <si>
    <t>Inferior parietal lobe (IPL)</t>
  </si>
  <si>
    <t>6201, 6202</t>
  </si>
  <si>
    <t>Parietal_Inf</t>
  </si>
  <si>
    <t>927, 471</t>
  </si>
  <si>
    <t>7, 56, 93, 116, 156, 171, 180</t>
  </si>
  <si>
    <t>IPL</t>
  </si>
  <si>
    <t>247, 203, 296, 184, 234, 220, 224</t>
  </si>
  <si>
    <t>88, 96, 101, 104, 107</t>
  </si>
  <si>
    <t>61, 62</t>
  </si>
  <si>
    <t>Inferior Parietal Lobule</t>
  </si>
  <si>
    <t>856, 458</t>
  </si>
  <si>
    <t>1902, 2002, 1901, 2001</t>
  </si>
  <si>
    <t>Supramarginal Gyrus; anterior/posterior division</t>
  </si>
  <si>
    <t>452, 393, 333, 566</t>
  </si>
  <si>
    <t>4402, 4401</t>
  </si>
  <si>
    <t>967, 921</t>
  </si>
  <si>
    <t>Lateral temporal cortex (LTC)</t>
  </si>
  <si>
    <t>8201, 8202</t>
  </si>
  <si>
    <t>Temporal_Mid</t>
  </si>
  <si>
    <t>1893, 1635</t>
  </si>
  <si>
    <t>2, 11, 16, 39, 49, 69, 72, 85, 99, 101, 107, 117, 129, 140, 143, 150, 153</t>
  </si>
  <si>
    <t>Temporal mid</t>
  </si>
  <si>
    <t>269, 287, 261, 193, 222, 282, 222, 213, 188, 157, 254, 273, 247, 201, 252, 207, 204</t>
  </si>
  <si>
    <t>60, 68, 78, 82, 83, 95, 103, 123</t>
  </si>
  <si>
    <t>temporal</t>
  </si>
  <si>
    <t>85, 86</t>
  </si>
  <si>
    <t>Middle Temporal Gyrus</t>
  </si>
  <si>
    <t>1778, 1545</t>
  </si>
  <si>
    <t>1102, 1202, 1302, 1101, 1201, 1301</t>
  </si>
  <si>
    <t>Middle Temporal Gyrus; anterior/posterior/temporooccipital division/part</t>
  </si>
  <si>
    <t>186, 543, 343, 191, 484, 478</t>
  </si>
  <si>
    <t>3502, 3501</t>
  </si>
  <si>
    <t>1750, 1734</t>
  </si>
  <si>
    <t>Hippocampus (HF+)</t>
  </si>
  <si>
    <t>4101, 4102</t>
  </si>
  <si>
    <t>Hippocampus</t>
  </si>
  <si>
    <t>454, 456</t>
  </si>
  <si>
    <t>48, 92, 145, 155</t>
  </si>
  <si>
    <t>236, 220, 176, 262</t>
  </si>
  <si>
    <t>nothing found</t>
  </si>
  <si>
    <t>37, 38</t>
  </si>
  <si>
    <t>406, 399</t>
  </si>
  <si>
    <t>17, 53</t>
  </si>
  <si>
    <t>380, 349</t>
  </si>
  <si>
    <t>6802, 6801</t>
  </si>
  <si>
    <t>no volume coming up on table</t>
  </si>
  <si>
    <t>-</t>
  </si>
  <si>
    <t>Parahippocampus (PHF)</t>
  </si>
  <si>
    <t>4111, 4112</t>
  </si>
  <si>
    <t>ParaHippocampal</t>
  </si>
  <si>
    <t>389, 425</t>
  </si>
  <si>
    <t>62, 87, 122, 198, 199</t>
  </si>
  <si>
    <t>Parahippocampus</t>
  </si>
  <si>
    <t>237, 142, 238, 157, 173</t>
  </si>
  <si>
    <t>39, 40</t>
  </si>
  <si>
    <t>ParaHippocampal Gyrus</t>
  </si>
  <si>
    <t>368, 388</t>
  </si>
  <si>
    <t>3402, 3502, 3401, 3501</t>
  </si>
  <si>
    <t>Parahippocampal Gyrus; anterior/posterior division</t>
  </si>
  <si>
    <t>260, 197, 305, 164</t>
  </si>
  <si>
    <t>3102, 3101</t>
  </si>
  <si>
    <t>Parahippocampal Gyrus</t>
  </si>
  <si>
    <t>730, 737</t>
  </si>
  <si>
    <t>Precuneus</t>
  </si>
  <si>
    <t>6301, 6302</t>
  </si>
  <si>
    <t>1203, 1211</t>
  </si>
  <si>
    <t>3, 6, 19, 58, 65, 81, 136, 147, 163, 174, 188, 197</t>
  </si>
  <si>
    <t>284, 267, 291, 231, 254, 285, 247, 213, 266, 350, 192, 125</t>
  </si>
  <si>
    <t>85, 87, 94, 105, 112, 132</t>
  </si>
  <si>
    <t>precuneus</t>
  </si>
  <si>
    <t>67, 68</t>
  </si>
  <si>
    <t>1131, 1184</t>
  </si>
  <si>
    <t>Precuneous Cortex</t>
  </si>
  <si>
    <t>841, 1187</t>
  </si>
  <si>
    <t>4502, 4501</t>
  </si>
  <si>
    <t>1246, 1308</t>
  </si>
  <si>
    <t>Angular gyrus (AG)</t>
  </si>
  <si>
    <t>6221, 6222</t>
  </si>
  <si>
    <t>Angular</t>
  </si>
  <si>
    <t>498, 787</t>
  </si>
  <si>
    <t>14, 82, 166</t>
  </si>
  <si>
    <t>Angular Gyrus</t>
  </si>
  <si>
    <t>289, 211, 252</t>
  </si>
  <si>
    <t>102, 117, 124</t>
  </si>
  <si>
    <t>angular gyrus</t>
  </si>
  <si>
    <t>65, 66</t>
  </si>
  <si>
    <t>410, 680</t>
  </si>
  <si>
    <t>2102, 2101</t>
  </si>
  <si>
    <t>363, 581</t>
  </si>
  <si>
    <t>4102, 4101</t>
  </si>
  <si>
    <t>133, 148</t>
  </si>
  <si>
    <t>We should probably consider dropping the DOS atlas</t>
  </si>
  <si>
    <t>Helpful Links</t>
  </si>
  <si>
    <t>https://www.ncbi.nlm.nih.gov/pmc/articles/PMC3811106/</t>
  </si>
  <si>
    <t>https://nyaspubs.onlinelibrary.wiley.com/doi/10.1196/annals.1440.011</t>
  </si>
  <si>
    <t>https://pubmed.ncbi.nlm.nih.gov/34131953/</t>
  </si>
  <si>
    <t>Frontal sup</t>
  </si>
  <si>
    <t>Frontal mid</t>
  </si>
  <si>
    <t>Talaraich-Tournoux</t>
  </si>
  <si>
    <t>CC200</t>
  </si>
  <si>
    <t>CC400</t>
  </si>
  <si>
    <t>Medial prefrontal cortex (MPFC)</t>
  </si>
  <si>
    <t>Frontal_Med_Orb</t>
  </si>
  <si>
    <t>1, 6, 7, 13</t>
  </si>
  <si>
    <t>Right Frontal Medial Cortex</t>
  </si>
  <si>
    <t>5201, 5202</t>
  </si>
  <si>
    <t>Medial Frontal Gyrus</t>
  </si>
  <si>
    <t>1309, 1283</t>
  </si>
  <si>
    <t>51, 109, 139</t>
  </si>
  <si>
    <t>222, 193, 202</t>
  </si>
  <si>
    <t>84, 142, 232, 264</t>
  </si>
  <si>
    <t>72, 120, 79, 81</t>
  </si>
  <si>
    <t>Lateral parietal - left (LP_L)</t>
  </si>
  <si>
    <t>Occipital_Mid_L</t>
  </si>
  <si>
    <t>Left Middle Occipital Gyrus</t>
  </si>
  <si>
    <t>134, 146</t>
  </si>
  <si>
    <t>IPS, occipital</t>
  </si>
  <si>
    <t>Left Lateral Occipital Cortex; superior division</t>
  </si>
  <si>
    <t>Left Superior Occipital Gyrus</t>
  </si>
  <si>
    <t>82, 97, 114</t>
  </si>
  <si>
    <t>211, 239, 287</t>
  </si>
  <si>
    <t>6, 120, 189</t>
  </si>
  <si>
    <t>127, 148, 112</t>
  </si>
  <si>
    <t>Lateral parietal - right (LP_R)</t>
  </si>
  <si>
    <t>5202, 6222</t>
  </si>
  <si>
    <t>Occipital_Mid_R, Angular_R</t>
  </si>
  <si>
    <t>861, 787</t>
  </si>
  <si>
    <t>52, 86</t>
  </si>
  <si>
    <t>Right Middle Occipital Gyrus, Right Middle Temporal Gyrus</t>
  </si>
  <si>
    <t>810, 1545</t>
  </si>
  <si>
    <t>117, 137</t>
  </si>
  <si>
    <t>angular gyrus, occipital</t>
  </si>
  <si>
    <t>Right Lateral Occipital Cortex; superior division</t>
  </si>
  <si>
    <t>3501, 4101</t>
  </si>
  <si>
    <t>Right Middle Temporal Gyrus, Right Angular Gyrus</t>
  </si>
  <si>
    <t>1734, 148</t>
  </si>
  <si>
    <t>14, 166, 170</t>
  </si>
  <si>
    <t>289, 252, 222</t>
  </si>
  <si>
    <t>26, 135, 252, 341</t>
  </si>
  <si>
    <t>108, 111, 115, 112, 82 (coord for 85), 105, 132, 136</t>
  </si>
  <si>
    <t>post cingulate, precuneus, occipital</t>
  </si>
  <si>
    <t>3101, 3102</t>
  </si>
  <si>
    <t>1187, 841</t>
  </si>
  <si>
    <t>4501, 4502</t>
  </si>
  <si>
    <t>1308, 1246</t>
  </si>
  <si>
    <t>3, 19, 163, 174</t>
  </si>
  <si>
    <t>284, 291, 266, 350</t>
  </si>
  <si>
    <t>Results from this differ from visuals oddly??</t>
  </si>
  <si>
    <t>Notes: Unsure about most of these, the MNI coordinates don't always match up to the numbers showing up in the regions of the atlas.</t>
  </si>
  <si>
    <t>Atlas</t>
  </si>
  <si>
    <t>Space</t>
  </si>
  <si>
    <t>X-dim</t>
  </si>
  <si>
    <t>Y-dim</t>
  </si>
  <si>
    <t>Z-dim</t>
  </si>
  <si>
    <t>Number of ROI</t>
  </si>
  <si>
    <t>Total Volume (Voxels)</t>
  </si>
  <si>
    <t>3mm</t>
  </si>
  <si>
    <t>DOS</t>
  </si>
  <si>
    <t>EZ</t>
  </si>
  <si>
    <t>HO</t>
  </si>
  <si>
    <t>TT</t>
  </si>
  <si>
    <t xml:space="preserve">Notes: CONN atlas was resliced from 2mm space into 3mm for AAL, EZ, HO, TT using SPM12 Reslice function and 4th degree B-spline interpolation, as they all had the same bounding box. ROIs determined based on overlap of 8% or greater with CONN. Same process was repeated for CC200 and CC400, resliced separately as there was a different bounding box. ROIs determined based on overlap of 8% or greater.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</si>
</sst>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373737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16" fillId="0" borderId="0" xfId="0" applyFont="1"/>
    <xf numFmtId="0" fontId="16" fillId="0" borderId="13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4" xfId="0" applyBorder="1"/>
    <xf numFmtId="0" fontId="18" fillId="0" borderId="0" xfId="0" applyFont="1"/>
    <xf numFmtId="0" fontId="16" fillId="0" borderId="0" xfId="0" applyFont="1" applyAlignment="1">
      <alignment horizontal="center"/>
    </xf>
    <xf numFmtId="0" fontId="0" fillId="0" borderId="15" xfId="0" applyBorder="1"/>
    <xf numFmtId="3" fontId="0" fillId="0" borderId="0" xfId="0" applyNumberFormat="1"/>
    <xf numFmtId="164" fontId="0" fillId="0" borderId="0" xfId="42" applyNumberFormat="1" applyFont="1"/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6" xfId="0" applyBorder="1"/>
    <xf numFmtId="0" fontId="16" fillId="33" borderId="10" xfId="0" applyFont="1" applyFill="1" applyBorder="1" applyAlignment="1">
      <alignment horizontal="center"/>
    </xf>
    <xf numFmtId="0" fontId="0" fillId="33" borderId="0" xfId="0" applyFill="1"/>
    <xf numFmtId="0" fontId="16" fillId="33" borderId="12" xfId="0" applyFont="1" applyFill="1" applyBorder="1" applyAlignment="1">
      <alignment horizontal="center"/>
    </xf>
    <xf numFmtId="0" fontId="0" fillId="33" borderId="17" xfId="0" applyFill="1" applyBorder="1"/>
    <xf numFmtId="0" fontId="0" fillId="33" borderId="11" xfId="0" applyFill="1" applyBorder="1"/>
    <xf numFmtId="0" fontId="0" fillId="0" borderId="11" xfId="0" applyBorder="1"/>
    <xf numFmtId="0" fontId="16" fillId="0" borderId="12" xfId="0" applyFont="1" applyBorder="1" applyAlignment="1">
      <alignment horizontal="center"/>
    </xf>
    <xf numFmtId="0" fontId="14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14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4" xfId="0" applyBorder="1" applyAlignment="1">
      <alignment vertical="top"/>
    </xf>
    <xf numFmtId="0" fontId="0" fillId="0" borderId="11" xfId="0" applyBorder="1" applyAlignment="1">
      <alignment vertical="top"/>
    </xf>
    <xf numFmtId="0" fontId="16" fillId="0" borderId="13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14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3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2179320</xdr:colOff>
      <xdr:row>13</xdr:row>
      <xdr:rowOff>114300</xdr:rowOff>
    </xdr:from>
    <xdr:to>
      <xdr:col>5</xdr:col>
      <xdr:colOff>1093470</xdr:colOff>
      <xdr:row>28</xdr:row>
      <xdr:rowOff>109804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19CA1F-7880-4F3A-94C8-53E0A38E7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9320" y="2491740"/>
          <a:ext cx="4587240" cy="2772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C225-30CE-4CF1-BB47-9362AD19C6D7}">
  <dimension ref="A1:Z39"/>
  <sheetViews>
    <sheetView workbookViewId="0">
      <pane xSplit="1" topLeftCell="F1" activePane="topRight" state="frozen"/>
      <selection pane="topRight" activeCell="F10" sqref="F10"/>
    </sheetView>
  </sheetViews>
  <sheetFormatPr defaultRowHeight="14.4" x14ac:dyDescent="0.3"/>
  <cols>
    <col min="1" max="1" width="35.5546875" customWidth="1"/>
    <col min="2" max="2" width="9.6640625" bestFit="1" customWidth="1"/>
    <col min="3" max="3" width="17.44140625" bestFit="1" customWidth="1"/>
    <col min="4" max="4" width="12.33203125" customWidth="1"/>
    <col min="5" max="5" width="7.5546875" bestFit="1" customWidth="1"/>
    <col min="6" max="6" width="57.44140625" bestFit="1" customWidth="1"/>
    <col min="7" max="7" width="20" bestFit="1" customWidth="1"/>
    <col min="8" max="8" width="23.6640625" hidden="1" customWidth="1"/>
    <col min="9" max="9" width="7.5546875" bestFit="1" customWidth="1"/>
    <col min="10" max="10" width="12.33203125" hidden="1" customWidth="1"/>
    <col min="11" max="11" width="5.44140625" hidden="1" customWidth="1"/>
    <col min="12" max="12" width="7.5546875" hidden="1" customWidth="1"/>
    <col min="13" max="13" width="24.88671875" customWidth="1"/>
    <col min="14" max="14" width="17.44140625" customWidth="1"/>
    <col min="15" max="15" width="5.88671875" bestFit="1" customWidth="1"/>
    <col min="16" max="16" width="22.6640625" bestFit="1" customWidth="1"/>
    <col min="17" max="17" width="12.33203125" customWidth="1"/>
    <col min="18" max="18" width="7.5546875" bestFit="1" customWidth="1"/>
    <col min="19" max="19" width="21.109375" customWidth="1"/>
    <col min="20" max="20" width="29" customWidth="1"/>
    <col min="21" max="21" width="16.6640625" hidden="1" customWidth="1"/>
    <col min="22" max="22" width="7.5546875" bestFit="1" customWidth="1"/>
    <col min="23" max="23" width="9.88671875" bestFit="1" customWidth="1"/>
    <col min="24" max="24" width="20.33203125" bestFit="1" customWidth="1"/>
    <col min="25" max="25" width="16.33203125" hidden="1" customWidth="1"/>
    <col min="26" max="26" width="7.5546875" bestFit="1" customWidth="1"/>
  </cols>
  <sheetData>
    <row r="1" spans="1:26" x14ac:dyDescent="0.3">
      <c r="A1" s="31" t="s">
        <v>0</v>
      </c>
      <c r="B1" s="28" t="s">
        <v>1</v>
      </c>
      <c r="C1" s="29"/>
      <c r="D1" s="29"/>
      <c r="E1" s="30"/>
      <c r="F1" s="28" t="s">
        <v>2</v>
      </c>
      <c r="G1" s="29"/>
      <c r="H1" s="29"/>
      <c r="I1" s="30"/>
      <c r="J1" s="28" t="s">
        <v>3</v>
      </c>
      <c r="K1" s="29"/>
      <c r="L1" s="30"/>
      <c r="M1" s="28" t="s">
        <v>4</v>
      </c>
      <c r="N1" s="29"/>
      <c r="O1" s="28" t="s">
        <v>5</v>
      </c>
      <c r="P1" s="29"/>
      <c r="Q1" s="29"/>
      <c r="R1" s="30"/>
      <c r="S1" s="28" t="s">
        <v>6</v>
      </c>
      <c r="T1" s="29"/>
      <c r="U1" s="29"/>
      <c r="V1" s="30"/>
      <c r="W1" s="28" t="s">
        <v>7</v>
      </c>
      <c r="X1" s="29"/>
      <c r="Y1" s="29"/>
      <c r="Z1" s="30"/>
    </row>
    <row r="2" spans="1:26" x14ac:dyDescent="0.3">
      <c r="A2" s="32"/>
      <c r="B2" s="2" t="s">
        <v>8</v>
      </c>
      <c r="C2" s="3" t="s">
        <v>9</v>
      </c>
      <c r="D2" s="3" t="s">
        <v>10</v>
      </c>
      <c r="E2" s="13" t="s">
        <v>11</v>
      </c>
      <c r="F2" s="2" t="s">
        <v>8</v>
      </c>
      <c r="G2" s="3" t="s">
        <v>12</v>
      </c>
      <c r="H2" s="3" t="s">
        <v>10</v>
      </c>
      <c r="I2" s="13" t="s">
        <v>11</v>
      </c>
      <c r="J2" s="2" t="s">
        <v>8</v>
      </c>
      <c r="K2" s="3" t="s">
        <v>9</v>
      </c>
      <c r="L2" s="3" t="s">
        <v>11</v>
      </c>
      <c r="M2" s="2" t="s">
        <v>8</v>
      </c>
      <c r="N2" s="3" t="s">
        <v>9</v>
      </c>
      <c r="O2" s="2" t="s">
        <v>8</v>
      </c>
      <c r="P2" s="3" t="s">
        <v>9</v>
      </c>
      <c r="Q2" s="3" t="s">
        <v>10</v>
      </c>
      <c r="R2" s="13" t="s">
        <v>11</v>
      </c>
      <c r="S2" s="2" t="s">
        <v>8</v>
      </c>
      <c r="T2" s="3" t="s">
        <v>9</v>
      </c>
      <c r="U2" s="3" t="s">
        <v>10</v>
      </c>
      <c r="V2" s="13" t="s">
        <v>11</v>
      </c>
      <c r="W2" s="2" t="s">
        <v>8</v>
      </c>
      <c r="X2" s="3" t="s">
        <v>9</v>
      </c>
      <c r="Y2" s="6" t="s">
        <v>10</v>
      </c>
      <c r="Z2" s="15" t="s">
        <v>11</v>
      </c>
    </row>
    <row r="3" spans="1:26" x14ac:dyDescent="0.3">
      <c r="A3" t="s">
        <v>13</v>
      </c>
      <c r="B3" s="4" t="s">
        <v>14</v>
      </c>
      <c r="C3" t="s">
        <v>15</v>
      </c>
      <c r="D3" t="s">
        <v>16</v>
      </c>
      <c r="E3" s="14">
        <v>205</v>
      </c>
      <c r="F3" s="10">
        <v>46</v>
      </c>
      <c r="G3" t="s">
        <v>17</v>
      </c>
      <c r="H3" s="11">
        <v>227</v>
      </c>
      <c r="I3" s="14">
        <v>227</v>
      </c>
      <c r="J3" s="4"/>
      <c r="M3" s="4" t="s">
        <v>18</v>
      </c>
      <c r="N3" t="s">
        <v>19</v>
      </c>
      <c r="O3" s="7" t="s">
        <v>20</v>
      </c>
      <c r="P3" t="s">
        <v>21</v>
      </c>
      <c r="Q3" t="s">
        <v>22</v>
      </c>
      <c r="R3" s="14">
        <f>161+160</f>
        <v>321</v>
      </c>
      <c r="S3" s="4" t="s">
        <v>23</v>
      </c>
      <c r="T3" t="s">
        <v>24</v>
      </c>
      <c r="U3" t="s">
        <v>25</v>
      </c>
      <c r="V3" s="14">
        <f>427+666</f>
        <v>1093</v>
      </c>
      <c r="W3" s="4" t="s">
        <v>26</v>
      </c>
      <c r="X3" t="s">
        <v>27</v>
      </c>
      <c r="Y3" s="12" t="s">
        <v>28</v>
      </c>
      <c r="Z3" s="16">
        <f>416+390</f>
        <v>806</v>
      </c>
    </row>
    <row r="4" spans="1:26" x14ac:dyDescent="0.3">
      <c r="A4" t="s">
        <v>29</v>
      </c>
      <c r="B4" s="4" t="s">
        <v>30</v>
      </c>
      <c r="C4" t="s">
        <v>31</v>
      </c>
      <c r="D4" t="s">
        <v>32</v>
      </c>
      <c r="E4" s="14">
        <f>234+283</f>
        <v>517</v>
      </c>
      <c r="F4" s="4" t="s">
        <v>33</v>
      </c>
      <c r="G4" t="s">
        <v>34</v>
      </c>
      <c r="H4" t="s">
        <v>35</v>
      </c>
      <c r="I4" s="14">
        <v>1545</v>
      </c>
      <c r="J4" s="4"/>
      <c r="M4" s="4" t="s">
        <v>36</v>
      </c>
      <c r="N4" t="s">
        <v>34</v>
      </c>
      <c r="O4" s="4" t="s">
        <v>37</v>
      </c>
      <c r="P4" t="s">
        <v>38</v>
      </c>
      <c r="Q4" s="8" t="s">
        <v>39</v>
      </c>
      <c r="R4" s="14">
        <f>289+369</f>
        <v>658</v>
      </c>
      <c r="S4" s="4" t="s">
        <v>40</v>
      </c>
      <c r="T4" t="s">
        <v>41</v>
      </c>
      <c r="U4" t="s">
        <v>42</v>
      </c>
      <c r="V4" s="14">
        <f>3035+3605</f>
        <v>6640</v>
      </c>
      <c r="W4" s="4" t="s">
        <v>43</v>
      </c>
      <c r="X4" t="s">
        <v>44</v>
      </c>
      <c r="Y4" t="s">
        <v>45</v>
      </c>
      <c r="Z4" s="17">
        <f>2582+2523</f>
        <v>5105</v>
      </c>
    </row>
    <row r="5" spans="1:26" x14ac:dyDescent="0.3">
      <c r="A5" t="s">
        <v>46</v>
      </c>
      <c r="B5" s="4" t="s">
        <v>47</v>
      </c>
      <c r="C5" t="s">
        <v>48</v>
      </c>
      <c r="D5" t="s">
        <v>49</v>
      </c>
      <c r="E5" s="14">
        <f>945+845</f>
        <v>1790</v>
      </c>
      <c r="F5" s="4" t="s">
        <v>50</v>
      </c>
      <c r="G5" t="s">
        <v>51</v>
      </c>
      <c r="H5" t="s">
        <v>52</v>
      </c>
      <c r="I5" s="14">
        <v>1768</v>
      </c>
      <c r="J5" s="4"/>
      <c r="M5" s="10">
        <v>4</v>
      </c>
      <c r="N5" t="s">
        <v>53</v>
      </c>
      <c r="O5" s="4" t="s">
        <v>54</v>
      </c>
      <c r="P5" t="s">
        <v>55</v>
      </c>
      <c r="Q5" t="s">
        <v>56</v>
      </c>
      <c r="R5" s="14">
        <f>938+778</f>
        <v>1716</v>
      </c>
      <c r="S5" s="4" t="s">
        <v>57</v>
      </c>
      <c r="T5" t="s">
        <v>58</v>
      </c>
      <c r="U5" t="s">
        <v>59</v>
      </c>
      <c r="V5" s="14">
        <f>1130+1149</f>
        <v>2279</v>
      </c>
      <c r="W5" s="4" t="s">
        <v>60</v>
      </c>
      <c r="X5" t="s">
        <v>58</v>
      </c>
      <c r="Y5" t="s">
        <v>61</v>
      </c>
      <c r="Z5" s="17">
        <f>2243+2243</f>
        <v>4486</v>
      </c>
    </row>
    <row r="6" spans="1:26" x14ac:dyDescent="0.3">
      <c r="A6" t="s">
        <v>62</v>
      </c>
      <c r="B6" s="4" t="s">
        <v>63</v>
      </c>
      <c r="C6" t="s">
        <v>64</v>
      </c>
      <c r="D6" t="s">
        <v>65</v>
      </c>
      <c r="E6" s="14">
        <f>927+471</f>
        <v>1398</v>
      </c>
      <c r="F6" s="4" t="s">
        <v>66</v>
      </c>
      <c r="G6" t="s">
        <v>67</v>
      </c>
      <c r="H6" t="s">
        <v>68</v>
      </c>
      <c r="I6" s="14">
        <v>1608</v>
      </c>
      <c r="J6" s="4"/>
      <c r="M6" s="4" t="s">
        <v>69</v>
      </c>
      <c r="N6" t="s">
        <v>67</v>
      </c>
      <c r="O6" s="4" t="s">
        <v>70</v>
      </c>
      <c r="P6" t="s">
        <v>71</v>
      </c>
      <c r="Q6" t="s">
        <v>72</v>
      </c>
      <c r="R6" s="14">
        <f>856+458</f>
        <v>1314</v>
      </c>
      <c r="S6" s="4" t="s">
        <v>73</v>
      </c>
      <c r="T6" t="s">
        <v>74</v>
      </c>
      <c r="U6" t="s">
        <v>75</v>
      </c>
      <c r="V6" s="14">
        <f>452+393+333+566</f>
        <v>1744</v>
      </c>
      <c r="W6" s="4" t="s">
        <v>76</v>
      </c>
      <c r="X6" t="s">
        <v>71</v>
      </c>
      <c r="Y6" t="s">
        <v>77</v>
      </c>
      <c r="Z6" s="17">
        <f>967+921</f>
        <v>1888</v>
      </c>
    </row>
    <row r="7" spans="1:26" x14ac:dyDescent="0.3">
      <c r="A7" t="s">
        <v>78</v>
      </c>
      <c r="B7" s="4" t="s">
        <v>79</v>
      </c>
      <c r="C7" t="s">
        <v>80</v>
      </c>
      <c r="D7" t="s">
        <v>81</v>
      </c>
      <c r="E7" s="14">
        <f>1893+1635</f>
        <v>3528</v>
      </c>
      <c r="F7" s="4" t="s">
        <v>82</v>
      </c>
      <c r="G7" t="s">
        <v>83</v>
      </c>
      <c r="H7" t="s">
        <v>84</v>
      </c>
      <c r="I7" s="14">
        <v>3932</v>
      </c>
      <c r="J7" s="4"/>
      <c r="M7" s="4" t="s">
        <v>85</v>
      </c>
      <c r="N7" t="s">
        <v>86</v>
      </c>
      <c r="O7" s="4" t="s">
        <v>87</v>
      </c>
      <c r="P7" t="s">
        <v>88</v>
      </c>
      <c r="Q7" t="s">
        <v>89</v>
      </c>
      <c r="R7" s="14">
        <f>1778+1545</f>
        <v>3323</v>
      </c>
      <c r="S7" s="4" t="s">
        <v>90</v>
      </c>
      <c r="T7" t="s">
        <v>91</v>
      </c>
      <c r="U7" t="s">
        <v>92</v>
      </c>
      <c r="V7" s="14">
        <f>186+543+343+191+484+478</f>
        <v>2225</v>
      </c>
      <c r="W7" s="4" t="s">
        <v>93</v>
      </c>
      <c r="X7" t="s">
        <v>88</v>
      </c>
      <c r="Y7" t="s">
        <v>94</v>
      </c>
      <c r="Z7" s="17">
        <f>1750+1734</f>
        <v>3484</v>
      </c>
    </row>
    <row r="8" spans="1:26" x14ac:dyDescent="0.3">
      <c r="A8" t="s">
        <v>95</v>
      </c>
      <c r="B8" s="4" t="s">
        <v>96</v>
      </c>
      <c r="C8" t="s">
        <v>97</v>
      </c>
      <c r="D8" t="s">
        <v>98</v>
      </c>
      <c r="E8" s="14">
        <f>454+456</f>
        <v>910</v>
      </c>
      <c r="F8" s="4" t="s">
        <v>99</v>
      </c>
      <c r="G8" t="s">
        <v>97</v>
      </c>
      <c r="H8" t="s">
        <v>100</v>
      </c>
      <c r="I8" s="14">
        <v>894</v>
      </c>
      <c r="J8" s="4"/>
      <c r="M8" s="4" t="s">
        <v>101</v>
      </c>
      <c r="O8" s="4" t="s">
        <v>102</v>
      </c>
      <c r="P8" t="s">
        <v>97</v>
      </c>
      <c r="Q8" t="s">
        <v>103</v>
      </c>
      <c r="R8" s="14">
        <f>406+399</f>
        <v>805</v>
      </c>
      <c r="S8" s="4" t="s">
        <v>104</v>
      </c>
      <c r="T8" t="s">
        <v>97</v>
      </c>
      <c r="U8" t="s">
        <v>105</v>
      </c>
      <c r="V8" s="14">
        <f>380+349</f>
        <v>729</v>
      </c>
      <c r="W8" s="4" t="s">
        <v>106</v>
      </c>
      <c r="X8" t="s">
        <v>97</v>
      </c>
      <c r="Y8" t="s">
        <v>107</v>
      </c>
      <c r="Z8" s="17" t="s">
        <v>108</v>
      </c>
    </row>
    <row r="9" spans="1:26" x14ac:dyDescent="0.3">
      <c r="A9" t="s">
        <v>109</v>
      </c>
      <c r="B9" s="4" t="s">
        <v>110</v>
      </c>
      <c r="C9" t="s">
        <v>111</v>
      </c>
      <c r="D9" t="s">
        <v>112</v>
      </c>
      <c r="E9" s="14">
        <f>389+425</f>
        <v>814</v>
      </c>
      <c r="F9" s="4" t="s">
        <v>113</v>
      </c>
      <c r="G9" t="s">
        <v>114</v>
      </c>
      <c r="H9" t="s">
        <v>115</v>
      </c>
      <c r="I9" s="14">
        <v>947</v>
      </c>
      <c r="J9" s="4"/>
      <c r="M9" s="4" t="s">
        <v>101</v>
      </c>
      <c r="O9" s="4" t="s">
        <v>116</v>
      </c>
      <c r="P9" t="s">
        <v>117</v>
      </c>
      <c r="Q9" t="s">
        <v>118</v>
      </c>
      <c r="R9" s="14">
        <f>368+388</f>
        <v>756</v>
      </c>
      <c r="S9" s="4" t="s">
        <v>119</v>
      </c>
      <c r="T9" t="s">
        <v>120</v>
      </c>
      <c r="U9" t="s">
        <v>121</v>
      </c>
      <c r="V9" s="14">
        <f>260+197+305+164</f>
        <v>926</v>
      </c>
      <c r="W9" s="4" t="s">
        <v>122</v>
      </c>
      <c r="X9" t="s">
        <v>123</v>
      </c>
      <c r="Y9" t="s">
        <v>124</v>
      </c>
      <c r="Z9" s="17">
        <f>730+737</f>
        <v>1467</v>
      </c>
    </row>
    <row r="10" spans="1:26" x14ac:dyDescent="0.3">
      <c r="A10" t="s">
        <v>125</v>
      </c>
      <c r="B10" s="4" t="s">
        <v>126</v>
      </c>
      <c r="C10" t="s">
        <v>125</v>
      </c>
      <c r="D10" t="s">
        <v>127</v>
      </c>
      <c r="E10" s="14">
        <f>1203+1211</f>
        <v>2414</v>
      </c>
      <c r="F10" s="4" t="s">
        <v>128</v>
      </c>
      <c r="G10" t="s">
        <v>125</v>
      </c>
      <c r="H10" t="s">
        <v>129</v>
      </c>
      <c r="I10" s="14">
        <v>3005</v>
      </c>
      <c r="J10" s="4"/>
      <c r="M10" s="4" t="s">
        <v>130</v>
      </c>
      <c r="N10" t="s">
        <v>131</v>
      </c>
      <c r="O10" s="4" t="s">
        <v>132</v>
      </c>
      <c r="P10" t="s">
        <v>125</v>
      </c>
      <c r="Q10" t="s">
        <v>133</v>
      </c>
      <c r="R10" s="14">
        <f>1131+1184</f>
        <v>2315</v>
      </c>
      <c r="S10" s="4" t="s">
        <v>122</v>
      </c>
      <c r="T10" t="s">
        <v>134</v>
      </c>
      <c r="U10" t="s">
        <v>135</v>
      </c>
      <c r="V10" s="14">
        <f>841+1187</f>
        <v>2028</v>
      </c>
      <c r="W10" s="4" t="s">
        <v>136</v>
      </c>
      <c r="X10" t="s">
        <v>125</v>
      </c>
      <c r="Y10" t="s">
        <v>137</v>
      </c>
      <c r="Z10" s="17">
        <f>1246+1308</f>
        <v>2554</v>
      </c>
    </row>
    <row r="11" spans="1:26" x14ac:dyDescent="0.3">
      <c r="A11" t="s">
        <v>138</v>
      </c>
      <c r="B11" s="4" t="s">
        <v>139</v>
      </c>
      <c r="C11" t="s">
        <v>140</v>
      </c>
      <c r="D11" t="s">
        <v>141</v>
      </c>
      <c r="E11" s="14">
        <f>498+787</f>
        <v>1285</v>
      </c>
      <c r="F11" s="4" t="s">
        <v>142</v>
      </c>
      <c r="G11" t="s">
        <v>143</v>
      </c>
      <c r="H11" t="s">
        <v>144</v>
      </c>
      <c r="I11" s="14">
        <v>752</v>
      </c>
      <c r="J11" s="4"/>
      <c r="M11" s="4" t="s">
        <v>145</v>
      </c>
      <c r="N11" t="s">
        <v>146</v>
      </c>
      <c r="O11" s="4" t="s">
        <v>147</v>
      </c>
      <c r="P11" t="s">
        <v>143</v>
      </c>
      <c r="Q11" t="s">
        <v>148</v>
      </c>
      <c r="R11" s="14">
        <f>410+680</f>
        <v>1090</v>
      </c>
      <c r="S11" s="4" t="s">
        <v>149</v>
      </c>
      <c r="T11" t="s">
        <v>143</v>
      </c>
      <c r="U11" t="s">
        <v>150</v>
      </c>
      <c r="V11" s="14">
        <f>363+581</f>
        <v>944</v>
      </c>
      <c r="W11" s="4" t="s">
        <v>151</v>
      </c>
      <c r="X11" t="s">
        <v>143</v>
      </c>
      <c r="Y11" t="s">
        <v>152</v>
      </c>
      <c r="Z11" s="17">
        <f>133+148</f>
        <v>281</v>
      </c>
    </row>
    <row r="13" spans="1:26" x14ac:dyDescent="0.3">
      <c r="M13" t="s">
        <v>153</v>
      </c>
    </row>
    <row r="14" spans="1:26" ht="15.6" x14ac:dyDescent="0.3">
      <c r="C14" s="5"/>
      <c r="D14" s="5"/>
      <c r="G14" s="5"/>
      <c r="H14" s="5"/>
    </row>
    <row r="15" spans="1:26" ht="15.6" x14ac:dyDescent="0.3">
      <c r="G15" s="5"/>
    </row>
    <row r="17" spans="2:11" x14ac:dyDescent="0.3">
      <c r="J17" s="6"/>
      <c r="K17" s="6"/>
    </row>
    <row r="18" spans="2:11" x14ac:dyDescent="0.3">
      <c r="J18" s="6"/>
      <c r="K18" s="6"/>
    </row>
    <row r="31" spans="2:11" x14ac:dyDescent="0.3">
      <c r="B31" s="1" t="s">
        <v>154</v>
      </c>
    </row>
    <row r="32" spans="2:11" x14ac:dyDescent="0.3">
      <c r="B32" t="s">
        <v>155</v>
      </c>
    </row>
    <row r="33" spans="2:3" x14ac:dyDescent="0.3">
      <c r="B33" t="s">
        <v>156</v>
      </c>
    </row>
    <row r="34" spans="2:3" x14ac:dyDescent="0.3">
      <c r="B34" t="s">
        <v>157</v>
      </c>
    </row>
    <row r="38" spans="2:3" x14ac:dyDescent="0.3">
      <c r="C38" t="s">
        <v>158</v>
      </c>
    </row>
    <row r="39" spans="2:3" x14ac:dyDescent="0.3">
      <c r="C39" t="s">
        <v>159</v>
      </c>
    </row>
  </sheetData>
  <mergeCells count="8">
    <mergeCell ref="M1:N1"/>
    <mergeCell ref="O1:R1"/>
    <mergeCell ref="S1:V1"/>
    <mergeCell ref="W1:Z1"/>
    <mergeCell ref="A1:A2"/>
    <mergeCell ref="B1:E1"/>
    <mergeCell ref="F1:I1"/>
    <mergeCell ref="J1:L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9861E-D4B5-4648-A6A8-216827D0F8D7}">
  <dimension ref="A1:Y28"/>
  <sheetViews>
    <sheetView tabSelected="1" topLeftCell="Q1" workbookViewId="0">
      <selection activeCell="Y7" sqref="Y7"/>
    </sheetView>
  </sheetViews>
  <sheetFormatPr defaultRowHeight="15" customHeight="1" x14ac:dyDescent="0.3"/>
  <cols>
    <col min="1" max="1" width="34.6640625" style="18" bestFit="1" customWidth="1"/>
    <col min="2" max="2" width="14" customWidth="1"/>
    <col min="3" max="3" width="29" customWidth="1"/>
    <col min="4" max="4" width="12.33203125" bestFit="1" customWidth="1"/>
    <col min="5" max="5" width="11.5546875" style="18" customWidth="1"/>
    <col min="6" max="6" width="7.44140625" customWidth="1"/>
    <col min="7" max="7" width="51.88671875" customWidth="1"/>
    <col min="8" max="8" width="12.33203125" bestFit="1" customWidth="1"/>
    <col min="9" max="9" width="8.88671875" style="18"/>
    <col min="10" max="10" width="42.6640625" hidden="1" customWidth="1"/>
    <col min="11" max="11" width="30.6640625" style="18" hidden="1" customWidth="1"/>
    <col min="12" max="12" width="9.88671875" bestFit="1" customWidth="1"/>
    <col min="13" max="13" width="39.6640625" bestFit="1" customWidth="1"/>
    <col min="14" max="14" width="12.33203125" bestFit="1" customWidth="1"/>
    <col min="15" max="15" width="9.109375" style="18"/>
    <col min="16" max="16" width="12.33203125" customWidth="1"/>
    <col min="17" max="17" width="41.6640625" bestFit="1" customWidth="1"/>
    <col min="18" max="18" width="12.33203125" bestFit="1" customWidth="1"/>
    <col min="19" max="19" width="9.109375" style="18"/>
    <col min="20" max="20" width="16" customWidth="1"/>
    <col min="21" max="21" width="18.44140625" customWidth="1"/>
    <col min="22" max="22" width="9.109375" style="18"/>
    <col min="23" max="23" width="16.88671875" customWidth="1"/>
    <col min="24" max="24" width="17.33203125" customWidth="1"/>
    <col min="25" max="25" width="9.109375" style="18"/>
  </cols>
  <sheetData>
    <row r="1" spans="1:25" ht="15" customHeight="1" x14ac:dyDescent="0.3">
      <c r="A1" s="31" t="s">
        <v>0</v>
      </c>
      <c r="B1" s="28" t="s">
        <v>1</v>
      </c>
      <c r="C1" s="29"/>
      <c r="D1" s="29"/>
      <c r="E1" s="30"/>
      <c r="F1" s="28" t="s">
        <v>5</v>
      </c>
      <c r="G1" s="29"/>
      <c r="H1" s="29"/>
      <c r="I1" s="30"/>
      <c r="J1" s="28" t="s">
        <v>4</v>
      </c>
      <c r="K1" s="30"/>
      <c r="L1" s="28" t="s">
        <v>6</v>
      </c>
      <c r="M1" s="29"/>
      <c r="N1" s="29"/>
      <c r="O1" s="30"/>
      <c r="P1" s="28" t="s">
        <v>160</v>
      </c>
      <c r="Q1" s="29"/>
      <c r="R1" s="29"/>
      <c r="S1" s="30"/>
      <c r="T1" s="28" t="s">
        <v>161</v>
      </c>
      <c r="U1" s="29"/>
      <c r="V1" s="30"/>
      <c r="W1" s="28" t="s">
        <v>162</v>
      </c>
      <c r="X1" s="29"/>
      <c r="Y1" s="30"/>
    </row>
    <row r="2" spans="1:25" ht="14.4" x14ac:dyDescent="0.3">
      <c r="A2" s="32"/>
      <c r="B2" s="3" t="s">
        <v>8</v>
      </c>
      <c r="C2" s="3" t="s">
        <v>9</v>
      </c>
      <c r="D2" s="3" t="s">
        <v>10</v>
      </c>
      <c r="E2" s="15" t="s">
        <v>11</v>
      </c>
      <c r="F2" s="3" t="s">
        <v>8</v>
      </c>
      <c r="G2" s="3" t="s">
        <v>9</v>
      </c>
      <c r="H2" s="3" t="s">
        <v>10</v>
      </c>
      <c r="I2" s="15" t="s">
        <v>11</v>
      </c>
      <c r="J2" s="3" t="s">
        <v>8</v>
      </c>
      <c r="K2" s="19" t="s">
        <v>9</v>
      </c>
      <c r="L2" s="3" t="s">
        <v>8</v>
      </c>
      <c r="M2" s="3" t="s">
        <v>9</v>
      </c>
      <c r="N2" s="3" t="s">
        <v>10</v>
      </c>
      <c r="O2" s="15" t="s">
        <v>11</v>
      </c>
      <c r="P2" s="3" t="s">
        <v>8</v>
      </c>
      <c r="Q2" s="3" t="s">
        <v>9</v>
      </c>
      <c r="R2" s="3" t="s">
        <v>10</v>
      </c>
      <c r="S2" s="15" t="s">
        <v>11</v>
      </c>
      <c r="T2" s="3" t="s">
        <v>8</v>
      </c>
      <c r="U2" s="3" t="s">
        <v>10</v>
      </c>
      <c r="V2" s="15" t="s">
        <v>11</v>
      </c>
      <c r="W2" s="3" t="s">
        <v>8</v>
      </c>
      <c r="X2" s="3" t="s">
        <v>10</v>
      </c>
      <c r="Y2" s="15" t="s">
        <v>11</v>
      </c>
    </row>
    <row r="3" spans="1:25" ht="14.4" x14ac:dyDescent="0.3">
      <c r="A3" s="18" t="s">
        <v>163</v>
      </c>
      <c r="B3" t="s">
        <v>30</v>
      </c>
      <c r="C3" t="s">
        <v>164</v>
      </c>
      <c r="D3" t="s">
        <v>32</v>
      </c>
      <c r="E3" s="17">
        <f>234+283</f>
        <v>517</v>
      </c>
      <c r="F3" t="s">
        <v>37</v>
      </c>
      <c r="G3" t="s">
        <v>38</v>
      </c>
      <c r="H3" t="s">
        <v>39</v>
      </c>
      <c r="I3" s="17">
        <f>289+369</f>
        <v>658</v>
      </c>
      <c r="J3" t="s">
        <v>165</v>
      </c>
      <c r="K3" s="18" t="s">
        <v>34</v>
      </c>
      <c r="L3" s="11">
        <v>2501</v>
      </c>
      <c r="M3" t="s">
        <v>166</v>
      </c>
      <c r="N3" s="11">
        <v>230</v>
      </c>
      <c r="O3" s="17">
        <f>230</f>
        <v>230</v>
      </c>
      <c r="P3" t="s">
        <v>167</v>
      </c>
      <c r="Q3" t="s">
        <v>168</v>
      </c>
      <c r="R3" t="s">
        <v>169</v>
      </c>
      <c r="S3" s="17">
        <f>1309+1283</f>
        <v>2592</v>
      </c>
      <c r="T3" t="s">
        <v>170</v>
      </c>
      <c r="U3" t="s">
        <v>171</v>
      </c>
      <c r="V3" s="17">
        <f>222+193+202</f>
        <v>617</v>
      </c>
      <c r="W3" t="s">
        <v>172</v>
      </c>
      <c r="X3" t="s">
        <v>173</v>
      </c>
      <c r="Y3" s="17">
        <f>72+120+79+81</f>
        <v>352</v>
      </c>
    </row>
    <row r="4" spans="1:25" ht="14.4" x14ac:dyDescent="0.3">
      <c r="A4" s="18" t="s">
        <v>174</v>
      </c>
      <c r="B4" s="11">
        <v>5201</v>
      </c>
      <c r="C4" t="s">
        <v>175</v>
      </c>
      <c r="D4" s="21">
        <v>1349</v>
      </c>
      <c r="E4" s="17">
        <f>1349</f>
        <v>1349</v>
      </c>
      <c r="F4" s="11">
        <v>51</v>
      </c>
      <c r="G4" t="s">
        <v>176</v>
      </c>
      <c r="H4" s="11">
        <v>1266</v>
      </c>
      <c r="I4" s="17">
        <f>1266</f>
        <v>1266</v>
      </c>
      <c r="J4" t="s">
        <v>177</v>
      </c>
      <c r="K4" s="18" t="s">
        <v>178</v>
      </c>
      <c r="L4" s="11">
        <v>2202</v>
      </c>
      <c r="M4" t="s">
        <v>179</v>
      </c>
      <c r="N4" s="21">
        <v>2105</v>
      </c>
      <c r="O4" s="17">
        <f>2105</f>
        <v>2105</v>
      </c>
      <c r="P4" s="11">
        <v>3702</v>
      </c>
      <c r="Q4" t="s">
        <v>180</v>
      </c>
      <c r="R4" s="11">
        <v>111</v>
      </c>
      <c r="S4" s="17">
        <f>111</f>
        <v>111</v>
      </c>
      <c r="T4" t="s">
        <v>181</v>
      </c>
      <c r="U4" t="s">
        <v>182</v>
      </c>
      <c r="V4" s="17">
        <f>211+239+287</f>
        <v>737</v>
      </c>
      <c r="W4" t="s">
        <v>183</v>
      </c>
      <c r="X4" t="s">
        <v>184</v>
      </c>
      <c r="Y4" s="17">
        <f>127+148+112</f>
        <v>387</v>
      </c>
    </row>
    <row r="5" spans="1:25" ht="14.4" x14ac:dyDescent="0.3">
      <c r="A5" s="18" t="s">
        <v>185</v>
      </c>
      <c r="B5" t="s">
        <v>186</v>
      </c>
      <c r="C5" t="s">
        <v>187</v>
      </c>
      <c r="D5" t="s">
        <v>188</v>
      </c>
      <c r="E5" s="17">
        <f>861+787</f>
        <v>1648</v>
      </c>
      <c r="F5" t="s">
        <v>189</v>
      </c>
      <c r="G5" t="s">
        <v>190</v>
      </c>
      <c r="H5" t="s">
        <v>191</v>
      </c>
      <c r="I5" s="17">
        <f>810+1545</f>
        <v>2355</v>
      </c>
      <c r="J5" t="s">
        <v>192</v>
      </c>
      <c r="K5" s="18" t="s">
        <v>193</v>
      </c>
      <c r="L5" s="11">
        <v>2201</v>
      </c>
      <c r="M5" t="s">
        <v>194</v>
      </c>
      <c r="N5" s="11">
        <v>1987</v>
      </c>
      <c r="O5" s="17">
        <f>1987</f>
        <v>1987</v>
      </c>
      <c r="P5" t="s">
        <v>195</v>
      </c>
      <c r="Q5" t="s">
        <v>196</v>
      </c>
      <c r="R5" t="s">
        <v>197</v>
      </c>
      <c r="S5" s="17">
        <f>1734+148</f>
        <v>1882</v>
      </c>
      <c r="T5" t="s">
        <v>198</v>
      </c>
      <c r="U5" t="s">
        <v>199</v>
      </c>
      <c r="V5" s="17">
        <f>289+252+222</f>
        <v>763</v>
      </c>
      <c r="W5" t="s">
        <v>200</v>
      </c>
      <c r="X5" s="36">
        <v>112126109132</v>
      </c>
      <c r="Y5" s="17">
        <f>112+126+109+132</f>
        <v>479</v>
      </c>
    </row>
    <row r="6" spans="1:25" ht="14.4" x14ac:dyDescent="0.3">
      <c r="A6" s="18" t="s">
        <v>13</v>
      </c>
      <c r="B6" t="s">
        <v>126</v>
      </c>
      <c r="C6" t="s">
        <v>125</v>
      </c>
      <c r="D6" t="s">
        <v>127</v>
      </c>
      <c r="E6" s="17">
        <f>1203+1211</f>
        <v>2414</v>
      </c>
      <c r="F6" t="s">
        <v>132</v>
      </c>
      <c r="G6" t="s">
        <v>125</v>
      </c>
      <c r="H6" t="s">
        <v>133</v>
      </c>
      <c r="I6" s="17">
        <f>1131+1184</f>
        <v>2315</v>
      </c>
      <c r="J6" t="s">
        <v>201</v>
      </c>
      <c r="K6" s="18" t="s">
        <v>202</v>
      </c>
      <c r="L6" t="s">
        <v>203</v>
      </c>
      <c r="M6" t="s">
        <v>134</v>
      </c>
      <c r="N6" t="s">
        <v>204</v>
      </c>
      <c r="O6" s="17">
        <f>1187+841</f>
        <v>2028</v>
      </c>
      <c r="P6" t="s">
        <v>205</v>
      </c>
      <c r="Q6" t="s">
        <v>125</v>
      </c>
      <c r="R6" t="s">
        <v>206</v>
      </c>
      <c r="S6" s="17">
        <f>1308+1246</f>
        <v>2554</v>
      </c>
      <c r="T6" t="s">
        <v>207</v>
      </c>
      <c r="U6" t="s">
        <v>208</v>
      </c>
      <c r="V6" s="17">
        <f>284+291+266+350</f>
        <v>1191</v>
      </c>
      <c r="W6" s="11">
        <v>193</v>
      </c>
      <c r="X6" s="11">
        <v>145</v>
      </c>
      <c r="Y6" s="17">
        <f>145</f>
        <v>145</v>
      </c>
    </row>
    <row r="8" spans="1:25" ht="14.4" x14ac:dyDescent="0.3">
      <c r="J8" s="4"/>
    </row>
    <row r="9" spans="1:25" ht="14.4" x14ac:dyDescent="0.3">
      <c r="B9" s="20"/>
      <c r="J9" s="4"/>
    </row>
    <row r="11" spans="1:25" ht="14.4" x14ac:dyDescent="0.3">
      <c r="J11" t="s">
        <v>209</v>
      </c>
    </row>
    <row r="13" spans="1:25" ht="14.4" customHeight="1" x14ac:dyDescent="0.3">
      <c r="B13" s="24"/>
      <c r="C13" s="24"/>
      <c r="D13" s="24"/>
      <c r="E13" s="25"/>
      <c r="F13" s="23"/>
      <c r="G13" s="24"/>
      <c r="H13" s="24"/>
      <c r="I13" s="25"/>
      <c r="J13" s="33" t="s">
        <v>210</v>
      </c>
      <c r="K13" s="34"/>
      <c r="S13"/>
      <c r="T13" s="26"/>
      <c r="U13" s="22"/>
      <c r="V13" s="27"/>
    </row>
    <row r="14" spans="1:25" ht="14.4" x14ac:dyDescent="0.3">
      <c r="B14" s="24"/>
      <c r="C14" s="24"/>
      <c r="D14" s="24"/>
      <c r="E14" s="25"/>
      <c r="F14" s="23"/>
      <c r="G14" s="24"/>
      <c r="H14" s="24"/>
      <c r="I14" s="25"/>
      <c r="J14" s="33"/>
      <c r="K14" s="34"/>
      <c r="S14"/>
      <c r="T14" s="26"/>
      <c r="U14" s="22"/>
      <c r="V14" s="27"/>
    </row>
    <row r="15" spans="1:25" ht="14.4" x14ac:dyDescent="0.3">
      <c r="B15" s="24"/>
      <c r="C15" s="24"/>
      <c r="D15" s="24"/>
      <c r="E15" s="25"/>
      <c r="F15" s="23"/>
      <c r="G15" s="24"/>
      <c r="H15" s="24"/>
      <c r="I15" s="25"/>
      <c r="J15" s="33"/>
      <c r="K15" s="34"/>
      <c r="S15"/>
      <c r="T15" s="26"/>
      <c r="U15" s="22"/>
      <c r="V15" s="27"/>
    </row>
    <row r="16" spans="1:25" ht="14.4" x14ac:dyDescent="0.3">
      <c r="B16" s="24"/>
      <c r="C16" s="24"/>
      <c r="D16" s="24"/>
      <c r="E16" s="25"/>
      <c r="F16" s="23"/>
      <c r="G16" s="24"/>
      <c r="H16" s="24"/>
      <c r="I16" s="25"/>
      <c r="J16" s="33"/>
      <c r="K16" s="34"/>
      <c r="S16"/>
      <c r="T16" s="26"/>
      <c r="U16" s="22"/>
      <c r="V16" s="27"/>
    </row>
    <row r="17" spans="2:22" ht="14.4" x14ac:dyDescent="0.3">
      <c r="B17" s="24"/>
      <c r="C17" s="24"/>
      <c r="D17" s="24"/>
      <c r="E17" s="25"/>
      <c r="F17" s="23"/>
      <c r="G17" s="24"/>
      <c r="H17" s="24"/>
      <c r="I17" s="25"/>
      <c r="J17" s="33"/>
      <c r="K17" s="34"/>
      <c r="S17"/>
      <c r="T17" s="26"/>
      <c r="U17" s="22"/>
      <c r="V17" s="27"/>
    </row>
    <row r="18" spans="2:22" ht="14.4" x14ac:dyDescent="0.3">
      <c r="B18" s="24"/>
      <c r="C18" s="24"/>
      <c r="D18" s="24"/>
      <c r="E18" s="25"/>
      <c r="F18" s="23"/>
      <c r="G18" s="24"/>
      <c r="H18" s="24"/>
      <c r="I18" s="25"/>
      <c r="J18" s="33"/>
      <c r="K18" s="34"/>
      <c r="S18"/>
      <c r="T18" s="26"/>
      <c r="U18" s="22"/>
      <c r="V18" s="27"/>
    </row>
    <row r="19" spans="2:22" ht="14.4" x14ac:dyDescent="0.3">
      <c r="B19" s="24"/>
      <c r="C19" s="24"/>
      <c r="D19" s="24"/>
      <c r="E19" s="25"/>
      <c r="F19" s="23"/>
      <c r="G19" s="24"/>
      <c r="H19" s="24"/>
      <c r="I19" s="25"/>
      <c r="J19" s="33"/>
      <c r="K19" s="34"/>
      <c r="S19"/>
      <c r="T19" s="26"/>
      <c r="U19" s="22"/>
      <c r="V19" s="27"/>
    </row>
    <row r="20" spans="2:22" ht="14.4" x14ac:dyDescent="0.3">
      <c r="B20" s="24"/>
      <c r="C20" s="24"/>
      <c r="D20" s="24"/>
      <c r="E20" s="25"/>
      <c r="F20" s="23"/>
      <c r="G20" s="24"/>
      <c r="H20" s="24"/>
      <c r="I20" s="25"/>
      <c r="J20" s="33"/>
      <c r="K20" s="34"/>
      <c r="S20"/>
      <c r="T20" s="26"/>
      <c r="U20" s="22"/>
      <c r="V20" s="27"/>
    </row>
    <row r="21" spans="2:22" ht="14.4" x14ac:dyDescent="0.3">
      <c r="B21" s="24"/>
      <c r="C21" s="24"/>
      <c r="D21" s="24"/>
      <c r="E21" s="25"/>
      <c r="F21" s="23"/>
      <c r="G21" s="24"/>
      <c r="H21" s="24"/>
      <c r="I21" s="25"/>
      <c r="J21" s="33"/>
      <c r="K21" s="34"/>
      <c r="S21"/>
      <c r="T21" s="26"/>
      <c r="U21" s="22"/>
      <c r="V21" s="27"/>
    </row>
    <row r="22" spans="2:22" ht="14.4" x14ac:dyDescent="0.3">
      <c r="B22" s="24"/>
      <c r="C22" s="24"/>
      <c r="D22" s="24"/>
      <c r="E22" s="25"/>
      <c r="F22" s="23"/>
      <c r="G22" s="24"/>
      <c r="H22" s="24"/>
      <c r="I22" s="25"/>
      <c r="J22" s="33"/>
      <c r="K22" s="34"/>
      <c r="S22"/>
      <c r="T22" s="26"/>
      <c r="U22" s="22"/>
      <c r="V22" s="27"/>
    </row>
    <row r="23" spans="2:22" ht="15" customHeight="1" x14ac:dyDescent="0.3">
      <c r="S23"/>
      <c r="T23" s="26"/>
      <c r="U23" s="22"/>
      <c r="V23" s="27"/>
    </row>
    <row r="24" spans="2:22" ht="14.4" x14ac:dyDescent="0.3">
      <c r="B24" s="1"/>
      <c r="F24" s="1"/>
      <c r="J24" s="1"/>
    </row>
    <row r="25" spans="2:22" ht="14.4" x14ac:dyDescent="0.3"/>
    <row r="26" spans="2:22" ht="14.4" x14ac:dyDescent="0.3"/>
    <row r="27" spans="2:22" ht="14.4" x14ac:dyDescent="0.3"/>
    <row r="28" spans="2:22" ht="14.4" x14ac:dyDescent="0.3"/>
  </sheetData>
  <mergeCells count="9">
    <mergeCell ref="A1:A2"/>
    <mergeCell ref="B1:E1"/>
    <mergeCell ref="F1:I1"/>
    <mergeCell ref="L1:O1"/>
    <mergeCell ref="P1:S1"/>
    <mergeCell ref="T1:V1"/>
    <mergeCell ref="W1:Y1"/>
    <mergeCell ref="J1:K1"/>
    <mergeCell ref="J13:K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52FE-45B6-4220-9648-E5A241BDA3F9}">
  <dimension ref="A1:G14"/>
  <sheetViews>
    <sheetView workbookViewId="0">
      <selection activeCell="A10" sqref="A10:G14"/>
    </sheetView>
  </sheetViews>
  <sheetFormatPr defaultRowHeight="14.4" x14ac:dyDescent="0.3"/>
  <cols>
    <col min="6" max="6" width="13.6640625" bestFit="1" customWidth="1"/>
    <col min="7" max="7" width="19.6640625" bestFit="1" customWidth="1"/>
  </cols>
  <sheetData>
    <row r="1" spans="1:7" s="1" customFormat="1" x14ac:dyDescent="0.3">
      <c r="A1" s="1" t="s">
        <v>211</v>
      </c>
      <c r="B1" s="1" t="s">
        <v>212</v>
      </c>
      <c r="C1" s="1" t="s">
        <v>213</v>
      </c>
      <c r="D1" s="1" t="s">
        <v>214</v>
      </c>
      <c r="E1" s="1" t="s">
        <v>215</v>
      </c>
      <c r="F1" s="1" t="s">
        <v>216</v>
      </c>
      <c r="G1" s="1" t="s">
        <v>217</v>
      </c>
    </row>
    <row r="2" spans="1:7" x14ac:dyDescent="0.3">
      <c r="A2" t="s">
        <v>1</v>
      </c>
      <c r="B2" t="s">
        <v>218</v>
      </c>
      <c r="C2">
        <v>65</v>
      </c>
      <c r="D2">
        <v>77</v>
      </c>
      <c r="E2">
        <v>63</v>
      </c>
      <c r="F2">
        <v>116</v>
      </c>
      <c r="G2" s="9">
        <f>C2*D2*E2</f>
        <v>315315</v>
      </c>
    </row>
    <row r="3" spans="1:7" x14ac:dyDescent="0.3">
      <c r="A3" t="s">
        <v>161</v>
      </c>
      <c r="B3" t="s">
        <v>218</v>
      </c>
      <c r="C3">
        <v>63</v>
      </c>
      <c r="D3">
        <v>75</v>
      </c>
      <c r="E3">
        <v>61</v>
      </c>
      <c r="F3">
        <v>200</v>
      </c>
      <c r="G3" s="9">
        <f t="shared" ref="G3:G8" si="0">C3*D3*E3</f>
        <v>288225</v>
      </c>
    </row>
    <row r="4" spans="1:7" x14ac:dyDescent="0.3">
      <c r="A4" t="s">
        <v>162</v>
      </c>
      <c r="B4" t="s">
        <v>218</v>
      </c>
      <c r="C4">
        <v>63</v>
      </c>
      <c r="D4">
        <v>75</v>
      </c>
      <c r="E4">
        <v>61</v>
      </c>
      <c r="F4">
        <v>400</v>
      </c>
      <c r="G4" s="9">
        <f t="shared" si="0"/>
        <v>288225</v>
      </c>
    </row>
    <row r="5" spans="1:7" hidden="1" x14ac:dyDescent="0.3">
      <c r="A5" t="s">
        <v>219</v>
      </c>
      <c r="B5" t="s">
        <v>218</v>
      </c>
      <c r="C5">
        <v>61</v>
      </c>
      <c r="D5">
        <v>73</v>
      </c>
      <c r="E5">
        <v>61</v>
      </c>
      <c r="F5">
        <v>160</v>
      </c>
      <c r="G5" s="9">
        <f t="shared" si="0"/>
        <v>271633</v>
      </c>
    </row>
    <row r="6" spans="1:7" x14ac:dyDescent="0.3">
      <c r="A6" t="s">
        <v>220</v>
      </c>
      <c r="B6" t="s">
        <v>218</v>
      </c>
      <c r="C6">
        <v>65</v>
      </c>
      <c r="D6">
        <v>77</v>
      </c>
      <c r="E6">
        <v>63</v>
      </c>
      <c r="F6">
        <v>116</v>
      </c>
      <c r="G6" s="9">
        <f t="shared" si="0"/>
        <v>315315</v>
      </c>
    </row>
    <row r="7" spans="1:7" x14ac:dyDescent="0.3">
      <c r="A7" t="s">
        <v>221</v>
      </c>
      <c r="B7" t="s">
        <v>218</v>
      </c>
      <c r="C7">
        <v>65</v>
      </c>
      <c r="D7">
        <v>77</v>
      </c>
      <c r="E7">
        <v>63</v>
      </c>
      <c r="F7">
        <v>110</v>
      </c>
      <c r="G7" s="9">
        <f t="shared" si="0"/>
        <v>315315</v>
      </c>
    </row>
    <row r="8" spans="1:7" x14ac:dyDescent="0.3">
      <c r="A8" t="s">
        <v>222</v>
      </c>
      <c r="B8" t="s">
        <v>218</v>
      </c>
      <c r="C8">
        <v>65</v>
      </c>
      <c r="D8">
        <v>77</v>
      </c>
      <c r="E8">
        <v>63</v>
      </c>
      <c r="F8">
        <v>110</v>
      </c>
      <c r="G8" s="9">
        <f t="shared" si="0"/>
        <v>315315</v>
      </c>
    </row>
    <row r="10" spans="1:7" x14ac:dyDescent="0.3">
      <c r="A10" s="35" t="s">
        <v>223</v>
      </c>
      <c r="B10" s="35"/>
      <c r="C10" s="35"/>
      <c r="D10" s="35"/>
      <c r="E10" s="35"/>
      <c r="F10" s="35"/>
      <c r="G10" s="35"/>
    </row>
    <row r="11" spans="1:7" x14ac:dyDescent="0.3">
      <c r="A11" s="35"/>
      <c r="B11" s="35"/>
      <c r="C11" s="35"/>
      <c r="D11" s="35"/>
      <c r="E11" s="35"/>
      <c r="F11" s="35"/>
      <c r="G11" s="35"/>
    </row>
    <row r="12" spans="1:7" x14ac:dyDescent="0.3">
      <c r="A12" s="35"/>
      <c r="B12" s="35"/>
      <c r="C12" s="35"/>
      <c r="D12" s="35"/>
      <c r="E12" s="35"/>
      <c r="F12" s="35"/>
      <c r="G12" s="35"/>
    </row>
    <row r="13" spans="1:7" x14ac:dyDescent="0.3">
      <c r="A13" s="35"/>
      <c r="B13" s="35"/>
      <c r="C13" s="35"/>
      <c r="D13" s="35"/>
      <c r="E13" s="35"/>
      <c r="F13" s="35"/>
      <c r="G13" s="35"/>
    </row>
    <row r="14" spans="1:7" x14ac:dyDescent="0.3">
      <c r="A14" s="35"/>
      <c r="B14" s="35"/>
      <c r="C14" s="35"/>
      <c r="D14" s="35"/>
      <c r="E14" s="35"/>
      <c r="F14" s="35"/>
      <c r="G14" s="35"/>
    </row>
  </sheetData>
  <mergeCells count="1">
    <mergeCell ref="A10:G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DMN ROIs (old - do not use)</vt:lpstr>
      <vt:lpstr>DMN ROIs (new)</vt:lpstr>
      <vt:lpstr>Atlas 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Kaitlyn Fales</dc:creator>
  <cp:keywords/>
  <dc:description/>
  <cp:lastModifiedBy>Kaitlyn Fales</cp:lastModifiedBy>
  <cp:revision/>
  <dcterms:created xsi:type="dcterms:W3CDTF">2024-01-11T18:13:20Z</dcterms:created>
  <dcterms:modified xsi:type="dcterms:W3CDTF">2024-10-03T00:41:53Z</dcterms:modified>
  <cp:category/>
  <cp:contentStatus/>
</cp:coreProperties>
</file>